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0" yWindow="0" windowWidth="25605" windowHeight="14025" activeTab="1"/>
  </bookViews>
  <sheets>
    <sheet name="Column Definitions" sheetId="4" r:id="rId1"/>
    <sheet name="Details" sheetId="2" r:id="rId2"/>
    <sheet name="Summary" sheetId="3" r:id="rId3"/>
    <sheet name="Fold Change by Protein Type" sheetId="5" r:id="rId4"/>
    <sheet name="Sheet1" sheetId="6" r:id="rId5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219" i="2"/>
  <c r="U1218"/>
  <c r="S1218"/>
  <c r="R1218"/>
  <c r="Q1218"/>
  <c r="R1217"/>
  <c r="V1216"/>
  <c r="U1216"/>
  <c r="R1216"/>
  <c r="Q1216"/>
  <c r="O1216"/>
  <c r="R1214"/>
  <c r="V1213"/>
  <c r="R1213"/>
  <c r="O1213"/>
  <c r="U1212"/>
  <c r="S1212"/>
  <c r="Q1212"/>
  <c r="V1211"/>
  <c r="P1211"/>
  <c r="U1210"/>
  <c r="T1210"/>
  <c r="S1210"/>
  <c r="Q1210"/>
  <c r="V1209"/>
  <c r="U1209"/>
  <c r="T1208"/>
  <c r="R1208"/>
  <c r="P1208"/>
  <c r="P1207"/>
  <c r="V1206"/>
  <c r="U1205"/>
  <c r="P1205"/>
  <c r="V1204"/>
  <c r="U1204"/>
  <c r="V1203"/>
  <c r="U1203"/>
  <c r="T1203"/>
  <c r="S1203"/>
  <c r="R1203"/>
  <c r="Q1203"/>
  <c r="P1203"/>
  <c r="O1203"/>
  <c r="V1202"/>
  <c r="U1202"/>
  <c r="S1202"/>
  <c r="O1202"/>
  <c r="V1201"/>
  <c r="V1199"/>
  <c r="U1198"/>
  <c r="T1197"/>
  <c r="T1196"/>
  <c r="S1196"/>
  <c r="R1196"/>
  <c r="Q1196"/>
  <c r="P1196"/>
  <c r="O1196"/>
  <c r="S1195"/>
  <c r="O1195"/>
  <c r="V1194"/>
  <c r="U1194"/>
  <c r="T1194"/>
  <c r="R1194"/>
  <c r="Q1194"/>
  <c r="O1194"/>
  <c r="V1193"/>
  <c r="U1193"/>
  <c r="T1193"/>
  <c r="R1193"/>
  <c r="R1191"/>
  <c r="R1190"/>
  <c r="V1189"/>
  <c r="Q1189"/>
  <c r="V1188"/>
  <c r="T1188"/>
  <c r="S1188"/>
  <c r="R1188"/>
  <c r="O1188"/>
  <c r="Q1187"/>
  <c r="T1186"/>
  <c r="V1185"/>
  <c r="U1185"/>
  <c r="S1185"/>
  <c r="Q1185"/>
  <c r="P1185"/>
  <c r="O1185"/>
  <c r="V1184"/>
  <c r="R1184"/>
  <c r="Q1184"/>
  <c r="O1184"/>
  <c r="R1183"/>
  <c r="O1182"/>
  <c r="V1181"/>
  <c r="U1181"/>
  <c r="T1181"/>
  <c r="S1181"/>
  <c r="R1181"/>
  <c r="Q1181"/>
  <c r="P1181"/>
  <c r="O1181"/>
  <c r="U1180"/>
  <c r="R1180"/>
  <c r="O1179"/>
  <c r="V1178"/>
  <c r="U1178"/>
  <c r="S1178"/>
  <c r="R1178"/>
  <c r="Q1178"/>
  <c r="O1178"/>
  <c r="O1177"/>
  <c r="V1176"/>
  <c r="U1176"/>
  <c r="T1176"/>
  <c r="S1176"/>
  <c r="R1176"/>
  <c r="Q1176"/>
  <c r="P1176"/>
  <c r="O1176"/>
  <c r="P1175"/>
  <c r="O1174"/>
  <c r="R1173"/>
  <c r="S1172"/>
  <c r="O1171"/>
  <c r="P1170"/>
  <c r="V1169"/>
  <c r="U1169"/>
  <c r="T1169"/>
  <c r="S1169"/>
  <c r="R1169"/>
  <c r="Q1169"/>
  <c r="P1169"/>
  <c r="V1168"/>
  <c r="V1167"/>
  <c r="U1167"/>
  <c r="T1167"/>
  <c r="S1167"/>
  <c r="R1167"/>
  <c r="Q1167"/>
  <c r="T1166"/>
  <c r="T1165"/>
  <c r="Q1165"/>
  <c r="P1165"/>
  <c r="O1165"/>
  <c r="O1164"/>
  <c r="V1163"/>
  <c r="U1163"/>
  <c r="T1163"/>
  <c r="S1163"/>
  <c r="R1163"/>
  <c r="Q1163"/>
  <c r="P1163"/>
  <c r="O1163"/>
  <c r="Q1162"/>
  <c r="V1161"/>
  <c r="U1161"/>
  <c r="T1161"/>
  <c r="S1161"/>
  <c r="R1161"/>
  <c r="Q1161"/>
  <c r="P1161"/>
  <c r="O1161"/>
  <c r="R1160"/>
  <c r="U1159"/>
  <c r="U1158"/>
  <c r="R1158"/>
  <c r="V1157"/>
  <c r="V1156"/>
  <c r="U1156"/>
  <c r="S1156"/>
  <c r="R1156"/>
  <c r="Q1156"/>
  <c r="P1156"/>
  <c r="O1156"/>
  <c r="P1155"/>
  <c r="V1154"/>
  <c r="U1154"/>
  <c r="R1154"/>
  <c r="V1153"/>
  <c r="U1153"/>
  <c r="T1153"/>
  <c r="S1153"/>
  <c r="R1153"/>
  <c r="Q1153"/>
  <c r="P1153"/>
  <c r="O1153"/>
  <c r="S1152"/>
  <c r="V1151"/>
  <c r="U1151"/>
  <c r="R1151"/>
  <c r="P1151"/>
  <c r="V1150"/>
  <c r="U1150"/>
  <c r="T1150"/>
  <c r="S1150"/>
  <c r="R1150"/>
  <c r="Q1150"/>
  <c r="P1150"/>
  <c r="O1150"/>
  <c r="T1149"/>
  <c r="S1149"/>
  <c r="R1149"/>
  <c r="V1148"/>
  <c r="T1148"/>
  <c r="S1148"/>
  <c r="R1148"/>
  <c r="Q1148"/>
  <c r="U1147"/>
  <c r="V1146"/>
  <c r="R1145"/>
  <c r="V1144"/>
  <c r="V1143"/>
  <c r="U1143"/>
  <c r="V1142"/>
  <c r="U1142"/>
  <c r="T1142"/>
  <c r="S1142"/>
  <c r="Q1142"/>
  <c r="P1142"/>
  <c r="O1142"/>
  <c r="Q1141"/>
  <c r="O1141"/>
  <c r="P1140"/>
  <c r="V1139"/>
  <c r="U1139"/>
  <c r="S1139"/>
  <c r="Q1139"/>
  <c r="P1139"/>
  <c r="O1139"/>
  <c r="V1138"/>
  <c r="Q1138"/>
  <c r="U1137"/>
  <c r="V1136"/>
  <c r="U1136"/>
  <c r="R1136"/>
  <c r="Q1136"/>
  <c r="V1135"/>
  <c r="U1135"/>
  <c r="R1135"/>
  <c r="V1134"/>
  <c r="U1134"/>
  <c r="T1134"/>
  <c r="S1134"/>
  <c r="R1134"/>
  <c r="Q1134"/>
  <c r="U1133"/>
  <c r="Q1132"/>
  <c r="O1132"/>
  <c r="U1131"/>
  <c r="O1130"/>
  <c r="U1129"/>
  <c r="U1128"/>
  <c r="Q1128"/>
  <c r="U1127"/>
  <c r="P1126"/>
  <c r="O1126"/>
  <c r="S1125"/>
  <c r="S1124"/>
  <c r="V1123"/>
  <c r="V1122"/>
  <c r="U1122"/>
  <c r="T1122"/>
  <c r="S1122"/>
  <c r="R1122"/>
  <c r="Q1122"/>
  <c r="P1122"/>
  <c r="O1122"/>
  <c r="T1121"/>
  <c r="S1121"/>
  <c r="R1121"/>
  <c r="P1121"/>
  <c r="O1121"/>
  <c r="Q1120"/>
  <c r="U1119"/>
  <c r="O1119"/>
  <c r="O1117"/>
  <c r="V1116"/>
  <c r="Q1115"/>
  <c r="S1114"/>
  <c r="V1113"/>
  <c r="U1113"/>
  <c r="R1113"/>
  <c r="Q1113"/>
  <c r="P1113"/>
  <c r="O1113"/>
  <c r="R1112"/>
  <c r="V1111"/>
  <c r="U1111"/>
  <c r="T1111"/>
  <c r="S1111"/>
  <c r="R1111"/>
  <c r="Q1111"/>
  <c r="P1111"/>
  <c r="O1111"/>
  <c r="P1109"/>
  <c r="P1108"/>
  <c r="V1107"/>
  <c r="U1107"/>
  <c r="T1107"/>
  <c r="S1107"/>
  <c r="R1107"/>
  <c r="Q1107"/>
  <c r="P1107"/>
  <c r="O1107"/>
  <c r="R1105"/>
  <c r="P1104"/>
  <c r="O1104"/>
  <c r="P1103"/>
  <c r="T1102"/>
  <c r="S1102"/>
  <c r="R1102"/>
  <c r="Q1102"/>
  <c r="P1102"/>
  <c r="O1102"/>
  <c r="O1101"/>
  <c r="V1100"/>
  <c r="U1100"/>
  <c r="T1100"/>
  <c r="S1100"/>
  <c r="Q1100"/>
  <c r="O1100"/>
  <c r="V1099"/>
  <c r="R1099"/>
  <c r="V1098"/>
  <c r="U1098"/>
  <c r="T1098"/>
  <c r="S1098"/>
  <c r="R1098"/>
  <c r="Q1098"/>
  <c r="P1098"/>
  <c r="O1098"/>
  <c r="T1097"/>
  <c r="S1097"/>
  <c r="R1097"/>
  <c r="Q1097"/>
  <c r="P1097"/>
  <c r="O1097"/>
  <c r="Q1096"/>
  <c r="P1096"/>
  <c r="O1095"/>
  <c r="U1094"/>
  <c r="R1094"/>
  <c r="V1093"/>
  <c r="P1093"/>
  <c r="O1092"/>
  <c r="U1091"/>
  <c r="O1091"/>
  <c r="O1090"/>
  <c r="T1089"/>
  <c r="S1089"/>
  <c r="R1089"/>
  <c r="Q1089"/>
  <c r="P1089"/>
  <c r="O1088"/>
  <c r="T1087"/>
  <c r="R1087"/>
  <c r="Q1087"/>
  <c r="P1087"/>
  <c r="O1087"/>
  <c r="R1086"/>
  <c r="Q1086"/>
  <c r="V1085"/>
  <c r="T1085"/>
  <c r="S1085"/>
  <c r="R1085"/>
  <c r="Q1085"/>
  <c r="P1085"/>
  <c r="O1085"/>
  <c r="T1084"/>
  <c r="S1083"/>
  <c r="R1083"/>
  <c r="P1083"/>
  <c r="Q1082"/>
  <c r="P1082"/>
  <c r="V1081"/>
  <c r="P1080"/>
  <c r="P1079"/>
  <c r="V1078"/>
  <c r="U1078"/>
  <c r="T1078"/>
  <c r="S1078"/>
  <c r="R1078"/>
  <c r="Q1078"/>
  <c r="P1078"/>
  <c r="O1078"/>
  <c r="S1077"/>
  <c r="P1076"/>
  <c r="O1076"/>
  <c r="V1075"/>
  <c r="U1075"/>
  <c r="T1075"/>
  <c r="S1075"/>
  <c r="R1075"/>
  <c r="Q1075"/>
  <c r="P1075"/>
  <c r="O1075"/>
  <c r="V1074"/>
  <c r="U1074"/>
  <c r="T1074"/>
  <c r="S1074"/>
  <c r="R1074"/>
  <c r="Q1074"/>
  <c r="P1074"/>
  <c r="O1074"/>
  <c r="U1073"/>
  <c r="S1072"/>
  <c r="Q1072"/>
  <c r="U1071"/>
  <c r="T1071"/>
  <c r="R1071"/>
  <c r="V1070"/>
  <c r="U1070"/>
  <c r="T1070"/>
  <c r="P1070"/>
  <c r="U1069"/>
  <c r="V1068"/>
  <c r="U1068"/>
  <c r="Q1068"/>
  <c r="R1066"/>
  <c r="U1065"/>
  <c r="T1064"/>
  <c r="U1063"/>
  <c r="U1062"/>
  <c r="O1061"/>
  <c r="V1060"/>
  <c r="T1060"/>
  <c r="S1060"/>
  <c r="R1060"/>
  <c r="Q1060"/>
  <c r="O1060"/>
  <c r="V1059"/>
  <c r="U1059"/>
  <c r="T1059"/>
  <c r="S1059"/>
  <c r="R1059"/>
  <c r="Q1059"/>
  <c r="P1059"/>
  <c r="O1059"/>
  <c r="V1058"/>
  <c r="U1058"/>
  <c r="T1058"/>
  <c r="S1058"/>
  <c r="R1058"/>
  <c r="Q1058"/>
  <c r="P1058"/>
  <c r="O1058"/>
  <c r="O1057"/>
  <c r="O1056"/>
  <c r="Q1055"/>
  <c r="U1054"/>
  <c r="Q1054"/>
  <c r="O1054"/>
  <c r="V1053"/>
  <c r="U1053"/>
  <c r="V1052"/>
  <c r="U1052"/>
  <c r="R1052"/>
  <c r="Q1052"/>
  <c r="O1052"/>
  <c r="T1051"/>
  <c r="U1050"/>
  <c r="T1050"/>
  <c r="S1050"/>
  <c r="R1050"/>
  <c r="Q1050"/>
  <c r="P1050"/>
  <c r="O1050"/>
  <c r="V1049"/>
  <c r="S1049"/>
  <c r="U1048"/>
  <c r="T1048"/>
  <c r="S1048"/>
  <c r="R1048"/>
  <c r="Q1048"/>
  <c r="P1048"/>
  <c r="O1048"/>
  <c r="O1047"/>
  <c r="T1046"/>
  <c r="P1046"/>
  <c r="T1045"/>
  <c r="Q1045"/>
  <c r="U1044"/>
  <c r="S1043"/>
  <c r="V1042"/>
  <c r="U1041"/>
  <c r="T1041"/>
  <c r="S1041"/>
  <c r="R1041"/>
  <c r="P1041"/>
  <c r="T1040"/>
  <c r="S1040"/>
  <c r="R1040"/>
  <c r="Q1040"/>
  <c r="O1040"/>
  <c r="O1039"/>
  <c r="T1038"/>
  <c r="S1038"/>
  <c r="P1038"/>
  <c r="V1037"/>
  <c r="U1037"/>
  <c r="T1037"/>
  <c r="S1037"/>
  <c r="R1037"/>
  <c r="Q1037"/>
  <c r="P1037"/>
  <c r="O1037"/>
  <c r="P1036"/>
  <c r="V1035"/>
  <c r="U1035"/>
  <c r="T1035"/>
  <c r="S1035"/>
  <c r="R1035"/>
  <c r="Q1035"/>
  <c r="P1035"/>
  <c r="O1035"/>
  <c r="V1034"/>
  <c r="U1034"/>
  <c r="T1034"/>
  <c r="S1034"/>
  <c r="R1034"/>
  <c r="Q1034"/>
  <c r="P1034"/>
  <c r="O1034"/>
  <c r="U1033"/>
  <c r="O1033"/>
  <c r="V1032"/>
  <c r="U1032"/>
  <c r="T1032"/>
  <c r="S1032"/>
  <c r="R1032"/>
  <c r="Q1032"/>
  <c r="P1032"/>
  <c r="O1032"/>
  <c r="V1031"/>
  <c r="P1031"/>
  <c r="O1031"/>
  <c r="V1030"/>
  <c r="U1030"/>
  <c r="T1030"/>
  <c r="R1030"/>
  <c r="P1030"/>
  <c r="O1030"/>
  <c r="V1029"/>
  <c r="U1029"/>
  <c r="R1029"/>
  <c r="Q1029"/>
  <c r="S1028"/>
  <c r="R1028"/>
  <c r="R1027"/>
  <c r="V1026"/>
  <c r="R1025"/>
  <c r="R1024"/>
  <c r="T1023"/>
  <c r="V1022"/>
  <c r="U1022"/>
  <c r="T1022"/>
  <c r="S1022"/>
  <c r="R1022"/>
  <c r="Q1022"/>
  <c r="P1022"/>
  <c r="O1022"/>
  <c r="V1021"/>
  <c r="U1021"/>
  <c r="T1021"/>
  <c r="S1021"/>
  <c r="R1021"/>
  <c r="Q1021"/>
  <c r="P1021"/>
  <c r="V1020"/>
  <c r="U1020"/>
  <c r="T1020"/>
  <c r="S1020"/>
  <c r="R1020"/>
  <c r="Q1020"/>
  <c r="O1020"/>
  <c r="V1019"/>
  <c r="V1018"/>
  <c r="U1018"/>
  <c r="T1018"/>
  <c r="S1018"/>
  <c r="R1018"/>
  <c r="Q1018"/>
  <c r="P1018"/>
  <c r="O1018"/>
  <c r="V1017"/>
  <c r="U1017"/>
  <c r="R1017"/>
  <c r="O1017"/>
  <c r="U1016"/>
  <c r="T1016"/>
  <c r="S1016"/>
  <c r="R1016"/>
  <c r="V1015"/>
  <c r="S1014"/>
  <c r="R1014"/>
  <c r="Q1014"/>
  <c r="P1014"/>
  <c r="U1013"/>
  <c r="T1013"/>
  <c r="S1013"/>
  <c r="R1013"/>
  <c r="Q1013"/>
  <c r="P1013"/>
  <c r="O1013"/>
  <c r="R1012"/>
  <c r="Q1012"/>
  <c r="P1012"/>
  <c r="V1011"/>
  <c r="U1011"/>
  <c r="T1011"/>
  <c r="S1011"/>
  <c r="R1011"/>
  <c r="Q1011"/>
  <c r="P1011"/>
  <c r="O1011"/>
  <c r="P1010"/>
  <c r="V1009"/>
  <c r="U1009"/>
  <c r="Q1009"/>
  <c r="P1009"/>
  <c r="V1008"/>
  <c r="U1008"/>
  <c r="S1008"/>
  <c r="Q1008"/>
  <c r="O1008"/>
  <c r="V1007"/>
  <c r="U1007"/>
  <c r="S1007"/>
  <c r="R1007"/>
  <c r="Q1007"/>
  <c r="P1007"/>
  <c r="O1007"/>
  <c r="Q1006"/>
  <c r="P1006"/>
  <c r="U1005"/>
  <c r="V1004"/>
  <c r="Q1004"/>
  <c r="O1004"/>
  <c r="V1003"/>
  <c r="T1003"/>
  <c r="S1003"/>
  <c r="R1003"/>
  <c r="Q1003"/>
  <c r="P1003"/>
  <c r="O1003"/>
  <c r="T1002"/>
  <c r="S1002"/>
  <c r="R1002"/>
  <c r="Q1002"/>
  <c r="P1002"/>
  <c r="V1001"/>
  <c r="U1001"/>
  <c r="T1001"/>
  <c r="S1001"/>
  <c r="R1001"/>
  <c r="Q1001"/>
  <c r="P1001"/>
  <c r="O1001"/>
  <c r="T1000"/>
  <c r="S1000"/>
  <c r="R1000"/>
  <c r="Q1000"/>
  <c r="P1000"/>
  <c r="O1000"/>
  <c r="V999"/>
  <c r="U999"/>
  <c r="R999"/>
  <c r="V998"/>
  <c r="U998"/>
  <c r="T998"/>
  <c r="S998"/>
  <c r="R998"/>
  <c r="Q998"/>
  <c r="P998"/>
  <c r="O998"/>
  <c r="V997"/>
  <c r="U997"/>
  <c r="T997"/>
  <c r="S997"/>
  <c r="R997"/>
  <c r="Q997"/>
  <c r="P997"/>
  <c r="O997"/>
  <c r="U996"/>
  <c r="Q995"/>
  <c r="U994"/>
  <c r="Q994"/>
  <c r="O993"/>
  <c r="S992"/>
  <c r="P992"/>
  <c r="U991"/>
  <c r="O991"/>
  <c r="V990"/>
  <c r="U990"/>
  <c r="T990"/>
  <c r="R990"/>
  <c r="Q990"/>
  <c r="P990"/>
  <c r="O990"/>
  <c r="T989"/>
  <c r="O989"/>
  <c r="U988"/>
  <c r="R988"/>
  <c r="O988"/>
  <c r="R987"/>
  <c r="V986"/>
  <c r="U986"/>
  <c r="S986"/>
  <c r="Q986"/>
  <c r="P986"/>
  <c r="O986"/>
  <c r="V985"/>
  <c r="U985"/>
  <c r="T985"/>
  <c r="S985"/>
  <c r="R985"/>
  <c r="Q985"/>
  <c r="P985"/>
  <c r="O985"/>
  <c r="V984"/>
  <c r="U984"/>
  <c r="T984"/>
  <c r="S984"/>
  <c r="R984"/>
  <c r="Q984"/>
  <c r="P984"/>
  <c r="O984"/>
  <c r="V983"/>
  <c r="U983"/>
  <c r="S983"/>
  <c r="Q983"/>
  <c r="P983"/>
  <c r="O983"/>
  <c r="S982"/>
  <c r="R982"/>
  <c r="Q982"/>
  <c r="P982"/>
  <c r="O982"/>
  <c r="U981"/>
  <c r="T981"/>
  <c r="S981"/>
  <c r="R981"/>
  <c r="Q981"/>
  <c r="P981"/>
  <c r="O981"/>
  <c r="V980"/>
  <c r="Q980"/>
  <c r="S979"/>
  <c r="V978"/>
  <c r="U978"/>
  <c r="T978"/>
  <c r="S978"/>
  <c r="R978"/>
  <c r="Q978"/>
  <c r="P978"/>
  <c r="O978"/>
  <c r="T977"/>
  <c r="V976"/>
  <c r="U976"/>
  <c r="T976"/>
  <c r="R976"/>
  <c r="O976"/>
  <c r="S975"/>
  <c r="R975"/>
  <c r="O975"/>
  <c r="V974"/>
  <c r="P973"/>
  <c r="O973"/>
  <c r="U972"/>
  <c r="V971"/>
  <c r="U971"/>
  <c r="R971"/>
  <c r="O971"/>
  <c r="Q970"/>
  <c r="O970"/>
  <c r="U969"/>
  <c r="T969"/>
  <c r="S969"/>
  <c r="R969"/>
  <c r="Q969"/>
  <c r="O969"/>
  <c r="V968"/>
  <c r="U968"/>
  <c r="T968"/>
  <c r="S968"/>
  <c r="R968"/>
  <c r="Q968"/>
  <c r="P968"/>
  <c r="O968"/>
  <c r="V967"/>
  <c r="U967"/>
  <c r="T967"/>
  <c r="S967"/>
  <c r="R967"/>
  <c r="Q967"/>
  <c r="P967"/>
  <c r="O967"/>
  <c r="U966"/>
  <c r="S966"/>
  <c r="V965"/>
  <c r="U965"/>
  <c r="R965"/>
  <c r="U964"/>
  <c r="R964"/>
  <c r="T962"/>
  <c r="T961"/>
  <c r="R961"/>
  <c r="Q961"/>
  <c r="V959"/>
  <c r="S959"/>
  <c r="R959"/>
  <c r="Q959"/>
  <c r="P959"/>
  <c r="O959"/>
  <c r="Q958"/>
  <c r="V957"/>
  <c r="T957"/>
  <c r="Q956"/>
  <c r="V955"/>
  <c r="U955"/>
  <c r="T955"/>
  <c r="S955"/>
  <c r="R955"/>
  <c r="Q955"/>
  <c r="P955"/>
  <c r="O955"/>
  <c r="U954"/>
  <c r="V953"/>
  <c r="U953"/>
  <c r="T953"/>
  <c r="S953"/>
  <c r="R953"/>
  <c r="Q953"/>
  <c r="P953"/>
  <c r="O953"/>
  <c r="U952"/>
  <c r="S952"/>
  <c r="Q952"/>
  <c r="O952"/>
  <c r="P951"/>
  <c r="R950"/>
  <c r="V949"/>
  <c r="U949"/>
  <c r="T949"/>
  <c r="S949"/>
  <c r="R949"/>
  <c r="Q949"/>
  <c r="P949"/>
  <c r="O949"/>
  <c r="V948"/>
  <c r="U948"/>
  <c r="T948"/>
  <c r="S948"/>
  <c r="R948"/>
  <c r="Q948"/>
  <c r="P948"/>
  <c r="O948"/>
  <c r="V947"/>
  <c r="S947"/>
  <c r="Q947"/>
  <c r="P947"/>
  <c r="O947"/>
  <c r="O946"/>
  <c r="P945"/>
  <c r="O944"/>
  <c r="R943"/>
  <c r="V942"/>
  <c r="U942"/>
  <c r="T942"/>
  <c r="R942"/>
  <c r="Q942"/>
  <c r="P942"/>
  <c r="O942"/>
  <c r="U941"/>
  <c r="R941"/>
  <c r="V940"/>
  <c r="U940"/>
  <c r="T940"/>
  <c r="R940"/>
  <c r="P940"/>
  <c r="O940"/>
  <c r="V939"/>
  <c r="U939"/>
  <c r="T939"/>
  <c r="S939"/>
  <c r="R939"/>
  <c r="Q939"/>
  <c r="P939"/>
  <c r="O939"/>
  <c r="S938"/>
  <c r="U937"/>
  <c r="T937"/>
  <c r="S937"/>
  <c r="R937"/>
  <c r="Q937"/>
  <c r="O937"/>
  <c r="V936"/>
  <c r="V935"/>
  <c r="S935"/>
  <c r="S934"/>
  <c r="P934"/>
  <c r="T933"/>
  <c r="V932"/>
  <c r="U932"/>
  <c r="T932"/>
  <c r="S932"/>
  <c r="R932"/>
  <c r="Q932"/>
  <c r="P932"/>
  <c r="O932"/>
  <c r="R931"/>
  <c r="Q931"/>
  <c r="V930"/>
  <c r="U930"/>
  <c r="S930"/>
  <c r="R930"/>
  <c r="Q930"/>
  <c r="P930"/>
  <c r="O930"/>
  <c r="O929"/>
  <c r="Q928"/>
  <c r="O928"/>
  <c r="R927"/>
  <c r="V926"/>
  <c r="U926"/>
  <c r="O926"/>
  <c r="S925"/>
  <c r="R925"/>
  <c r="P925"/>
  <c r="S924"/>
  <c r="R924"/>
  <c r="O924"/>
  <c r="R923"/>
  <c r="V922"/>
  <c r="U922"/>
  <c r="O922"/>
  <c r="P921"/>
  <c r="V920"/>
  <c r="T920"/>
  <c r="S920"/>
  <c r="R920"/>
  <c r="Q920"/>
  <c r="P920"/>
  <c r="O920"/>
  <c r="R919"/>
  <c r="Q918"/>
  <c r="V917"/>
  <c r="U917"/>
  <c r="T917"/>
  <c r="S917"/>
  <c r="R917"/>
  <c r="Q917"/>
  <c r="P917"/>
  <c r="O917"/>
  <c r="V916"/>
  <c r="R915"/>
  <c r="T914"/>
  <c r="P913"/>
  <c r="P912"/>
  <c r="U911"/>
  <c r="V910"/>
  <c r="U910"/>
  <c r="S910"/>
  <c r="R910"/>
  <c r="R909"/>
  <c r="V908"/>
  <c r="T908"/>
  <c r="S908"/>
  <c r="R908"/>
  <c r="V907"/>
  <c r="R907"/>
  <c r="Q907"/>
  <c r="P907"/>
  <c r="V906"/>
  <c r="U906"/>
  <c r="T906"/>
  <c r="S906"/>
  <c r="R906"/>
  <c r="Q906"/>
  <c r="P906"/>
  <c r="O906"/>
  <c r="V905"/>
  <c r="U905"/>
  <c r="T905"/>
  <c r="S905"/>
  <c r="R905"/>
  <c r="Q905"/>
  <c r="P905"/>
  <c r="O905"/>
  <c r="S904"/>
  <c r="P903"/>
  <c r="O902"/>
  <c r="V901"/>
  <c r="S900"/>
  <c r="T899"/>
  <c r="P898"/>
  <c r="V897"/>
  <c r="U897"/>
  <c r="T897"/>
  <c r="Q897"/>
  <c r="T896"/>
  <c r="S896"/>
  <c r="Q896"/>
  <c r="P896"/>
  <c r="V895"/>
  <c r="T895"/>
  <c r="S895"/>
  <c r="R895"/>
  <c r="Q895"/>
  <c r="P895"/>
  <c r="V894"/>
  <c r="U894"/>
  <c r="T894"/>
  <c r="S894"/>
  <c r="R894"/>
  <c r="Q894"/>
  <c r="P894"/>
  <c r="O894"/>
  <c r="T893"/>
  <c r="Q893"/>
  <c r="P893"/>
  <c r="V892"/>
  <c r="T891"/>
  <c r="S891"/>
  <c r="R891"/>
  <c r="Q891"/>
  <c r="P891"/>
  <c r="O891"/>
  <c r="V890"/>
  <c r="U890"/>
  <c r="T890"/>
  <c r="S890"/>
  <c r="R890"/>
  <c r="Q890"/>
  <c r="P890"/>
  <c r="O890"/>
  <c r="V889"/>
  <c r="V888"/>
  <c r="U888"/>
  <c r="T888"/>
  <c r="Q888"/>
  <c r="P888"/>
  <c r="O888"/>
  <c r="V887"/>
  <c r="U887"/>
  <c r="T887"/>
  <c r="S887"/>
  <c r="R887"/>
  <c r="Q887"/>
  <c r="P887"/>
  <c r="O887"/>
  <c r="V886"/>
  <c r="U886"/>
  <c r="T886"/>
  <c r="S886"/>
  <c r="R886"/>
  <c r="Q886"/>
  <c r="P886"/>
  <c r="O886"/>
  <c r="V885"/>
  <c r="U885"/>
  <c r="T885"/>
  <c r="S885"/>
  <c r="R885"/>
  <c r="Q885"/>
  <c r="P885"/>
  <c r="O885"/>
  <c r="V884"/>
  <c r="U884"/>
  <c r="T884"/>
  <c r="P884"/>
  <c r="O884"/>
  <c r="T883"/>
  <c r="V882"/>
  <c r="O882"/>
  <c r="T881"/>
  <c r="V880"/>
  <c r="U880"/>
  <c r="T880"/>
  <c r="Q880"/>
  <c r="T879"/>
  <c r="S879"/>
  <c r="R879"/>
  <c r="Q879"/>
  <c r="P879"/>
  <c r="O879"/>
  <c r="P878"/>
  <c r="V877"/>
  <c r="U877"/>
  <c r="T877"/>
  <c r="S877"/>
  <c r="R877"/>
  <c r="P877"/>
  <c r="O877"/>
  <c r="V876"/>
  <c r="U876"/>
  <c r="T876"/>
  <c r="Q876"/>
  <c r="O876"/>
  <c r="V875"/>
  <c r="U875"/>
  <c r="T875"/>
  <c r="S875"/>
  <c r="R875"/>
  <c r="Q875"/>
  <c r="P875"/>
  <c r="O875"/>
  <c r="U874"/>
  <c r="V873"/>
  <c r="T873"/>
  <c r="R873"/>
  <c r="P873"/>
  <c r="O873"/>
  <c r="T872"/>
  <c r="R872"/>
  <c r="Q872"/>
  <c r="Q871"/>
  <c r="S870"/>
  <c r="R870"/>
  <c r="Q870"/>
  <c r="P870"/>
  <c r="V869"/>
  <c r="U869"/>
  <c r="T869"/>
  <c r="S869"/>
  <c r="R869"/>
  <c r="Q869"/>
  <c r="P869"/>
  <c r="V868"/>
  <c r="U867"/>
  <c r="P867"/>
  <c r="S866"/>
  <c r="R866"/>
  <c r="Q866"/>
  <c r="O866"/>
  <c r="T865"/>
  <c r="S865"/>
  <c r="R865"/>
  <c r="Q865"/>
  <c r="P865"/>
  <c r="V864"/>
  <c r="T863"/>
  <c r="P862"/>
  <c r="Q861"/>
  <c r="S860"/>
  <c r="R860"/>
  <c r="O860"/>
  <c r="U859"/>
  <c r="S859"/>
  <c r="Q859"/>
  <c r="P859"/>
  <c r="O859"/>
  <c r="U858"/>
  <c r="T858"/>
  <c r="R858"/>
  <c r="Q858"/>
  <c r="P858"/>
  <c r="O858"/>
  <c r="V857"/>
  <c r="U857"/>
  <c r="P857"/>
  <c r="U856"/>
  <c r="S856"/>
  <c r="R856"/>
  <c r="P856"/>
  <c r="R855"/>
  <c r="U854"/>
  <c r="V853"/>
  <c r="U853"/>
  <c r="V852"/>
  <c r="U852"/>
  <c r="T852"/>
  <c r="S852"/>
  <c r="R852"/>
  <c r="Q852"/>
  <c r="P852"/>
  <c r="O852"/>
  <c r="V851"/>
  <c r="P851"/>
  <c r="P850"/>
  <c r="O850"/>
  <c r="R849"/>
  <c r="V848"/>
  <c r="U848"/>
  <c r="T848"/>
  <c r="S848"/>
  <c r="R848"/>
  <c r="P848"/>
  <c r="O848"/>
  <c r="V847"/>
  <c r="U846"/>
  <c r="T846"/>
  <c r="S846"/>
  <c r="R846"/>
  <c r="Q846"/>
  <c r="P846"/>
  <c r="O846"/>
  <c r="R845"/>
  <c r="V844"/>
  <c r="U844"/>
  <c r="T844"/>
  <c r="S844"/>
  <c r="R844"/>
  <c r="Q844"/>
  <c r="P844"/>
  <c r="O844"/>
  <c r="V843"/>
  <c r="U843"/>
  <c r="T843"/>
  <c r="S843"/>
  <c r="R843"/>
  <c r="Q843"/>
  <c r="P843"/>
  <c r="O843"/>
  <c r="V842"/>
  <c r="U842"/>
  <c r="T842"/>
  <c r="S842"/>
  <c r="R842"/>
  <c r="O842"/>
  <c r="R841"/>
  <c r="S840"/>
  <c r="R840"/>
  <c r="R839"/>
  <c r="Q839"/>
  <c r="V838"/>
  <c r="R838"/>
  <c r="P838"/>
  <c r="O838"/>
  <c r="T837"/>
  <c r="Q837"/>
  <c r="P837"/>
  <c r="V836"/>
  <c r="U836"/>
  <c r="T836"/>
  <c r="S836"/>
  <c r="R836"/>
  <c r="Q836"/>
  <c r="P836"/>
  <c r="O836"/>
  <c r="V835"/>
  <c r="U835"/>
  <c r="P835"/>
  <c r="O835"/>
  <c r="Q834"/>
  <c r="P834"/>
  <c r="U833"/>
  <c r="P833"/>
  <c r="V832"/>
  <c r="U832"/>
  <c r="T832"/>
  <c r="S832"/>
  <c r="R832"/>
  <c r="Q832"/>
  <c r="P832"/>
  <c r="O832"/>
  <c r="R831"/>
  <c r="S830"/>
  <c r="R830"/>
  <c r="Q830"/>
  <c r="O830"/>
  <c r="V829"/>
  <c r="T829"/>
  <c r="Q829"/>
  <c r="P829"/>
  <c r="O829"/>
  <c r="S828"/>
  <c r="S827"/>
  <c r="R826"/>
  <c r="R825"/>
  <c r="Q825"/>
  <c r="P823"/>
  <c r="O823"/>
  <c r="V822"/>
  <c r="T822"/>
  <c r="S822"/>
  <c r="O822"/>
  <c r="V821"/>
  <c r="U821"/>
  <c r="V820"/>
  <c r="U820"/>
  <c r="T820"/>
  <c r="R820"/>
  <c r="Q820"/>
  <c r="O819"/>
  <c r="P818"/>
  <c r="V817"/>
  <c r="T817"/>
  <c r="R817"/>
  <c r="V816"/>
  <c r="U816"/>
  <c r="T816"/>
  <c r="S816"/>
  <c r="R816"/>
  <c r="Q816"/>
  <c r="P816"/>
  <c r="O816"/>
  <c r="V815"/>
  <c r="U815"/>
  <c r="T815"/>
  <c r="S815"/>
  <c r="R815"/>
  <c r="Q815"/>
  <c r="O815"/>
  <c r="R814"/>
  <c r="V813"/>
  <c r="U813"/>
  <c r="T813"/>
  <c r="S813"/>
  <c r="R813"/>
  <c r="Q813"/>
  <c r="U812"/>
  <c r="S812"/>
  <c r="R812"/>
  <c r="Q812"/>
  <c r="P812"/>
  <c r="O812"/>
  <c r="V811"/>
  <c r="U811"/>
  <c r="S811"/>
  <c r="R811"/>
  <c r="Q811"/>
  <c r="P811"/>
  <c r="O811"/>
  <c r="V810"/>
  <c r="T810"/>
  <c r="R810"/>
  <c r="Q810"/>
  <c r="P810"/>
  <c r="O810"/>
  <c r="U809"/>
  <c r="T809"/>
  <c r="S809"/>
  <c r="O809"/>
  <c r="V808"/>
  <c r="U808"/>
  <c r="S808"/>
  <c r="R808"/>
  <c r="P808"/>
  <c r="O808"/>
  <c r="U807"/>
  <c r="V806"/>
  <c r="P805"/>
  <c r="V804"/>
  <c r="U804"/>
  <c r="T804"/>
  <c r="S804"/>
  <c r="R804"/>
  <c r="Q804"/>
  <c r="P804"/>
  <c r="V803"/>
  <c r="U803"/>
  <c r="T803"/>
  <c r="S803"/>
  <c r="R803"/>
  <c r="Q803"/>
  <c r="P803"/>
  <c r="O803"/>
  <c r="V802"/>
  <c r="U802"/>
  <c r="T802"/>
  <c r="S802"/>
  <c r="R802"/>
  <c r="Q802"/>
  <c r="P802"/>
  <c r="O802"/>
  <c r="U801"/>
  <c r="T801"/>
  <c r="S801"/>
  <c r="R801"/>
  <c r="Q801"/>
  <c r="P801"/>
  <c r="O801"/>
  <c r="U800"/>
  <c r="R800"/>
  <c r="Q800"/>
  <c r="V799"/>
  <c r="U799"/>
  <c r="T799"/>
  <c r="S799"/>
  <c r="R799"/>
  <c r="Q799"/>
  <c r="P799"/>
  <c r="O799"/>
  <c r="V798"/>
  <c r="U798"/>
  <c r="T798"/>
  <c r="S798"/>
  <c r="R798"/>
  <c r="Q798"/>
  <c r="T797"/>
  <c r="S797"/>
  <c r="Q797"/>
  <c r="R796"/>
  <c r="Q796"/>
  <c r="O796"/>
  <c r="V795"/>
  <c r="U795"/>
  <c r="T795"/>
  <c r="R795"/>
  <c r="Q795"/>
  <c r="O795"/>
  <c r="V794"/>
  <c r="U794"/>
  <c r="T794"/>
  <c r="S794"/>
  <c r="R794"/>
  <c r="Q794"/>
  <c r="P794"/>
  <c r="T793"/>
  <c r="R792"/>
  <c r="Q792"/>
  <c r="V791"/>
  <c r="U791"/>
  <c r="T791"/>
  <c r="S791"/>
  <c r="R791"/>
  <c r="Q791"/>
  <c r="P791"/>
  <c r="O791"/>
  <c r="V790"/>
  <c r="U790"/>
  <c r="T790"/>
  <c r="S790"/>
  <c r="R790"/>
  <c r="Q790"/>
  <c r="P790"/>
  <c r="O790"/>
  <c r="Q789"/>
  <c r="T788"/>
  <c r="R788"/>
  <c r="Q788"/>
  <c r="P788"/>
  <c r="V787"/>
  <c r="U787"/>
  <c r="T787"/>
  <c r="S787"/>
  <c r="R787"/>
  <c r="Q787"/>
  <c r="P787"/>
  <c r="O787"/>
  <c r="P786"/>
  <c r="O786"/>
  <c r="R785"/>
  <c r="Q785"/>
  <c r="P785"/>
  <c r="O785"/>
  <c r="V784"/>
  <c r="S784"/>
  <c r="R784"/>
  <c r="Q784"/>
  <c r="P784"/>
  <c r="U783"/>
  <c r="S783"/>
  <c r="R783"/>
  <c r="Q783"/>
  <c r="P783"/>
  <c r="O783"/>
  <c r="V782"/>
  <c r="U782"/>
  <c r="S782"/>
  <c r="Q782"/>
  <c r="P782"/>
  <c r="O782"/>
  <c r="T781"/>
  <c r="S780"/>
  <c r="R779"/>
  <c r="Q779"/>
  <c r="S778"/>
  <c r="U777"/>
  <c r="V776"/>
  <c r="U776"/>
  <c r="T776"/>
  <c r="S776"/>
  <c r="R776"/>
  <c r="Q776"/>
  <c r="O776"/>
  <c r="T775"/>
  <c r="Q774"/>
  <c r="V773"/>
  <c r="U773"/>
  <c r="T773"/>
  <c r="S773"/>
  <c r="R773"/>
  <c r="Q773"/>
  <c r="P773"/>
  <c r="O773"/>
  <c r="Q772"/>
  <c r="P772"/>
  <c r="U771"/>
  <c r="T771"/>
  <c r="S771"/>
  <c r="R771"/>
  <c r="Q771"/>
  <c r="O771"/>
  <c r="V770"/>
  <c r="U770"/>
  <c r="T770"/>
  <c r="S770"/>
  <c r="R770"/>
  <c r="Q770"/>
  <c r="P770"/>
  <c r="O770"/>
  <c r="V769"/>
  <c r="U769"/>
  <c r="T769"/>
  <c r="S769"/>
  <c r="R769"/>
  <c r="Q769"/>
  <c r="P769"/>
  <c r="O769"/>
  <c r="V768"/>
  <c r="U768"/>
  <c r="S768"/>
  <c r="R768"/>
  <c r="P768"/>
  <c r="O768"/>
  <c r="V767"/>
  <c r="U767"/>
  <c r="T767"/>
  <c r="S767"/>
  <c r="R767"/>
  <c r="Q767"/>
  <c r="O767"/>
  <c r="O766"/>
  <c r="V765"/>
  <c r="U765"/>
  <c r="T765"/>
  <c r="S765"/>
  <c r="R765"/>
  <c r="Q765"/>
  <c r="P765"/>
  <c r="V764"/>
  <c r="U764"/>
  <c r="T764"/>
  <c r="R764"/>
  <c r="O764"/>
  <c r="V763"/>
  <c r="S761"/>
  <c r="P761"/>
  <c r="U759"/>
  <c r="R757"/>
  <c r="R755"/>
  <c r="Q755"/>
  <c r="V754"/>
  <c r="U754"/>
  <c r="T754"/>
  <c r="R754"/>
  <c r="Q754"/>
  <c r="P754"/>
  <c r="O754"/>
  <c r="O753"/>
  <c r="R752"/>
  <c r="O751"/>
  <c r="V750"/>
  <c r="R749"/>
  <c r="Q749"/>
  <c r="V748"/>
  <c r="Q747"/>
  <c r="U745"/>
  <c r="Q743"/>
  <c r="Q742"/>
  <c r="V741"/>
  <c r="U741"/>
  <c r="T741"/>
  <c r="S741"/>
  <c r="R741"/>
  <c r="Q741"/>
  <c r="P741"/>
  <c r="O741"/>
  <c r="V740"/>
  <c r="U740"/>
  <c r="T740"/>
  <c r="S740"/>
  <c r="R740"/>
  <c r="Q740"/>
  <c r="P740"/>
  <c r="O740"/>
  <c r="R739"/>
  <c r="V738"/>
  <c r="U738"/>
  <c r="T738"/>
  <c r="S738"/>
  <c r="R738"/>
  <c r="Q738"/>
  <c r="P738"/>
  <c r="O738"/>
  <c r="U737"/>
  <c r="T737"/>
  <c r="R737"/>
  <c r="Q737"/>
  <c r="P737"/>
  <c r="O737"/>
  <c r="V736"/>
  <c r="U736"/>
  <c r="T736"/>
  <c r="S736"/>
  <c r="R736"/>
  <c r="Q736"/>
  <c r="P736"/>
  <c r="O736"/>
  <c r="U735"/>
  <c r="V734"/>
  <c r="T734"/>
  <c r="R734"/>
  <c r="P734"/>
  <c r="O734"/>
  <c r="V733"/>
  <c r="U733"/>
  <c r="T733"/>
  <c r="R733"/>
  <c r="O733"/>
  <c r="U732"/>
  <c r="O732"/>
  <c r="V731"/>
  <c r="T731"/>
  <c r="S731"/>
  <c r="R731"/>
  <c r="Q731"/>
  <c r="P731"/>
  <c r="O731"/>
  <c r="V730"/>
  <c r="U730"/>
  <c r="T730"/>
  <c r="S730"/>
  <c r="R730"/>
  <c r="Q730"/>
  <c r="P730"/>
  <c r="O730"/>
  <c r="P729"/>
  <c r="V728"/>
  <c r="U728"/>
  <c r="Q728"/>
  <c r="P728"/>
  <c r="R727"/>
  <c r="O727"/>
  <c r="U726"/>
  <c r="T726"/>
  <c r="S726"/>
  <c r="R726"/>
  <c r="Q726"/>
  <c r="P726"/>
  <c r="O726"/>
  <c r="V725"/>
  <c r="V724"/>
  <c r="U724"/>
  <c r="T724"/>
  <c r="R724"/>
  <c r="Q724"/>
  <c r="P724"/>
  <c r="O724"/>
  <c r="Q723"/>
  <c r="V721"/>
  <c r="V720"/>
  <c r="U720"/>
  <c r="T720"/>
  <c r="R720"/>
  <c r="P720"/>
  <c r="O720"/>
  <c r="Q719"/>
  <c r="V718"/>
  <c r="U718"/>
  <c r="T718"/>
  <c r="Q718"/>
  <c r="P718"/>
  <c r="O718"/>
  <c r="U717"/>
  <c r="R716"/>
  <c r="Q716"/>
  <c r="P716"/>
  <c r="V715"/>
  <c r="U715"/>
  <c r="T715"/>
  <c r="S715"/>
  <c r="R715"/>
  <c r="Q715"/>
  <c r="P715"/>
  <c r="O715"/>
  <c r="P714"/>
  <c r="V713"/>
  <c r="O713"/>
  <c r="V711"/>
  <c r="O710"/>
  <c r="Q709"/>
  <c r="V708"/>
  <c r="U708"/>
  <c r="R708"/>
  <c r="V707"/>
  <c r="S707"/>
  <c r="R707"/>
  <c r="Q707"/>
  <c r="O707"/>
  <c r="R706"/>
  <c r="Q706"/>
  <c r="P706"/>
  <c r="O706"/>
  <c r="V705"/>
  <c r="U705"/>
  <c r="T705"/>
  <c r="T704"/>
  <c r="S704"/>
  <c r="S703"/>
  <c r="Q703"/>
  <c r="U702"/>
  <c r="T702"/>
  <c r="R702"/>
  <c r="V701"/>
  <c r="U701"/>
  <c r="S701"/>
  <c r="R701"/>
  <c r="Q701"/>
  <c r="P701"/>
  <c r="T700"/>
  <c r="S700"/>
  <c r="Q700"/>
  <c r="P700"/>
  <c r="U699"/>
  <c r="U698"/>
  <c r="U697"/>
  <c r="U696"/>
  <c r="V695"/>
  <c r="R695"/>
  <c r="O694"/>
  <c r="V693"/>
  <c r="U693"/>
  <c r="O693"/>
  <c r="V692"/>
  <c r="U692"/>
  <c r="R691"/>
  <c r="Q691"/>
  <c r="P691"/>
  <c r="V690"/>
  <c r="U690"/>
  <c r="P690"/>
  <c r="V689"/>
  <c r="U689"/>
  <c r="T689"/>
  <c r="S689"/>
  <c r="R689"/>
  <c r="Q689"/>
  <c r="O689"/>
  <c r="Q688"/>
  <c r="U687"/>
  <c r="S687"/>
  <c r="R687"/>
  <c r="P687"/>
  <c r="O687"/>
  <c r="V686"/>
  <c r="U686"/>
  <c r="T686"/>
  <c r="S686"/>
  <c r="R686"/>
  <c r="Q686"/>
  <c r="P686"/>
  <c r="O686"/>
  <c r="S685"/>
  <c r="R685"/>
  <c r="P685"/>
  <c r="O685"/>
  <c r="U684"/>
  <c r="V683"/>
  <c r="U683"/>
  <c r="P683"/>
  <c r="O683"/>
  <c r="V682"/>
  <c r="T682"/>
  <c r="S682"/>
  <c r="V681"/>
  <c r="U681"/>
  <c r="T681"/>
  <c r="R681"/>
  <c r="Q681"/>
  <c r="O681"/>
  <c r="U680"/>
  <c r="S679"/>
  <c r="U678"/>
  <c r="U677"/>
  <c r="S677"/>
  <c r="O677"/>
  <c r="T676"/>
  <c r="S676"/>
  <c r="R676"/>
  <c r="Q676"/>
  <c r="P676"/>
  <c r="O676"/>
  <c r="V675"/>
  <c r="U675"/>
  <c r="T675"/>
  <c r="S675"/>
  <c r="R675"/>
  <c r="Q675"/>
  <c r="P675"/>
  <c r="O675"/>
  <c r="O674"/>
  <c r="V673"/>
  <c r="S673"/>
  <c r="P673"/>
  <c r="T672"/>
  <c r="S672"/>
  <c r="R672"/>
  <c r="Q672"/>
  <c r="P672"/>
  <c r="O672"/>
  <c r="V671"/>
  <c r="R671"/>
  <c r="U670"/>
  <c r="Q670"/>
  <c r="P670"/>
  <c r="V669"/>
  <c r="T669"/>
  <c r="S669"/>
  <c r="R669"/>
  <c r="Q669"/>
  <c r="O669"/>
  <c r="V668"/>
  <c r="U668"/>
  <c r="T668"/>
  <c r="S668"/>
  <c r="R668"/>
  <c r="Q668"/>
  <c r="P668"/>
  <c r="O668"/>
  <c r="Q667"/>
  <c r="V666"/>
  <c r="O666"/>
  <c r="V665"/>
  <c r="U665"/>
  <c r="T665"/>
  <c r="S665"/>
  <c r="Q665"/>
  <c r="P665"/>
  <c r="O665"/>
  <c r="V664"/>
  <c r="U664"/>
  <c r="V663"/>
  <c r="U663"/>
  <c r="T663"/>
  <c r="S663"/>
  <c r="R663"/>
  <c r="Q663"/>
  <c r="P663"/>
  <c r="O663"/>
  <c r="S662"/>
  <c r="R662"/>
  <c r="P662"/>
  <c r="V661"/>
  <c r="U661"/>
  <c r="T661"/>
  <c r="S661"/>
  <c r="R661"/>
  <c r="Q661"/>
  <c r="P661"/>
  <c r="O661"/>
  <c r="Q660"/>
  <c r="R659"/>
  <c r="Q659"/>
  <c r="P659"/>
  <c r="T658"/>
  <c r="S658"/>
  <c r="R658"/>
  <c r="Q658"/>
  <c r="V657"/>
  <c r="U657"/>
  <c r="T657"/>
  <c r="S657"/>
  <c r="R657"/>
  <c r="P657"/>
  <c r="O657"/>
  <c r="V656"/>
  <c r="U656"/>
  <c r="T656"/>
  <c r="S656"/>
  <c r="R656"/>
  <c r="Q656"/>
  <c r="P656"/>
  <c r="O656"/>
  <c r="O655"/>
  <c r="U654"/>
  <c r="T654"/>
  <c r="R654"/>
  <c r="Q654"/>
  <c r="P654"/>
  <c r="O654"/>
  <c r="R653"/>
  <c r="V652"/>
  <c r="U652"/>
  <c r="T652"/>
  <c r="S652"/>
  <c r="R652"/>
  <c r="Q652"/>
  <c r="P652"/>
  <c r="O652"/>
  <c r="V651"/>
  <c r="U651"/>
  <c r="S651"/>
  <c r="R651"/>
  <c r="Q651"/>
  <c r="P651"/>
  <c r="O651"/>
  <c r="V650"/>
  <c r="U650"/>
  <c r="V649"/>
  <c r="U649"/>
  <c r="T649"/>
  <c r="S649"/>
  <c r="R649"/>
  <c r="Q649"/>
  <c r="P649"/>
  <c r="O649"/>
  <c r="R648"/>
  <c r="U647"/>
  <c r="T647"/>
  <c r="S647"/>
  <c r="R647"/>
  <c r="Q647"/>
  <c r="P647"/>
  <c r="O647"/>
  <c r="S646"/>
  <c r="U645"/>
  <c r="S645"/>
  <c r="R645"/>
  <c r="Q645"/>
  <c r="P645"/>
  <c r="O645"/>
  <c r="V644"/>
  <c r="U644"/>
  <c r="T644"/>
  <c r="S644"/>
  <c r="R644"/>
  <c r="Q644"/>
  <c r="P644"/>
  <c r="O644"/>
  <c r="V643"/>
  <c r="U643"/>
  <c r="T643"/>
  <c r="S643"/>
  <c r="R643"/>
  <c r="Q643"/>
  <c r="P643"/>
  <c r="O643"/>
  <c r="O642"/>
  <c r="V641"/>
  <c r="U641"/>
  <c r="T641"/>
  <c r="S641"/>
  <c r="R641"/>
  <c r="Q641"/>
  <c r="P641"/>
  <c r="O641"/>
  <c r="R640"/>
  <c r="Q640"/>
  <c r="P640"/>
  <c r="O640"/>
  <c r="V639"/>
  <c r="U639"/>
  <c r="T639"/>
  <c r="S639"/>
  <c r="R639"/>
  <c r="Q639"/>
  <c r="P639"/>
  <c r="O639"/>
  <c r="Q638"/>
  <c r="O638"/>
  <c r="V637"/>
  <c r="U637"/>
  <c r="T637"/>
  <c r="S637"/>
  <c r="R637"/>
  <c r="Q637"/>
  <c r="P637"/>
  <c r="O637"/>
  <c r="P636"/>
  <c r="U635"/>
  <c r="O635"/>
  <c r="R634"/>
  <c r="U633"/>
  <c r="R632"/>
  <c r="V631"/>
  <c r="U631"/>
  <c r="S631"/>
  <c r="R631"/>
  <c r="Q631"/>
  <c r="P631"/>
  <c r="O631"/>
  <c r="S630"/>
  <c r="R630"/>
  <c r="Q630"/>
  <c r="V629"/>
  <c r="U629"/>
  <c r="T629"/>
  <c r="S629"/>
  <c r="R629"/>
  <c r="Q629"/>
  <c r="P629"/>
  <c r="O629"/>
  <c r="P628"/>
  <c r="V627"/>
  <c r="U627"/>
  <c r="T627"/>
  <c r="S626"/>
  <c r="V625"/>
  <c r="U625"/>
  <c r="P624"/>
  <c r="O624"/>
  <c r="T623"/>
  <c r="U622"/>
  <c r="S622"/>
  <c r="R622"/>
  <c r="O622"/>
  <c r="S621"/>
  <c r="R621"/>
  <c r="P621"/>
  <c r="O621"/>
  <c r="V620"/>
  <c r="U620"/>
  <c r="U619"/>
  <c r="P619"/>
  <c r="V618"/>
  <c r="U618"/>
  <c r="T618"/>
  <c r="S618"/>
  <c r="R618"/>
  <c r="P618"/>
  <c r="O618"/>
  <c r="P617"/>
  <c r="V616"/>
  <c r="U616"/>
  <c r="T616"/>
  <c r="S616"/>
  <c r="R616"/>
  <c r="Q616"/>
  <c r="P616"/>
  <c r="V615"/>
  <c r="U615"/>
  <c r="V614"/>
  <c r="U614"/>
  <c r="T614"/>
  <c r="S614"/>
  <c r="R614"/>
  <c r="Q614"/>
  <c r="P614"/>
  <c r="O614"/>
  <c r="P613"/>
  <c r="V612"/>
  <c r="U612"/>
  <c r="S612"/>
  <c r="Q612"/>
  <c r="P611"/>
  <c r="U610"/>
  <c r="R609"/>
  <c r="Q609"/>
  <c r="T608"/>
  <c r="R608"/>
  <c r="V607"/>
  <c r="U607"/>
  <c r="T607"/>
  <c r="S607"/>
  <c r="R607"/>
  <c r="Q607"/>
  <c r="P607"/>
  <c r="O607"/>
  <c r="P606"/>
  <c r="V605"/>
  <c r="T605"/>
  <c r="R605"/>
  <c r="P605"/>
  <c r="O605"/>
  <c r="P604"/>
  <c r="S603"/>
  <c r="V602"/>
  <c r="U602"/>
  <c r="T602"/>
  <c r="S602"/>
  <c r="R602"/>
  <c r="Q602"/>
  <c r="P602"/>
  <c r="O602"/>
  <c r="V601"/>
  <c r="U601"/>
  <c r="T601"/>
  <c r="S601"/>
  <c r="R601"/>
  <c r="Q601"/>
  <c r="P601"/>
  <c r="O601"/>
  <c r="V600"/>
  <c r="T600"/>
  <c r="S600"/>
  <c r="Q600"/>
  <c r="V599"/>
  <c r="U599"/>
  <c r="T599"/>
  <c r="S599"/>
  <c r="R599"/>
  <c r="Q599"/>
  <c r="O599"/>
  <c r="V598"/>
  <c r="Q598"/>
  <c r="V597"/>
  <c r="U597"/>
  <c r="T597"/>
  <c r="S597"/>
  <c r="R597"/>
  <c r="Q597"/>
  <c r="P597"/>
  <c r="O596"/>
  <c r="T595"/>
  <c r="S595"/>
  <c r="R595"/>
  <c r="Q595"/>
  <c r="P595"/>
  <c r="O595"/>
  <c r="V594"/>
  <c r="U594"/>
  <c r="R594"/>
  <c r="Q594"/>
  <c r="P594"/>
  <c r="O594"/>
  <c r="R593"/>
  <c r="P593"/>
  <c r="V591"/>
  <c r="U591"/>
  <c r="T591"/>
  <c r="S591"/>
  <c r="R591"/>
  <c r="Q591"/>
  <c r="P591"/>
  <c r="O591"/>
  <c r="U590"/>
  <c r="Q589"/>
  <c r="P587"/>
  <c r="V585"/>
  <c r="O585"/>
  <c r="V583"/>
  <c r="V582"/>
  <c r="U582"/>
  <c r="U581"/>
  <c r="U580"/>
  <c r="T580"/>
  <c r="R580"/>
  <c r="P580"/>
  <c r="O580"/>
  <c r="V579"/>
  <c r="U579"/>
  <c r="T579"/>
  <c r="S579"/>
  <c r="R579"/>
  <c r="Q579"/>
  <c r="P579"/>
  <c r="O579"/>
  <c r="T578"/>
  <c r="Q578"/>
  <c r="U576"/>
  <c r="V575"/>
  <c r="T574"/>
  <c r="S573"/>
  <c r="Q573"/>
  <c r="U572"/>
  <c r="R572"/>
  <c r="Q572"/>
  <c r="V571"/>
  <c r="S571"/>
  <c r="R571"/>
  <c r="O571"/>
  <c r="V570"/>
  <c r="U570"/>
  <c r="T570"/>
  <c r="S570"/>
  <c r="R570"/>
  <c r="P570"/>
  <c r="O570"/>
  <c r="R569"/>
  <c r="Q568"/>
  <c r="R567"/>
  <c r="P567"/>
  <c r="R566"/>
  <c r="V565"/>
  <c r="S565"/>
  <c r="R565"/>
  <c r="P565"/>
  <c r="V564"/>
  <c r="U564"/>
  <c r="Q564"/>
  <c r="O564"/>
  <c r="U563"/>
  <c r="O563"/>
  <c r="V562"/>
  <c r="P562"/>
  <c r="V561"/>
  <c r="T560"/>
  <c r="P560"/>
  <c r="T559"/>
  <c r="V558"/>
  <c r="U558"/>
  <c r="T558"/>
  <c r="S558"/>
  <c r="R558"/>
  <c r="Q558"/>
  <c r="O558"/>
  <c r="V557"/>
  <c r="U557"/>
  <c r="V556"/>
  <c r="U556"/>
  <c r="T556"/>
  <c r="S556"/>
  <c r="R556"/>
  <c r="Q556"/>
  <c r="P556"/>
  <c r="O556"/>
  <c r="S555"/>
  <c r="R555"/>
  <c r="Q555"/>
  <c r="P555"/>
  <c r="O554"/>
  <c r="U553"/>
  <c r="R553"/>
  <c r="V552"/>
  <c r="U552"/>
  <c r="O552"/>
  <c r="O551"/>
  <c r="P550"/>
  <c r="V549"/>
  <c r="U549"/>
  <c r="T549"/>
  <c r="S549"/>
  <c r="R549"/>
  <c r="Q549"/>
  <c r="P549"/>
  <c r="O549"/>
  <c r="O548"/>
  <c r="V547"/>
  <c r="U547"/>
  <c r="T547"/>
  <c r="S547"/>
  <c r="R547"/>
  <c r="Q547"/>
  <c r="P547"/>
  <c r="O547"/>
  <c r="U546"/>
  <c r="R546"/>
  <c r="P546"/>
  <c r="O546"/>
  <c r="V545"/>
  <c r="U545"/>
  <c r="T545"/>
  <c r="S545"/>
  <c r="R545"/>
  <c r="Q545"/>
  <c r="P545"/>
  <c r="S544"/>
  <c r="P544"/>
  <c r="O544"/>
  <c r="V543"/>
  <c r="U543"/>
  <c r="T543"/>
  <c r="S543"/>
  <c r="R543"/>
  <c r="Q543"/>
  <c r="P543"/>
  <c r="O543"/>
  <c r="U542"/>
  <c r="R541"/>
  <c r="Q541"/>
  <c r="T540"/>
  <c r="R540"/>
  <c r="Q540"/>
  <c r="P540"/>
  <c r="O540"/>
  <c r="R539"/>
  <c r="Q538"/>
  <c r="U537"/>
  <c r="S537"/>
  <c r="Q537"/>
  <c r="P537"/>
  <c r="S536"/>
  <c r="S535"/>
  <c r="Q535"/>
  <c r="P535"/>
  <c r="O535"/>
  <c r="U534"/>
  <c r="V533"/>
  <c r="U533"/>
  <c r="T533"/>
  <c r="S533"/>
  <c r="R533"/>
  <c r="Q533"/>
  <c r="P533"/>
  <c r="O533"/>
  <c r="V532"/>
  <c r="U532"/>
  <c r="T532"/>
  <c r="S532"/>
  <c r="R532"/>
  <c r="Q532"/>
  <c r="P532"/>
  <c r="O532"/>
  <c r="T531"/>
  <c r="Q531"/>
  <c r="T530"/>
  <c r="Q530"/>
  <c r="P530"/>
  <c r="O530"/>
  <c r="V529"/>
  <c r="U529"/>
  <c r="S529"/>
  <c r="O529"/>
  <c r="V528"/>
  <c r="O527"/>
  <c r="V526"/>
  <c r="U526"/>
  <c r="T526"/>
  <c r="S526"/>
  <c r="R526"/>
  <c r="Q526"/>
  <c r="P526"/>
  <c r="O526"/>
  <c r="O525"/>
  <c r="U524"/>
  <c r="T524"/>
  <c r="S524"/>
  <c r="Q524"/>
  <c r="P524"/>
  <c r="O524"/>
  <c r="V523"/>
  <c r="T523"/>
  <c r="S523"/>
  <c r="R523"/>
  <c r="P523"/>
  <c r="O523"/>
  <c r="V522"/>
  <c r="U522"/>
  <c r="T522"/>
  <c r="S522"/>
  <c r="R522"/>
  <c r="Q522"/>
  <c r="P522"/>
  <c r="O522"/>
  <c r="T521"/>
  <c r="S521"/>
  <c r="P521"/>
  <c r="O521"/>
  <c r="T520"/>
  <c r="S519"/>
  <c r="R519"/>
  <c r="P519"/>
  <c r="Q518"/>
  <c r="V517"/>
  <c r="T517"/>
  <c r="S517"/>
  <c r="Q517"/>
  <c r="V516"/>
  <c r="U516"/>
  <c r="T516"/>
  <c r="S516"/>
  <c r="R516"/>
  <c r="Q516"/>
  <c r="P516"/>
  <c r="O516"/>
  <c r="V515"/>
  <c r="U515"/>
  <c r="P515"/>
  <c r="U514"/>
  <c r="S514"/>
  <c r="R514"/>
  <c r="Q514"/>
  <c r="P514"/>
  <c r="O514"/>
  <c r="O513"/>
  <c r="T512"/>
  <c r="S512"/>
  <c r="R512"/>
  <c r="Q512"/>
  <c r="P512"/>
  <c r="O512"/>
  <c r="P511"/>
  <c r="V510"/>
  <c r="U510"/>
  <c r="S510"/>
  <c r="R510"/>
  <c r="O510"/>
  <c r="V509"/>
  <c r="T509"/>
  <c r="S509"/>
  <c r="R509"/>
  <c r="Q509"/>
  <c r="O509"/>
  <c r="U508"/>
  <c r="U507"/>
  <c r="R507"/>
  <c r="O507"/>
  <c r="S506"/>
  <c r="T505"/>
  <c r="S505"/>
  <c r="R505"/>
  <c r="Q505"/>
  <c r="P505"/>
  <c r="U504"/>
  <c r="S504"/>
  <c r="R504"/>
  <c r="P504"/>
  <c r="V503"/>
  <c r="T503"/>
  <c r="R503"/>
  <c r="Q503"/>
  <c r="P503"/>
  <c r="O503"/>
  <c r="T502"/>
  <c r="U501"/>
  <c r="T501"/>
  <c r="T500"/>
  <c r="S500"/>
  <c r="R500"/>
  <c r="U499"/>
  <c r="O498"/>
  <c r="T497"/>
  <c r="R497"/>
  <c r="P497"/>
  <c r="T496"/>
  <c r="S496"/>
  <c r="Q496"/>
  <c r="O496"/>
  <c r="V495"/>
  <c r="U495"/>
  <c r="T495"/>
  <c r="S495"/>
  <c r="R495"/>
  <c r="Q495"/>
  <c r="P495"/>
  <c r="O495"/>
  <c r="O494"/>
  <c r="V493"/>
  <c r="T493"/>
  <c r="S493"/>
  <c r="R493"/>
  <c r="Q493"/>
  <c r="P493"/>
  <c r="O493"/>
  <c r="V492"/>
  <c r="U492"/>
  <c r="T492"/>
  <c r="S492"/>
  <c r="R492"/>
  <c r="Q492"/>
  <c r="P492"/>
  <c r="O492"/>
  <c r="U491"/>
  <c r="R491"/>
  <c r="U490"/>
  <c r="S490"/>
  <c r="R490"/>
  <c r="Q490"/>
  <c r="O490"/>
  <c r="T488"/>
  <c r="U487"/>
  <c r="R487"/>
  <c r="T486"/>
  <c r="R486"/>
  <c r="Q486"/>
  <c r="O486"/>
  <c r="T484"/>
  <c r="R484"/>
  <c r="Q484"/>
  <c r="P484"/>
  <c r="T483"/>
  <c r="S483"/>
  <c r="R483"/>
  <c r="Q483"/>
  <c r="P483"/>
  <c r="O483"/>
  <c r="V482"/>
  <c r="R482"/>
  <c r="O482"/>
  <c r="V481"/>
  <c r="R481"/>
  <c r="O481"/>
  <c r="V480"/>
  <c r="U480"/>
  <c r="R480"/>
  <c r="O480"/>
  <c r="V479"/>
  <c r="U479"/>
  <c r="R479"/>
  <c r="Q479"/>
  <c r="V478"/>
  <c r="V477"/>
  <c r="Q477"/>
  <c r="P476"/>
  <c r="U475"/>
  <c r="T475"/>
  <c r="S475"/>
  <c r="R475"/>
  <c r="Q475"/>
  <c r="P475"/>
  <c r="V474"/>
  <c r="U474"/>
  <c r="V473"/>
  <c r="T473"/>
  <c r="S473"/>
  <c r="R473"/>
  <c r="Q473"/>
  <c r="P473"/>
  <c r="O473"/>
  <c r="V472"/>
  <c r="U472"/>
  <c r="V471"/>
  <c r="V470"/>
  <c r="U470"/>
  <c r="S470"/>
  <c r="R470"/>
  <c r="O470"/>
  <c r="V469"/>
  <c r="U469"/>
  <c r="P469"/>
  <c r="V468"/>
  <c r="U468"/>
  <c r="T468"/>
  <c r="S468"/>
  <c r="R468"/>
  <c r="Q468"/>
  <c r="P468"/>
  <c r="V467"/>
  <c r="U467"/>
  <c r="P467"/>
  <c r="U466"/>
  <c r="T466"/>
  <c r="S466"/>
  <c r="R466"/>
  <c r="Q466"/>
  <c r="P466"/>
  <c r="O466"/>
  <c r="V465"/>
  <c r="Q465"/>
  <c r="O465"/>
  <c r="P464"/>
  <c r="V463"/>
  <c r="U463"/>
  <c r="T463"/>
  <c r="S463"/>
  <c r="R463"/>
  <c r="Q463"/>
  <c r="P463"/>
  <c r="O463"/>
  <c r="Q462"/>
  <c r="V461"/>
  <c r="U461"/>
  <c r="T461"/>
  <c r="S461"/>
  <c r="R461"/>
  <c r="Q461"/>
  <c r="P461"/>
  <c r="O461"/>
  <c r="U460"/>
  <c r="V459"/>
  <c r="U459"/>
  <c r="T459"/>
  <c r="R459"/>
  <c r="Q459"/>
  <c r="V457"/>
  <c r="V456"/>
  <c r="T456"/>
  <c r="S456"/>
  <c r="R456"/>
  <c r="Q456"/>
  <c r="V455"/>
  <c r="U455"/>
  <c r="T455"/>
  <c r="S455"/>
  <c r="R455"/>
  <c r="Q455"/>
  <c r="P455"/>
  <c r="O455"/>
  <c r="V454"/>
  <c r="U454"/>
  <c r="T454"/>
  <c r="S454"/>
  <c r="R454"/>
  <c r="Q454"/>
  <c r="P454"/>
  <c r="O454"/>
  <c r="V453"/>
  <c r="U453"/>
  <c r="T453"/>
  <c r="S453"/>
  <c r="R453"/>
  <c r="Q453"/>
  <c r="O453"/>
  <c r="V452"/>
  <c r="U452"/>
  <c r="S452"/>
  <c r="R452"/>
  <c r="O452"/>
  <c r="Q451"/>
  <c r="S450"/>
  <c r="R450"/>
  <c r="Q450"/>
  <c r="P450"/>
  <c r="O450"/>
  <c r="R449"/>
  <c r="P448"/>
  <c r="V447"/>
  <c r="T447"/>
  <c r="V446"/>
  <c r="U446"/>
  <c r="T446"/>
  <c r="S446"/>
  <c r="R446"/>
  <c r="Q446"/>
  <c r="P446"/>
  <c r="O446"/>
  <c r="O445"/>
  <c r="R444"/>
  <c r="Q444"/>
  <c r="P444"/>
  <c r="O444"/>
  <c r="V443"/>
  <c r="U443"/>
  <c r="T443"/>
  <c r="S443"/>
  <c r="R443"/>
  <c r="Q443"/>
  <c r="P443"/>
  <c r="O443"/>
  <c r="U442"/>
  <c r="Q442"/>
  <c r="O442"/>
  <c r="V441"/>
  <c r="U441"/>
  <c r="T441"/>
  <c r="S441"/>
  <c r="R441"/>
  <c r="Q441"/>
  <c r="P441"/>
  <c r="O441"/>
  <c r="V440"/>
  <c r="U440"/>
  <c r="T440"/>
  <c r="S440"/>
  <c r="R440"/>
  <c r="Q440"/>
  <c r="P440"/>
  <c r="O440"/>
  <c r="V439"/>
  <c r="V438"/>
  <c r="U438"/>
  <c r="R438"/>
  <c r="Q438"/>
  <c r="V437"/>
  <c r="S437"/>
  <c r="R437"/>
  <c r="Q437"/>
  <c r="P437"/>
  <c r="O437"/>
  <c r="Q436"/>
  <c r="V435"/>
  <c r="U435"/>
  <c r="Q434"/>
  <c r="P434"/>
  <c r="V433"/>
  <c r="V432"/>
  <c r="U432"/>
  <c r="T432"/>
  <c r="S432"/>
  <c r="R432"/>
  <c r="Q432"/>
  <c r="P432"/>
  <c r="O432"/>
  <c r="S431"/>
  <c r="R431"/>
  <c r="Q431"/>
  <c r="P431"/>
  <c r="V430"/>
  <c r="U430"/>
  <c r="T430"/>
  <c r="S430"/>
  <c r="P430"/>
  <c r="T428"/>
  <c r="S427"/>
  <c r="S426"/>
  <c r="T425"/>
  <c r="U424"/>
  <c r="S424"/>
  <c r="U423"/>
  <c r="T423"/>
  <c r="U422"/>
  <c r="O422"/>
  <c r="S421"/>
  <c r="Q421"/>
  <c r="U420"/>
  <c r="V419"/>
  <c r="T419"/>
  <c r="S419"/>
  <c r="R419"/>
  <c r="O419"/>
  <c r="O418"/>
  <c r="V417"/>
  <c r="T417"/>
  <c r="R417"/>
  <c r="Q417"/>
  <c r="P417"/>
  <c r="R416"/>
  <c r="Q416"/>
  <c r="V415"/>
  <c r="U415"/>
  <c r="S415"/>
  <c r="Q415"/>
  <c r="O415"/>
  <c r="V414"/>
  <c r="U414"/>
  <c r="T414"/>
  <c r="S414"/>
  <c r="R414"/>
  <c r="Q414"/>
  <c r="P414"/>
  <c r="O414"/>
  <c r="S413"/>
  <c r="S412"/>
  <c r="V411"/>
  <c r="U411"/>
  <c r="T411"/>
  <c r="Q411"/>
  <c r="O411"/>
  <c r="P410"/>
  <c r="V409"/>
  <c r="U409"/>
  <c r="T409"/>
  <c r="S409"/>
  <c r="O408"/>
  <c r="U407"/>
  <c r="T407"/>
  <c r="V406"/>
  <c r="P405"/>
  <c r="U404"/>
  <c r="T404"/>
  <c r="S404"/>
  <c r="R404"/>
  <c r="Q404"/>
  <c r="P404"/>
  <c r="U403"/>
  <c r="T403"/>
  <c r="Q403"/>
  <c r="V402"/>
  <c r="S402"/>
  <c r="R402"/>
  <c r="V401"/>
  <c r="U401"/>
  <c r="T401"/>
  <c r="S401"/>
  <c r="R401"/>
  <c r="Q401"/>
  <c r="P401"/>
  <c r="O401"/>
  <c r="V400"/>
  <c r="S400"/>
  <c r="V399"/>
  <c r="U399"/>
  <c r="T399"/>
  <c r="S399"/>
  <c r="R399"/>
  <c r="Q399"/>
  <c r="P399"/>
  <c r="O399"/>
  <c r="V398"/>
  <c r="V397"/>
  <c r="U397"/>
  <c r="T397"/>
  <c r="S397"/>
  <c r="O397"/>
  <c r="V396"/>
  <c r="U396"/>
  <c r="S396"/>
  <c r="U395"/>
  <c r="S395"/>
  <c r="R395"/>
  <c r="Q395"/>
  <c r="O395"/>
  <c r="U394"/>
  <c r="O394"/>
  <c r="V393"/>
  <c r="S393"/>
  <c r="R393"/>
  <c r="Q393"/>
  <c r="P393"/>
  <c r="O393"/>
  <c r="V392"/>
  <c r="U392"/>
  <c r="T392"/>
  <c r="S392"/>
  <c r="R392"/>
  <c r="Q392"/>
  <c r="P392"/>
  <c r="O392"/>
  <c r="P391"/>
  <c r="V390"/>
  <c r="U390"/>
  <c r="T390"/>
  <c r="S390"/>
  <c r="R390"/>
  <c r="Q390"/>
  <c r="P390"/>
  <c r="O390"/>
  <c r="V389"/>
  <c r="U389"/>
  <c r="T389"/>
  <c r="S389"/>
  <c r="R389"/>
  <c r="Q389"/>
  <c r="P389"/>
  <c r="O389"/>
  <c r="U388"/>
  <c r="T388"/>
  <c r="S388"/>
  <c r="O388"/>
  <c r="V387"/>
  <c r="U387"/>
  <c r="T387"/>
  <c r="S387"/>
  <c r="R387"/>
  <c r="Q387"/>
  <c r="P387"/>
  <c r="O387"/>
  <c r="P386"/>
  <c r="V385"/>
  <c r="U385"/>
  <c r="P385"/>
  <c r="O385"/>
  <c r="V384"/>
  <c r="U384"/>
  <c r="R384"/>
  <c r="Q384"/>
  <c r="V383"/>
  <c r="U383"/>
  <c r="T383"/>
  <c r="S383"/>
  <c r="R383"/>
  <c r="Q383"/>
  <c r="P383"/>
  <c r="O383"/>
  <c r="R382"/>
  <c r="T381"/>
  <c r="R381"/>
  <c r="Q381"/>
  <c r="O381"/>
  <c r="U380"/>
  <c r="T380"/>
  <c r="S380"/>
  <c r="R380"/>
  <c r="Q380"/>
  <c r="P380"/>
  <c r="O380"/>
  <c r="V379"/>
  <c r="U379"/>
  <c r="V378"/>
  <c r="O377"/>
  <c r="S376"/>
  <c r="R375"/>
  <c r="V374"/>
  <c r="U374"/>
  <c r="T374"/>
  <c r="R374"/>
  <c r="Q374"/>
  <c r="O374"/>
  <c r="V373"/>
  <c r="U373"/>
  <c r="T373"/>
  <c r="S373"/>
  <c r="R373"/>
  <c r="Q373"/>
  <c r="P373"/>
  <c r="O373"/>
  <c r="V372"/>
  <c r="U372"/>
  <c r="T372"/>
  <c r="S372"/>
  <c r="R372"/>
  <c r="Q372"/>
  <c r="P372"/>
  <c r="O372"/>
  <c r="S371"/>
  <c r="Q371"/>
  <c r="V370"/>
  <c r="U370"/>
  <c r="S370"/>
  <c r="O370"/>
  <c r="O369"/>
  <c r="V368"/>
  <c r="U368"/>
  <c r="O368"/>
  <c r="V367"/>
  <c r="R367"/>
  <c r="P367"/>
  <c r="V366"/>
  <c r="U366"/>
  <c r="T366"/>
  <c r="S366"/>
  <c r="R366"/>
  <c r="Q366"/>
  <c r="P366"/>
  <c r="O366"/>
  <c r="V365"/>
  <c r="U365"/>
  <c r="T365"/>
  <c r="S365"/>
  <c r="R365"/>
  <c r="Q365"/>
  <c r="P365"/>
  <c r="O365"/>
  <c r="Q364"/>
  <c r="T363"/>
  <c r="S363"/>
  <c r="R363"/>
  <c r="Q363"/>
  <c r="O363"/>
  <c r="V362"/>
  <c r="U362"/>
  <c r="T362"/>
  <c r="S362"/>
  <c r="R362"/>
  <c r="Q362"/>
  <c r="P362"/>
  <c r="O362"/>
  <c r="V361"/>
  <c r="U361"/>
  <c r="T361"/>
  <c r="S361"/>
  <c r="R361"/>
  <c r="Q361"/>
  <c r="P361"/>
  <c r="O361"/>
  <c r="V360"/>
  <c r="U360"/>
  <c r="T359"/>
  <c r="T358"/>
  <c r="R358"/>
  <c r="Q358"/>
  <c r="P358"/>
  <c r="V357"/>
  <c r="U357"/>
  <c r="T357"/>
  <c r="S357"/>
  <c r="Q357"/>
  <c r="P357"/>
  <c r="O357"/>
  <c r="V356"/>
  <c r="T356"/>
  <c r="S356"/>
  <c r="R356"/>
  <c r="Q356"/>
  <c r="P356"/>
  <c r="O356"/>
  <c r="V355"/>
  <c r="U355"/>
  <c r="S355"/>
  <c r="R355"/>
  <c r="Q355"/>
  <c r="P355"/>
  <c r="O355"/>
  <c r="Q354"/>
  <c r="Q353"/>
  <c r="V352"/>
  <c r="T352"/>
  <c r="S352"/>
  <c r="R352"/>
  <c r="Q352"/>
  <c r="P352"/>
  <c r="V351"/>
  <c r="U351"/>
  <c r="T351"/>
  <c r="S351"/>
  <c r="R351"/>
  <c r="Q351"/>
  <c r="P351"/>
  <c r="O351"/>
  <c r="V350"/>
  <c r="U350"/>
  <c r="T350"/>
  <c r="S350"/>
  <c r="R350"/>
  <c r="Q350"/>
  <c r="P350"/>
  <c r="O350"/>
  <c r="O349"/>
  <c r="R348"/>
  <c r="Q348"/>
  <c r="P348"/>
  <c r="O348"/>
  <c r="V347"/>
  <c r="U347"/>
  <c r="T347"/>
  <c r="S347"/>
  <c r="R347"/>
  <c r="Q347"/>
  <c r="P347"/>
  <c r="O347"/>
  <c r="V346"/>
  <c r="U346"/>
  <c r="T346"/>
  <c r="S346"/>
  <c r="R346"/>
  <c r="Q346"/>
  <c r="P346"/>
  <c r="O346"/>
  <c r="Q345"/>
  <c r="O344"/>
  <c r="V343"/>
  <c r="U343"/>
  <c r="O343"/>
  <c r="T342"/>
  <c r="Q342"/>
  <c r="P342"/>
  <c r="O342"/>
  <c r="V341"/>
  <c r="U341"/>
  <c r="T341"/>
  <c r="S341"/>
  <c r="R341"/>
  <c r="Q341"/>
  <c r="P341"/>
  <c r="O341"/>
  <c r="V340"/>
  <c r="U340"/>
  <c r="T340"/>
  <c r="R340"/>
  <c r="Q340"/>
  <c r="P340"/>
  <c r="O340"/>
  <c r="V339"/>
  <c r="S339"/>
  <c r="R339"/>
  <c r="Q339"/>
  <c r="P339"/>
  <c r="S338"/>
  <c r="O338"/>
  <c r="R337"/>
  <c r="R336"/>
  <c r="Q336"/>
  <c r="P336"/>
  <c r="V335"/>
  <c r="U335"/>
  <c r="T335"/>
  <c r="S335"/>
  <c r="R335"/>
  <c r="Q335"/>
  <c r="P335"/>
  <c r="O335"/>
  <c r="P334"/>
  <c r="O334"/>
  <c r="V333"/>
  <c r="U333"/>
  <c r="R332"/>
  <c r="S331"/>
  <c r="P331"/>
  <c r="U330"/>
  <c r="V329"/>
  <c r="T329"/>
  <c r="S329"/>
  <c r="R329"/>
  <c r="Q329"/>
  <c r="P329"/>
  <c r="O329"/>
  <c r="U328"/>
  <c r="P327"/>
  <c r="Q326"/>
  <c r="V325"/>
  <c r="T325"/>
  <c r="S325"/>
  <c r="R325"/>
  <c r="Q325"/>
  <c r="P325"/>
  <c r="O325"/>
  <c r="P324"/>
  <c r="V323"/>
  <c r="V322"/>
  <c r="Q322"/>
  <c r="V321"/>
  <c r="U321"/>
  <c r="T321"/>
  <c r="R321"/>
  <c r="Q321"/>
  <c r="P321"/>
  <c r="O321"/>
  <c r="V320"/>
  <c r="P320"/>
  <c r="O320"/>
  <c r="V319"/>
  <c r="T319"/>
  <c r="S319"/>
  <c r="R319"/>
  <c r="Q319"/>
  <c r="P319"/>
  <c r="O319"/>
  <c r="R318"/>
  <c r="V317"/>
  <c r="U317"/>
  <c r="S317"/>
  <c r="R317"/>
  <c r="Q317"/>
  <c r="P317"/>
  <c r="O317"/>
  <c r="S316"/>
  <c r="V315"/>
  <c r="U315"/>
  <c r="T315"/>
  <c r="S315"/>
  <c r="R315"/>
  <c r="Q315"/>
  <c r="P315"/>
  <c r="O315"/>
  <c r="V314"/>
  <c r="U314"/>
  <c r="T314"/>
  <c r="S314"/>
  <c r="O314"/>
  <c r="V313"/>
  <c r="Q313"/>
  <c r="P313"/>
  <c r="O313"/>
  <c r="P312"/>
  <c r="U311"/>
  <c r="V310"/>
  <c r="U310"/>
  <c r="T310"/>
  <c r="S310"/>
  <c r="R310"/>
  <c r="Q310"/>
  <c r="P310"/>
  <c r="O310"/>
  <c r="V309"/>
  <c r="U309"/>
  <c r="T309"/>
  <c r="R309"/>
  <c r="Q309"/>
  <c r="P309"/>
  <c r="O309"/>
  <c r="V308"/>
  <c r="U308"/>
  <c r="T308"/>
  <c r="S308"/>
  <c r="R308"/>
  <c r="Q308"/>
  <c r="P308"/>
  <c r="O308"/>
  <c r="V307"/>
  <c r="U307"/>
  <c r="V306"/>
  <c r="U306"/>
  <c r="T306"/>
  <c r="S306"/>
  <c r="R306"/>
  <c r="Q306"/>
  <c r="P306"/>
  <c r="O306"/>
  <c r="V305"/>
  <c r="U305"/>
  <c r="P305"/>
  <c r="V304"/>
  <c r="U304"/>
  <c r="T304"/>
  <c r="S304"/>
  <c r="R304"/>
  <c r="Q304"/>
  <c r="U303"/>
  <c r="T303"/>
  <c r="Q303"/>
  <c r="V302"/>
  <c r="T302"/>
  <c r="R302"/>
  <c r="Q302"/>
  <c r="O302"/>
  <c r="V301"/>
  <c r="U301"/>
  <c r="T301"/>
  <c r="S301"/>
  <c r="R301"/>
  <c r="Q301"/>
  <c r="P301"/>
  <c r="O301"/>
  <c r="S300"/>
  <c r="V299"/>
  <c r="U299"/>
  <c r="T299"/>
  <c r="S299"/>
  <c r="R299"/>
  <c r="Q299"/>
  <c r="P299"/>
  <c r="O299"/>
  <c r="R298"/>
  <c r="V297"/>
  <c r="R297"/>
  <c r="O297"/>
  <c r="V296"/>
  <c r="U296"/>
  <c r="U295"/>
  <c r="S295"/>
  <c r="R295"/>
  <c r="V294"/>
  <c r="U294"/>
  <c r="U293"/>
  <c r="S293"/>
  <c r="R293"/>
  <c r="Q293"/>
  <c r="P293"/>
  <c r="O293"/>
  <c r="V292"/>
  <c r="U292"/>
  <c r="T292"/>
  <c r="S292"/>
  <c r="R292"/>
  <c r="Q292"/>
  <c r="P292"/>
  <c r="O292"/>
  <c r="V291"/>
  <c r="U291"/>
  <c r="T291"/>
  <c r="S291"/>
  <c r="R291"/>
  <c r="Q291"/>
  <c r="P291"/>
  <c r="O291"/>
  <c r="O290"/>
  <c r="R289"/>
  <c r="T288"/>
  <c r="R288"/>
  <c r="Q288"/>
  <c r="P288"/>
  <c r="O288"/>
  <c r="U287"/>
  <c r="O287"/>
  <c r="V286"/>
  <c r="U286"/>
  <c r="T286"/>
  <c r="S286"/>
  <c r="R286"/>
  <c r="Q286"/>
  <c r="P286"/>
  <c r="O286"/>
  <c r="V285"/>
  <c r="U285"/>
  <c r="T285"/>
  <c r="S285"/>
  <c r="Q285"/>
  <c r="P285"/>
  <c r="O285"/>
  <c r="V284"/>
  <c r="T284"/>
  <c r="S284"/>
  <c r="U283"/>
  <c r="T283"/>
  <c r="R283"/>
  <c r="Q283"/>
  <c r="U282"/>
  <c r="T282"/>
  <c r="S282"/>
  <c r="R282"/>
  <c r="Q282"/>
  <c r="P282"/>
  <c r="O282"/>
  <c r="V281"/>
  <c r="T281"/>
  <c r="S281"/>
  <c r="Q281"/>
  <c r="P281"/>
  <c r="V280"/>
  <c r="U280"/>
  <c r="T280"/>
  <c r="S280"/>
  <c r="R280"/>
  <c r="Q280"/>
  <c r="P280"/>
  <c r="O280"/>
  <c r="V279"/>
  <c r="T279"/>
  <c r="S279"/>
  <c r="R279"/>
  <c r="Q279"/>
  <c r="P279"/>
  <c r="U278"/>
  <c r="Q278"/>
  <c r="P278"/>
  <c r="O277"/>
  <c r="V276"/>
  <c r="U274"/>
  <c r="T274"/>
  <c r="P274"/>
  <c r="V273"/>
  <c r="U273"/>
  <c r="V272"/>
  <c r="U272"/>
  <c r="T272"/>
  <c r="S272"/>
  <c r="R272"/>
  <c r="Q272"/>
  <c r="O272"/>
  <c r="U271"/>
  <c r="T271"/>
  <c r="S271"/>
  <c r="R271"/>
  <c r="Q271"/>
  <c r="P271"/>
  <c r="O271"/>
  <c r="V270"/>
  <c r="O270"/>
  <c r="V269"/>
  <c r="U269"/>
  <c r="T269"/>
  <c r="S269"/>
  <c r="R269"/>
  <c r="Q269"/>
  <c r="P269"/>
  <c r="O269"/>
  <c r="S268"/>
  <c r="Q267"/>
  <c r="U266"/>
  <c r="T266"/>
  <c r="T265"/>
  <c r="S265"/>
  <c r="R265"/>
  <c r="Q265"/>
  <c r="P265"/>
  <c r="P264"/>
  <c r="V263"/>
  <c r="R263"/>
  <c r="Q263"/>
  <c r="P263"/>
  <c r="O263"/>
  <c r="V262"/>
  <c r="T262"/>
  <c r="S262"/>
  <c r="R262"/>
  <c r="Q262"/>
  <c r="P262"/>
  <c r="O262"/>
  <c r="U261"/>
  <c r="O261"/>
  <c r="O260"/>
  <c r="T259"/>
  <c r="T258"/>
  <c r="S258"/>
  <c r="R258"/>
  <c r="Q258"/>
  <c r="P258"/>
  <c r="O258"/>
  <c r="V257"/>
  <c r="U257"/>
  <c r="T257"/>
  <c r="S257"/>
  <c r="R257"/>
  <c r="Q257"/>
  <c r="P257"/>
  <c r="O257"/>
  <c r="U256"/>
  <c r="O256"/>
  <c r="V254"/>
  <c r="T254"/>
  <c r="S254"/>
  <c r="Q254"/>
  <c r="O254"/>
  <c r="T253"/>
  <c r="S252"/>
  <c r="P252"/>
  <c r="O252"/>
  <c r="R251"/>
  <c r="P251"/>
  <c r="V250"/>
  <c r="U250"/>
  <c r="T250"/>
  <c r="R250"/>
  <c r="Q250"/>
  <c r="P250"/>
  <c r="O250"/>
  <c r="T248"/>
  <c r="V247"/>
  <c r="U247"/>
  <c r="T247"/>
  <c r="S247"/>
  <c r="R247"/>
  <c r="Q247"/>
  <c r="P247"/>
  <c r="V246"/>
  <c r="U246"/>
  <c r="T246"/>
  <c r="S246"/>
  <c r="R246"/>
  <c r="Q246"/>
  <c r="P246"/>
  <c r="O246"/>
  <c r="V245"/>
  <c r="U245"/>
  <c r="R244"/>
  <c r="Q244"/>
  <c r="O244"/>
  <c r="U243"/>
  <c r="T243"/>
  <c r="S243"/>
  <c r="R243"/>
  <c r="Q243"/>
  <c r="P243"/>
  <c r="O243"/>
  <c r="V242"/>
  <c r="U242"/>
  <c r="T241"/>
  <c r="U240"/>
  <c r="S240"/>
  <c r="R240"/>
  <c r="Q240"/>
  <c r="P240"/>
  <c r="O240"/>
  <c r="V239"/>
  <c r="U239"/>
  <c r="S239"/>
  <c r="P239"/>
  <c r="O239"/>
  <c r="V238"/>
  <c r="U238"/>
  <c r="T238"/>
  <c r="S238"/>
  <c r="R238"/>
  <c r="Q238"/>
  <c r="P238"/>
  <c r="O238"/>
  <c r="V237"/>
  <c r="U237"/>
  <c r="T237"/>
  <c r="S237"/>
  <c r="R237"/>
  <c r="Q237"/>
  <c r="P237"/>
  <c r="O237"/>
  <c r="V236"/>
  <c r="U236"/>
  <c r="R236"/>
  <c r="Q236"/>
  <c r="P235"/>
  <c r="V234"/>
  <c r="U234"/>
  <c r="T234"/>
  <c r="S234"/>
  <c r="R234"/>
  <c r="Q234"/>
  <c r="P234"/>
  <c r="O234"/>
  <c r="V233"/>
  <c r="U233"/>
  <c r="T233"/>
  <c r="S233"/>
  <c r="R233"/>
  <c r="Q233"/>
  <c r="P233"/>
  <c r="O233"/>
  <c r="O232"/>
  <c r="V231"/>
  <c r="S231"/>
  <c r="R231"/>
  <c r="Q231"/>
  <c r="P231"/>
  <c r="O231"/>
  <c r="S230"/>
  <c r="V229"/>
  <c r="T229"/>
  <c r="S229"/>
  <c r="R229"/>
  <c r="Q229"/>
  <c r="P229"/>
  <c r="V227"/>
  <c r="S227"/>
  <c r="R227"/>
  <c r="P227"/>
  <c r="V226"/>
  <c r="U226"/>
  <c r="T226"/>
  <c r="S226"/>
  <c r="R226"/>
  <c r="Q226"/>
  <c r="P226"/>
  <c r="O226"/>
  <c r="U225"/>
  <c r="O225"/>
  <c r="V224"/>
  <c r="U224"/>
  <c r="T224"/>
  <c r="S224"/>
  <c r="R224"/>
  <c r="Q224"/>
  <c r="P224"/>
  <c r="O224"/>
  <c r="U223"/>
  <c r="T223"/>
  <c r="R223"/>
  <c r="O223"/>
  <c r="Q221"/>
  <c r="O220"/>
  <c r="T218"/>
  <c r="S218"/>
  <c r="R218"/>
  <c r="V217"/>
  <c r="U217"/>
  <c r="T217"/>
  <c r="S217"/>
  <c r="R217"/>
  <c r="Q217"/>
  <c r="P217"/>
  <c r="O217"/>
  <c r="P216"/>
  <c r="U215"/>
  <c r="R215"/>
  <c r="Q215"/>
  <c r="P215"/>
  <c r="O215"/>
  <c r="V214"/>
  <c r="U214"/>
  <c r="T214"/>
  <c r="S214"/>
  <c r="R214"/>
  <c r="Q214"/>
  <c r="P214"/>
  <c r="O214"/>
  <c r="Q213"/>
  <c r="R212"/>
  <c r="Q212"/>
  <c r="P212"/>
  <c r="T211"/>
  <c r="S211"/>
  <c r="R211"/>
  <c r="Q211"/>
  <c r="P211"/>
  <c r="O211"/>
  <c r="V210"/>
  <c r="U210"/>
  <c r="T210"/>
  <c r="S210"/>
  <c r="R210"/>
  <c r="Q210"/>
  <c r="P210"/>
  <c r="O210"/>
  <c r="S208"/>
  <c r="V207"/>
  <c r="U207"/>
  <c r="T207"/>
  <c r="S207"/>
  <c r="U206"/>
  <c r="V205"/>
  <c r="U205"/>
  <c r="S205"/>
  <c r="R205"/>
  <c r="P205"/>
  <c r="V204"/>
  <c r="U204"/>
  <c r="T204"/>
  <c r="S204"/>
  <c r="R204"/>
  <c r="Q204"/>
  <c r="P204"/>
  <c r="O204"/>
  <c r="P203"/>
  <c r="V202"/>
  <c r="U202"/>
  <c r="T202"/>
  <c r="S202"/>
  <c r="R202"/>
  <c r="Q202"/>
  <c r="P202"/>
  <c r="O202"/>
  <c r="V201"/>
  <c r="U201"/>
  <c r="T201"/>
  <c r="S201"/>
  <c r="R201"/>
  <c r="Q201"/>
  <c r="P201"/>
  <c r="O201"/>
  <c r="O200"/>
  <c r="T199"/>
  <c r="S199"/>
  <c r="R199"/>
  <c r="Q199"/>
  <c r="P199"/>
  <c r="O199"/>
  <c r="V198"/>
  <c r="U198"/>
  <c r="T198"/>
  <c r="S198"/>
  <c r="R198"/>
  <c r="Q198"/>
  <c r="P198"/>
  <c r="O198"/>
  <c r="T197"/>
  <c r="O197"/>
  <c r="T196"/>
  <c r="R196"/>
  <c r="O196"/>
  <c r="R195"/>
  <c r="S194"/>
  <c r="R194"/>
  <c r="Q194"/>
  <c r="P194"/>
  <c r="O194"/>
  <c r="R193"/>
  <c r="O193"/>
  <c r="T192"/>
  <c r="R192"/>
  <c r="Q192"/>
  <c r="V191"/>
  <c r="U191"/>
  <c r="T191"/>
  <c r="S191"/>
  <c r="R191"/>
  <c r="Q191"/>
  <c r="P191"/>
  <c r="V190"/>
  <c r="T190"/>
  <c r="V189"/>
  <c r="U189"/>
  <c r="T189"/>
  <c r="S189"/>
  <c r="R189"/>
  <c r="Q189"/>
  <c r="P189"/>
  <c r="O189"/>
  <c r="T188"/>
  <c r="S188"/>
  <c r="R188"/>
  <c r="V187"/>
  <c r="R187"/>
  <c r="V186"/>
  <c r="U186"/>
  <c r="T186"/>
  <c r="S186"/>
  <c r="R186"/>
  <c r="Q186"/>
  <c r="P186"/>
  <c r="O186"/>
  <c r="V185"/>
  <c r="R185"/>
  <c r="O185"/>
  <c r="U184"/>
  <c r="V183"/>
  <c r="O183"/>
  <c r="S182"/>
  <c r="T181"/>
  <c r="P180"/>
  <c r="O180"/>
  <c r="V179"/>
  <c r="T179"/>
  <c r="S179"/>
  <c r="T178"/>
  <c r="S178"/>
  <c r="R178"/>
  <c r="Q178"/>
  <c r="P178"/>
  <c r="O178"/>
  <c r="T177"/>
  <c r="S177"/>
  <c r="O177"/>
  <c r="P176"/>
  <c r="V175"/>
  <c r="U175"/>
  <c r="T175"/>
  <c r="S175"/>
  <c r="R175"/>
  <c r="Q175"/>
  <c r="P175"/>
  <c r="O175"/>
  <c r="V174"/>
  <c r="O174"/>
  <c r="T173"/>
  <c r="U172"/>
  <c r="T172"/>
  <c r="S172"/>
  <c r="R172"/>
  <c r="Q172"/>
  <c r="P172"/>
  <c r="O172"/>
  <c r="V171"/>
  <c r="U171"/>
  <c r="T171"/>
  <c r="S171"/>
  <c r="R171"/>
  <c r="P171"/>
  <c r="O171"/>
  <c r="T170"/>
  <c r="R170"/>
  <c r="Q170"/>
  <c r="Q169"/>
  <c r="T168"/>
  <c r="T167"/>
  <c r="R167"/>
  <c r="T166"/>
  <c r="V165"/>
  <c r="U165"/>
  <c r="T165"/>
  <c r="S165"/>
  <c r="R165"/>
  <c r="Q165"/>
  <c r="P165"/>
  <c r="O165"/>
  <c r="T164"/>
  <c r="U163"/>
  <c r="T163"/>
  <c r="S163"/>
  <c r="R163"/>
  <c r="Q163"/>
  <c r="P163"/>
  <c r="O163"/>
  <c r="V162"/>
  <c r="U162"/>
  <c r="T162"/>
  <c r="S162"/>
  <c r="R162"/>
  <c r="Q162"/>
  <c r="P162"/>
  <c r="O162"/>
  <c r="V161"/>
  <c r="U161"/>
  <c r="V160"/>
  <c r="V159"/>
  <c r="U159"/>
  <c r="S159"/>
  <c r="R159"/>
  <c r="Q159"/>
  <c r="V158"/>
  <c r="U158"/>
  <c r="T158"/>
  <c r="S158"/>
  <c r="R158"/>
  <c r="Q158"/>
  <c r="P158"/>
  <c r="O158"/>
  <c r="R157"/>
  <c r="Q157"/>
  <c r="V156"/>
  <c r="U156"/>
  <c r="T156"/>
  <c r="S156"/>
  <c r="R156"/>
  <c r="Q156"/>
  <c r="P156"/>
  <c r="O156"/>
  <c r="V155"/>
  <c r="Q155"/>
  <c r="Q154"/>
  <c r="O154"/>
  <c r="U153"/>
  <c r="V152"/>
  <c r="T152"/>
  <c r="P152"/>
  <c r="O152"/>
  <c r="V151"/>
  <c r="U151"/>
  <c r="T151"/>
  <c r="S151"/>
  <c r="R151"/>
  <c r="Q151"/>
  <c r="P151"/>
  <c r="O151"/>
  <c r="V150"/>
  <c r="U150"/>
  <c r="T150"/>
  <c r="S150"/>
  <c r="R150"/>
  <c r="Q150"/>
  <c r="P150"/>
  <c r="O150"/>
  <c r="T149"/>
  <c r="V148"/>
  <c r="T148"/>
  <c r="O148"/>
  <c r="V147"/>
  <c r="U147"/>
  <c r="T147"/>
  <c r="S147"/>
  <c r="R147"/>
  <c r="Q147"/>
  <c r="P147"/>
  <c r="O147"/>
  <c r="U146"/>
  <c r="T146"/>
  <c r="S146"/>
  <c r="R146"/>
  <c r="Q146"/>
  <c r="P146"/>
  <c r="O146"/>
  <c r="P145"/>
  <c r="R144"/>
  <c r="T143"/>
  <c r="S143"/>
  <c r="R143"/>
  <c r="Q143"/>
  <c r="P143"/>
  <c r="V142"/>
  <c r="U142"/>
  <c r="V141"/>
  <c r="U141"/>
  <c r="R141"/>
  <c r="Q141"/>
  <c r="V140"/>
  <c r="U140"/>
  <c r="T140"/>
  <c r="S140"/>
  <c r="R140"/>
  <c r="Q140"/>
  <c r="P140"/>
  <c r="O140"/>
  <c r="R139"/>
  <c r="V138"/>
  <c r="U138"/>
  <c r="O138"/>
  <c r="V137"/>
  <c r="U137"/>
  <c r="T137"/>
  <c r="S137"/>
  <c r="Q137"/>
  <c r="O137"/>
  <c r="Q136"/>
  <c r="V135"/>
  <c r="U135"/>
  <c r="V134"/>
  <c r="U134"/>
  <c r="V133"/>
  <c r="U133"/>
  <c r="R133"/>
  <c r="V132"/>
  <c r="U132"/>
  <c r="T132"/>
  <c r="S132"/>
  <c r="R132"/>
  <c r="Q132"/>
  <c r="V131"/>
  <c r="U131"/>
  <c r="T131"/>
  <c r="S131"/>
  <c r="R131"/>
  <c r="Q131"/>
  <c r="P131"/>
  <c r="O131"/>
  <c r="V130"/>
  <c r="U130"/>
  <c r="T130"/>
  <c r="S130"/>
  <c r="R130"/>
  <c r="Q130"/>
  <c r="P130"/>
  <c r="O130"/>
  <c r="V129"/>
  <c r="U129"/>
  <c r="T129"/>
  <c r="S129"/>
  <c r="R129"/>
  <c r="P129"/>
  <c r="O129"/>
  <c r="V128"/>
  <c r="U128"/>
  <c r="T128"/>
  <c r="S128"/>
  <c r="R128"/>
  <c r="Q128"/>
  <c r="P128"/>
  <c r="O128"/>
  <c r="V127"/>
  <c r="U127"/>
  <c r="T127"/>
  <c r="S127"/>
  <c r="R127"/>
  <c r="Q127"/>
  <c r="P127"/>
  <c r="O127"/>
  <c r="V126"/>
  <c r="U126"/>
  <c r="T126"/>
  <c r="S126"/>
  <c r="R126"/>
  <c r="Q126"/>
  <c r="P126"/>
  <c r="O126"/>
  <c r="U125"/>
  <c r="T125"/>
  <c r="S125"/>
  <c r="R125"/>
  <c r="Q125"/>
  <c r="P125"/>
  <c r="O125"/>
  <c r="V124"/>
  <c r="U124"/>
  <c r="T124"/>
  <c r="S124"/>
  <c r="R124"/>
  <c r="Q124"/>
  <c r="P124"/>
  <c r="O124"/>
  <c r="R123"/>
  <c r="V122"/>
  <c r="Q122"/>
  <c r="O121"/>
  <c r="V120"/>
  <c r="U120"/>
  <c r="T120"/>
  <c r="S120"/>
  <c r="R120"/>
  <c r="Q120"/>
  <c r="P120"/>
  <c r="O120"/>
  <c r="V119"/>
  <c r="U119"/>
  <c r="T119"/>
  <c r="S119"/>
  <c r="R119"/>
  <c r="Q119"/>
  <c r="P119"/>
  <c r="O119"/>
  <c r="V118"/>
  <c r="U118"/>
  <c r="T118"/>
  <c r="S118"/>
  <c r="R118"/>
  <c r="Q118"/>
  <c r="O118"/>
  <c r="U117"/>
  <c r="R117"/>
  <c r="Q117"/>
  <c r="P117"/>
  <c r="O117"/>
  <c r="V116"/>
  <c r="U116"/>
  <c r="U115"/>
  <c r="S115"/>
  <c r="R115"/>
  <c r="Q115"/>
  <c r="O115"/>
  <c r="Q114"/>
  <c r="T113"/>
  <c r="Q113"/>
  <c r="V112"/>
  <c r="U112"/>
  <c r="T112"/>
  <c r="S112"/>
  <c r="R112"/>
  <c r="Q112"/>
  <c r="P112"/>
  <c r="O112"/>
  <c r="U111"/>
  <c r="T110"/>
  <c r="S109"/>
  <c r="R109"/>
  <c r="Q109"/>
  <c r="P109"/>
  <c r="P108"/>
  <c r="V107"/>
  <c r="O106"/>
  <c r="V105"/>
  <c r="U105"/>
  <c r="T105"/>
  <c r="S105"/>
  <c r="R105"/>
  <c r="Q105"/>
  <c r="O105"/>
  <c r="T104"/>
  <c r="S104"/>
  <c r="V103"/>
  <c r="U103"/>
  <c r="T103"/>
  <c r="S103"/>
  <c r="R103"/>
  <c r="Q103"/>
  <c r="O103"/>
  <c r="S102"/>
  <c r="R102"/>
  <c r="T101"/>
  <c r="Q101"/>
  <c r="V100"/>
  <c r="R100"/>
  <c r="Q100"/>
  <c r="P100"/>
  <c r="U99"/>
  <c r="S99"/>
  <c r="Q99"/>
  <c r="O99"/>
  <c r="R98"/>
  <c r="Q98"/>
  <c r="U97"/>
  <c r="R97"/>
  <c r="Q97"/>
  <c r="P97"/>
  <c r="O97"/>
  <c r="O96"/>
  <c r="U95"/>
  <c r="P95"/>
  <c r="V94"/>
  <c r="U94"/>
  <c r="T94"/>
  <c r="S94"/>
  <c r="R94"/>
  <c r="P94"/>
  <c r="O94"/>
  <c r="R93"/>
  <c r="V92"/>
  <c r="U92"/>
  <c r="T92"/>
  <c r="S92"/>
  <c r="R92"/>
  <c r="Q92"/>
  <c r="P92"/>
  <c r="O92"/>
  <c r="U91"/>
  <c r="T91"/>
  <c r="R90"/>
  <c r="O90"/>
  <c r="U89"/>
  <c r="T89"/>
  <c r="S89"/>
  <c r="V88"/>
  <c r="S88"/>
  <c r="R88"/>
  <c r="P88"/>
  <c r="O88"/>
  <c r="V87"/>
  <c r="U87"/>
  <c r="T87"/>
  <c r="S87"/>
  <c r="R87"/>
  <c r="Q87"/>
  <c r="P87"/>
  <c r="O87"/>
  <c r="R86"/>
  <c r="U85"/>
  <c r="T85"/>
  <c r="R85"/>
  <c r="Q85"/>
  <c r="P85"/>
  <c r="O85"/>
  <c r="S84"/>
  <c r="R84"/>
  <c r="Q84"/>
  <c r="O83"/>
  <c r="V82"/>
  <c r="V81"/>
  <c r="U81"/>
  <c r="T81"/>
  <c r="S81"/>
  <c r="R81"/>
  <c r="Q81"/>
  <c r="P81"/>
  <c r="O81"/>
  <c r="U80"/>
  <c r="R80"/>
  <c r="O80"/>
  <c r="Q79"/>
  <c r="V78"/>
  <c r="U78"/>
  <c r="T78"/>
  <c r="S78"/>
  <c r="R78"/>
  <c r="Q78"/>
  <c r="P78"/>
  <c r="O78"/>
  <c r="U77"/>
  <c r="V76"/>
  <c r="U76"/>
  <c r="Q76"/>
  <c r="P76"/>
  <c r="O76"/>
  <c r="S75"/>
  <c r="R75"/>
  <c r="P75"/>
  <c r="U74"/>
  <c r="Q73"/>
  <c r="Q72"/>
  <c r="V71"/>
  <c r="U71"/>
  <c r="T71"/>
  <c r="S71"/>
  <c r="R71"/>
  <c r="Q71"/>
  <c r="P71"/>
  <c r="O71"/>
  <c r="V70"/>
  <c r="U70"/>
  <c r="T70"/>
  <c r="S70"/>
  <c r="R70"/>
  <c r="Q70"/>
  <c r="P70"/>
  <c r="O70"/>
  <c r="Q69"/>
  <c r="P69"/>
  <c r="O69"/>
  <c r="V68"/>
  <c r="U68"/>
  <c r="T68"/>
  <c r="S68"/>
  <c r="R68"/>
  <c r="Q68"/>
  <c r="P68"/>
  <c r="O68"/>
  <c r="V67"/>
  <c r="U67"/>
  <c r="T67"/>
  <c r="S67"/>
  <c r="R67"/>
  <c r="Q67"/>
  <c r="P67"/>
  <c r="O67"/>
  <c r="V66"/>
  <c r="U66"/>
  <c r="T66"/>
  <c r="S66"/>
  <c r="R66"/>
  <c r="Q66"/>
  <c r="P66"/>
  <c r="O66"/>
  <c r="V65"/>
  <c r="U65"/>
  <c r="R65"/>
  <c r="Q65"/>
  <c r="Q64"/>
  <c r="V63"/>
  <c r="U63"/>
  <c r="T63"/>
  <c r="S63"/>
  <c r="R63"/>
  <c r="Q63"/>
  <c r="P63"/>
  <c r="O63"/>
  <c r="P62"/>
  <c r="V60"/>
  <c r="U60"/>
  <c r="T60"/>
  <c r="S60"/>
  <c r="R60"/>
  <c r="Q60"/>
  <c r="P60"/>
  <c r="O60"/>
  <c r="T59"/>
  <c r="Q58"/>
  <c r="U57"/>
  <c r="R57"/>
  <c r="Q57"/>
  <c r="U56"/>
  <c r="O56"/>
  <c r="S55"/>
  <c r="U54"/>
  <c r="U53"/>
  <c r="S53"/>
  <c r="P53"/>
  <c r="R52"/>
  <c r="P52"/>
  <c r="V51"/>
  <c r="U51"/>
  <c r="T51"/>
  <c r="S51"/>
  <c r="R51"/>
  <c r="Q51"/>
  <c r="P51"/>
  <c r="O51"/>
  <c r="T50"/>
  <c r="R50"/>
  <c r="Q50"/>
  <c r="V49"/>
  <c r="T49"/>
  <c r="S49"/>
  <c r="R49"/>
  <c r="Q49"/>
  <c r="P49"/>
  <c r="O49"/>
  <c r="V48"/>
  <c r="V47"/>
  <c r="U47"/>
  <c r="T47"/>
  <c r="S47"/>
  <c r="R47"/>
  <c r="Q47"/>
  <c r="P47"/>
  <c r="O47"/>
  <c r="V46"/>
  <c r="R45"/>
  <c r="P45"/>
  <c r="R44"/>
  <c r="P44"/>
  <c r="V43"/>
  <c r="U43"/>
  <c r="S43"/>
  <c r="R43"/>
  <c r="Q43"/>
  <c r="P43"/>
  <c r="O43"/>
  <c r="U42"/>
  <c r="T42"/>
  <c r="S42"/>
  <c r="R42"/>
  <c r="Q42"/>
  <c r="P42"/>
  <c r="O42"/>
  <c r="V41"/>
  <c r="U40"/>
  <c r="V39"/>
  <c r="T39"/>
  <c r="S39"/>
  <c r="R39"/>
  <c r="Q39"/>
  <c r="P39"/>
  <c r="R38"/>
  <c r="Q37"/>
  <c r="S36"/>
  <c r="R36"/>
  <c r="V35"/>
  <c r="U35"/>
  <c r="S34"/>
  <c r="P33"/>
  <c r="V32"/>
  <c r="T32"/>
  <c r="S32"/>
  <c r="R32"/>
  <c r="Q32"/>
  <c r="P32"/>
  <c r="O31"/>
  <c r="S30"/>
  <c r="Q30"/>
  <c r="Q29"/>
  <c r="V28"/>
  <c r="U28"/>
  <c r="T28"/>
  <c r="R28"/>
  <c r="P28"/>
  <c r="V27"/>
  <c r="R27"/>
  <c r="Q27"/>
  <c r="O27"/>
  <c r="U26"/>
  <c r="T26"/>
  <c r="S26"/>
  <c r="R26"/>
  <c r="O26"/>
  <c r="S25"/>
  <c r="O25"/>
  <c r="P24"/>
  <c r="U23"/>
  <c r="T23"/>
  <c r="S23"/>
  <c r="P23"/>
  <c r="O23"/>
  <c r="O22"/>
  <c r="U20"/>
  <c r="T20"/>
  <c r="Q20"/>
  <c r="U18"/>
  <c r="V17"/>
  <c r="O16"/>
  <c r="V15"/>
  <c r="O15"/>
  <c r="O14"/>
  <c r="P13"/>
</calcChain>
</file>

<file path=xl/sharedStrings.xml><?xml version="1.0" encoding="utf-8"?>
<sst xmlns="http://schemas.openxmlformats.org/spreadsheetml/2006/main" count="59620" uniqueCount="6112">
  <si>
    <t>Raw Fold Change</t>
  </si>
  <si>
    <t>Area or Height</t>
  </si>
  <si>
    <t>H</t>
  </si>
  <si>
    <t>http://www.phosphosite.org/proteinAction.do?id=4289&amp;showAllSites=true</t>
  </si>
  <si>
    <t>FHVEEEGK*GKDASGNK</t>
  </si>
  <si>
    <t>1168</t>
  </si>
  <si>
    <t>SVVLM#SHLGRPDGVPM#PDK*YSLEPVAAELK</t>
  </si>
  <si>
    <t>1169</t>
  </si>
  <si>
    <t>1170</t>
  </si>
  <si>
    <t>Index</t>
  </si>
  <si>
    <t>Index in Detail</t>
  </si>
  <si>
    <t>Count in Details</t>
  </si>
  <si>
    <t>Absent in database</t>
  </si>
  <si>
    <t>Average RT</t>
  </si>
  <si>
    <t>Q91VB4</t>
  </si>
  <si>
    <t>http://www.phosphosite.org/proteinAction.do?id=8044&amp;showAllSites=true</t>
  </si>
  <si>
    <t>K*TIFLR</t>
  </si>
  <si>
    <t>1151</t>
  </si>
  <si>
    <t>Snap25</t>
  </si>
  <si>
    <t>SNAP-25</t>
  </si>
  <si>
    <t>synaptosomal-associated protein 25</t>
  </si>
  <si>
    <t>P60879</t>
  </si>
  <si>
    <t>http://www.phosphosite.org/proteinAction.do?id=4776&amp;showAllSites=true</t>
  </si>
  <si>
    <t>DAGIRTLVMLDEQGEQLERIEEGM#DQINKDM#KEAEK*</t>
  </si>
  <si>
    <t>1152</t>
  </si>
  <si>
    <t>Snx1</t>
  </si>
  <si>
    <t>SNX1</t>
  </si>
  <si>
    <t>154, 166</t>
  </si>
  <si>
    <t>sorting nexin-1</t>
  </si>
  <si>
    <t>Q9WV80</t>
  </si>
  <si>
    <t>http://www.phosphosite.org/proteinAction.do?id=5617&amp;showAllSites=true</t>
  </si>
  <si>
    <t>VGITDPEK*IGDGM#NAYVAYK*VTTQTSLPM#FR</t>
  </si>
  <si>
    <t>c2h2-type zinc finger protein</t>
  </si>
  <si>
    <t>1153</t>
  </si>
  <si>
    <t>Brpf1</t>
  </si>
  <si>
    <t>peregrin</t>
  </si>
  <si>
    <t>150, 152, 154</t>
  </si>
  <si>
    <t>Q3U109</t>
  </si>
  <si>
    <t>http://www.phosphosite.org/proteinAction.do?id=11487&amp;showAllSites=true</t>
  </si>
  <si>
    <t>SGK*HK*NK*EK</t>
  </si>
  <si>
    <t>1154</t>
  </si>
  <si>
    <t>1155</t>
  </si>
  <si>
    <t>TSVLFSK*K</t>
  </si>
  <si>
    <t>1156</t>
  </si>
  <si>
    <t>1157</t>
  </si>
  <si>
    <t>TSVLFSK*KNPK</t>
  </si>
  <si>
    <t>1158</t>
  </si>
  <si>
    <t>Zbtb44</t>
  </si>
  <si>
    <t>ZBTB44</t>
  </si>
  <si>
    <t>zinc finger and BTB domain-containing protein 44 isoform a</t>
  </si>
  <si>
    <t>Q8R0A2</t>
  </si>
  <si>
    <t>http://www.phosphosite.org/proteinAction.do?id=23640&amp;showAllSites=true</t>
  </si>
  <si>
    <t>QCDCCGK*K</t>
  </si>
  <si>
    <t>1159</t>
  </si>
  <si>
    <t>Zfp507</t>
  </si>
  <si>
    <t>ZNF507</t>
  </si>
  <si>
    <t>zinc finger protein 507</t>
  </si>
  <si>
    <t>Q6ZPY5</t>
  </si>
  <si>
    <t>http://www.phosphosite.org/proteinAction.do?id=11319&amp;showAllSites=true</t>
  </si>
  <si>
    <t>K*TEM#SQASSTLASNDGK</t>
  </si>
  <si>
    <t>1160</t>
  </si>
  <si>
    <t>Zfp512</t>
  </si>
  <si>
    <t>ZNF512</t>
  </si>
  <si>
    <t>zinc finger protein 512</t>
  </si>
  <si>
    <t>Q69Z99</t>
  </si>
  <si>
    <t>http://www.phosphosite.org/proteinAction.do?id=12701&amp;showAllSites=true</t>
  </si>
  <si>
    <t>EMSLEAK*GGGR</t>
  </si>
  <si>
    <t>1161</t>
  </si>
  <si>
    <t>AGK*EQGGNEELVGPDPEPVPAQPQK</t>
  </si>
  <si>
    <t>1162</t>
  </si>
  <si>
    <t>IKPAATSQVEGAGEK*EKER</t>
  </si>
  <si>
    <t>1163</t>
  </si>
  <si>
    <t>RIKPAATSQVEGAGEK*EKER</t>
  </si>
  <si>
    <t>1164</t>
  </si>
  <si>
    <t>1165</t>
  </si>
  <si>
    <t>IKPAATSQVEGAGEKEK*ER</t>
  </si>
  <si>
    <t>1166</t>
  </si>
  <si>
    <t>RIKPAATSQVEGAGEKEK*ER</t>
  </si>
  <si>
    <t>carbohydrate metabolism</t>
  </si>
  <si>
    <t>1167</t>
  </si>
  <si>
    <t>Pgk1</t>
  </si>
  <si>
    <t>PGK1</t>
  </si>
  <si>
    <t>phosphoglycerate kinase 1</t>
  </si>
  <si>
    <t>P09411</t>
  </si>
  <si>
    <t>1141</t>
  </si>
  <si>
    <t>LK*RDDASM#DR</t>
  </si>
  <si>
    <t>1142</t>
  </si>
  <si>
    <t>Secisbp2l</t>
  </si>
  <si>
    <t>469, 477, 481</t>
  </si>
  <si>
    <t>selenocysteine insertion sequence-binding protein 2-like</t>
  </si>
  <si>
    <t>NP_808276</t>
  </si>
  <si>
    <t>http://www.ncbi.nlm.nih.gov/entrez/query.fcgi?db=protein&amp;cmd=search&amp;term=NP_808276</t>
  </si>
  <si>
    <t>K*KLQEALSK*AAGK*K</t>
  </si>
  <si>
    <t>1143</t>
  </si>
  <si>
    <t>470, 477, 481</t>
  </si>
  <si>
    <t>KK*LQEALSK*AAGK*K</t>
  </si>
  <si>
    <t>1144</t>
  </si>
  <si>
    <t>Unc13c</t>
  </si>
  <si>
    <t>UNC13C</t>
  </si>
  <si>
    <t>474, 478, 485, 487</t>
  </si>
  <si>
    <t>protein unc-13 homolog C</t>
  </si>
  <si>
    <t>Q8K0T7</t>
  </si>
  <si>
    <t>http://www.phosphosite.org/proteinAction.do?id=19382&amp;showAllSites=true</t>
  </si>
  <si>
    <t>GSSSK*SSSK*SHSARSK*NK*</t>
  </si>
  <si>
    <t>1145</t>
  </si>
  <si>
    <t>Xirp2</t>
  </si>
  <si>
    <t>CMYA3</t>
  </si>
  <si>
    <t>3694, 3710</t>
  </si>
  <si>
    <t>xin actin-binding repeat-containing protein 2 isoform 1</t>
  </si>
  <si>
    <t>Q4U4S6</t>
  </si>
  <si>
    <t>http://www.phosphosite.org/proteinAction.do?id=22548&amp;showAllSites=true</t>
  </si>
  <si>
    <t>K*HNILGCDLMDSVDQLK*NMSCLYLRELGK</t>
  </si>
  <si>
    <t>Vesicle protein</t>
  </si>
  <si>
    <t>1146</t>
  </si>
  <si>
    <t>Ap2b1</t>
  </si>
  <si>
    <t>AP2B1</t>
  </si>
  <si>
    <t>AP-2 complex subunit beta isoform a</t>
  </si>
  <si>
    <t>Q9DBG3</t>
  </si>
  <si>
    <t>http://www.phosphosite.org/proteinAction.do?id=5626&amp;showAllSites=true</t>
  </si>
  <si>
    <t>RPEILK*QEIK</t>
  </si>
  <si>
    <t>1147</t>
  </si>
  <si>
    <t>Copg</t>
  </si>
  <si>
    <t>COPG</t>
  </si>
  <si>
    <t>coatomer subunit gamma isoform 1</t>
  </si>
  <si>
    <t>Q9QZE5</t>
  </si>
  <si>
    <t>http://www.phosphosite.org/proteinAction.do?id=21738&amp;showAllSites=true</t>
  </si>
  <si>
    <t>TNNPSK*YIR</t>
  </si>
  <si>
    <t>Exoc3</t>
  </si>
  <si>
    <t>SEC6L1</t>
  </si>
  <si>
    <t>exocyst complex component 3</t>
  </si>
  <si>
    <t>Q6KAR6</t>
  </si>
  <si>
    <t>http://www.phosphosite.org/proteinAction.do?id=9656&amp;showAllSites=true</t>
  </si>
  <si>
    <t>VAGM#LQRPDQLDK*VEQYR</t>
  </si>
  <si>
    <t>1149</t>
  </si>
  <si>
    <t>Gbp1; Gbp2</t>
  </si>
  <si>
    <t>GBP1; GBP2</t>
  </si>
  <si>
    <t>interferon-induced guanylate-binding protein 1</t>
  </si>
  <si>
    <t>A4UUI2; Q9Z0E6</t>
  </si>
  <si>
    <t>http://www.phosphosite.org/proteinAction.do?id=1657&amp;showAllSites=true</t>
  </si>
  <si>
    <t>68; 67</t>
  </si>
  <si>
    <t>NSFK*DVDQK</t>
  </si>
  <si>
    <t>1150</t>
  </si>
  <si>
    <t>Hps3</t>
  </si>
  <si>
    <t>HPS3</t>
  </si>
  <si>
    <t>Hermansky-Pudlak syndrome 3 protein homolog isoform 2</t>
  </si>
  <si>
    <t>YLTNQK*NSNSK*NDRR</t>
  </si>
  <si>
    <t>1128</t>
  </si>
  <si>
    <t>Morc2b</t>
  </si>
  <si>
    <t>MORC2B</t>
  </si>
  <si>
    <t>MORC family CW-type zinc finger protein 2B</t>
  </si>
  <si>
    <t>Q8C5W4</t>
  </si>
  <si>
    <t>http://www.phosphosite.org/proteinAction.do?id=6272105&amp;showAllSites=true</t>
  </si>
  <si>
    <t>PEVSDEIEDEDRRK*R</t>
  </si>
  <si>
    <t>1129</t>
  </si>
  <si>
    <t>Msl1</t>
  </si>
  <si>
    <t>MSL1</t>
  </si>
  <si>
    <t>male-specific lethal 1 homolog</t>
  </si>
  <si>
    <t>Q6PDM1</t>
  </si>
  <si>
    <t>http://www.phosphosite.org/proteinAction.do?id=16054&amp;showAllSites=true</t>
  </si>
  <si>
    <t>ESSPK*KEETVAR</t>
  </si>
  <si>
    <t>1130</t>
  </si>
  <si>
    <t>Mtpn</t>
  </si>
  <si>
    <t>MTPN</t>
  </si>
  <si>
    <t>myotrophin</t>
  </si>
  <si>
    <t>P62774</t>
  </si>
  <si>
    <t>http://www.phosphosite.org/proteinAction.do?id=20278&amp;showAllSites=true</t>
  </si>
  <si>
    <t>NGDLDEVKDYVAK*GEDVNR</t>
  </si>
  <si>
    <t>1131</t>
  </si>
  <si>
    <t>Oosp1</t>
  </si>
  <si>
    <t>oocyte-secreted protein 1 precursor</t>
  </si>
  <si>
    <t>NP_579931</t>
  </si>
  <si>
    <t>http://www.ncbi.nlm.nih.gov/entrez/query.fcgi?db=protein&amp;cmd=search&amp;term=NP_579931</t>
  </si>
  <si>
    <t>VGLLGLLLLLSFMK*</t>
  </si>
  <si>
    <t>1132</t>
  </si>
  <si>
    <t>Pcid2</t>
  </si>
  <si>
    <t>PCID2</t>
  </si>
  <si>
    <t>PCI domain-containing protein 2</t>
  </si>
  <si>
    <t>Q8BFV2</t>
  </si>
  <si>
    <t>http://www.phosphosite.org/proteinAction.do?id=4331&amp;showAllSites=true</t>
  </si>
  <si>
    <t>SK*VGDMLEK</t>
  </si>
  <si>
    <t>1133</t>
  </si>
  <si>
    <t>1134</t>
  </si>
  <si>
    <t>SK*VGDM#LEK</t>
  </si>
  <si>
    <t>1135</t>
  </si>
  <si>
    <t>Pcnp</t>
  </si>
  <si>
    <t>PCNP</t>
  </si>
  <si>
    <t>PEST proteolytic signal-containing nuclear protein</t>
  </si>
  <si>
    <t>Q6P8I4</t>
  </si>
  <si>
    <t>http://www.phosphosite.org/proteinAction.do?id=9670&amp;showAllSites=true</t>
  </si>
  <si>
    <t>SAEDEAADLPTK*PTK</t>
  </si>
  <si>
    <t>1136</t>
  </si>
  <si>
    <t>1137</t>
  </si>
  <si>
    <t>1138</t>
  </si>
  <si>
    <t>Pcp4l1</t>
  </si>
  <si>
    <t>PCP4L1</t>
  </si>
  <si>
    <t>Purkinje cell protein 4-like protein 1</t>
  </si>
  <si>
    <t>Q6W8Q3</t>
  </si>
  <si>
    <t>http://www.phosphosite.org/proteinAction.do?id=23748&amp;showAllSites=true</t>
  </si>
  <si>
    <t>AALAIQGK*FR</t>
  </si>
  <si>
    <t>1139</t>
  </si>
  <si>
    <t>Phf20l1</t>
  </si>
  <si>
    <t>PHF20L1</t>
  </si>
  <si>
    <t>PHD finger protein 20-like protein 1</t>
  </si>
  <si>
    <t>Q63ZX6</t>
  </si>
  <si>
    <t>http://www.phosphosite.org/proteinAction.do?id=16274&amp;showAllSites=true</t>
  </si>
  <si>
    <t>WSAK*YR</t>
  </si>
  <si>
    <t>1140</t>
  </si>
  <si>
    <t>R3hdm2</t>
  </si>
  <si>
    <t>R3HDM2</t>
  </si>
  <si>
    <t>163, 164</t>
  </si>
  <si>
    <t>R3H domain-containing protein 2 isoform 1</t>
  </si>
  <si>
    <t>Q80TM6</t>
  </si>
  <si>
    <t>http://www.phosphosite.org/proteinAction.do?id=12203&amp;showAllSites=true</t>
  </si>
  <si>
    <t>TLK*K*NPR</t>
  </si>
  <si>
    <t>Gm7964; hnRNP K; hnRNP K iso4</t>
  </si>
  <si>
    <t>461; 461; 457</t>
  </si>
  <si>
    <t>D3YWG1; P61979; BAE31602</t>
  </si>
  <si>
    <t>http://www.phosphosite.org/proteinAction.do?id=12571405&amp;showAllSites=true</t>
  </si>
  <si>
    <t>51; 51; 51</t>
  </si>
  <si>
    <t>QYSGK*FF</t>
  </si>
  <si>
    <t>1117</t>
  </si>
  <si>
    <t>Gm9234; Ppia</t>
  </si>
  <si>
    <t>Gm9234; PPIA</t>
  </si>
  <si>
    <t>PREDICTED: peptidyl-prolyl cis-trans isomerase A-like</t>
  </si>
  <si>
    <t>XP_001002180; P17742</t>
  </si>
  <si>
    <t>http://www.phosphosite.org/proteinAction.do?id=18411405&amp;showAllSites=true</t>
  </si>
  <si>
    <t>20; 18</t>
  </si>
  <si>
    <t>SIYGEK*FEDENFILK</t>
  </si>
  <si>
    <t>1118</t>
  </si>
  <si>
    <t>1119</t>
  </si>
  <si>
    <t>VSFELFADK*VPK</t>
  </si>
  <si>
    <t>1120</t>
  </si>
  <si>
    <t>Hps1</t>
  </si>
  <si>
    <t>HPS1</t>
  </si>
  <si>
    <t>Hermansky-Pudlak syndrome 1 protein homolog</t>
  </si>
  <si>
    <t>O08983</t>
  </si>
  <si>
    <t>http://www.phosphosite.org/proteinAction.do?id=15074&amp;showAllSites=true</t>
  </si>
  <si>
    <t>RYLQK*GCTTLLFQEGDFR</t>
  </si>
  <si>
    <t>Khnyn</t>
  </si>
  <si>
    <t>KHNYN</t>
  </si>
  <si>
    <t>protein KHNYN</t>
  </si>
  <si>
    <t>Q80U38</t>
  </si>
  <si>
    <t>http://www.phosphosite.org/proteinAction.do?id=7219&amp;showAllSites=true</t>
  </si>
  <si>
    <t>DLAEESDK*WM#AIIR</t>
  </si>
  <si>
    <t>1122</t>
  </si>
  <si>
    <t>1123</t>
  </si>
  <si>
    <t>1124</t>
  </si>
  <si>
    <t>Klhl22</t>
  </si>
  <si>
    <t>KLHL22</t>
  </si>
  <si>
    <t>433, 434</t>
  </si>
  <si>
    <t>kelch-like protein 22</t>
  </si>
  <si>
    <t>Q99JN2</t>
  </si>
  <si>
    <t>http://www.phosphosite.org/proteinAction.do?id=1303940&amp;showAllSites=true</t>
  </si>
  <si>
    <t>YDPATNSWDYVAPLK*K*</t>
  </si>
  <si>
    <t>1125</t>
  </si>
  <si>
    <t>Lmcd1</t>
  </si>
  <si>
    <t>LMCD1</t>
  </si>
  <si>
    <t>LIM and cysteine-rich domains protein 1</t>
  </si>
  <si>
    <t>Q8VEE1</t>
  </si>
  <si>
    <t>http://www.phosphosite.org/proteinAction.do?id=14810&amp;showAllSites=true</t>
  </si>
  <si>
    <t>GVGEVALPGQGGLPK*</t>
  </si>
  <si>
    <t>1126</t>
  </si>
  <si>
    <t>MBD5</t>
  </si>
  <si>
    <t>1406</t>
  </si>
  <si>
    <t>B1AYB6</t>
  </si>
  <si>
    <t>http://www.phosphosite.org/proteinAction.do?id=26351410&amp;showAllSites=true</t>
  </si>
  <si>
    <t>GLTSWPGK*FIR</t>
  </si>
  <si>
    <t>1127</t>
  </si>
  <si>
    <t>Meaf6; Meaf6</t>
  </si>
  <si>
    <t>MEAF6; MEAF6 iso2</t>
  </si>
  <si>
    <t>chromatin modification-related protein MEAF6</t>
  </si>
  <si>
    <t>Q2VPQ9; Q2VPQ9-2</t>
  </si>
  <si>
    <t>http://www.phosphosite.org/proteinAction.do?id=11375&amp;showAllSites=true</t>
  </si>
  <si>
    <t>22; 22</t>
  </si>
  <si>
    <t>EIAQDFK*TDLR</t>
  </si>
  <si>
    <t>1108</t>
  </si>
  <si>
    <t>1109</t>
  </si>
  <si>
    <t>Gm11435</t>
  </si>
  <si>
    <t>C17orf66</t>
  </si>
  <si>
    <t>hypothetical protein LOC629303</t>
  </si>
  <si>
    <t>Q5QNV8</t>
  </si>
  <si>
    <t>http://www.phosphosite.org/proteinAction.do?id=5251804&amp;showAllSites=true</t>
  </si>
  <si>
    <t>K*TVGLEK</t>
  </si>
  <si>
    <t>1110</t>
  </si>
  <si>
    <t>Gm14217; RPL5</t>
  </si>
  <si>
    <t>PREDICTED: 60S ribosomal protein L5-like</t>
  </si>
  <si>
    <t>XP_001004898; P47962</t>
  </si>
  <si>
    <t>http://www.phosphosite.org/proteinAction.do?id=5141588&amp;showAllSites=true</t>
  </si>
  <si>
    <t>40; 34</t>
  </si>
  <si>
    <t>GFVK*VVK</t>
  </si>
  <si>
    <t>1111</t>
  </si>
  <si>
    <t>Gm15144</t>
  </si>
  <si>
    <t>hypothetical protein LOC78092</t>
  </si>
  <si>
    <t>Q9D2K2</t>
  </si>
  <si>
    <t>http://www.phosphosite.org/proteinAction.do?id=15516300&amp;showAllSites=true</t>
  </si>
  <si>
    <t>VMAIK*ISCTK</t>
  </si>
  <si>
    <t>1112</t>
  </si>
  <si>
    <t>Gm15455; Rbm10; Rbm5</t>
  </si>
  <si>
    <t>Gm15455; RBM10; RBM5</t>
  </si>
  <si>
    <t>RNA binding motif protein 10-like</t>
  </si>
  <si>
    <t>NP_001155288; Q99KG3; Q91YE7</t>
  </si>
  <si>
    <t>http://www.phosphosite.org/proteinAction.do?id=7229004&amp;showAllSites=true</t>
  </si>
  <si>
    <t>95; 103; 92</t>
  </si>
  <si>
    <t>TAQQIAK*DMER</t>
  </si>
  <si>
    <t>1113</t>
  </si>
  <si>
    <t>Gm46</t>
  </si>
  <si>
    <t>PREDICTED: alpha-1-antiproteinase-like</t>
  </si>
  <si>
    <t>XP_112098</t>
  </si>
  <si>
    <t>http://www.phosphosite.org/proteinAction.do?id=2322340&amp;showAllSites=true</t>
  </si>
  <si>
    <t>K*SLLFM#GR</t>
  </si>
  <si>
    <t>1114</t>
  </si>
  <si>
    <t>Gm7160</t>
  </si>
  <si>
    <t>34, 40</t>
  </si>
  <si>
    <t>PREDICTED: hypothetical protein LOC635504</t>
  </si>
  <si>
    <t>XP_926778</t>
  </si>
  <si>
    <t>http://www.ncbi.nlm.nih.gov/entrez/query.fcgi?db=protein&amp;cmd=search&amp;term=XP_926778</t>
  </si>
  <si>
    <t>AVLMLDGFQQTEDVGLGLSDHGEDK*TELNPK*</t>
  </si>
  <si>
    <t>1115</t>
  </si>
  <si>
    <t>Gm7866; Uba52</t>
  </si>
  <si>
    <t>Gm7866; UBA52</t>
  </si>
  <si>
    <t>PREDICTED: ubiquitin-like protein ISG15-like</t>
  </si>
  <si>
    <t>F6X7C4; P62984</t>
  </si>
  <si>
    <t>http://www.phosphosite.org/proteinAction.do?id=9917202&amp;showAllSites=true</t>
  </si>
  <si>
    <t>14; 15</t>
  </si>
  <si>
    <t>QLAQK*YNCDK</t>
  </si>
  <si>
    <t>1116</t>
  </si>
  <si>
    <t>Gm7964; Hnrnpk; Hnrnpk</t>
  </si>
  <si>
    <t>K*STGGK*APR</t>
  </si>
  <si>
    <t>1103</t>
  </si>
  <si>
    <t>KSTGGK*APR</t>
  </si>
  <si>
    <t>1104</t>
  </si>
  <si>
    <t>Gm10257; Gm12657; Gm6749; H3f3a; H3f3b; Hist1h3a; Hist1h3g; Hist2h3b</t>
  </si>
  <si>
    <t>Gm10257; Gm12657; Gm6749; H3F3A; H3 iso3; H3; HIST3H3; H3 iso2</t>
  </si>
  <si>
    <t>XP_995553; NP_001074488; XP_897119; NP_032236; P84244; P68433; NP_659539; P84228</t>
  </si>
  <si>
    <t>15; 15; 16; 15; 15; 15; 15; 15</t>
  </si>
  <si>
    <t>K*QLATK*AAR</t>
  </si>
  <si>
    <t>1105</t>
  </si>
  <si>
    <t>KQLATK*AAR</t>
  </si>
  <si>
    <t>1106</t>
  </si>
  <si>
    <t>QLATK*AAR</t>
  </si>
  <si>
    <t>1107</t>
  </si>
  <si>
    <t>Gm10257; Gm12657; Gm6749; H3f3a; H3f3b; H3f3c; Hist1h3a; Hist1h3g; Hist2h3b</t>
  </si>
  <si>
    <t>Gm10257; Gm12657; Gm6749; H3F3A; H3 iso3; H3F3C; H3; HIST3H3; H3 iso2</t>
  </si>
  <si>
    <t>XP_995553; NP_001074488; XP_897119; NP_032236; P84244; P02301; P68433; NP_659539; P84228</t>
  </si>
  <si>
    <t>15; 15; 16; 15; 15; 15; 15; 15; 15</t>
  </si>
  <si>
    <t>TLAQAK*K</t>
  </si>
  <si>
    <t>1096</t>
  </si>
  <si>
    <t>Crip2; Crip3</t>
  </si>
  <si>
    <t>CRIP2; CRIP3</t>
  </si>
  <si>
    <t>cysteine-rich protein 2</t>
  </si>
  <si>
    <t>Q9DCT8; Q6Q6R3</t>
  </si>
  <si>
    <t>http://www.phosphosite.org/proteinAction.do?id=10958&amp;showAllSites=true</t>
  </si>
  <si>
    <t>23; 27</t>
  </si>
  <si>
    <t>FCLK*CER</t>
  </si>
  <si>
    <t>1097</t>
  </si>
  <si>
    <t>Cyfip1; Cyfip2</t>
  </si>
  <si>
    <t>CYFIP1; CYFIP2</t>
  </si>
  <si>
    <t>182; 182</t>
  </si>
  <si>
    <t>cytoplasmic FMR1-interacting protein 1 isoform a</t>
  </si>
  <si>
    <t>Q7TMB8; Q5SQX6</t>
  </si>
  <si>
    <t>http://www.phosphosite.org/proteinAction.do?id=8967&amp;showAllSites=true</t>
  </si>
  <si>
    <t>145; 146</t>
  </si>
  <si>
    <t>CSVK*NDHSAYKR</t>
  </si>
  <si>
    <t>1098</t>
  </si>
  <si>
    <t>Def8</t>
  </si>
  <si>
    <t>DEF8</t>
  </si>
  <si>
    <t>differentially expressed in FDCP 8</t>
  </si>
  <si>
    <t>Q99J78</t>
  </si>
  <si>
    <t>http://www.phosphosite.org/proteinAction.do?id=3250302&amp;showAllSites=true</t>
  </si>
  <si>
    <t>QK*DAVVRLIHLR</t>
  </si>
  <si>
    <t>1099</t>
  </si>
  <si>
    <t>E330034G19Rik</t>
  </si>
  <si>
    <t>LOC105418</t>
  </si>
  <si>
    <t>hypothetical protein LOC105418</t>
  </si>
  <si>
    <t>Q3UWX6</t>
  </si>
  <si>
    <t>http://www.phosphosite.org/proteinAction.do?id=18611204&amp;showAllSites=true</t>
  </si>
  <si>
    <t>NKVNMLK*QENR</t>
  </si>
  <si>
    <t>1100</t>
  </si>
  <si>
    <t>Fam47a-ps</t>
  </si>
  <si>
    <t>FAM47A</t>
  </si>
  <si>
    <t>hypothetical protein LOC70864</t>
  </si>
  <si>
    <t>Q14BE7</t>
  </si>
  <si>
    <t>http://www.phosphosite.org/proteinAction.do?id=9394200&amp;showAllSites=true</t>
  </si>
  <si>
    <t>FPGSRK*YSMLQEKKPR</t>
  </si>
  <si>
    <t>1101</t>
  </si>
  <si>
    <t>Fbxo34</t>
  </si>
  <si>
    <t>FBXO34</t>
  </si>
  <si>
    <t>F-box only protein 34 isoform 2</t>
  </si>
  <si>
    <t>Q80XI1</t>
  </si>
  <si>
    <t>http://www.phosphosite.org/proteinAction.do?id=15000&amp;showAllSites=true</t>
  </si>
  <si>
    <t>PGTWAIVK*PGNTK</t>
  </si>
  <si>
    <t>1102</t>
  </si>
  <si>
    <t>Gm10257; Gm6749; H3f3a; H3f3b; H3f3c; Hist1h3a; Hist1h3g; Hist2h3b</t>
  </si>
  <si>
    <t>Gm10257; Gm6749; H3F3A; H3 iso3; H3F3C; H3; HIST3H3; H3 iso2</t>
  </si>
  <si>
    <t>PREDICTED: histone H3.3-like</t>
  </si>
  <si>
    <t>XP_995553; XP_897119; NP_032236; P84244; P02301; P68433; NP_659539; P84228</t>
  </si>
  <si>
    <t>http://www.phosphosite.org/proteinAction.do?id=5145077&amp;showAllSites=true</t>
  </si>
  <si>
    <t>15; 16; 15; 15; 15; 15; 15; 15</t>
  </si>
  <si>
    <t>http://www.phosphosite.org/proteinAction.do?id=944201&amp;showAllSites=true</t>
  </si>
  <si>
    <t>IISIINK*TENKKQ</t>
  </si>
  <si>
    <t>1083</t>
  </si>
  <si>
    <t>Ankdd1a; Ankdd1b</t>
  </si>
  <si>
    <t>ANKDD1A; ANKDD1B</t>
  </si>
  <si>
    <t>358; 305</t>
  </si>
  <si>
    <t>PREDICTED: ankyrin repeat and death domain-containing protein 1A</t>
  </si>
  <si>
    <t>XP_357954; Q14DN9</t>
  </si>
  <si>
    <t>http://www.phosphosite.org/proteinAction.do?id=11545507&amp;showAllSites=true</t>
  </si>
  <si>
    <t>56; 52</t>
  </si>
  <si>
    <t>QGK*TALAVAAR</t>
  </si>
  <si>
    <t>1084</t>
  </si>
  <si>
    <t>Armc8</t>
  </si>
  <si>
    <t>ARMC8</t>
  </si>
  <si>
    <t>armadillo repeat-containing protein 8 isoform 2</t>
  </si>
  <si>
    <t>Q9DBR3</t>
  </si>
  <si>
    <t>http://www.phosphosite.org/proteinAction.do?id=22944&amp;showAllSites=true</t>
  </si>
  <si>
    <t>DSDMNVLM#K*TLGLLR</t>
  </si>
  <si>
    <t>1085</t>
  </si>
  <si>
    <t>B230312A22Rik</t>
  </si>
  <si>
    <t>KIAA1539</t>
  </si>
  <si>
    <t>hypothetical protein LOC230088</t>
  </si>
  <si>
    <t>Q8BR27</t>
  </si>
  <si>
    <t>http://www.phosphosite.org/proteinAction.do?id=3664415&amp;showAllSites=true</t>
  </si>
  <si>
    <t>IGGK*SPVAR</t>
  </si>
  <si>
    <t>1086</t>
  </si>
  <si>
    <t>BC005624</t>
  </si>
  <si>
    <t>HCA59</t>
  </si>
  <si>
    <t>hypothetical protein LOC227707</t>
  </si>
  <si>
    <t>Q3TQI7</t>
  </si>
  <si>
    <t>http://www.phosphosite.org/proteinAction.do?id=11553&amp;showAllSites=true</t>
  </si>
  <si>
    <t>ITGK*TFR</t>
  </si>
  <si>
    <t>1087</t>
  </si>
  <si>
    <t>Beta-s; Hbb-b1; Hbb-b2</t>
  </si>
  <si>
    <t>Beta-s; HBD; HBB</t>
  </si>
  <si>
    <t>hemoglobin subunit beta-1-like</t>
  </si>
  <si>
    <t>A8DUK4; P02088; P02089</t>
  </si>
  <si>
    <t>http://www.phosphosite.org/proteinAction.do?id=25516004&amp;showAllSites=true</t>
  </si>
  <si>
    <t>16; 16; 16</t>
  </si>
  <si>
    <t>ALAHK*YH</t>
  </si>
  <si>
    <t>1088</t>
  </si>
  <si>
    <t>Beta-s</t>
  </si>
  <si>
    <t>A8DUK4</t>
  </si>
  <si>
    <t>VVAGVAAALAHK*YH</t>
  </si>
  <si>
    <t>1089</t>
  </si>
  <si>
    <t>1090</t>
  </si>
  <si>
    <t>1091</t>
  </si>
  <si>
    <t>1092</t>
  </si>
  <si>
    <t>GTFASLSELHCDK*LHVDPENFR</t>
  </si>
  <si>
    <t>1093</t>
  </si>
  <si>
    <t>Brpf3</t>
  </si>
  <si>
    <t>BRPF3</t>
  </si>
  <si>
    <t>bromodomain and PHD finger-containing protein 3</t>
  </si>
  <si>
    <t>Q6ZPU7</t>
  </si>
  <si>
    <t>http://www.phosphosite.org/proteinAction.do?id=9400&amp;showAllSites=true</t>
  </si>
  <si>
    <t>IK*KEPEEAGR</t>
  </si>
  <si>
    <t>1094</t>
  </si>
  <si>
    <t>1095</t>
  </si>
  <si>
    <t>Ccdc32</t>
  </si>
  <si>
    <t>CCDC32</t>
  </si>
  <si>
    <t>coiled-coil domain containing 32</t>
  </si>
  <si>
    <t>Q8BS39</t>
  </si>
  <si>
    <t>http://www.phosphosite.org/proteinAction.do?id=2453040&amp;showAllSites=true</t>
  </si>
  <si>
    <t>http://www.phosphosite.org/proteinAction.do?id=18332&amp;showAllSites=true</t>
  </si>
  <si>
    <t>IECGPK*YPEAPPSVR</t>
  </si>
  <si>
    <t>1072</t>
  </si>
  <si>
    <t>Vps41</t>
  </si>
  <si>
    <t>VPS41</t>
  </si>
  <si>
    <t>vacuolar protein sorting-associated protein 41 homolog</t>
  </si>
  <si>
    <t>Q5KU39</t>
  </si>
  <si>
    <t>http://www.phosphosite.org/proteinAction.do?id=13020&amp;showAllSites=true</t>
  </si>
  <si>
    <t>GK*LQVFGLYSGEEFHETFDCPIK</t>
  </si>
  <si>
    <t>Unknown function</t>
  </si>
  <si>
    <t>1073</t>
  </si>
  <si>
    <t>1110028C15Rik</t>
  </si>
  <si>
    <t>FLJ23861</t>
  </si>
  <si>
    <t>hypothetical protein LOC68691 isoform 1</t>
  </si>
  <si>
    <t>Q5DTI6</t>
  </si>
  <si>
    <t>http://www.phosphosite.org/proteinAction.do?id=16260&amp;showAllSites=true</t>
  </si>
  <si>
    <t>AYSK*NVEGQDLVLK</t>
  </si>
  <si>
    <t>1074</t>
  </si>
  <si>
    <t>2700060E02Rik</t>
  </si>
  <si>
    <t>C14orf166</t>
  </si>
  <si>
    <t>hypothetical protein LOC68045</t>
  </si>
  <si>
    <t>Q9CQE8</t>
  </si>
  <si>
    <t>http://www.phosphosite.org/proteinAction.do?id=9193&amp;showAllSites=true</t>
  </si>
  <si>
    <t>KLTALDYHNPSGFNCK*DETEFR</t>
  </si>
  <si>
    <t>1075</t>
  </si>
  <si>
    <t>LTALDYHNPSGFNCK*DETEFR</t>
  </si>
  <si>
    <t>1077</t>
  </si>
  <si>
    <t>3110062M04Rik; Fis1; Fis1</t>
  </si>
  <si>
    <t>MRI; FIS1; FIS1 iso4</t>
  </si>
  <si>
    <t>149; 92; 42</t>
  </si>
  <si>
    <t>modulator of retrovirus infection homolog</t>
  </si>
  <si>
    <t>Q8BHZ5; Q9CQ92; D3YZ32</t>
  </si>
  <si>
    <t>http://www.phosphosite.org/proteinAction.do?id=3641390&amp;showAllSites=true</t>
  </si>
  <si>
    <t>17; 17; 11</t>
  </si>
  <si>
    <t>ALK*YVR</t>
  </si>
  <si>
    <t>1078</t>
  </si>
  <si>
    <t>3110062M04Rik</t>
  </si>
  <si>
    <t>MRI</t>
  </si>
  <si>
    <t>Q8BHZ5</t>
  </si>
  <si>
    <t>YCM#NEAEMVDVALGILIEGRKQEK*PWEQR</t>
  </si>
  <si>
    <t>1079</t>
  </si>
  <si>
    <t>4921524L21Rik; 4921524L21Rik</t>
  </si>
  <si>
    <t>4921524L21Rik; 4921524L21Rik iso3</t>
  </si>
  <si>
    <t>147; 200</t>
  </si>
  <si>
    <t>hypothetical protein LOC70901</t>
  </si>
  <si>
    <t>Q80W38; Q9D5T2</t>
  </si>
  <si>
    <t>http://www.phosphosite.org/proteinAction.do?id=5143655&amp;showAllSites=true</t>
  </si>
  <si>
    <t>44; 50</t>
  </si>
  <si>
    <t>HGEEM#RWK*TSSMVALVGPHPECPQVPYLTR</t>
  </si>
  <si>
    <t>1080</t>
  </si>
  <si>
    <t>6330577E15Rik</t>
  </si>
  <si>
    <t>SFR1</t>
  </si>
  <si>
    <t>swi5-dependent recombination DNA repair protein 1 homolog</t>
  </si>
  <si>
    <t>Q8BP27</t>
  </si>
  <si>
    <t>http://www.phosphosite.org/proteinAction.do?id=8345&amp;showAllSites=true</t>
  </si>
  <si>
    <t>SSSHSFCSVVK*R</t>
  </si>
  <si>
    <t>1081</t>
  </si>
  <si>
    <t>1082</t>
  </si>
  <si>
    <t>9330101J02Rik</t>
  </si>
  <si>
    <t>PREDICTED: TPR repeat-containing protein C10orf93</t>
  </si>
  <si>
    <t>Q8BZQ3</t>
  </si>
  <si>
    <t>1062</t>
  </si>
  <si>
    <t>Vars2</t>
  </si>
  <si>
    <t>VARS2</t>
  </si>
  <si>
    <t>valyl-tRNA synthetase, mitochondrial precursor</t>
  </si>
  <si>
    <t>Q3U2A8</t>
  </si>
  <si>
    <t>http://www.phosphosite.org/proteinAction.do?id=7429401&amp;showAllSites=true</t>
  </si>
  <si>
    <t>VIGENAEDDRK*ECWVVGR</t>
  </si>
  <si>
    <t>Tumor suppressor</t>
  </si>
  <si>
    <t>1063</t>
  </si>
  <si>
    <t>Nme1; Nme2</t>
  </si>
  <si>
    <t>NM23; NME2</t>
  </si>
  <si>
    <t>nucleoside diphosphate kinase A</t>
  </si>
  <si>
    <t>P15532; Q01768</t>
  </si>
  <si>
    <t>http://www.phosphosite.org/proteinAction.do?id=3837&amp;showAllSites=true</t>
  </si>
  <si>
    <t>FEQK*GFR</t>
  </si>
  <si>
    <t>1064</t>
  </si>
  <si>
    <t>Psrc1</t>
  </si>
  <si>
    <t>PSRC1</t>
  </si>
  <si>
    <t>165, 166</t>
  </si>
  <si>
    <t>proline/serine-rich coiled-coil protein 1</t>
  </si>
  <si>
    <t>Q9QXY5</t>
  </si>
  <si>
    <t>http://www.phosphosite.org/proteinAction.do?id=16402&amp;showAllSites=true</t>
  </si>
  <si>
    <t>VASGK*K*PSSIKKE</t>
  </si>
  <si>
    <t>1065</t>
  </si>
  <si>
    <t>Ubiquitin conjugating system</t>
  </si>
  <si>
    <t>1066</t>
  </si>
  <si>
    <t>Cul9</t>
  </si>
  <si>
    <t>PARC</t>
  </si>
  <si>
    <t>cullin-9</t>
  </si>
  <si>
    <t>Q80TT8</t>
  </si>
  <si>
    <t>http://www.phosphosite.org/proteinAction.do?id=18873&amp;showAllSites=true</t>
  </si>
  <si>
    <t>SAANFSEK*EEACR</t>
  </si>
  <si>
    <t>1067</t>
  </si>
  <si>
    <t>Huwe1</t>
  </si>
  <si>
    <t>HUWE1</t>
  </si>
  <si>
    <t>E3 ubiquitin-protein ligase HUWE1</t>
  </si>
  <si>
    <t>Q7TMY8</t>
  </si>
  <si>
    <t>http://www.phosphosite.org/proteinAction.do?id=6567&amp;showAllSites=true</t>
  </si>
  <si>
    <t>VPHSLDLSSPNM#ANTVNAALK*PLETLSR</t>
  </si>
  <si>
    <t>1068</t>
  </si>
  <si>
    <t>Sae1</t>
  </si>
  <si>
    <t>UBLE1A</t>
  </si>
  <si>
    <t>SUMO-activating enzyme subunit 1</t>
  </si>
  <si>
    <t>Q9R1T2</t>
  </si>
  <si>
    <t>http://www.phosphosite.org/proteinAction.do?id=9602&amp;showAllSites=true</t>
  </si>
  <si>
    <t>VSQGVEDGPEAK*R</t>
  </si>
  <si>
    <t>1069</t>
  </si>
  <si>
    <t>Trim42</t>
  </si>
  <si>
    <t>TRIM42</t>
  </si>
  <si>
    <t>704, 708</t>
  </si>
  <si>
    <t>tripartite motif-containing protein 42</t>
  </si>
  <si>
    <t>Q9D2H5</t>
  </si>
  <si>
    <t>http://www.phosphosite.org/proteinAction.do?id=14015&amp;showAllSites=true</t>
  </si>
  <si>
    <t>VVTPDGRGK*NRAK*</t>
  </si>
  <si>
    <t>1070</t>
  </si>
  <si>
    <t>Uba1</t>
  </si>
  <si>
    <t>UBE1</t>
  </si>
  <si>
    <t>ubiquitin-like modifier-activating enzyme 1 isoform 2</t>
  </si>
  <si>
    <t>Q02053</t>
  </si>
  <si>
    <t>http://www.phosphosite.org/proteinAction.do?id=2777&amp;showAllSites=true</t>
  </si>
  <si>
    <t>QPAENVNQYLTDSK*FVER</t>
  </si>
  <si>
    <t>1071</t>
  </si>
  <si>
    <t>Ube2v1</t>
  </si>
  <si>
    <t>UBE2V1</t>
  </si>
  <si>
    <t>ubiquitin-conjugating enzyme E2 variant 1</t>
  </si>
  <si>
    <t>Q9CZY3</t>
  </si>
  <si>
    <t>ribosomal protein L3-like isoform 1</t>
  </si>
  <si>
    <t>NP_001157417</t>
  </si>
  <si>
    <t>http://www.ncbi.nlm.nih.gov/entrez/query.fcgi?db=protein&amp;cmd=search&amp;term=NP_001157417</t>
  </si>
  <si>
    <t>EVIDVIAVTK*GRGVK</t>
  </si>
  <si>
    <t>1050</t>
  </si>
  <si>
    <t>Rpl9</t>
  </si>
  <si>
    <t>RPL9</t>
  </si>
  <si>
    <t>60S ribosomal protein L9</t>
  </si>
  <si>
    <t>P51410</t>
  </si>
  <si>
    <t>http://www.phosphosite.org/proteinAction.do?id=24075&amp;showAllSites=true</t>
  </si>
  <si>
    <t>NFLGEK*YIR</t>
  </si>
  <si>
    <t>1051</t>
  </si>
  <si>
    <t>Rplp2</t>
  </si>
  <si>
    <t>RPLP2</t>
  </si>
  <si>
    <t>60S acidic ribosomal protein P2</t>
  </si>
  <si>
    <t>P99027</t>
  </si>
  <si>
    <t>http://www.phosphosite.org/proteinAction.do?id=6600&amp;showAllSites=true</t>
  </si>
  <si>
    <t>YVASYLLAALGGNSSPSAK*DIK</t>
  </si>
  <si>
    <t>1052</t>
  </si>
  <si>
    <t>Rps11</t>
  </si>
  <si>
    <t>RPS11</t>
  </si>
  <si>
    <t>40S ribosomal protein S11</t>
  </si>
  <si>
    <t>P62281</t>
  </si>
  <si>
    <t>http://www.phosphosite.org/proteinAction.do?id=8547&amp;showAllSites=true</t>
  </si>
  <si>
    <t>VLLGETGK*EK</t>
  </si>
  <si>
    <t>1053</t>
  </si>
  <si>
    <t>NIGLGFK*TPK</t>
  </si>
  <si>
    <t>1054</t>
  </si>
  <si>
    <t>Rps17</t>
  </si>
  <si>
    <t>RPS17</t>
  </si>
  <si>
    <t>40S ribosomal protein S17</t>
  </si>
  <si>
    <t>P63276</t>
  </si>
  <si>
    <t>http://www.phosphosite.org/proteinAction.do?id=6594&amp;showAllSites=true</t>
  </si>
  <si>
    <t>VIIEK*YYTR</t>
  </si>
  <si>
    <t>1055</t>
  </si>
  <si>
    <t>Rps18</t>
  </si>
  <si>
    <t>RPS18</t>
  </si>
  <si>
    <t>40S ribosomal protein S18</t>
  </si>
  <si>
    <t>P62270</t>
  </si>
  <si>
    <t>http://www.phosphosite.org/proteinAction.do?id=12125&amp;showAllSites=true</t>
  </si>
  <si>
    <t>DGK*YSQVLANGLDNK</t>
  </si>
  <si>
    <t>1056</t>
  </si>
  <si>
    <t>Rps27a</t>
  </si>
  <si>
    <t>RPS27A</t>
  </si>
  <si>
    <t>ubiquitin-40S ribosomal protein S27a precursor</t>
  </si>
  <si>
    <t>P62983</t>
  </si>
  <si>
    <t>http://www.phosphosite.org/proteinAction.do?id=13422201&amp;showAllSites=true</t>
  </si>
  <si>
    <t>YYKVDENGK*ISR</t>
  </si>
  <si>
    <t>1057</t>
  </si>
  <si>
    <t>CCLTYCFNK*PEDK</t>
  </si>
  <si>
    <t>1058</t>
  </si>
  <si>
    <t>1059</t>
  </si>
  <si>
    <t>1060</t>
  </si>
  <si>
    <t>Rps6</t>
  </si>
  <si>
    <t>S6</t>
  </si>
  <si>
    <t>40S ribosomal protein S6</t>
  </si>
  <si>
    <t>P62754</t>
  </si>
  <si>
    <t>http://www.phosphosite.org/proteinAction.do?id=1574&amp;showAllSites=true</t>
  </si>
  <si>
    <t>NK*EEAAEYAK</t>
  </si>
  <si>
    <t>1061</t>
  </si>
  <si>
    <t>Tufm</t>
  </si>
  <si>
    <t>EFTU</t>
  </si>
  <si>
    <t>elongation factor Tu, mitochondrial isoform 2</t>
  </si>
  <si>
    <t>Q8BFR5</t>
  </si>
  <si>
    <t>http://www.phosphosite.org/proteinAction.do?id=9171&amp;showAllSites=true</t>
  </si>
  <si>
    <t>DLDK*PFLLPVESVYSIPGR</t>
  </si>
  <si>
    <t>http://www.ncbi.nlm.nih.gov/entrez/query.fcgi?db=protein&amp;cmd=search&amp;term=XP_890230</t>
  </si>
  <si>
    <t>17; 17</t>
  </si>
  <si>
    <t>K*DAPAPPKAEAKAK</t>
  </si>
  <si>
    <t>1037</t>
  </si>
  <si>
    <t>Iars2</t>
  </si>
  <si>
    <t>IARS2</t>
  </si>
  <si>
    <t>isoleucyl-tRNA synthetase, mitochondrial precursor</t>
  </si>
  <si>
    <t>Q8BIJ6</t>
  </si>
  <si>
    <t>http://www.phosphosite.org/proteinAction.do?id=10485&amp;showAllSites=true</t>
  </si>
  <si>
    <t>SYK*PVYWSPSSR</t>
  </si>
  <si>
    <t>1038</t>
  </si>
  <si>
    <t>Rpl13a</t>
  </si>
  <si>
    <t>RPL13A</t>
  </si>
  <si>
    <t>60S ribosomal protein L13a</t>
  </si>
  <si>
    <t>P19253</t>
  </si>
  <si>
    <t>http://www.phosphosite.org/proteinAction.do?id=11037&amp;showAllSites=true</t>
  </si>
  <si>
    <t>ICK*FTEVLK</t>
  </si>
  <si>
    <t>1039</t>
  </si>
  <si>
    <t>Rpl19</t>
  </si>
  <si>
    <t>RPL19</t>
  </si>
  <si>
    <t>60S ribosomal protein L19 isoform 2</t>
  </si>
  <si>
    <t>P84099</t>
  </si>
  <si>
    <t>http://www.phosphosite.org/proteinAction.do?id=9227&amp;showAllSites=true</t>
  </si>
  <si>
    <t>LQAK*KEEIIK</t>
  </si>
  <si>
    <t>1040</t>
  </si>
  <si>
    <t>HMGIGK*R</t>
  </si>
  <si>
    <t>1041</t>
  </si>
  <si>
    <t>HM#GIGK*R</t>
  </si>
  <si>
    <t>1042</t>
  </si>
  <si>
    <t>Rpl24</t>
  </si>
  <si>
    <t>RPL24</t>
  </si>
  <si>
    <t>60S ribosomal protein L24</t>
  </si>
  <si>
    <t>Q8BP67</t>
  </si>
  <si>
    <t>http://www.phosphosite.org/proteinAction.do?id=9207&amp;showAllSites=true</t>
  </si>
  <si>
    <t>TDGK*VFQFLNAK</t>
  </si>
  <si>
    <t>1043</t>
  </si>
  <si>
    <t>Rpl26</t>
  </si>
  <si>
    <t>RPL26</t>
  </si>
  <si>
    <t>60S ribosomal protein L26</t>
  </si>
  <si>
    <t>P61255</t>
  </si>
  <si>
    <t>http://www.phosphosite.org/proteinAction.do?id=17694&amp;showAllSites=true</t>
  </si>
  <si>
    <t>K*KYVIYIER</t>
  </si>
  <si>
    <t>1044</t>
  </si>
  <si>
    <t>KK*YVIYIER</t>
  </si>
  <si>
    <t>1045</t>
  </si>
  <si>
    <t>Rpl32</t>
  </si>
  <si>
    <t>RPL32</t>
  </si>
  <si>
    <t>60S ribosomal protein L32</t>
  </si>
  <si>
    <t>P62911</t>
  </si>
  <si>
    <t>http://www.phosphosite.org/proteinAction.do?id=18097&amp;showAllSites=true</t>
  </si>
  <si>
    <t>NWRK*PRGIDNR</t>
  </si>
  <si>
    <t>1046</t>
  </si>
  <si>
    <t>Rpl34</t>
  </si>
  <si>
    <t>RPL34</t>
  </si>
  <si>
    <t>60S ribosomal protein L34 isoform 2</t>
  </si>
  <si>
    <t>Q9D1R9</t>
  </si>
  <si>
    <t>http://www.phosphosite.org/proteinAction.do?id=23252&amp;showAllSites=true</t>
  </si>
  <si>
    <t>IVYLYTK*K</t>
  </si>
  <si>
    <t>1047</t>
  </si>
  <si>
    <t>IVYLYTKK*</t>
  </si>
  <si>
    <t>1048</t>
  </si>
  <si>
    <t>Rpl37</t>
  </si>
  <si>
    <t>RPL37</t>
  </si>
  <si>
    <t>60S ribosomal protein L37</t>
  </si>
  <si>
    <t>Q9D823</t>
  </si>
  <si>
    <t>http://www.phosphosite.org/proteinAction.do?id=4859007&amp;showAllSites=true</t>
  </si>
  <si>
    <t>TKGTSSFGK*R</t>
  </si>
  <si>
    <t>1049</t>
  </si>
  <si>
    <t>Rpl3l</t>
  </si>
  <si>
    <t>http://www.ncbi.nlm.nih.gov/entrez/query.fcgi?db=protein&amp;cmd=search&amp;term=NP_663459</t>
  </si>
  <si>
    <t>65; 57; 55</t>
  </si>
  <si>
    <t>K*IHTGEKPYKCSECDKCFTHK</t>
  </si>
  <si>
    <t>1024</t>
  </si>
  <si>
    <t>Zim1</t>
  </si>
  <si>
    <t>241, 246</t>
  </si>
  <si>
    <t>zinc finger, imprinted 1</t>
  </si>
  <si>
    <t>Q9WVI0</t>
  </si>
  <si>
    <t>http://www.phosphosite.org/proteinAction.do?id=20125&amp;showAllSites=true</t>
  </si>
  <si>
    <t>QSAPSEKPTSGK*DVEGK*PQTMR</t>
  </si>
  <si>
    <t>Translation</t>
  </si>
  <si>
    <t>1025</t>
  </si>
  <si>
    <t>Eef1a1</t>
  </si>
  <si>
    <t>eEF1A1</t>
  </si>
  <si>
    <t>elongation factor 1-alpha 1</t>
  </si>
  <si>
    <t>P10126</t>
  </si>
  <si>
    <t>http://www.phosphosite.org/proteinAction.do?id=3354&amp;showAllSites=true</t>
  </si>
  <si>
    <t>EVSTYIK*K</t>
  </si>
  <si>
    <t>1026</t>
  </si>
  <si>
    <t>Eef1a1; Eef1a2</t>
  </si>
  <si>
    <t>eEF1A1; eEF1A2</t>
  </si>
  <si>
    <t>P10126; P27706</t>
  </si>
  <si>
    <t>50; 50</t>
  </si>
  <si>
    <t>TIEK*FEK</t>
  </si>
  <si>
    <t>1027</t>
  </si>
  <si>
    <t>TIEK*FEKEAAEMGK</t>
  </si>
  <si>
    <t>1028</t>
  </si>
  <si>
    <t>TIEK*FEKEAAEM#GK</t>
  </si>
  <si>
    <t>1029</t>
  </si>
  <si>
    <t>TIEKFEK*EAAEM#GK</t>
  </si>
  <si>
    <t>1030</t>
  </si>
  <si>
    <t>Eef1g</t>
  </si>
  <si>
    <t>eEF1G</t>
  </si>
  <si>
    <t>elongation factor 1-gamma</t>
  </si>
  <si>
    <t>Q9D8N0</t>
  </si>
  <si>
    <t>http://www.phosphosite.org/proteinAction.do?id=9165&amp;showAllSites=true</t>
  </si>
  <si>
    <t>QATENAKEEVK*R</t>
  </si>
  <si>
    <t>1031</t>
  </si>
  <si>
    <t>AVNQGK*IFK</t>
  </si>
  <si>
    <t>1032</t>
  </si>
  <si>
    <t>Eef2</t>
  </si>
  <si>
    <t>eEF-2</t>
  </si>
  <si>
    <t>elongation factor 2</t>
  </si>
  <si>
    <t>P58252</t>
  </si>
  <si>
    <t>http://www.phosphosite.org/proteinAction.do?id=1537&amp;showAllSites=true</t>
  </si>
  <si>
    <t>YFDPANGK*FSK</t>
  </si>
  <si>
    <t>1033</t>
  </si>
  <si>
    <t>1034</t>
  </si>
  <si>
    <t>Eif3h</t>
  </si>
  <si>
    <t>eIF3S3</t>
  </si>
  <si>
    <t>eukaryotic translation initiation factor 3 subunit H</t>
  </si>
  <si>
    <t>Q91WK2</t>
  </si>
  <si>
    <t>http://www.phosphosite.org/proteinAction.do?id=17304&amp;showAllSites=true</t>
  </si>
  <si>
    <t>GAVGK*GK*GK</t>
  </si>
  <si>
    <t>1035</t>
  </si>
  <si>
    <t>Fau</t>
  </si>
  <si>
    <t>RPS30</t>
  </si>
  <si>
    <t>40S ribosomal protein S30 precursor</t>
  </si>
  <si>
    <t>P62862</t>
  </si>
  <si>
    <t>http://www.phosphosite.org/proteinAction.do?id=9219&amp;showAllSites=true</t>
  </si>
  <si>
    <t>FVNVVPTFGK*K</t>
  </si>
  <si>
    <t>1036</t>
  </si>
  <si>
    <t>Gm6177; LOC100503110</t>
  </si>
  <si>
    <t>7; 7</t>
  </si>
  <si>
    <t>PREDICTED: 60S ribosomal protein L23a-like</t>
  </si>
  <si>
    <t>XP_890230; XP_003086210</t>
  </si>
  <si>
    <t>QGESK*PDSQAK</t>
  </si>
  <si>
    <t>1004</t>
  </si>
  <si>
    <t>Tceal5</t>
  </si>
  <si>
    <t>TCEAL5</t>
  </si>
  <si>
    <t>transcription elongation factor A protein-like 5</t>
  </si>
  <si>
    <t>Q8CCT4</t>
  </si>
  <si>
    <t>http://www.phosphosite.org/proteinAction.do?id=3838400&amp;showAllSites=true</t>
  </si>
  <si>
    <t>FYKENEGK*PENK</t>
  </si>
  <si>
    <t>1005</t>
  </si>
  <si>
    <t>QGK*LEVEGGPGEQAQQK</t>
  </si>
  <si>
    <t>1006</t>
  </si>
  <si>
    <t>1007</t>
  </si>
  <si>
    <t>Thrap3</t>
  </si>
  <si>
    <t>Trap150</t>
  </si>
  <si>
    <t>thyroid hormone receptor-associated protein 3</t>
  </si>
  <si>
    <t>Q569Z6</t>
  </si>
  <si>
    <t>http://www.phosphosite.org/proteinAction.do?id=8693&amp;showAllSites=true</t>
  </si>
  <si>
    <t>TDSEK*PFR</t>
  </si>
  <si>
    <t>1008</t>
  </si>
  <si>
    <t>SGKWESLHTGK*EK</t>
  </si>
  <si>
    <t>1009</t>
  </si>
  <si>
    <t>1010</t>
  </si>
  <si>
    <t>1011</t>
  </si>
  <si>
    <t>WESLHTGK*EK</t>
  </si>
  <si>
    <t>1012</t>
  </si>
  <si>
    <t>SGKWESLHTGKEK*</t>
  </si>
  <si>
    <t>1013</t>
  </si>
  <si>
    <t>1014</t>
  </si>
  <si>
    <t>Tigd4</t>
  </si>
  <si>
    <t>TIGD4</t>
  </si>
  <si>
    <t>tigger transposable element-derived protein 4</t>
  </si>
  <si>
    <t>Q8BUZ3</t>
  </si>
  <si>
    <t>http://www.phosphosite.org/proteinAction.do?id=5140189&amp;showAllSites=true</t>
  </si>
  <si>
    <t>MLPTNTFAFKGETCSVGK*</t>
  </si>
  <si>
    <t>1015</t>
  </si>
  <si>
    <t>Trerf1; Trerf1</t>
  </si>
  <si>
    <t>TReP-132; TReP-132 iso2</t>
  </si>
  <si>
    <t>646; 666</t>
  </si>
  <si>
    <t>transcriptional-regulating factor 1 isoform 1</t>
  </si>
  <si>
    <t>Q8BXJ2; Q8BXJ2-2</t>
  </si>
  <si>
    <t>http://www.phosphosite.org/proteinAction.do?id=11177&amp;showAllSites=true</t>
  </si>
  <si>
    <t>132; 134</t>
  </si>
  <si>
    <t>KHPPIAAK*VEEPLK</t>
  </si>
  <si>
    <t>1016</t>
  </si>
  <si>
    <t>1017</t>
  </si>
  <si>
    <t>1018</t>
  </si>
  <si>
    <t>1019</t>
  </si>
  <si>
    <t>1020</t>
  </si>
  <si>
    <t>1021</t>
  </si>
  <si>
    <t>Tshz1; Tshz3</t>
  </si>
  <si>
    <t>TSHZ1; TSHZ3</t>
  </si>
  <si>
    <t>teashirt homolog 1</t>
  </si>
  <si>
    <t>Q5DTH5; Q8CGV9</t>
  </si>
  <si>
    <t>http://www.phosphosite.org/proteinAction.do?id=1236692&amp;showAllSites=true</t>
  </si>
  <si>
    <t>119; 119</t>
  </si>
  <si>
    <t>RK*QQAPR</t>
  </si>
  <si>
    <t>1022</t>
  </si>
  <si>
    <t>Zfp418</t>
  </si>
  <si>
    <t>ZNF418</t>
  </si>
  <si>
    <t>192, 198</t>
  </si>
  <si>
    <t>zinc finger protein 418</t>
  </si>
  <si>
    <t>Q8BFS8</t>
  </si>
  <si>
    <t>http://www.phosphosite.org/proteinAction.do?id=1180001&amp;showAllSites=true</t>
  </si>
  <si>
    <t>K*AFHSEK*NNSKSDK</t>
  </si>
  <si>
    <t>1023</t>
  </si>
  <si>
    <t>Zfp758; Zfp942; LOC100047293</t>
  </si>
  <si>
    <t>393; 399; 427</t>
  </si>
  <si>
    <t>zinc finger protein 758</t>
  </si>
  <si>
    <t>NP_663459; NP_001185977; XP_001477861</t>
  </si>
  <si>
    <t>http://www.phosphosite.org/proteinAction.do?id=11394&amp;showAllSites=true</t>
  </si>
  <si>
    <t>GK*DISTITGHR</t>
  </si>
  <si>
    <t>989</t>
  </si>
  <si>
    <t>990</t>
  </si>
  <si>
    <t>991</t>
  </si>
  <si>
    <t>GK*DISTILDEER</t>
  </si>
  <si>
    <t>GK*DISTILDEERK</t>
  </si>
  <si>
    <t>994</t>
  </si>
  <si>
    <t>995</t>
  </si>
  <si>
    <t>996</t>
  </si>
  <si>
    <t>997</t>
  </si>
  <si>
    <t>Safb</t>
  </si>
  <si>
    <t>SAFB1</t>
  </si>
  <si>
    <t>scaffold attachment factor B</t>
  </si>
  <si>
    <t>NP_001156772</t>
  </si>
  <si>
    <t>http://www.phosphosite.org/proteinAction.do?id=11674&amp;showAllSites=true</t>
  </si>
  <si>
    <t>SVVSFDK*VK</t>
  </si>
  <si>
    <t>998</t>
  </si>
  <si>
    <t>Sltm</t>
  </si>
  <si>
    <t>SLTM</t>
  </si>
  <si>
    <t>SAFB-like transcription modulator isoform a</t>
  </si>
  <si>
    <t>Q8CH25</t>
  </si>
  <si>
    <t>http://www.phosphosite.org/proteinAction.do?id=7679&amp;showAllSites=true</t>
  </si>
  <si>
    <t>GSSSGFK*PFK</t>
  </si>
  <si>
    <t>999</t>
  </si>
  <si>
    <t>Smarca4; Utrn</t>
  </si>
  <si>
    <t>SMARCA4; utrophin</t>
  </si>
  <si>
    <t>transcription activator BRG1 isoform 1</t>
  </si>
  <si>
    <t>Q3TKT4; O08614</t>
  </si>
  <si>
    <t>http://www.phosphosite.org/proteinAction.do?id=11056&amp;showAllSites=true</t>
  </si>
  <si>
    <t>181; 393</t>
  </si>
  <si>
    <t>ITEK*LEK</t>
  </si>
  <si>
    <t>1000</t>
  </si>
  <si>
    <t>Taf1b</t>
  </si>
  <si>
    <t>TAF1B</t>
  </si>
  <si>
    <t>172, 178</t>
  </si>
  <si>
    <t>TATA box-binding protein-associated factor RNA polymerase I subunit B</t>
  </si>
  <si>
    <t>P97358</t>
  </si>
  <si>
    <t>http://www.phosphosite.org/proteinAction.do?id=8502&amp;showAllSites=true</t>
  </si>
  <si>
    <t>IPK*PFPVTK*GSPK</t>
  </si>
  <si>
    <t>1001</t>
  </si>
  <si>
    <t>Taf6</t>
  </si>
  <si>
    <t>TAF6</t>
  </si>
  <si>
    <t>169, 179, 181</t>
  </si>
  <si>
    <t>transcription initiation factor TFIID subunit 6</t>
  </si>
  <si>
    <t>Q62311</t>
  </si>
  <si>
    <t>http://www.phosphosite.org/proteinAction.do?id=11361&amp;showAllSites=true</t>
  </si>
  <si>
    <t>SAK*PGQEEDGPLK*GK*GQGAAAADGKGK</t>
  </si>
  <si>
    <t>1002</t>
  </si>
  <si>
    <t>Tbx20</t>
  </si>
  <si>
    <t>TBX20</t>
  </si>
  <si>
    <t>T-box transcription factor TBX20 isoform c</t>
  </si>
  <si>
    <t>Q9ES03</t>
  </si>
  <si>
    <t>http://www.phosphosite.org/proteinAction.do?id=25705975&amp;showAllSites=true</t>
  </si>
  <si>
    <t>AFSIAALMSSGGPK*</t>
  </si>
  <si>
    <t>1003</t>
  </si>
  <si>
    <t>Tceal3; Tceal5; Tceal6</t>
  </si>
  <si>
    <t>TCEAL3; TCEAL5; TCEAL6</t>
  </si>
  <si>
    <t>82; 82; 82</t>
  </si>
  <si>
    <t>transcription elongation factor A protein-like 3</t>
  </si>
  <si>
    <t>Q8R0A5; Q8CCT4; Q9DB24</t>
  </si>
  <si>
    <t>http://www.phosphosite.org/proteinAction.do?id=17039&amp;showAllSites=true</t>
  </si>
  <si>
    <t>22; 22; 23</t>
  </si>
  <si>
    <t>http://www.phosphosite.org/proteinAction.do?id=11254&amp;showAllSites=true</t>
  </si>
  <si>
    <t>QQNPM#IEQIMTNQM#QGNK*</t>
  </si>
  <si>
    <t>978</t>
  </si>
  <si>
    <t>Ncor2; Ncor2; Ncor2</t>
  </si>
  <si>
    <t>SMRT; SMRT iso2; SMRT iso5</t>
  </si>
  <si>
    <t>nuclear receptor corepressor 2</t>
  </si>
  <si>
    <t>Q9WU42; NP_001240833; AAD20944</t>
  </si>
  <si>
    <t>http://www.phosphosite.org/proteinAction.do?id=6876&amp;showAllSites=true</t>
  </si>
  <si>
    <t>270; 254; 271</t>
  </si>
  <si>
    <t>TQSK*PFSIQELELR</t>
  </si>
  <si>
    <t>979</t>
  </si>
  <si>
    <t>Nfrkb</t>
  </si>
  <si>
    <t>NFRKB</t>
  </si>
  <si>
    <t>nuclear factor related to kappa-B-binding protein</t>
  </si>
  <si>
    <t>Q6PIJ4</t>
  </si>
  <si>
    <t>http://www.phosphosite.org/proteinAction.do?id=11421&amp;showAllSites=true</t>
  </si>
  <si>
    <t>LIAGNK*PVSFLTAQQLQQLQQQGQATQVR</t>
  </si>
  <si>
    <t>980</t>
  </si>
  <si>
    <t>981</t>
  </si>
  <si>
    <t>982</t>
  </si>
  <si>
    <t>Nkrf</t>
  </si>
  <si>
    <t>NKRF</t>
  </si>
  <si>
    <t>NF-kappa-B-repressing factor</t>
  </si>
  <si>
    <t>Q8BY02</t>
  </si>
  <si>
    <t>http://www.phosphosite.org/proteinAction.do?id=14511&amp;showAllSites=true</t>
  </si>
  <si>
    <t>EAVK*TLK</t>
  </si>
  <si>
    <t>983</t>
  </si>
  <si>
    <t>Prdm2</t>
  </si>
  <si>
    <t>PRDM2</t>
  </si>
  <si>
    <t>1427, 1432, 1434</t>
  </si>
  <si>
    <t>retinoblastoma protein-binding zinc finger protein</t>
  </si>
  <si>
    <t>A2A7B5</t>
  </si>
  <si>
    <t>http://www.phosphosite.org/proteinAction.do?id=11649&amp;showAllSites=true</t>
  </si>
  <si>
    <t>AILQK*NRSAK*QK*</t>
  </si>
  <si>
    <t>984</t>
  </si>
  <si>
    <t>Puf60</t>
  </si>
  <si>
    <t>FIR</t>
  </si>
  <si>
    <t>poly(U)-binding-splicing factor PUF60 isoform c</t>
  </si>
  <si>
    <t>Q3UEB3</t>
  </si>
  <si>
    <t>http://www.phosphosite.org/proteinAction.do?id=3164&amp;showAllSites=true</t>
  </si>
  <si>
    <t>HM#VMQK*LLR</t>
  </si>
  <si>
    <t>985</t>
  </si>
  <si>
    <t>Rai1</t>
  </si>
  <si>
    <t>RAI1</t>
  </si>
  <si>
    <t>1076</t>
  </si>
  <si>
    <t>retinoic acid-induced protein 1</t>
  </si>
  <si>
    <t>Q61818</t>
  </si>
  <si>
    <t>http://www.phosphosite.org/proteinAction.do?id=5667&amp;showAllSites=true</t>
  </si>
  <si>
    <t>AAFK*SGK</t>
  </si>
  <si>
    <t>986</t>
  </si>
  <si>
    <t>1076, 1079</t>
  </si>
  <si>
    <t>AAFK*SGK*R</t>
  </si>
  <si>
    <t>987</t>
  </si>
  <si>
    <t>Rbm14</t>
  </si>
  <si>
    <t>RBM14</t>
  </si>
  <si>
    <t>RNA-binding protein 14</t>
  </si>
  <si>
    <t>Q8C2Q3</t>
  </si>
  <si>
    <t>http://www.phosphosite.org/proteinAction.do?id=6039&amp;showAllSites=true</t>
  </si>
  <si>
    <t>AAIAQLNGK*EVK</t>
  </si>
  <si>
    <t>988</t>
  </si>
  <si>
    <t>Rsf1</t>
  </si>
  <si>
    <t>HBXAP</t>
  </si>
  <si>
    <t>remodeling and spacing factor 1</t>
  </si>
  <si>
    <t>E9Q4Y2</t>
  </si>
  <si>
    <t>29; 28; 28</t>
  </si>
  <si>
    <t>GK*WFCPR</t>
  </si>
  <si>
    <t>965</t>
  </si>
  <si>
    <t>Khdrbs3</t>
  </si>
  <si>
    <t>KHDRBS3</t>
  </si>
  <si>
    <t>KH domain-containing, RNA-binding, signal transduction-associated protein 3</t>
  </si>
  <si>
    <t>Q9R226</t>
  </si>
  <si>
    <t>http://www.phosphosite.org/proteinAction.do?id=2819044&amp;showAllSites=true</t>
  </si>
  <si>
    <t>MGHALEEIK*K</t>
  </si>
  <si>
    <t>966</t>
  </si>
  <si>
    <t>967</t>
  </si>
  <si>
    <t>M#GHALEEIK*K</t>
  </si>
  <si>
    <t>968</t>
  </si>
  <si>
    <t>Mad2l2</t>
  </si>
  <si>
    <t>MAD2L2</t>
  </si>
  <si>
    <t>mitotic spindle assembly checkpoint protein MAD2B</t>
  </si>
  <si>
    <t>Q9D752</t>
  </si>
  <si>
    <t>http://www.phosphosite.org/proteinAction.do?id=10166283&amp;showAllSites=true</t>
  </si>
  <si>
    <t>EAATRNMEK*</t>
  </si>
  <si>
    <t>969</t>
  </si>
  <si>
    <t>Mll2</t>
  </si>
  <si>
    <t>MLL2</t>
  </si>
  <si>
    <t>histone-lysine N-methyltransferase MLL2</t>
  </si>
  <si>
    <t>Q6PDK2</t>
  </si>
  <si>
    <t>http://www.phosphosite.org/proteinAction.do?id=11652&amp;showAllSites=true</t>
  </si>
  <si>
    <t>LVESANEK*AER</t>
  </si>
  <si>
    <t>970</t>
  </si>
  <si>
    <t>VEPAPPATSLSLGLK*PGQTVM#GTR</t>
  </si>
  <si>
    <t>971</t>
  </si>
  <si>
    <t>Mllt1</t>
  </si>
  <si>
    <t>MLLT1</t>
  </si>
  <si>
    <t>protein ENL</t>
  </si>
  <si>
    <t>Q9EPX7</t>
  </si>
  <si>
    <t>http://www.phosphosite.org/proteinAction.do?id=17294&amp;showAllSites=true</t>
  </si>
  <si>
    <t>AAFK*EPK</t>
  </si>
  <si>
    <t>972</t>
  </si>
  <si>
    <t>Myef2; Myef2</t>
  </si>
  <si>
    <t>MYEF2; MYEF2 iso3</t>
  </si>
  <si>
    <t>6; 6</t>
  </si>
  <si>
    <t>myelin expression factor 2 isoform 1</t>
  </si>
  <si>
    <t>Q8C854; Q8C854-3</t>
  </si>
  <si>
    <t>http://www.phosphosite.org/proteinAction.do?id=18775&amp;showAllSites=true</t>
  </si>
  <si>
    <t>63; 62</t>
  </si>
  <si>
    <t>ADADK*SEAAAGDDGSQQQPAEPR</t>
  </si>
  <si>
    <t>973</t>
  </si>
  <si>
    <t>Myst2</t>
  </si>
  <si>
    <t>MYST2</t>
  </si>
  <si>
    <t>histone acetyltransferase MYST2 isoform 1</t>
  </si>
  <si>
    <t>Q5SVQ0</t>
  </si>
  <si>
    <t>http://www.phosphosite.org/proteinAction.do?id=8195&amp;showAllSites=true</t>
  </si>
  <si>
    <t>CPTPGCNSLGHLTGK*HER</t>
  </si>
  <si>
    <t>974</t>
  </si>
  <si>
    <t>NSGLSK*EQKEK</t>
  </si>
  <si>
    <t>975</t>
  </si>
  <si>
    <t>Ncl</t>
  </si>
  <si>
    <t>NCL</t>
  </si>
  <si>
    <t>nucleolin</t>
  </si>
  <si>
    <t>P09405</t>
  </si>
  <si>
    <t>http://www.phosphosite.org/proteinAction.do?id=3053&amp;showAllSites=true</t>
  </si>
  <si>
    <t>LVSQDGK*SK</t>
  </si>
  <si>
    <t>976</t>
  </si>
  <si>
    <t>EAM#EDGEIDGNKVTLDWAK*PK</t>
  </si>
  <si>
    <t>977</t>
  </si>
  <si>
    <t>Ncoa6</t>
  </si>
  <si>
    <t>NCoA6</t>
  </si>
  <si>
    <t>nuclear receptor coactivator 6 isoform 2</t>
  </si>
  <si>
    <t>Q9JL19</t>
  </si>
  <si>
    <t>http://www.phosphosite.org/proteinAction.do?id=22078&amp;showAllSites=true</t>
  </si>
  <si>
    <t>RMK*MKKMSK*</t>
  </si>
  <si>
    <t>952</t>
  </si>
  <si>
    <t>Ing3</t>
  </si>
  <si>
    <t>ING3</t>
  </si>
  <si>
    <t>inhibitor of growth protein 3</t>
  </si>
  <si>
    <t>Q8VEK6</t>
  </si>
  <si>
    <t>http://www.phosphosite.org/proteinAction.do?id=14575&amp;showAllSites=true</t>
  </si>
  <si>
    <t>NNDFQLGK*EFSIPR</t>
  </si>
  <si>
    <t>953</t>
  </si>
  <si>
    <t>Ing4; Ing4</t>
  </si>
  <si>
    <t>ING4; ING4 iso2</t>
  </si>
  <si>
    <t>inhibitor of growth protein 4</t>
  </si>
  <si>
    <t>Q8C0D7; Q8C0D7-2</t>
  </si>
  <si>
    <t>http://www.phosphosite.org/proteinAction.do?id=10980&amp;showAllSites=true</t>
  </si>
  <si>
    <t>29; 28</t>
  </si>
  <si>
    <t>EK*QIESSDYDSSSSK*GK*K</t>
  </si>
  <si>
    <t>954</t>
  </si>
  <si>
    <t>EKQIESSDYDSSSSK*GK*K</t>
  </si>
  <si>
    <t>955</t>
  </si>
  <si>
    <t>QIESSDYDSSSSK*GK*K</t>
  </si>
  <si>
    <t>956</t>
  </si>
  <si>
    <t>957</t>
  </si>
  <si>
    <t>Ing4</t>
  </si>
  <si>
    <t>ING4 iso2</t>
  </si>
  <si>
    <t>Q8C0D7-2</t>
  </si>
  <si>
    <t>http://www.phosphosite.org/proteinAction.do?id=5355605&amp;showAllSites=true</t>
  </si>
  <si>
    <t>QIESSDYDSSSSK*GK*K*SR</t>
  </si>
  <si>
    <t>958</t>
  </si>
  <si>
    <t>SK*GK*NSDEEAPK</t>
  </si>
  <si>
    <t>959</t>
  </si>
  <si>
    <t>SK*GK*NSDEEAPK*AAQK</t>
  </si>
  <si>
    <t>960</t>
  </si>
  <si>
    <t>961</t>
  </si>
  <si>
    <t>SK*GK*NSDEEAPK*AAQKK</t>
  </si>
  <si>
    <t>962</t>
  </si>
  <si>
    <t>SK*GK*NSDEEAPK*AAQK*K</t>
  </si>
  <si>
    <t>963</t>
  </si>
  <si>
    <t>SK*GK*NSDEEAPKAAQK*K</t>
  </si>
  <si>
    <t>964</t>
  </si>
  <si>
    <t>Ing4; Ing4; Ing5</t>
  </si>
  <si>
    <t>ING4; ING4 iso2; ING5</t>
  </si>
  <si>
    <t>Q8C0D7; Q8C0D7-2; Q9D8Y8</t>
  </si>
  <si>
    <t>LAK*YNQILR</t>
  </si>
  <si>
    <t>935</t>
  </si>
  <si>
    <t>Epas1</t>
  </si>
  <si>
    <t>HIF2A</t>
  </si>
  <si>
    <t>endothelial PAS domain-containing protein 1</t>
  </si>
  <si>
    <t>P97481</t>
  </si>
  <si>
    <t>http://www.phosphosite.org/proteinAction.do?id=4985&amp;showAllSites=true</t>
  </si>
  <si>
    <t>DVVFSM#DQTESLFKPHLMAM#NSIFDSSDDVAVTEK*</t>
  </si>
  <si>
    <t>936</t>
  </si>
  <si>
    <t>Hcfc1</t>
  </si>
  <si>
    <t>HCFC1</t>
  </si>
  <si>
    <t>host cell factor 1</t>
  </si>
  <si>
    <t>Q61191</t>
  </si>
  <si>
    <t>http://www.phosphosite.org/proteinAction.do?id=16084&amp;showAllSites=true</t>
  </si>
  <si>
    <t>VATHEK*EWK</t>
  </si>
  <si>
    <t>937</t>
  </si>
  <si>
    <t>938</t>
  </si>
  <si>
    <t>Hdgfrp2; Hdgfrp2; Hdgfrp2</t>
  </si>
  <si>
    <t>HDGF2; HDGF2 iso2; HDGF2 iso3</t>
  </si>
  <si>
    <t>hepatoma-derived growth factor-related protein 2</t>
  </si>
  <si>
    <t>Q3UMU9; Q3UMU9-2; Q3UMU9-3</t>
  </si>
  <si>
    <t>http://www.phosphosite.org/proteinAction.do?id=23300603&amp;showAllSites=true</t>
  </si>
  <si>
    <t>74; 74; 75</t>
  </si>
  <si>
    <t>IDDIADGAVKPPPNK*YPIFFFGTHETAFLGPK</t>
  </si>
  <si>
    <t>939</t>
  </si>
  <si>
    <t>Hmgn3</t>
  </si>
  <si>
    <t>HMGN3</t>
  </si>
  <si>
    <t>high mobility group nucleosome-binding domain-containing protein 3 isoform Hmgn3a</t>
  </si>
  <si>
    <t>Q9DCB1</t>
  </si>
  <si>
    <t>http://www.phosphosite.org/proteinAction.do?id=2613075&amp;showAllSites=true</t>
  </si>
  <si>
    <t>KSPENTEGK*DGTK</t>
  </si>
  <si>
    <t>940</t>
  </si>
  <si>
    <t>941</t>
  </si>
  <si>
    <t>KSPENTEGK*DGTKLTK</t>
  </si>
  <si>
    <t>942</t>
  </si>
  <si>
    <t>SPENTEGK*DGTK</t>
  </si>
  <si>
    <t>943</t>
  </si>
  <si>
    <t>SPENTEGK*DGTKLTK</t>
  </si>
  <si>
    <t>944</t>
  </si>
  <si>
    <t>945</t>
  </si>
  <si>
    <t>LSAKPVPPKPESK*PR</t>
  </si>
  <si>
    <t>946</t>
  </si>
  <si>
    <t>high mobility group nucleosome-binding domain-containing protein 3 isoform Hmgn3b</t>
  </si>
  <si>
    <t>NP_778249</t>
  </si>
  <si>
    <t>http://www.ncbi.nlm.nih.gov/entrez/query.fcgi?db=protein&amp;cmd=search&amp;term=NP_778249</t>
  </si>
  <si>
    <t>GK*KEEKQEAGEEGTEN</t>
  </si>
  <si>
    <t>947</t>
  </si>
  <si>
    <t>GKK*EEKQEAGEEGTEN</t>
  </si>
  <si>
    <t>948</t>
  </si>
  <si>
    <t>Hnrnpu</t>
  </si>
  <si>
    <t>hnRNP U</t>
  </si>
  <si>
    <t>heterogeneous nuclear ribonucleoprotein U</t>
  </si>
  <si>
    <t>Q8VEK3</t>
  </si>
  <si>
    <t>http://www.phosphosite.org/proteinAction.do?id=5634&amp;showAllSites=true</t>
  </si>
  <si>
    <t>HLYTK*DIDIHEVR</t>
  </si>
  <si>
    <t>949</t>
  </si>
  <si>
    <t>950</t>
  </si>
  <si>
    <t>NQSQGYNQWQQGQFWGQK*PWSQHYHQGYY</t>
  </si>
  <si>
    <t>951</t>
  </si>
  <si>
    <t>Hoxd9</t>
  </si>
  <si>
    <t>HOXD9</t>
  </si>
  <si>
    <t>326, 332</t>
  </si>
  <si>
    <t>homeobox protein Hox-D9</t>
  </si>
  <si>
    <t>P28357</t>
  </si>
  <si>
    <t>Q8BMB0</t>
  </si>
  <si>
    <t>http://www.phosphosite.org/proteinAction.do?id=11222&amp;showAllSites=true</t>
  </si>
  <si>
    <t>VVAGM#TK*</t>
  </si>
  <si>
    <t>923</t>
  </si>
  <si>
    <t>Bcl9l</t>
  </si>
  <si>
    <t>Bcl-9L</t>
  </si>
  <si>
    <t>B-cell CLL/lymphoma 9-like protein</t>
  </si>
  <si>
    <t>Q67FY2</t>
  </si>
  <si>
    <t>http://www.phosphosite.org/proteinAction.do?id=23624&amp;showAllSites=true</t>
  </si>
  <si>
    <t>GHCPPAPAK*PMHPENK</t>
  </si>
  <si>
    <t>924</t>
  </si>
  <si>
    <t>Bclaf1</t>
  </si>
  <si>
    <t>BCLAF1</t>
  </si>
  <si>
    <t>bcl-2-associated transcription factor 1 isoform 1</t>
  </si>
  <si>
    <t>Q8K019</t>
  </si>
  <si>
    <t>http://www.phosphosite.org/proteinAction.do?id=3502&amp;showAllSites=true</t>
  </si>
  <si>
    <t>TGK*FLK</t>
  </si>
  <si>
    <t>925</t>
  </si>
  <si>
    <t>TGK*FLKR</t>
  </si>
  <si>
    <t>926</t>
  </si>
  <si>
    <t>NTEEEGPK*YK</t>
  </si>
  <si>
    <t>927</t>
  </si>
  <si>
    <t>Brd8</t>
  </si>
  <si>
    <t>BRD8</t>
  </si>
  <si>
    <t>bromodomain-containing protein 8</t>
  </si>
  <si>
    <t>Q8R3B7</t>
  </si>
  <si>
    <t>http://www.phosphosite.org/proteinAction.do?id=7088&amp;showAllSites=true</t>
  </si>
  <si>
    <t>DKPVPLPAPEM#TVK*QER</t>
  </si>
  <si>
    <t>928</t>
  </si>
  <si>
    <t>Cbx1</t>
  </si>
  <si>
    <t>CBX1</t>
  </si>
  <si>
    <t>chromobox protein homolog 1</t>
  </si>
  <si>
    <t>P83917</t>
  </si>
  <si>
    <t>http://www.phosphosite.org/proteinAction.do?id=9534&amp;showAllSites=true</t>
  </si>
  <si>
    <t>TAHETDKSEGGK*R</t>
  </si>
  <si>
    <t>929</t>
  </si>
  <si>
    <t>Ccdc101</t>
  </si>
  <si>
    <t>CCDC101</t>
  </si>
  <si>
    <t>SAGA-associated factor 29 homolog</t>
  </si>
  <si>
    <t>Q9DA08</t>
  </si>
  <si>
    <t>http://www.phosphosite.org/proteinAction.do?id=1288245&amp;showAllSites=true</t>
  </si>
  <si>
    <t>YVVACK*EPK</t>
  </si>
  <si>
    <t>930</t>
  </si>
  <si>
    <t>Ccnt1</t>
  </si>
  <si>
    <t>CCNT1</t>
  </si>
  <si>
    <t>cyclin-T1</t>
  </si>
  <si>
    <t>Q9QWV9</t>
  </si>
  <si>
    <t>http://www.phosphosite.org/proteinAction.do?id=16532&amp;showAllSites=true</t>
  </si>
  <si>
    <t>AVSSK*PEEIK</t>
  </si>
  <si>
    <t>931</t>
  </si>
  <si>
    <t>Dhx9; Dhx9</t>
  </si>
  <si>
    <t>DDX9; DDX9 iso2</t>
  </si>
  <si>
    <t>ATP-dependent RNA helicase A</t>
  </si>
  <si>
    <t>O70133; O70133-2</t>
  </si>
  <si>
    <t>http://www.phosphosite.org/proteinAction.do?id=4486&amp;showAllSites=true</t>
  </si>
  <si>
    <t>149; 150</t>
  </si>
  <si>
    <t>NALIHK*SSVNCPFSSQDM#K</t>
  </si>
  <si>
    <t>Eno1</t>
  </si>
  <si>
    <t>ENO1</t>
  </si>
  <si>
    <t>alpha-enolase</t>
  </si>
  <si>
    <t>P17182</t>
  </si>
  <si>
    <t>http://www.phosphosite.org/proteinAction.do?id=2760&amp;showAllSites=true</t>
  </si>
  <si>
    <t>NVIKEK*YGK</t>
  </si>
  <si>
    <t>933</t>
  </si>
  <si>
    <t>YGK*DATNVGDEGGFAPNILENK</t>
  </si>
  <si>
    <t>934</t>
  </si>
  <si>
    <t>VDAC3; VDAC3 iso2</t>
  </si>
  <si>
    <t>voltage-dependent anion-selective channel protein 3 isoform 1</t>
  </si>
  <si>
    <t>Q60931; Q5EBQ0</t>
  </si>
  <si>
    <t>http://www.phosphosite.org/proteinAction.do?id=4345&amp;showAllSites=true</t>
  </si>
  <si>
    <t>31; 31</t>
  </si>
  <si>
    <t>AAK*DVFNK</t>
  </si>
  <si>
    <t>910</t>
  </si>
  <si>
    <t>174; 175</t>
  </si>
  <si>
    <t>LSQNNFALGYK*AADFQLHTHVNDGTEFGGSIYQK</t>
  </si>
  <si>
    <t>911</t>
  </si>
  <si>
    <t>224; 225</t>
  </si>
  <si>
    <t>FGIAAK*YK</t>
  </si>
  <si>
    <t>912</t>
  </si>
  <si>
    <t>YK*LDCR</t>
  </si>
  <si>
    <t>913</t>
  </si>
  <si>
    <t>ASGNLETK*YK</t>
  </si>
  <si>
    <t>914</t>
  </si>
  <si>
    <t>915</t>
  </si>
  <si>
    <t>YK*VCNYGLTFTQK</t>
  </si>
  <si>
    <t>916</t>
  </si>
  <si>
    <t>917</t>
  </si>
  <si>
    <t>WNTDNTLGTEISWENK*LAEGLK</t>
  </si>
  <si>
    <t>918</t>
  </si>
  <si>
    <t>Vldlr</t>
  </si>
  <si>
    <t>VLDLR</t>
  </si>
  <si>
    <t>very low-density lipoprotein receptor isoform b precursor</t>
  </si>
  <si>
    <t>P98156</t>
  </si>
  <si>
    <t>http://www.phosphosite.org/proteinAction.do?id=12658&amp;showAllSites=true</t>
  </si>
  <si>
    <t>DCVDGSDEVNCK*NVNQCLGPGKF</t>
  </si>
  <si>
    <t>919</t>
  </si>
  <si>
    <t>Vps53</t>
  </si>
  <si>
    <t>VPS53</t>
  </si>
  <si>
    <t>vacuolar protein sorting-associated protein 53 homolog</t>
  </si>
  <si>
    <t>Q8CCB4</t>
  </si>
  <si>
    <t>http://www.phosphosite.org/proteinAction.do?id=2383082&amp;showAllSites=true</t>
  </si>
  <si>
    <t>AIQQLFGK*IK</t>
  </si>
  <si>
    <t>Secreted protein</t>
  </si>
  <si>
    <t>920</t>
  </si>
  <si>
    <t>Serpina1a; Serpina1c; Serpina1e</t>
  </si>
  <si>
    <t>SERPINA1; Serpina1c; Serpina1e</t>
  </si>
  <si>
    <t>alpha-1-antitrypsin 1-1 precursor</t>
  </si>
  <si>
    <t>P07758; Q00896; Q00898</t>
  </si>
  <si>
    <t>http://www.phosphosite.org/proteinAction.do?id=2816400&amp;showAllSites=true</t>
  </si>
  <si>
    <t>46; 46; 46</t>
  </si>
  <si>
    <t>ELISK*FLLNR</t>
  </si>
  <si>
    <t>921</t>
  </si>
  <si>
    <t>Wnt3; Wnt3a</t>
  </si>
  <si>
    <t>WNT3; WNT3A</t>
  </si>
  <si>
    <t>207; 204</t>
  </si>
  <si>
    <t>proto-oncogene Wnt-3 precursor</t>
  </si>
  <si>
    <t>P17553; P27467</t>
  </si>
  <si>
    <t>http://www.phosphosite.org/proteinAction.do?id=6197637&amp;showAllSites=true</t>
  </si>
  <si>
    <t>40; 39</t>
  </si>
  <si>
    <t>K*CHGLSGSCEVK</t>
  </si>
  <si>
    <t>Transcriptional regulator</t>
  </si>
  <si>
    <t>922</t>
  </si>
  <si>
    <t>2210018M11Rik</t>
  </si>
  <si>
    <t>EMSY</t>
  </si>
  <si>
    <t>1148</t>
  </si>
  <si>
    <t>protein EMSY</t>
  </si>
  <si>
    <t>trans-2,3-enoyl-CoA reductase isoform 2</t>
  </si>
  <si>
    <t>Q9CY27</t>
  </si>
  <si>
    <t>http://www.phosphosite.org/proteinAction.do?id=15755&amp;showAllSites=true</t>
  </si>
  <si>
    <t>SLK*DEDVLQK</t>
  </si>
  <si>
    <t>893</t>
  </si>
  <si>
    <t>Tlr8</t>
  </si>
  <si>
    <t>TLR8</t>
  </si>
  <si>
    <t>932</t>
  </si>
  <si>
    <t>toll-like receptor 8 precursor</t>
  </si>
  <si>
    <t>P58682</t>
  </si>
  <si>
    <t>http://www.phosphosite.org/proteinAction.do?id=951501&amp;showAllSites=true</t>
  </si>
  <si>
    <t>K*TIFVLTKK</t>
  </si>
  <si>
    <t>894</t>
  </si>
  <si>
    <t>Tmem63b</t>
  </si>
  <si>
    <t>TMEM63B</t>
  </si>
  <si>
    <t>671, 674</t>
  </si>
  <si>
    <t>transmembrane protein 63B</t>
  </si>
  <si>
    <t>Q3TWI9</t>
  </si>
  <si>
    <t>http://www.phosphosite.org/proteinAction.do?id=20945&amp;showAllSites=true</t>
  </si>
  <si>
    <t>LPAK*LDK*</t>
  </si>
  <si>
    <t>895</t>
  </si>
  <si>
    <t>Tomm70a</t>
  </si>
  <si>
    <t>TOMM70A</t>
  </si>
  <si>
    <t>mitochondrial import receptor subunit TOM70</t>
  </si>
  <si>
    <t>Q9CZW5</t>
  </si>
  <si>
    <t>http://www.phosphosite.org/proteinAction.do?id=14806&amp;showAllSites=true</t>
  </si>
  <si>
    <t>AVELNPK*YVK</t>
  </si>
  <si>
    <t>896</t>
  </si>
  <si>
    <t>Trdn</t>
  </si>
  <si>
    <t>TRDN iso2</t>
  </si>
  <si>
    <t>439, 440</t>
  </si>
  <si>
    <t>triadin</t>
  </si>
  <si>
    <t>E9Q9K5</t>
  </si>
  <si>
    <t>http://www.phosphosite.org/proteinAction.do?id=3510501&amp;showAllSites=true</t>
  </si>
  <si>
    <t>KALHGK*K*EEK</t>
  </si>
  <si>
    <t>897</t>
  </si>
  <si>
    <t>Unc5d</t>
  </si>
  <si>
    <t>UNC5D</t>
  </si>
  <si>
    <t>netrin receptor UNC5D precursor</t>
  </si>
  <si>
    <t>Q8K1S2</t>
  </si>
  <si>
    <t>http://www.phosphosite.org/proteinAction.do?id=11186&amp;showAllSites=true</t>
  </si>
  <si>
    <t>QLK*VAVFGCMSCNS</t>
  </si>
  <si>
    <t>898</t>
  </si>
  <si>
    <t>899</t>
  </si>
  <si>
    <t>Vdac1</t>
  </si>
  <si>
    <t>VDAC1</t>
  </si>
  <si>
    <t>voltage-dependent anion-selective channel protein 1</t>
  </si>
  <si>
    <t>Q60932</t>
  </si>
  <si>
    <t>http://www.phosphosite.org/proteinAction.do?id=4806&amp;showAllSites=true</t>
  </si>
  <si>
    <t>FGIAAK*YQVDPDACFSAK</t>
  </si>
  <si>
    <t>900</t>
  </si>
  <si>
    <t>901</t>
  </si>
  <si>
    <t>902</t>
  </si>
  <si>
    <t>903</t>
  </si>
  <si>
    <t>904</t>
  </si>
  <si>
    <t>VNNSSLIGLGYTQTLK*PGIK</t>
  </si>
  <si>
    <t>905</t>
  </si>
  <si>
    <t>DVFTK*GYGFGLIK</t>
  </si>
  <si>
    <t>906</t>
  </si>
  <si>
    <t>VNGSLETK*YR</t>
  </si>
  <si>
    <t>Vdac2</t>
  </si>
  <si>
    <t>VDAC2</t>
  </si>
  <si>
    <t>voltage-dependent anion-selective channel protein 2</t>
  </si>
  <si>
    <t>Q60930</t>
  </si>
  <si>
    <t>http://www.phosphosite.org/proteinAction.do?id=9588&amp;showAllSites=true</t>
  </si>
  <si>
    <t>VSGTLETK*YK</t>
  </si>
  <si>
    <t>908</t>
  </si>
  <si>
    <t>YK*WCEYGLTFTEK</t>
  </si>
  <si>
    <t>909</t>
  </si>
  <si>
    <t>Vdac3; Vdac3</t>
  </si>
  <si>
    <t>876</t>
  </si>
  <si>
    <t>Slc25a3</t>
  </si>
  <si>
    <t>SLC25A3</t>
  </si>
  <si>
    <t>phosphate carrier protein, mitochondrial precursor</t>
  </si>
  <si>
    <t>Q8VEM8</t>
  </si>
  <si>
    <t>http://www.phosphosite.org/proteinAction.do?id=15732&amp;showAllSites=true</t>
  </si>
  <si>
    <t>MYK*EEGLNAFYK</t>
  </si>
  <si>
    <t>877</t>
  </si>
  <si>
    <t>M#YK*EEGLNAFYK</t>
  </si>
  <si>
    <t>878</t>
  </si>
  <si>
    <t>879</t>
  </si>
  <si>
    <t>TM#M#K*FACFER</t>
  </si>
  <si>
    <t>880</t>
  </si>
  <si>
    <t>MQVDPQK*YK</t>
  </si>
  <si>
    <t>881</t>
  </si>
  <si>
    <t>Slc25a4</t>
  </si>
  <si>
    <t>SLC25A4</t>
  </si>
  <si>
    <t>ADP/ATP translocase 1</t>
  </si>
  <si>
    <t>P48962</t>
  </si>
  <si>
    <t>http://www.phosphosite.org/proteinAction.do?id=9523&amp;showAllSites=true</t>
  </si>
  <si>
    <t>IFK*SDGLK</t>
  </si>
  <si>
    <t>882</t>
  </si>
  <si>
    <t>IAK*DEGANAFFK</t>
  </si>
  <si>
    <t>883</t>
  </si>
  <si>
    <t>KIAK*DEGANAFFK</t>
  </si>
  <si>
    <t>884</t>
  </si>
  <si>
    <t>Slc25a4; Slc25a5</t>
  </si>
  <si>
    <t>SLC25A4; SLC25A5</t>
  </si>
  <si>
    <t>P48962; P51881</t>
  </si>
  <si>
    <t>AFFK*GAWSNVLR</t>
  </si>
  <si>
    <t>885</t>
  </si>
  <si>
    <t>YK*QIFLGGVDR</t>
  </si>
  <si>
    <t>886</t>
  </si>
  <si>
    <t>Slc25a5</t>
  </si>
  <si>
    <t>SLC25A5</t>
  </si>
  <si>
    <t>ADP/ATP translocase 2</t>
  </si>
  <si>
    <t>P51881</t>
  </si>
  <si>
    <t>http://www.phosphosite.org/proteinAction.do?id=8105&amp;showAllSites=true</t>
  </si>
  <si>
    <t>QIFLGGVDK*R</t>
  </si>
  <si>
    <t>887</t>
  </si>
  <si>
    <t>EFK*GLGDCLVK</t>
  </si>
  <si>
    <t>888</t>
  </si>
  <si>
    <t>GLGDCLVK*IYK</t>
  </si>
  <si>
    <t>889</t>
  </si>
  <si>
    <t>Slc4a4; Slc4a4; Slc4a4; Slc4a4</t>
  </si>
  <si>
    <t>SLC4A4; SLC4A4 iso2; SLC4A4 iso4; SLC4A4 iso5</t>
  </si>
  <si>
    <t>402; 358; 402; 393</t>
  </si>
  <si>
    <t>electrogenic sodium bicarbonate cotransporter 1 isoform b</t>
  </si>
  <si>
    <t>O88343; O88343-2; E9Q8N8; A7E1Z5</t>
  </si>
  <si>
    <t>http://www.phosphosite.org/proteinAction.do?id=16741&amp;showAllSites=true</t>
  </si>
  <si>
    <t>121; 116; 123; 120</t>
  </si>
  <si>
    <t>KSLPSSDK*R</t>
  </si>
  <si>
    <t>890</t>
  </si>
  <si>
    <t>Syn1; Syn1; Syn1</t>
  </si>
  <si>
    <t>SYN1; SYN1 iso1; SYN1 iso3</t>
  </si>
  <si>
    <t>311; 311; 311</t>
  </si>
  <si>
    <t>synapsin-1 isoform b</t>
  </si>
  <si>
    <t>O88935; O88935-1; O88935-3</t>
  </si>
  <si>
    <t>http://www.phosphosite.org/proteinAction.do?id=2386&amp;showAllSites=true</t>
  </si>
  <si>
    <t>74; 70; 71</t>
  </si>
  <si>
    <t>TYATAEPFIDAK*YDVR</t>
  </si>
  <si>
    <t>891</t>
  </si>
  <si>
    <t>892</t>
  </si>
  <si>
    <t>Tecr</t>
  </si>
  <si>
    <t>GPSN2</t>
  </si>
  <si>
    <t>http://www.phosphosite.org/proteinAction.do?id=1236853&amp;showAllSites=true</t>
  </si>
  <si>
    <t>TLQVTK*K</t>
  </si>
  <si>
    <t>862</t>
  </si>
  <si>
    <t>Nup160</t>
  </si>
  <si>
    <t>NUP160</t>
  </si>
  <si>
    <t>nuclear pore complex protein Nup160</t>
  </si>
  <si>
    <t>Q9Z0W3</t>
  </si>
  <si>
    <t>http://www.phosphosite.org/proteinAction.do?id=9037&amp;showAllSites=true</t>
  </si>
  <si>
    <t>EM#DYETEVEM#EK*</t>
  </si>
  <si>
    <t>863</t>
  </si>
  <si>
    <t>Olfr378</t>
  </si>
  <si>
    <t>olfactory receptor 378</t>
  </si>
  <si>
    <t>NP_667235</t>
  </si>
  <si>
    <t>http://www.ncbi.nlm.nih.gov/entrez/query.fcgi?db=protein&amp;cmd=search&amp;term=NP_667235</t>
  </si>
  <si>
    <t>IVSSIFKFPSFQGIRK*AFSTCGSHLSVVSLFYG</t>
  </si>
  <si>
    <t>864</t>
  </si>
  <si>
    <t>P2rx1</t>
  </si>
  <si>
    <t>P2X1</t>
  </si>
  <si>
    <t>P2X purinoceptor 1</t>
  </si>
  <si>
    <t>P51576</t>
  </si>
  <si>
    <t>http://www.phosphosite.org/proteinAction.do?id=16483&amp;showAllSites=true</t>
  </si>
  <si>
    <t>YEK*GYQTSSGLISSVSVK</t>
  </si>
  <si>
    <t>865</t>
  </si>
  <si>
    <t>Pgam5</t>
  </si>
  <si>
    <t>PGAM5 iso2</t>
  </si>
  <si>
    <t>serine/threonine-protein phosphatase PGAM5, mitochondrial isoform 1</t>
  </si>
  <si>
    <t>Q8BX10-2</t>
  </si>
  <si>
    <t>http://www.phosphosite.org/proteinAction.do?id=18995001&amp;showAllSites=true</t>
  </si>
  <si>
    <t>EGAPIEPDPPVSHWK*PEAVYYEDGAR</t>
  </si>
  <si>
    <t>866</t>
  </si>
  <si>
    <t>867</t>
  </si>
  <si>
    <t>868</t>
  </si>
  <si>
    <t>869</t>
  </si>
  <si>
    <t>870</t>
  </si>
  <si>
    <t>PPVSHWK*PEAVYYEDGAR</t>
  </si>
  <si>
    <t>871</t>
  </si>
  <si>
    <t>872</t>
  </si>
  <si>
    <t>Pgrmc2</t>
  </si>
  <si>
    <t>PGRMC2</t>
  </si>
  <si>
    <t>membrane-associated progesterone receptor component 2</t>
  </si>
  <si>
    <t>Q80UU9</t>
  </si>
  <si>
    <t>http://www.phosphosite.org/proteinAction.do?id=15792&amp;showAllSites=true</t>
  </si>
  <si>
    <t>EK*YDYVGR</t>
  </si>
  <si>
    <t>873</t>
  </si>
  <si>
    <t>Pigr</t>
  </si>
  <si>
    <t>PIGR</t>
  </si>
  <si>
    <t>167, 182</t>
  </si>
  <si>
    <t>polymeric immunoglobulin receptor precursor</t>
  </si>
  <si>
    <t>O70570</t>
  </si>
  <si>
    <t>http://www.phosphosite.org/proteinAction.do?id=5161&amp;showAllSites=true</t>
  </si>
  <si>
    <t>SLCK*KTNQSCELVIDSTEK*VNPSYIGR</t>
  </si>
  <si>
    <t>874</t>
  </si>
  <si>
    <t>Reep5</t>
  </si>
  <si>
    <t>REEP5</t>
  </si>
  <si>
    <t>receptor expression-enhancing protein 5</t>
  </si>
  <si>
    <t>Q60870</t>
  </si>
  <si>
    <t>http://www.phosphosite.org/proteinAction.do?id=3642637&amp;showAllSites=true</t>
  </si>
  <si>
    <t>RIIRPIFLK*HESQVDSVVK</t>
  </si>
  <si>
    <t>875</t>
  </si>
  <si>
    <t>Sgpl1</t>
  </si>
  <si>
    <t>SGPL1</t>
  </si>
  <si>
    <t>sphingosine-1-phosphate lyase 1</t>
  </si>
  <si>
    <t>Q8R0X7</t>
  </si>
  <si>
    <t>http://www.phosphosite.org/proteinAction.do?id=3396010&amp;showAllSites=true</t>
  </si>
  <si>
    <t>GVTSISADTHK*YGYAPK</t>
  </si>
  <si>
    <t>http://www.phosphosite.org/proteinAction.do?id=6584&amp;showAllSites=true</t>
  </si>
  <si>
    <t>16; 16</t>
  </si>
  <si>
    <t>AGVATALAHK*YH</t>
  </si>
  <si>
    <t>846</t>
  </si>
  <si>
    <t>VVAGVATALAHK*YH</t>
  </si>
  <si>
    <t>847</t>
  </si>
  <si>
    <t>848</t>
  </si>
  <si>
    <t>849</t>
  </si>
  <si>
    <t>850</t>
  </si>
  <si>
    <t>Hbb-b2</t>
  </si>
  <si>
    <t>HBB</t>
  </si>
  <si>
    <t>hemoglobin subunit beta-2</t>
  </si>
  <si>
    <t>P02089</t>
  </si>
  <si>
    <t>http://www.phosphosite.org/proteinAction.do?id=14465&amp;showAllSites=true</t>
  </si>
  <si>
    <t>SAVSCLWAK*VNPDEVGGEALGR</t>
  </si>
  <si>
    <t>851</t>
  </si>
  <si>
    <t>852</t>
  </si>
  <si>
    <t>Hbegf</t>
  </si>
  <si>
    <t>HBEGF</t>
  </si>
  <si>
    <t>88, 93</t>
  </si>
  <si>
    <t>proheparin-binding EGF-like growth factor precursor</t>
  </si>
  <si>
    <t>Q06186</t>
  </si>
  <si>
    <t>http://www.phosphosite.org/proteinAction.do?id=9205&amp;showAllSites=true</t>
  </si>
  <si>
    <t>K*ERNGK*K</t>
  </si>
  <si>
    <t>853</t>
  </si>
  <si>
    <t>Hnrnpm</t>
  </si>
  <si>
    <t>hnRNP M</t>
  </si>
  <si>
    <t>heterogeneous nuclear ribonucleoprotein M isoform b</t>
  </si>
  <si>
    <t>Q9D0E1</t>
  </si>
  <si>
    <t>http://www.phosphosite.org/proteinAction.do?id=6794&amp;showAllSites=true</t>
  </si>
  <si>
    <t>ADILEDK*DGK</t>
  </si>
  <si>
    <t>854</t>
  </si>
  <si>
    <t>GCGVVK*FESPEVAER</t>
  </si>
  <si>
    <t>855</t>
  </si>
  <si>
    <t>856</t>
  </si>
  <si>
    <t>SKGCGVVK*FESPEVAER</t>
  </si>
  <si>
    <t>857</t>
  </si>
  <si>
    <t>Hsd17b4</t>
  </si>
  <si>
    <t>HSD17B4</t>
  </si>
  <si>
    <t>peroxisomal multifunctional enzyme type 2</t>
  </si>
  <si>
    <t>P51660</t>
  </si>
  <si>
    <t>http://www.phosphosite.org/proteinAction.do?id=9183&amp;showAllSites=true</t>
  </si>
  <si>
    <t>FAK*PVYPGQTLQTEM#WK</t>
  </si>
  <si>
    <t>858</t>
  </si>
  <si>
    <t>Igsf9</t>
  </si>
  <si>
    <t>IGSF9</t>
  </si>
  <si>
    <t>protein turtle homolog A precursor</t>
  </si>
  <si>
    <t>Q05BQ1</t>
  </si>
  <si>
    <t>http://www.phosphosite.org/proteinAction.do?id=3748437&amp;showAllSites=true</t>
  </si>
  <si>
    <t>LQAHAQYQFSVLAQNK*</t>
  </si>
  <si>
    <t>Itpr2</t>
  </si>
  <si>
    <t>IP3R2</t>
  </si>
  <si>
    <t>inositol 1,4,5-trisphosphate receptor type 2 isoform 2</t>
  </si>
  <si>
    <t>Q9Z329</t>
  </si>
  <si>
    <t>http://www.phosphosite.org/proteinAction.do?id=10981&amp;showAllSites=true</t>
  </si>
  <si>
    <t>LCTNTWVTSTTIPIDTEEERPVMLK*</t>
  </si>
  <si>
    <t>860</t>
  </si>
  <si>
    <t>Kcnq1</t>
  </si>
  <si>
    <t>Kv7.1</t>
  </si>
  <si>
    <t>potassium voltage-gated channel subfamily KQT member 1</t>
  </si>
  <si>
    <t>P97414</t>
  </si>
  <si>
    <t>http://www.phosphosite.org/proteinAction.do?id=7749&amp;showAllSites=true</t>
  </si>
  <si>
    <t>KKFK*LDKDNGM#SPGEK</t>
  </si>
  <si>
    <t>861</t>
  </si>
  <si>
    <t>Mep1b</t>
  </si>
  <si>
    <t>MEP1B</t>
  </si>
  <si>
    <t>meprin A subunit beta precursor</t>
  </si>
  <si>
    <t>Q61847</t>
  </si>
  <si>
    <t>AHGSVVK*SEDYAFPTYADRR</t>
  </si>
  <si>
    <t>825</t>
  </si>
  <si>
    <t>Cpne1</t>
  </si>
  <si>
    <t>CPNE1</t>
  </si>
  <si>
    <t>copine-1</t>
  </si>
  <si>
    <t>Q8C166</t>
  </si>
  <si>
    <t>http://www.phosphosite.org/proteinAction.do?id=24752&amp;showAllSites=true</t>
  </si>
  <si>
    <t>QGDGK*WQLAYR</t>
  </si>
  <si>
    <t>826</t>
  </si>
  <si>
    <t>Gap43</t>
  </si>
  <si>
    <t>GAP43</t>
  </si>
  <si>
    <t>neuromodulin</t>
  </si>
  <si>
    <t>P06837</t>
  </si>
  <si>
    <t>http://www.phosphosite.org/proteinAction.do?id=2143&amp;showAllSites=true</t>
  </si>
  <si>
    <t>AGDAPSEEK*KGEGDAAPSEEK</t>
  </si>
  <si>
    <t>827</t>
  </si>
  <si>
    <t>AGDAPSEEKK*GEGDAAPSEEK</t>
  </si>
  <si>
    <t>828</t>
  </si>
  <si>
    <t>ATTDNSPSSK*AEDGPAKEEPK</t>
  </si>
  <si>
    <t>829</t>
  </si>
  <si>
    <t>AAQPPTETAESSQAEEEKDAVDEAK*PK</t>
  </si>
  <si>
    <t>830</t>
  </si>
  <si>
    <t>831</t>
  </si>
  <si>
    <t>832</t>
  </si>
  <si>
    <t>833</t>
  </si>
  <si>
    <t>AAQPPTETAESSQAEEEKDAVDEAKPK*</t>
  </si>
  <si>
    <t>834</t>
  </si>
  <si>
    <t>835</t>
  </si>
  <si>
    <t>ESARQDEGK*EDPEADQEHA</t>
  </si>
  <si>
    <t>836</t>
  </si>
  <si>
    <t>QDEGK*EDPEADQEHA</t>
  </si>
  <si>
    <t>837</t>
  </si>
  <si>
    <t>IEQDGVK*PEDK</t>
  </si>
  <si>
    <t>838</t>
  </si>
  <si>
    <t>839</t>
  </si>
  <si>
    <t>NDEDQKIEQDGVK*PEDK</t>
  </si>
  <si>
    <t>840</t>
  </si>
  <si>
    <t>QVEKNDEDQKIEQDGVK*PEDK</t>
  </si>
  <si>
    <t>841</t>
  </si>
  <si>
    <t>Gp1ba</t>
  </si>
  <si>
    <t>GPIbA</t>
  </si>
  <si>
    <t>platelet glycoprotein Ib alpha chain precursor</t>
  </si>
  <si>
    <t>O35930</t>
  </si>
  <si>
    <t>http://www.phosphosite.org/proteinAction.do?id=4630&amp;showAllSites=true</t>
  </si>
  <si>
    <t>TEVKFSTNTK*</t>
  </si>
  <si>
    <t>842</t>
  </si>
  <si>
    <t>Gpm6a</t>
  </si>
  <si>
    <t>GPM6A</t>
  </si>
  <si>
    <t>neuronal membrane glycoprotein M6-a</t>
  </si>
  <si>
    <t>P35802</t>
  </si>
  <si>
    <t>http://www.phosphosite.org/proteinAction.do?id=8510&amp;showAllSites=true</t>
  </si>
  <si>
    <t>M#QK*YEDIK</t>
  </si>
  <si>
    <t>843</t>
  </si>
  <si>
    <t>Gpr126</t>
  </si>
  <si>
    <t>GPR126</t>
  </si>
  <si>
    <t>1121</t>
  </si>
  <si>
    <t>G-protein coupled receptor 126 precursor</t>
  </si>
  <si>
    <t>Q6F3F9</t>
  </si>
  <si>
    <t>http://www.phosphosite.org/proteinAction.do?id=7790&amp;showAllSites=true</t>
  </si>
  <si>
    <t>LADNSDWSKTATNIIK*KSSDNLGK</t>
  </si>
  <si>
    <t>844</t>
  </si>
  <si>
    <t>Hba-a1; Hba-a2</t>
  </si>
  <si>
    <t>HBA1; Hba-a2</t>
  </si>
  <si>
    <t>hemoglobin subunit alpha</t>
  </si>
  <si>
    <t>P01942; Q91VB8</t>
  </si>
  <si>
    <t>http://www.phosphosite.org/proteinAction.do?id=9368&amp;showAllSites=true</t>
  </si>
  <si>
    <t>15; 15</t>
  </si>
  <si>
    <t>AAWGK*IGGHGAEYGAEALER</t>
  </si>
  <si>
    <t>845</t>
  </si>
  <si>
    <t>Hbb-b1; Hbb-b2</t>
  </si>
  <si>
    <t>HBD; HBB</t>
  </si>
  <si>
    <t>hemoglobin subunit beta-1</t>
  </si>
  <si>
    <t>P02088; P02089</t>
  </si>
  <si>
    <t>IQEYEK*QLEK</t>
  </si>
  <si>
    <t>805</t>
  </si>
  <si>
    <t>806</t>
  </si>
  <si>
    <t>K*YPYWPHQPIENL</t>
  </si>
  <si>
    <t>807</t>
  </si>
  <si>
    <t>ANVAKPGLVDDFEK*K</t>
  </si>
  <si>
    <t>808</t>
  </si>
  <si>
    <t>IPVPEDK*YTALVDQEEKEDVK</t>
  </si>
  <si>
    <t>809</t>
  </si>
  <si>
    <t>YNALKIPVPEDK*YTALVDQEEKEDVK</t>
  </si>
  <si>
    <t>810</t>
  </si>
  <si>
    <t>YNALKIPVPEDKYTALVDQEEK*EDVK</t>
  </si>
  <si>
    <t>811</t>
  </si>
  <si>
    <t>Atp5j</t>
  </si>
  <si>
    <t>ATP5J</t>
  </si>
  <si>
    <t>ATP synthase-coupling factor 6, mitochondrial precursor</t>
  </si>
  <si>
    <t>P97450</t>
  </si>
  <si>
    <t>http://www.phosphosite.org/proteinAction.do?id=9526&amp;showAllSites=true</t>
  </si>
  <si>
    <t>NK*ELDPVQK</t>
  </si>
  <si>
    <t>812</t>
  </si>
  <si>
    <t>FDDPK*FEVIDKPQS</t>
  </si>
  <si>
    <t>813</t>
  </si>
  <si>
    <t>GEM#DTFPTFKFDDPK*FEVIDKPQS</t>
  </si>
  <si>
    <t>814</t>
  </si>
  <si>
    <t>815</t>
  </si>
  <si>
    <t>QM#YGKGEM#DTFPTFKFDDPK*FEVIDKPQS</t>
  </si>
  <si>
    <t>816</t>
  </si>
  <si>
    <t>Atp5k</t>
  </si>
  <si>
    <t>ATP5I</t>
  </si>
  <si>
    <t>ATP synthase subunit e, mitochondrial</t>
  </si>
  <si>
    <t>Q06185</t>
  </si>
  <si>
    <t>http://www.phosphosite.org/proteinAction.do?id=9530&amp;showAllSites=true</t>
  </si>
  <si>
    <t>YSYLK*PR</t>
  </si>
  <si>
    <t>817</t>
  </si>
  <si>
    <t>Atp5o</t>
  </si>
  <si>
    <t>ATP5O</t>
  </si>
  <si>
    <t>ATP synthase subunit O, mitochondrial precursor</t>
  </si>
  <si>
    <t>Q9DB20</t>
  </si>
  <si>
    <t>http://www.phosphosite.org/proteinAction.do?id=15764&amp;showAllSites=true</t>
  </si>
  <si>
    <t>SFLSPNQILK*LEIK</t>
  </si>
  <si>
    <t>818</t>
  </si>
  <si>
    <t>819</t>
  </si>
  <si>
    <t>IGEK*YVDMSAK</t>
  </si>
  <si>
    <t>820</t>
  </si>
  <si>
    <t>IGEK*YVDM#SAK</t>
  </si>
  <si>
    <t>821</t>
  </si>
  <si>
    <t>FAK*LVRPPVQVYGIEGR</t>
  </si>
  <si>
    <t>822</t>
  </si>
  <si>
    <t>Atp6v1e1</t>
  </si>
  <si>
    <t>ATP6V1E1</t>
  </si>
  <si>
    <t>156, 160</t>
  </si>
  <si>
    <t>V-type proton ATPase subunit E 1</t>
  </si>
  <si>
    <t>P50518</t>
  </si>
  <si>
    <t>http://www.phosphosite.org/proteinAction.do?id=10227&amp;showAllSites=true</t>
  </si>
  <si>
    <t>QKAIPMYK*IATK*</t>
  </si>
  <si>
    <t>823</t>
  </si>
  <si>
    <t>Casc4</t>
  </si>
  <si>
    <t>CASC4</t>
  </si>
  <si>
    <t>79, 84</t>
  </si>
  <si>
    <t>protein CASC4 isoform 3</t>
  </si>
  <si>
    <t>Q6P2L7</t>
  </si>
  <si>
    <t>http://www.phosphosite.org/proteinAction.do?id=1288197&amp;showAllSites=true</t>
  </si>
  <si>
    <t>LLVDTHKK*QIDQK*</t>
  </si>
  <si>
    <t>824</t>
  </si>
  <si>
    <t>Cox4i1</t>
  </si>
  <si>
    <t>COX4I1</t>
  </si>
  <si>
    <t>cytochrome c oxidase subunit 4 isoform 1, mitochondrial precursor</t>
  </si>
  <si>
    <t>P19783</t>
  </si>
  <si>
    <t>http://www.phosphosite.org/proteinAction.do?id=13225&amp;showAllSites=true</t>
  </si>
  <si>
    <t>P07724</t>
  </si>
  <si>
    <t>http://www.phosphosite.org/proteinAction.do?id=6883&amp;showAllSites=true</t>
  </si>
  <si>
    <t>LDGVK*EK</t>
  </si>
  <si>
    <t>788</t>
  </si>
  <si>
    <t>CSSMQK*FGER</t>
  </si>
  <si>
    <t>789</t>
  </si>
  <si>
    <t>Atox1</t>
  </si>
  <si>
    <t>ATOX1</t>
  </si>
  <si>
    <t>copper transport protein ATOX1</t>
  </si>
  <si>
    <t>O08997</t>
  </si>
  <si>
    <t>http://www.phosphosite.org/proteinAction.do?id=1171414&amp;showAllSites=true</t>
  </si>
  <si>
    <t>TGK*AVSYLGPK</t>
  </si>
  <si>
    <t>Atp1a3</t>
  </si>
  <si>
    <t>ATP1A3</t>
  </si>
  <si>
    <t>sodium/potassium-transporting ATPase subunit alpha-3</t>
  </si>
  <si>
    <t>Q6PIC6</t>
  </si>
  <si>
    <t>http://www.phosphosite.org/proteinAction.do?id=11847&amp;showAllSites=true</t>
  </si>
  <si>
    <t>K*YNTDCVQGLTHSK</t>
  </si>
  <si>
    <t>791</t>
  </si>
  <si>
    <t>Atp5a1</t>
  </si>
  <si>
    <t>ATP5A1</t>
  </si>
  <si>
    <t>ATP synthase subunit alpha, mitochondrial precursor</t>
  </si>
  <si>
    <t>Q03265</t>
  </si>
  <si>
    <t>http://www.phosphosite.org/proteinAction.do?id=6895&amp;showAllSites=true</t>
  </si>
  <si>
    <t>FNDGTDEK*K</t>
  </si>
  <si>
    <t>792</t>
  </si>
  <si>
    <t>FNDGTDEKK*K</t>
  </si>
  <si>
    <t>793</t>
  </si>
  <si>
    <t>794</t>
  </si>
  <si>
    <t>STVAQLVK*R</t>
  </si>
  <si>
    <t>795</t>
  </si>
  <si>
    <t>GYLDK*LEPSK</t>
  </si>
  <si>
    <t>796</t>
  </si>
  <si>
    <t>SDGK*ISEQSDAK</t>
  </si>
  <si>
    <t>797</t>
  </si>
  <si>
    <t>ISEQSDAK*LK</t>
  </si>
  <si>
    <t>Atp5c1</t>
  </si>
  <si>
    <t>ATP5C</t>
  </si>
  <si>
    <t>ATP synthase subunit gamma, mitochondrial isoform b</t>
  </si>
  <si>
    <t>Q91VR2</t>
  </si>
  <si>
    <t>http://www.phosphosite.org/proteinAction.do?id=11730&amp;showAllSites=true</t>
  </si>
  <si>
    <t>MVAAAK*YAR</t>
  </si>
  <si>
    <t>799</t>
  </si>
  <si>
    <t>Atp5f1</t>
  </si>
  <si>
    <t>ATP5F1</t>
  </si>
  <si>
    <t>ATP synthase subunit b, mitochondrial precursor</t>
  </si>
  <si>
    <t>Q9CQQ7</t>
  </si>
  <si>
    <t>http://www.phosphosite.org/proteinAction.do?id=15751&amp;showAllSites=true</t>
  </si>
  <si>
    <t>QIQDAIDM#EK*AQQALVQKR</t>
  </si>
  <si>
    <t>800</t>
  </si>
  <si>
    <t>AQQALVQK*R</t>
  </si>
  <si>
    <t>801</t>
  </si>
  <si>
    <t>RKEEEHMIDWVEK*HVVK</t>
  </si>
  <si>
    <t>802</t>
  </si>
  <si>
    <t>SISVQQEK*ETIAK</t>
  </si>
  <si>
    <t>803</t>
  </si>
  <si>
    <t>CIEDLK*LLAK</t>
  </si>
  <si>
    <t>804</t>
  </si>
  <si>
    <t>Atp5h</t>
  </si>
  <si>
    <t>ATP5H</t>
  </si>
  <si>
    <t>ATP synthase subunit d, mitochondrial</t>
  </si>
  <si>
    <t>Q9DCX2</t>
  </si>
  <si>
    <t>http://www.phosphosite.org/proteinAction.do?id=8575&amp;showAllSites=true</t>
  </si>
  <si>
    <t>RNA binding motif protein, X-linked</t>
  </si>
  <si>
    <t>Q9WV02; Q91VM5</t>
  </si>
  <si>
    <t>http://www.phosphosite.org/proteinAction.do?id=2129402&amp;showAllSites=true</t>
  </si>
  <si>
    <t>42; 42</t>
  </si>
  <si>
    <t>ALEAVFGK*YGR</t>
  </si>
  <si>
    <t>777</t>
  </si>
  <si>
    <t>Srsf1</t>
  </si>
  <si>
    <t>SF2</t>
  </si>
  <si>
    <t>serine/arginine-rich splicing factor 1 isoform 2</t>
  </si>
  <si>
    <t>Q6PDM2</t>
  </si>
  <si>
    <t>http://www.phosphosite.org/proteinAction.do?id=5608&amp;showAllSites=true</t>
  </si>
  <si>
    <t>KLDNTK*FR</t>
  </si>
  <si>
    <t>778</t>
  </si>
  <si>
    <t>Srsf2</t>
  </si>
  <si>
    <t>SFRS2</t>
  </si>
  <si>
    <t>serine/arginine-rich splicing factor 2</t>
  </si>
  <si>
    <t>Q62093</t>
  </si>
  <si>
    <t>http://www.phosphosite.org/proteinAction.do?id=9847&amp;showAllSites=true</t>
  </si>
  <si>
    <t>VFEK*YGR</t>
  </si>
  <si>
    <t>779</t>
  </si>
  <si>
    <t>Strbp</t>
  </si>
  <si>
    <t>STRBP</t>
  </si>
  <si>
    <t>spermatid perinuclear RNA-binding protein</t>
  </si>
  <si>
    <t>Q91WM1</t>
  </si>
  <si>
    <t>http://www.phosphosite.org/proteinAction.do?id=20398&amp;showAllSites=true</t>
  </si>
  <si>
    <t>GSSALKRPFEDGLGDDKDPNKK*</t>
  </si>
  <si>
    <t>780</t>
  </si>
  <si>
    <t>Trnt1</t>
  </si>
  <si>
    <t>TRNT1</t>
  </si>
  <si>
    <t>CCA tRNA nucleotidyltransferase 1, mitochondrial isoform a</t>
  </si>
  <si>
    <t>Q8K1J6</t>
  </si>
  <si>
    <t>http://www.phosphosite.org/proteinAction.do?id=17762&amp;showAllSites=true</t>
  </si>
  <si>
    <t>K*VGISSGKEIGALLQQLR</t>
  </si>
  <si>
    <t>781</t>
  </si>
  <si>
    <t>KVGISSGK*EIGALLQQLR</t>
  </si>
  <si>
    <t>782</t>
  </si>
  <si>
    <t>VGISSGK*EIGALLQQLR</t>
  </si>
  <si>
    <t>783</t>
  </si>
  <si>
    <t>U2af2</t>
  </si>
  <si>
    <t>U2AF2</t>
  </si>
  <si>
    <t>splicing factor U2AF 65 kDa subunit isoform 1</t>
  </si>
  <si>
    <t>P26369</t>
  </si>
  <si>
    <t>http://www.phosphosite.org/proteinAction.do?id=9509&amp;showAllSites=true</t>
  </si>
  <si>
    <t>GAK*EEHGGLIR</t>
  </si>
  <si>
    <t>784</t>
  </si>
  <si>
    <t>Receptor, channel, transporter or cell surface protein</t>
  </si>
  <si>
    <t>ATP8</t>
  </si>
  <si>
    <t>ATP synthase F0 subunit 8</t>
  </si>
  <si>
    <t>P03930</t>
  </si>
  <si>
    <t>http://www.phosphosite.org/proteinAction.do?id=15686&amp;showAllSites=true</t>
  </si>
  <si>
    <t>TPWELK*WTK</t>
  </si>
  <si>
    <t>786</t>
  </si>
  <si>
    <t>Abca5</t>
  </si>
  <si>
    <t>ABCA5</t>
  </si>
  <si>
    <t>1521, 1523, 1526</t>
  </si>
  <si>
    <t>ATP-binding cassette sub-family A member 5</t>
  </si>
  <si>
    <t>Q8K448</t>
  </si>
  <si>
    <t>http://www.phosphosite.org/proteinAction.do?id=15508&amp;showAllSites=true</t>
  </si>
  <si>
    <t>VAIM#VSGQLRCIGTVQHLK*SK*FGK*GYFLEIK</t>
  </si>
  <si>
    <t>787</t>
  </si>
  <si>
    <t>Alb</t>
  </si>
  <si>
    <t>albumin</t>
  </si>
  <si>
    <t>serum albumin precursor</t>
  </si>
  <si>
    <t>cleavage and polyadenylation specificity factor subunit 5</t>
  </si>
  <si>
    <t>Q9CQF3</t>
  </si>
  <si>
    <t>http://www.phosphosite.org/proteinAction.do?id=5140324&amp;showAllSites=true</t>
  </si>
  <si>
    <t>GNK*YIQQTKPLTLER</t>
  </si>
  <si>
    <t>756</t>
  </si>
  <si>
    <t>757</t>
  </si>
  <si>
    <t>758</t>
  </si>
  <si>
    <t>GVNQFGNK*Y</t>
  </si>
  <si>
    <t>759</t>
  </si>
  <si>
    <t>GVNQFGNK*YIQQT</t>
  </si>
  <si>
    <t>760</t>
  </si>
  <si>
    <t>GVNQFGNK*YIQQTK</t>
  </si>
  <si>
    <t>761</t>
  </si>
  <si>
    <t>762</t>
  </si>
  <si>
    <t>GVNQFGNK*YIQQTKPLTL</t>
  </si>
  <si>
    <t>763</t>
  </si>
  <si>
    <t>GVNQFGNK*YIQQTKPLTLER</t>
  </si>
  <si>
    <t>764</t>
  </si>
  <si>
    <t>765</t>
  </si>
  <si>
    <t>766</t>
  </si>
  <si>
    <t>Nxf2</t>
  </si>
  <si>
    <t>Nxf-b</t>
  </si>
  <si>
    <t>nuclear RNA export factor 2</t>
  </si>
  <si>
    <t>Q99MW6</t>
  </si>
  <si>
    <t>http://www.phosphosite.org/proteinAction.do?id=26413817&amp;showAllSites=true</t>
  </si>
  <si>
    <t>NNHFDHYGAPYAM#GMK*</t>
  </si>
  <si>
    <t>767</t>
  </si>
  <si>
    <t>Pabpc5</t>
  </si>
  <si>
    <t>PABPC5</t>
  </si>
  <si>
    <t>35, 36</t>
  </si>
  <si>
    <t>polyadenylate-binding protein 5</t>
  </si>
  <si>
    <t>Q8C7D3</t>
  </si>
  <si>
    <t>http://www.phosphosite.org/proteinAction.do?id=9983021&amp;showAllSites=true</t>
  </si>
  <si>
    <t>KAALYVGDLDPDVTEDMLYK*K*</t>
  </si>
  <si>
    <t>768</t>
  </si>
  <si>
    <t>Pnpt1</t>
  </si>
  <si>
    <t>PNPT1</t>
  </si>
  <si>
    <t>polyribonucleotide nucleotidyltransferase 1, mitochondrial precursor</t>
  </si>
  <si>
    <t>Q8K1R3</t>
  </si>
  <si>
    <t>http://www.phosphosite.org/proteinAction.do?id=8916&amp;showAllSites=true</t>
  </si>
  <si>
    <t>VGVK*YTQQIIQGIQQLVK</t>
  </si>
  <si>
    <t>769</t>
  </si>
  <si>
    <t>Prpf40a</t>
  </si>
  <si>
    <t>FNBP3</t>
  </si>
  <si>
    <t>pre-mRNA-processing factor 40 homolog A</t>
  </si>
  <si>
    <t>Q9R1C7</t>
  </si>
  <si>
    <t>http://www.phosphosite.org/proteinAction.do?id=6068&amp;showAllSites=true</t>
  </si>
  <si>
    <t>SDSGK*PYYYNSQTK</t>
  </si>
  <si>
    <t>Prpf40b; Prpf40b</t>
  </si>
  <si>
    <t>HYPC; HYPC iso3</t>
  </si>
  <si>
    <t>pre-mRNA-processing factor 40 homolog B</t>
  </si>
  <si>
    <t>Q80W14; Q80W14-3</t>
  </si>
  <si>
    <t>http://www.phosphosite.org/proteinAction.do?id=11665&amp;showAllSites=true</t>
  </si>
  <si>
    <t>99; 100</t>
  </si>
  <si>
    <t>SDTGK*PYYYNNQSQESR</t>
  </si>
  <si>
    <t>771</t>
  </si>
  <si>
    <t>772</t>
  </si>
  <si>
    <t>Pspc1</t>
  </si>
  <si>
    <t>PSPC1</t>
  </si>
  <si>
    <t>paraspeckle component 1</t>
  </si>
  <si>
    <t>Q8R326</t>
  </si>
  <si>
    <t>http://www.phosphosite.org/proteinAction.do?id=5140307&amp;showAllSites=true</t>
  </si>
  <si>
    <t>QQEGGFK*PNYMENR</t>
  </si>
  <si>
    <t>773</t>
  </si>
  <si>
    <t>QQEGGFK*PNYM#ENR</t>
  </si>
  <si>
    <t>774</t>
  </si>
  <si>
    <t>RQQEGGFK*PNYMENR</t>
  </si>
  <si>
    <t>775</t>
  </si>
  <si>
    <t>RQQEGGFK*PNYM#ENR</t>
  </si>
  <si>
    <t>776</t>
  </si>
  <si>
    <t>Rbmx; Rbmxrt</t>
  </si>
  <si>
    <t>RBMX; RBMXRT</t>
  </si>
  <si>
    <t>heterogeneous nuclear ribonucleoprotein L</t>
  </si>
  <si>
    <t>Q8R081; Q3UMT7</t>
  </si>
  <si>
    <t>http://www.phosphosite.org/proteinAction.do?id=8886&amp;showAllSites=true</t>
  </si>
  <si>
    <t>64; 64</t>
  </si>
  <si>
    <t>QPAIM#PGQSYGLEDGSCSYK*DFSESR</t>
  </si>
  <si>
    <t>735</t>
  </si>
  <si>
    <t>736</t>
  </si>
  <si>
    <t>Khdrbs1</t>
  </si>
  <si>
    <t>Sam68</t>
  </si>
  <si>
    <t>KH domain-containing, RNA-binding, signal transduction-associated protein 1</t>
  </si>
  <si>
    <t>Q60749</t>
  </si>
  <si>
    <t>http://www.phosphosite.org/proteinAction.do?id=3643&amp;showAllSites=true</t>
  </si>
  <si>
    <t>AMEEVK*K</t>
  </si>
  <si>
    <t>737</t>
  </si>
  <si>
    <t>Lrpprc</t>
  </si>
  <si>
    <t>LRPPRC</t>
  </si>
  <si>
    <t>leucine-rich PPR motif-containing protein, mitochondrial precursor</t>
  </si>
  <si>
    <t>Q6PB66</t>
  </si>
  <si>
    <t>http://www.phosphosite.org/proteinAction.do?id=7779&amp;showAllSites=true</t>
  </si>
  <si>
    <t>NVQGIIDILK*IM#NK</t>
  </si>
  <si>
    <t>738</t>
  </si>
  <si>
    <t>Matr3</t>
  </si>
  <si>
    <t>matrin 3</t>
  </si>
  <si>
    <t>matrin-3</t>
  </si>
  <si>
    <t>Q8K310</t>
  </si>
  <si>
    <t>http://www.phosphosite.org/proteinAction.do?id=8696&amp;showAllSites=true</t>
  </si>
  <si>
    <t>VHLSQK*YK</t>
  </si>
  <si>
    <t>739</t>
  </si>
  <si>
    <t>LAEPYGK*IK</t>
  </si>
  <si>
    <t>740</t>
  </si>
  <si>
    <t>TESPAEGK*EQEEK</t>
  </si>
  <si>
    <t>741</t>
  </si>
  <si>
    <t>Nop2</t>
  </si>
  <si>
    <t>putative ribosomal RNA methyltransferase NOP2</t>
  </si>
  <si>
    <t>NP_620086</t>
  </si>
  <si>
    <t>http://www.ncbi.nlm.nih.gov/entrez/query.fcgi?db=protein&amp;cmd=search&amp;term=NP_620086</t>
  </si>
  <si>
    <t>RAAPRPKDCAPSLGEAK*K</t>
  </si>
  <si>
    <t>742</t>
  </si>
  <si>
    <t>Nova2</t>
  </si>
  <si>
    <t>NOVA2</t>
  </si>
  <si>
    <t>neuro-oncological ventral antigen 2</t>
  </si>
  <si>
    <t>NP_001025048</t>
  </si>
  <si>
    <t>http://www.phosphosite.org/proteinAction.do?id=6142608&amp;showAllSites=true</t>
  </si>
  <si>
    <t>K*AVSAIVQK</t>
  </si>
  <si>
    <t>743</t>
  </si>
  <si>
    <t>Npm1</t>
  </si>
  <si>
    <t>NPM1</t>
  </si>
  <si>
    <t>nucleophosmin</t>
  </si>
  <si>
    <t>Q61937</t>
  </si>
  <si>
    <t>http://www.phosphosite.org/proteinAction.do?id=1394&amp;showAllSites=true</t>
  </si>
  <si>
    <t>SAPGGGNKVPQK*K</t>
  </si>
  <si>
    <t>744</t>
  </si>
  <si>
    <t>SNQNGK*DLKPSTPR</t>
  </si>
  <si>
    <t>745</t>
  </si>
  <si>
    <t>746</t>
  </si>
  <si>
    <t>SKGQESFK*K</t>
  </si>
  <si>
    <t>747</t>
  </si>
  <si>
    <t>GGSLPKVEAK*FINYVK</t>
  </si>
  <si>
    <t>748</t>
  </si>
  <si>
    <t>749</t>
  </si>
  <si>
    <t>750</t>
  </si>
  <si>
    <t>751</t>
  </si>
  <si>
    <t>VEAK*FINYVK</t>
  </si>
  <si>
    <t>753</t>
  </si>
  <si>
    <t>ADKDYHFK*VDNDENEHQLSLR</t>
  </si>
  <si>
    <t>755</t>
  </si>
  <si>
    <t>Nudt21</t>
  </si>
  <si>
    <t>CFIM25</t>
  </si>
  <si>
    <t>ACF</t>
  </si>
  <si>
    <t>APOBEC1 complementation factor</t>
  </si>
  <si>
    <t>Q5YD48</t>
  </si>
  <si>
    <t>http://www.phosphosite.org/proteinAction.do?id=16078&amp;showAllSites=true</t>
  </si>
  <si>
    <t>LSAYVDEAK*R</t>
  </si>
  <si>
    <t>725</t>
  </si>
  <si>
    <t>Cpsf6</t>
  </si>
  <si>
    <t>CPSF6</t>
  </si>
  <si>
    <t>cleavage and polyadenylation specificity factor subunit 6</t>
  </si>
  <si>
    <t>Q6NVF9</t>
  </si>
  <si>
    <t>http://www.phosphosite.org/proteinAction.do?id=7672&amp;showAllSites=true</t>
  </si>
  <si>
    <t>KTTQSGQMSGEGK*AGPPGGGSR</t>
  </si>
  <si>
    <t>726</t>
  </si>
  <si>
    <t>Ddx1</t>
  </si>
  <si>
    <t>DDX1</t>
  </si>
  <si>
    <t>ATP-dependent RNA helicase DDX1</t>
  </si>
  <si>
    <t>Q91VR5</t>
  </si>
  <si>
    <t>http://www.phosphosite.org/proteinAction.do?id=10267&amp;showAllSites=true</t>
  </si>
  <si>
    <t>SQHTGNAQVSQTK*FLPNAPK</t>
  </si>
  <si>
    <t>727</t>
  </si>
  <si>
    <t>Eif4a1</t>
  </si>
  <si>
    <t>eIF4A1</t>
  </si>
  <si>
    <t>eukaryotic initiation factor 4A-I isoform 2</t>
  </si>
  <si>
    <t>P60843</t>
  </si>
  <si>
    <t>http://www.phosphosite.org/proteinAction.do?id=8032&amp;showAllSites=true</t>
  </si>
  <si>
    <t>YLSPK*YIK</t>
  </si>
  <si>
    <t>728</t>
  </si>
  <si>
    <t>Fen1</t>
  </si>
  <si>
    <t>FEN1</t>
  </si>
  <si>
    <t>flap endonuclease 1</t>
  </si>
  <si>
    <t>Q8C5X6</t>
  </si>
  <si>
    <t>http://www.phosphosite.org/proteinAction.do?id=12263&amp;showAllSites=true</t>
  </si>
  <si>
    <t>TGGAGK*FR</t>
  </si>
  <si>
    <t>729</t>
  </si>
  <si>
    <t>Ftsjd2</t>
  </si>
  <si>
    <t>FTSJD2</t>
  </si>
  <si>
    <t>cap-specific mRNA (nucleoside-2-O-)-methyltransferase 1</t>
  </si>
  <si>
    <t>Q9DBC3</t>
  </si>
  <si>
    <t>http://www.phosphosite.org/proteinAction.do?id=16909&amp;showAllSites=true</t>
  </si>
  <si>
    <t>EGEGLGK*YSQGR</t>
  </si>
  <si>
    <t>730</t>
  </si>
  <si>
    <t>Hnrnpa1; Hnrnpa1</t>
  </si>
  <si>
    <t>hnRNP A1; hnRNP A1 iso2</t>
  </si>
  <si>
    <t>heterogeneous nuclear ribonucleoprotein A1 isoform b</t>
  </si>
  <si>
    <t>P49312; Q5EBP8</t>
  </si>
  <si>
    <t>http://www.phosphosite.org/proteinAction.do?id=2809&amp;showAllSites=true</t>
  </si>
  <si>
    <t>34; 39</t>
  </si>
  <si>
    <t>SSGPYGGGGQYFAK*PR</t>
  </si>
  <si>
    <t>731</t>
  </si>
  <si>
    <t>732</t>
  </si>
  <si>
    <t>733</t>
  </si>
  <si>
    <t>Hnrnpd; Hnrnpd</t>
  </si>
  <si>
    <t>hnRNP D0; hnRNP D0 iso3</t>
  </si>
  <si>
    <t>heterogeneous nuclear ribonucleoprotein D0 isoform a</t>
  </si>
  <si>
    <t>Q60668; Q60668-3</t>
  </si>
  <si>
    <t>http://www.phosphosite.org/proteinAction.do?id=3375&amp;showAllSites=true</t>
  </si>
  <si>
    <t>38; 33</t>
  </si>
  <si>
    <t>IFVGGLSPDTPEEK*IR</t>
  </si>
  <si>
    <t>734</t>
  </si>
  <si>
    <t>Hnrnpl; Hnrnpl</t>
  </si>
  <si>
    <t>hnRNP L; hnRNP L iso3</t>
  </si>
  <si>
    <t>CVK*LCTGHEYAAK</t>
  </si>
  <si>
    <t>715</t>
  </si>
  <si>
    <t>RCVK*LCTGHEYAAK</t>
  </si>
  <si>
    <t>716</t>
  </si>
  <si>
    <t>Cdk5</t>
  </si>
  <si>
    <t>CDK5</t>
  </si>
  <si>
    <t>cyclin-dependent kinase 5</t>
  </si>
  <si>
    <t>P49615</t>
  </si>
  <si>
    <t>http://www.phosphosite.org/proteinAction.do?id=1453&amp;showAllSites=true</t>
  </si>
  <si>
    <t>EICLLK*ELK</t>
  </si>
  <si>
    <t>717</t>
  </si>
  <si>
    <t>Eif2ak4</t>
  </si>
  <si>
    <t>GCN2</t>
  </si>
  <si>
    <t>eukaryotic translation initiation factor 2-alpha kinase 4 isoform 2</t>
  </si>
  <si>
    <t>Q9QZ05</t>
  </si>
  <si>
    <t>http://www.phosphosite.org/proteinAction.do?id=979&amp;showAllSites=true</t>
  </si>
  <si>
    <t>LYK*FIEQK</t>
  </si>
  <si>
    <t>718</t>
  </si>
  <si>
    <t>Mapkapk3</t>
  </si>
  <si>
    <t>MAPKAPK3</t>
  </si>
  <si>
    <t>MAP kinase-activated protein kinase 3</t>
  </si>
  <si>
    <t>Q3UMW7</t>
  </si>
  <si>
    <t>http://www.phosphosite.org/proteinAction.do?id=3512&amp;showAllSites=true</t>
  </si>
  <si>
    <t>YSNTGQAISPGM#K*R</t>
  </si>
  <si>
    <t>719</t>
  </si>
  <si>
    <t>Smg1</t>
  </si>
  <si>
    <t>SMG1</t>
  </si>
  <si>
    <t>serine/threonine-protein kinase SMG1</t>
  </si>
  <si>
    <t>Q8BKX6</t>
  </si>
  <si>
    <t>http://www.phosphosite.org/proteinAction.do?id=11243&amp;showAllSites=true</t>
  </si>
  <si>
    <t>QLK*EFIQQPENK</t>
  </si>
  <si>
    <t>720</t>
  </si>
  <si>
    <t>Trrap</t>
  </si>
  <si>
    <t>TRRAP</t>
  </si>
  <si>
    <t>transformation/transcription domain-associated protein</t>
  </si>
  <si>
    <t>Q80YV3</t>
  </si>
  <si>
    <t>http://www.phosphosite.org/proteinAction.do?id=9915&amp;showAllSites=true</t>
  </si>
  <si>
    <t>AAFAMVTHVK*QEPR</t>
  </si>
  <si>
    <t>Protein kinase, Tyr (non-receptor)</t>
  </si>
  <si>
    <t>721</t>
  </si>
  <si>
    <t>Jak2</t>
  </si>
  <si>
    <t>JAK2</t>
  </si>
  <si>
    <t>640, 642</t>
  </si>
  <si>
    <t>tyrosine-protein kinase JAK2</t>
  </si>
  <si>
    <t>Q62120</t>
  </si>
  <si>
    <t>http://www.phosphosite.org/proteinAction.do?id=1639&amp;showAllSites=true</t>
  </si>
  <si>
    <t>LKK*NK*NSINILWK</t>
  </si>
  <si>
    <t>Protein kinase, dual-specificity</t>
  </si>
  <si>
    <t>722</t>
  </si>
  <si>
    <t>Clk4</t>
  </si>
  <si>
    <t>CLK4</t>
  </si>
  <si>
    <t>dual specificity protein kinase CLK4</t>
  </si>
  <si>
    <t>O35493</t>
  </si>
  <si>
    <t>http://www.phosphosite.org/proteinAction.do?id=1813&amp;showAllSites=true</t>
  </si>
  <si>
    <t>EHLAMMERILGPIPAHMIQK*</t>
  </si>
  <si>
    <t>Protein kinase, regulatory subunit</t>
  </si>
  <si>
    <t>723</t>
  </si>
  <si>
    <t>Dnajc3</t>
  </si>
  <si>
    <t>DNAJC3</t>
  </si>
  <si>
    <t>dnaJ homolog subfamily C member 3 precursor</t>
  </si>
  <si>
    <t>Q91YW3</t>
  </si>
  <si>
    <t>http://www.phosphosite.org/proteinAction.do?id=19769&amp;showAllSites=true</t>
  </si>
  <si>
    <t>HLLLK*QGK</t>
  </si>
  <si>
    <t>RNA processing</t>
  </si>
  <si>
    <t>724</t>
  </si>
  <si>
    <t>A1cf</t>
  </si>
  <si>
    <t>CFEK*NEAIQAAHDSVAQEGQCR</t>
  </si>
  <si>
    <t>704</t>
  </si>
  <si>
    <t>705</t>
  </si>
  <si>
    <t>QIEELK*GQEVSPK</t>
  </si>
  <si>
    <t>706</t>
  </si>
  <si>
    <t>707</t>
  </si>
  <si>
    <t>708</t>
  </si>
  <si>
    <t>Uchl5</t>
  </si>
  <si>
    <t>UCHL5</t>
  </si>
  <si>
    <t>ubiquitin carboxyl-terminal hydrolase isozyme L5 isoform 2</t>
  </si>
  <si>
    <t>Q9WUP7</t>
  </si>
  <si>
    <t>http://www.phosphosite.org/proteinAction.do?id=9233&amp;showAllSites=true</t>
  </si>
  <si>
    <t>TPAK*EEDAFHFVSYVPVNGR</t>
  </si>
  <si>
    <t>709</t>
  </si>
  <si>
    <t>710</t>
  </si>
  <si>
    <t>Usp5</t>
  </si>
  <si>
    <t>USP5</t>
  </si>
  <si>
    <t>ubiquitin carboxyl-terminal hydrolase 5</t>
  </si>
  <si>
    <t>P56399</t>
  </si>
  <si>
    <t>http://www.phosphosite.org/proteinAction.do?id=6591&amp;showAllSites=true</t>
  </si>
  <si>
    <t>K*YVDKLEK</t>
  </si>
  <si>
    <t>Protein kinase</t>
  </si>
  <si>
    <t>711</t>
  </si>
  <si>
    <t>Gm4922</t>
  </si>
  <si>
    <t>EG237300</t>
  </si>
  <si>
    <t>sperm motility kinase Z</t>
  </si>
  <si>
    <t>Q8C0N0</t>
  </si>
  <si>
    <t>http://www.phosphosite.org/proteinAction.do?id=5142397&amp;showAllSites=true</t>
  </si>
  <si>
    <t>DGNYVQTK*LM#NPGM#PPFPSVTDSGAFSLPPRR</t>
  </si>
  <si>
    <t>Protein kinase, Ser/Thr (non-receptor)</t>
  </si>
  <si>
    <t>712</t>
  </si>
  <si>
    <t>Camk2a; Camk2b; Camk2b; Camk2d; Camk2d; Camk2g; Camk2g</t>
  </si>
  <si>
    <t>CaMK2-alpha; CaMK2-beta; CaMK2-beta iso3; CaMK2-delta; CaMK2-delta iso5; CaMK2-gamma; CaMK2-gamma iso3</t>
  </si>
  <si>
    <t>56; 57; 57; 57; 57; 57; 57</t>
  </si>
  <si>
    <t>calcium/calmodulin-dependent protein kinase type II subunit alpha isoform 1</t>
  </si>
  <si>
    <t>P11798; P28652; Q5SVJ0; Q6PHZ2; Q6PHZ2-5; Q923T9; Q923T9-3</t>
  </si>
  <si>
    <t>http://www.phosphosite.org/proteinAction.do?id=1433&amp;showAllSites=true</t>
  </si>
  <si>
    <t>54; 60; 73; 56; 58; 60; 56</t>
  </si>
  <si>
    <t>DHQK*LER</t>
  </si>
  <si>
    <t>713</t>
  </si>
  <si>
    <t>Camk2b; Camk2b; Camk2b</t>
  </si>
  <si>
    <t>CaMK2-beta; CaMK2-beta iso2; CaMK2-beta iso3</t>
  </si>
  <si>
    <t>268; 139; 268</t>
  </si>
  <si>
    <t>calcium/calmodulin-dependent protein kinase type II subunit beta isoform 1</t>
  </si>
  <si>
    <t>P28652; Q3TY93; Q5SVJ0</t>
  </si>
  <si>
    <t>http://www.phosphosite.org/proteinAction.do?id=5321&amp;showAllSites=true</t>
  </si>
  <si>
    <t>60; 42; 73</t>
  </si>
  <si>
    <t>ITAHEALK*HPWVCQR</t>
  </si>
  <si>
    <t>714</t>
  </si>
  <si>
    <t>Camk2b; Camk2b</t>
  </si>
  <si>
    <t>CaMK2-beta; CaMK2-beta iso3</t>
  </si>
  <si>
    <t>33; 33</t>
  </si>
  <si>
    <t>P28652; Q5SVJ0</t>
  </si>
  <si>
    <t>60; 73</t>
  </si>
  <si>
    <t>http://www.phosphosite.org/proteinAction.do?id=5141684&amp;showAllSites=true</t>
  </si>
  <si>
    <t>EPK*PGSKCLASG</t>
  </si>
  <si>
    <t>691</t>
  </si>
  <si>
    <t>Lactb</t>
  </si>
  <si>
    <t>LACTB</t>
  </si>
  <si>
    <t>serine beta-lactamase-like protein LACTB, mitochondrial precursor</t>
  </si>
  <si>
    <t>Q9EP89</t>
  </si>
  <si>
    <t>http://www.phosphosite.org/proteinAction.do?id=10157&amp;showAllSites=true</t>
  </si>
  <si>
    <t>ASGYK*YLDYM#QK</t>
  </si>
  <si>
    <t>692</t>
  </si>
  <si>
    <t>Pcsk2</t>
  </si>
  <si>
    <t>PCSK2</t>
  </si>
  <si>
    <t>neuroendocrine convertase 2 precursor</t>
  </si>
  <si>
    <t>P21661</t>
  </si>
  <si>
    <t>http://www.phosphosite.org/proteinAction.do?id=10194&amp;showAllSites=true</t>
  </si>
  <si>
    <t>HLTVLTSK*R</t>
  </si>
  <si>
    <t>693</t>
  </si>
  <si>
    <t>Pitrm1</t>
  </si>
  <si>
    <t>PITRM1</t>
  </si>
  <si>
    <t>770</t>
  </si>
  <si>
    <t>presequence protease, mitochondrial precursor</t>
  </si>
  <si>
    <t>Q8K411</t>
  </si>
  <si>
    <t>http://www.phosphosite.org/proteinAction.do?id=23850&amp;showAllSites=true</t>
  </si>
  <si>
    <t>K*YLLNCDNMR</t>
  </si>
  <si>
    <t>694</t>
  </si>
  <si>
    <t>K*YLLNCDNM#R</t>
  </si>
  <si>
    <t>695</t>
  </si>
  <si>
    <t>SGK*FTQQDIDEAK</t>
  </si>
  <si>
    <t>696</t>
  </si>
  <si>
    <t>Psma5</t>
  </si>
  <si>
    <t>PSMA5</t>
  </si>
  <si>
    <t>proteasome subunit alpha type-5</t>
  </si>
  <si>
    <t>Q9Z2U1</t>
  </si>
  <si>
    <t>http://www.phosphosite.org/proteinAction.do?id=11024&amp;showAllSites=true</t>
  </si>
  <si>
    <t>TLIDK*AR</t>
  </si>
  <si>
    <t>697</t>
  </si>
  <si>
    <t>Psma6</t>
  </si>
  <si>
    <t>PSMA6</t>
  </si>
  <si>
    <t>proteasome subunit alpha type-6</t>
  </si>
  <si>
    <t>Q9QUM9</t>
  </si>
  <si>
    <t>http://www.phosphosite.org/proteinAction.do?id=8079&amp;showAllSites=true</t>
  </si>
  <si>
    <t>YK*YGYEIPVDM#LCK</t>
  </si>
  <si>
    <t>698</t>
  </si>
  <si>
    <t>YK*YGYEIPVDM#LCKR</t>
  </si>
  <si>
    <t>699</t>
  </si>
  <si>
    <t>QTESTSFLEK*K</t>
  </si>
  <si>
    <t>700</t>
  </si>
  <si>
    <t>Psmc6</t>
  </si>
  <si>
    <t>RPT4</t>
  </si>
  <si>
    <t>26S protease regulatory subunit 10B</t>
  </si>
  <si>
    <t>P62334</t>
  </si>
  <si>
    <t>http://www.phosphosite.org/proteinAction.do?id=8085&amp;showAllSites=true</t>
  </si>
  <si>
    <t>VVSSSIVDK*YIGESAR</t>
  </si>
  <si>
    <t>701</t>
  </si>
  <si>
    <t>702</t>
  </si>
  <si>
    <t>Psmd12</t>
  </si>
  <si>
    <t>PSMD12</t>
  </si>
  <si>
    <t>26S proteasome non-ATPase regulatory subunit 12</t>
  </si>
  <si>
    <t>Q9D8W5</t>
  </si>
  <si>
    <t>http://www.phosphosite.org/proteinAction.do?id=14892&amp;showAllSites=true</t>
  </si>
  <si>
    <t>IMAK*YYTR</t>
  </si>
  <si>
    <t>703</t>
  </si>
  <si>
    <t>Uchl1</t>
  </si>
  <si>
    <t>UCHL1</t>
  </si>
  <si>
    <t>ubiquitin carboxyl-terminal hydrolase isozyme L1</t>
  </si>
  <si>
    <t>Q9R0P9</t>
  </si>
  <si>
    <t>http://www.phosphosite.org/proteinAction.do?id=9334&amp;showAllSites=true</t>
  </si>
  <si>
    <t>http://www.phosphosite.org/proteinAction.do?id=15763&amp;showAllSites=true</t>
  </si>
  <si>
    <t>DQWTK*YEEDKFYLEPYLK</t>
  </si>
  <si>
    <t>679</t>
  </si>
  <si>
    <t>DQWTKYEEDK*FYLEPYLK</t>
  </si>
  <si>
    <t>680</t>
  </si>
  <si>
    <t>Uqcrh</t>
  </si>
  <si>
    <t>UQCRHL</t>
  </si>
  <si>
    <t>cytochrome b-c1 complex subunit 6, mitochondrial</t>
  </si>
  <si>
    <t>P99028</t>
  </si>
  <si>
    <t>http://www.phosphosite.org/proteinAction.do?id=9612&amp;showAllSites=true</t>
  </si>
  <si>
    <t>DHCVAHK*LFK</t>
  </si>
  <si>
    <t>Phosphatase</t>
  </si>
  <si>
    <t>681</t>
  </si>
  <si>
    <t>Nt5m</t>
  </si>
  <si>
    <t>NT5M</t>
  </si>
  <si>
    <t>5(3)-deoxyribonucleotidase, mitochondrial precursor</t>
  </si>
  <si>
    <t>Q8VCE6</t>
  </si>
  <si>
    <t>http://www.phosphosite.org/proteinAction.do?id=7580526&amp;showAllSites=true</t>
  </si>
  <si>
    <t>MFK*YCPYEK</t>
  </si>
  <si>
    <t>682</t>
  </si>
  <si>
    <t>M#FK*YCPYEK</t>
  </si>
  <si>
    <t>683</t>
  </si>
  <si>
    <t>Pgam1; Pgam2</t>
  </si>
  <si>
    <t>PGAM1; PGAM2</t>
  </si>
  <si>
    <t>phosphoglycerate mutase 1</t>
  </si>
  <si>
    <t>Q9DBJ1; O70250</t>
  </si>
  <si>
    <t>http://www.phosphosite.org/proteinAction.do?id=4427&amp;showAllSites=true</t>
  </si>
  <si>
    <t>29; 29</t>
  </si>
  <si>
    <t>HYGGLTGLNK*AETAAK</t>
  </si>
  <si>
    <t>684</t>
  </si>
  <si>
    <t>685</t>
  </si>
  <si>
    <t>Ppp2ca; Ppp2cb</t>
  </si>
  <si>
    <t>PPP2CA; PPP2CB</t>
  </si>
  <si>
    <t>136; 136</t>
  </si>
  <si>
    <t>serine/threonine-protein phosphatase 2A catalytic subunit alpha isoform</t>
  </si>
  <si>
    <t>P63330; P62715</t>
  </si>
  <si>
    <t>http://www.phosphosite.org/proteinAction.do?id=1686&amp;showAllSites=true</t>
  </si>
  <si>
    <t>36; 36</t>
  </si>
  <si>
    <t>K*YGNANVWK</t>
  </si>
  <si>
    <t>686</t>
  </si>
  <si>
    <t>Ppp5c</t>
  </si>
  <si>
    <t>PPP5C</t>
  </si>
  <si>
    <t>serine/threonine-protein phosphatase 5</t>
  </si>
  <si>
    <t>Q60676</t>
  </si>
  <si>
    <t>http://www.phosphosite.org/proteinAction.do?id=1378&amp;showAllSites=true</t>
  </si>
  <si>
    <t>MK*YQECSK</t>
  </si>
  <si>
    <t>687</t>
  </si>
  <si>
    <t>Sbf1</t>
  </si>
  <si>
    <t>MTMR5</t>
  </si>
  <si>
    <t>992</t>
  </si>
  <si>
    <t>myotubularin-related protein 5 isoform 2</t>
  </si>
  <si>
    <t>Q6ZPE2</t>
  </si>
  <si>
    <t>http://www.phosphosite.org/proteinAction.do?id=13789&amp;showAllSites=true</t>
  </si>
  <si>
    <t>SCTFQLLK*M#AFDEEVGSDSAELFRK</t>
  </si>
  <si>
    <t>688</t>
  </si>
  <si>
    <t>Wbp11</t>
  </si>
  <si>
    <t>WBP11</t>
  </si>
  <si>
    <t>WW domain-binding protein 11</t>
  </si>
  <si>
    <t>Q923D5</t>
  </si>
  <si>
    <t>http://www.phosphosite.org/proteinAction.do?id=7742&amp;showAllSites=true</t>
  </si>
  <si>
    <t>SGK*FMNPTDQAR</t>
  </si>
  <si>
    <t>689</t>
  </si>
  <si>
    <t>SGK*FM#NPTDQAR</t>
  </si>
  <si>
    <t>690</t>
  </si>
  <si>
    <t>Egfbp2</t>
  </si>
  <si>
    <t>epidermal growth factor-binding protein type B precursor</t>
  </si>
  <si>
    <t>P36368</t>
  </si>
  <si>
    <t>INCK*YITIGK</t>
  </si>
  <si>
    <t>662</t>
  </si>
  <si>
    <t>Pdha1</t>
  </si>
  <si>
    <t>PDHA1</t>
  </si>
  <si>
    <t>pyruvate dehydrogenase E1 component subunit alpha, somatic form, mitochondrial precursor</t>
  </si>
  <si>
    <t>P35486</t>
  </si>
  <si>
    <t>http://www.phosphosite.org/proteinAction.do?id=1784&amp;showAllSites=true</t>
  </si>
  <si>
    <t>EATK*FAAAYCR</t>
  </si>
  <si>
    <t>SKSDPIM#LLK*DR</t>
  </si>
  <si>
    <t>664</t>
  </si>
  <si>
    <t>FANDATFEIK*K</t>
  </si>
  <si>
    <t>665</t>
  </si>
  <si>
    <t>EDGLK*YYR</t>
  </si>
  <si>
    <t>666</t>
  </si>
  <si>
    <t>Pdha1; Pdha2</t>
  </si>
  <si>
    <t>PDHA1; PDHA2</t>
  </si>
  <si>
    <t>P35486; P35487</t>
  </si>
  <si>
    <t>43; 43</t>
  </si>
  <si>
    <t>MELK*ADQLYK</t>
  </si>
  <si>
    <t>667</t>
  </si>
  <si>
    <t>RMELK*ADQLYK</t>
  </si>
  <si>
    <t>668</t>
  </si>
  <si>
    <t>669</t>
  </si>
  <si>
    <t>ADQLYK*QK</t>
  </si>
  <si>
    <t>670</t>
  </si>
  <si>
    <t>Scp2</t>
  </si>
  <si>
    <t>SCP2</t>
  </si>
  <si>
    <t>non-specific lipid-transfer protein</t>
  </si>
  <si>
    <t>P32020</t>
  </si>
  <si>
    <t>http://www.phosphosite.org/proteinAction.do?id=10623&amp;showAllSites=true</t>
  </si>
  <si>
    <t>SSAGDGFK*ANLVFK</t>
  </si>
  <si>
    <t>671</t>
  </si>
  <si>
    <t>ANLVFK*EIEK</t>
  </si>
  <si>
    <t>672</t>
  </si>
  <si>
    <t>Sdha</t>
  </si>
  <si>
    <t>SDHA</t>
  </si>
  <si>
    <t>succinate dehydrogenase [ubiquinone] flavoprotein subunit, mitochondrial precursor</t>
  </si>
  <si>
    <t>Q8K2B3</t>
  </si>
  <si>
    <t>http://www.phosphosite.org/proteinAction.do?id=10557&amp;showAllSites=true</t>
  </si>
  <si>
    <t>TEDGK*IYQR</t>
  </si>
  <si>
    <t>673</t>
  </si>
  <si>
    <t>VDEYDYSK*PIQGQQK</t>
  </si>
  <si>
    <t>674</t>
  </si>
  <si>
    <t>VRVDEYDYSK*PIQGQQK</t>
  </si>
  <si>
    <t>675</t>
  </si>
  <si>
    <t>Sod2</t>
  </si>
  <si>
    <t>SOD2</t>
  </si>
  <si>
    <t>superoxide dismutase [Mn], mitochondrial precursor</t>
  </si>
  <si>
    <t>P09671</t>
  </si>
  <si>
    <t>http://www.phosphosite.org/proteinAction.do?id=10597&amp;showAllSites=true</t>
  </si>
  <si>
    <t>DFGSFEK*FKEK</t>
  </si>
  <si>
    <t>676</t>
  </si>
  <si>
    <t>HHAAYVNNLNATEEK*YHEALAK</t>
  </si>
  <si>
    <t>677</t>
  </si>
  <si>
    <t>Sucla2</t>
  </si>
  <si>
    <t>SCS-beta</t>
  </si>
  <si>
    <t>succinyl-CoA ligase [ADP-forming] subunit beta, mitochondrial precursor</t>
  </si>
  <si>
    <t>Q9Z2I9</t>
  </si>
  <si>
    <t>http://www.phosphosite.org/proteinAction.do?id=4333&amp;showAllSites=true</t>
  </si>
  <si>
    <t>SSDEAYAIAK*K</t>
  </si>
  <si>
    <t>678</t>
  </si>
  <si>
    <t>Uqcrb</t>
  </si>
  <si>
    <t>UQCRB</t>
  </si>
  <si>
    <t>cytochrome b-c1 complex subunit 7</t>
  </si>
  <si>
    <t>Q9D855</t>
  </si>
  <si>
    <t>IQEAGTEVVK*AK</t>
  </si>
  <si>
    <t>650</t>
  </si>
  <si>
    <t>ITPFEEK*M#IAEAIPELK</t>
  </si>
  <si>
    <t>651</t>
  </si>
  <si>
    <t>652</t>
  </si>
  <si>
    <t>Ndufa10</t>
  </si>
  <si>
    <t>NDUFA10</t>
  </si>
  <si>
    <t>NADH dehydrogenase [ubiquinone] 1 alpha subcomplex subunit 10, mitochondrial precursor</t>
  </si>
  <si>
    <t>Q99LC3</t>
  </si>
  <si>
    <t>http://www.phosphosite.org/proteinAction.do?id=7485&amp;showAllSites=true</t>
  </si>
  <si>
    <t>FYDDPK*SNDGNSYR</t>
  </si>
  <si>
    <t>653</t>
  </si>
  <si>
    <t>Ndufa5</t>
  </si>
  <si>
    <t>NDUFA5</t>
  </si>
  <si>
    <t>NADH dehydrogenase [ubiquinone] 1 alpha subcomplex subunit 5</t>
  </si>
  <si>
    <t>Q9CPP6</t>
  </si>
  <si>
    <t>http://www.phosphosite.org/proteinAction.do?id=12681&amp;showAllSites=true</t>
  </si>
  <si>
    <t>TLDILK*HFPK</t>
  </si>
  <si>
    <t>654</t>
  </si>
  <si>
    <t>Ndufa9</t>
  </si>
  <si>
    <t>NUEM</t>
  </si>
  <si>
    <t>NADH dehydrogenase [ubiquinone] 1 alpha subcomplex subunit 9, mitochondrial precursor</t>
  </si>
  <si>
    <t>Q9DC69</t>
  </si>
  <si>
    <t>http://www.phosphosite.org/proteinAction.do?id=7913&amp;showAllSites=true</t>
  </si>
  <si>
    <t>WLSSEIEETK*PAK</t>
  </si>
  <si>
    <t>655</t>
  </si>
  <si>
    <t>Ndufv1</t>
  </si>
  <si>
    <t>NDUFV1</t>
  </si>
  <si>
    <t>NADH dehydrogenase [ubiquinone] flavoprotein 1, mitochondrial precursor</t>
  </si>
  <si>
    <t>Q91YT0</t>
  </si>
  <si>
    <t>http://www.phosphosite.org/proteinAction.do?id=13223&amp;showAllSites=true</t>
  </si>
  <si>
    <t>LIEFYK*HESCGQCTPCR</t>
  </si>
  <si>
    <t>656</t>
  </si>
  <si>
    <t>Nipsnap1</t>
  </si>
  <si>
    <t>NIPSNAP1</t>
  </si>
  <si>
    <t>protein NipSnap homolog 1</t>
  </si>
  <si>
    <t>O55125</t>
  </si>
  <si>
    <t>http://www.phosphosite.org/proteinAction.do?id=13897&amp;showAllSites=true</t>
  </si>
  <si>
    <t>NNK*EYLEFR</t>
  </si>
  <si>
    <t>657</t>
  </si>
  <si>
    <t>Oxct1</t>
  </si>
  <si>
    <t>OXCT1</t>
  </si>
  <si>
    <t>succinyl-CoA:3-ketoacid-coenzyme A transferase 1, mitochondrial precursor</t>
  </si>
  <si>
    <t>Q9D0K2</t>
  </si>
  <si>
    <t>http://www.phosphosite.org/proteinAction.do?id=19739&amp;showAllSites=true</t>
  </si>
  <si>
    <t>LIK*GEKYEK</t>
  </si>
  <si>
    <t>658</t>
  </si>
  <si>
    <t>LIKGEK*YEK</t>
  </si>
  <si>
    <t>659</t>
  </si>
  <si>
    <t>660</t>
  </si>
  <si>
    <t>GGHVNLTM#LGAM#QVSK*YGDLANWM#IPGK</t>
  </si>
  <si>
    <t>661</t>
  </si>
  <si>
    <t>Oxr1; Oxr1; Oxr1</t>
  </si>
  <si>
    <t>OXR1; OXR1 iso4; OXR1 iso5</t>
  </si>
  <si>
    <t>132; 220; 213</t>
  </si>
  <si>
    <t>oxidation resistance protein 1 isoform B</t>
  </si>
  <si>
    <t>Q4KMM3-2; Q4KMM3-4; NP_001123637</t>
  </si>
  <si>
    <t>http://www.phosphosite.org/proteinAction.do?id=9436&amp;showAllSites=true</t>
  </si>
  <si>
    <t>86; 93; 92</t>
  </si>
  <si>
    <t>628</t>
  </si>
  <si>
    <t>VGAFTVVCKDAEEAK*R</t>
  </si>
  <si>
    <t>629</t>
  </si>
  <si>
    <t>630</t>
  </si>
  <si>
    <t>LTK*EFSVYM#TK</t>
  </si>
  <si>
    <t>631</t>
  </si>
  <si>
    <t>632</t>
  </si>
  <si>
    <t>EFSVYMTK*DGR</t>
  </si>
  <si>
    <t>633</t>
  </si>
  <si>
    <t>SSWWTHVEM#GPPDPILGVTEAFK*R</t>
  </si>
  <si>
    <t>634</t>
  </si>
  <si>
    <t>DDNGK*PYVLPSVR</t>
  </si>
  <si>
    <t>635</t>
  </si>
  <si>
    <t>636</t>
  </si>
  <si>
    <t>MNLGVGAYRDDNGK*PYVLPSVR</t>
  </si>
  <si>
    <t>637</t>
  </si>
  <si>
    <t>M#NLGVGAYRDDNGK*PYVLPSVR</t>
  </si>
  <si>
    <t>638</t>
  </si>
  <si>
    <t>Hibch</t>
  </si>
  <si>
    <t>HIBCH</t>
  </si>
  <si>
    <t>3-hydroxyisobutyryl-CoA hydrolase, mitochondrial precursor</t>
  </si>
  <si>
    <t>Q8QZS1</t>
  </si>
  <si>
    <t>http://www.phosphosite.org/proteinAction.do?id=10477&amp;showAllSites=true</t>
  </si>
  <si>
    <t>AVLIDK*DQTPK</t>
  </si>
  <si>
    <t>639</t>
  </si>
  <si>
    <t>Hk1; Hk1</t>
  </si>
  <si>
    <t>HK1; HK1 iso3</t>
  </si>
  <si>
    <t>402; 345</t>
  </si>
  <si>
    <t>hexokinase-1 isoform HK1</t>
  </si>
  <si>
    <t>P17710; G3UVV4</t>
  </si>
  <si>
    <t>http://www.phosphosite.org/proteinAction.do?id=10900&amp;showAllSites=true</t>
  </si>
  <si>
    <t>108; 102</t>
  </si>
  <si>
    <t>GKFTTSDVAAIETDK*EGVQNAK</t>
  </si>
  <si>
    <t>640</t>
  </si>
  <si>
    <t>Hspe1</t>
  </si>
  <si>
    <t>HSPE1</t>
  </si>
  <si>
    <t>10 kDa heat shock protein, mitochondrial</t>
  </si>
  <si>
    <t>Q64433</t>
  </si>
  <si>
    <t>http://www.phosphosite.org/proteinAction.do?id=9560&amp;showAllSites=true</t>
  </si>
  <si>
    <t>VVLDDK*DYFLFR</t>
  </si>
  <si>
    <t>641</t>
  </si>
  <si>
    <t>DSDILGK*YVD</t>
  </si>
  <si>
    <t>642</t>
  </si>
  <si>
    <t>Idh2</t>
  </si>
  <si>
    <t>IDH2</t>
  </si>
  <si>
    <t>isocitrate dehydrogenase [NADP], mitochondrial precursor</t>
  </si>
  <si>
    <t>P54071</t>
  </si>
  <si>
    <t>http://www.phosphosite.org/proteinAction.do?id=9668&amp;showAllSites=true</t>
  </si>
  <si>
    <t>YFDLGLPNRDQTNDQVTIDSALATQK*YSVAVK</t>
  </si>
  <si>
    <t>643</t>
  </si>
  <si>
    <t>LVPGWTK*PITIGR</t>
  </si>
  <si>
    <t>644</t>
  </si>
  <si>
    <t>HAHGDQYK*ATDFVVDR</t>
  </si>
  <si>
    <t>645</t>
  </si>
  <si>
    <t>GK*LDGNQDLIR</t>
  </si>
  <si>
    <t>646</t>
  </si>
  <si>
    <t>LILPHVDVQLK*YFDLGLPNR</t>
  </si>
  <si>
    <t>647</t>
  </si>
  <si>
    <t>LILPHVDVQLK*YFDLGLPNRDQTNDQVTIDSALATQK</t>
  </si>
  <si>
    <t>648</t>
  </si>
  <si>
    <t>Mdh2</t>
  </si>
  <si>
    <t>MDH2</t>
  </si>
  <si>
    <t>malate dehydrogenase, mitochondrial precursor</t>
  </si>
  <si>
    <t>P08249</t>
  </si>
  <si>
    <t>http://www.phosphosite.org/proteinAction.do?id=4264&amp;showAllSites=true</t>
  </si>
  <si>
    <t>ANTFVAELK*GLDPAR</t>
  </si>
  <si>
    <t>649</t>
  </si>
  <si>
    <t>http://www.phosphosite.org/proteinAction.do?id=7201&amp;showAllSites=true</t>
  </si>
  <si>
    <t>SK*EFAQVIK</t>
  </si>
  <si>
    <t>597</t>
  </si>
  <si>
    <t>TDK*YYGAQTVR</t>
  </si>
  <si>
    <t>598</t>
  </si>
  <si>
    <t>VEFDTFGELKVPTDK*YYGAQTVR</t>
  </si>
  <si>
    <t>599</t>
  </si>
  <si>
    <t>600</t>
  </si>
  <si>
    <t>VPTDK*YYGAQTVR</t>
  </si>
  <si>
    <t>601</t>
  </si>
  <si>
    <t>602</t>
  </si>
  <si>
    <t>Fsip2</t>
  </si>
  <si>
    <t>FSIP2</t>
  </si>
  <si>
    <t>4133</t>
  </si>
  <si>
    <t>PREDICTED: hypothetical protein LOC241516</t>
  </si>
  <si>
    <t>A2ARZ3</t>
  </si>
  <si>
    <t>http://www.phosphosite.org/proteinAction.do?id=3248118&amp;showAllSites=true</t>
  </si>
  <si>
    <t>785</t>
  </si>
  <si>
    <t>LHNSLK*NFNSEPM#TSKDYSTML</t>
  </si>
  <si>
    <t>603</t>
  </si>
  <si>
    <t>Gfm1</t>
  </si>
  <si>
    <t>EFG1</t>
  </si>
  <si>
    <t>745, 746, 748</t>
  </si>
  <si>
    <t>elongation factor G, mitochondrial precursor</t>
  </si>
  <si>
    <t>Q8K0D5</t>
  </si>
  <si>
    <t>http://www.phosphosite.org/proteinAction.do?id=1169906&amp;showAllSites=true</t>
  </si>
  <si>
    <t>PVK*K*GK*AKN</t>
  </si>
  <si>
    <t>604</t>
  </si>
  <si>
    <t>Glud1</t>
  </si>
  <si>
    <t>GLUD1</t>
  </si>
  <si>
    <t>glutamate dehydrogenase 1, mitochondrial precursor</t>
  </si>
  <si>
    <t>P26443</t>
  </si>
  <si>
    <t>http://www.phosphosite.org/proteinAction.do?id=9550&amp;showAllSites=true</t>
  </si>
  <si>
    <t>CVGVGESDGSIWNPDGIDPK*ELEDFKLQHGSILGFPK</t>
  </si>
  <si>
    <t>605</t>
  </si>
  <si>
    <t>CVGVGESDGSIWNPDGIDPKELEDFKLQHGSILGFPK*</t>
  </si>
  <si>
    <t>606</t>
  </si>
  <si>
    <t>LTFK*YER</t>
  </si>
  <si>
    <t>607</t>
  </si>
  <si>
    <t>608</t>
  </si>
  <si>
    <t>ISGASEK*DIVHSGLAYTM#ER</t>
  </si>
  <si>
    <t>609</t>
  </si>
  <si>
    <t>610</t>
  </si>
  <si>
    <t>TAMK*YNLGLDLR</t>
  </si>
  <si>
    <t>611</t>
  </si>
  <si>
    <t>612</t>
  </si>
  <si>
    <t>TAM#K*YNLGLDLR</t>
  </si>
  <si>
    <t>613</t>
  </si>
  <si>
    <t>614</t>
  </si>
  <si>
    <t>615</t>
  </si>
  <si>
    <t>616</t>
  </si>
  <si>
    <t>SEAAADREDDPNFFK*M#VEGFFDR</t>
  </si>
  <si>
    <t>617</t>
  </si>
  <si>
    <t>618</t>
  </si>
  <si>
    <t>GASIVEDK*LVEDLK</t>
  </si>
  <si>
    <t>619</t>
  </si>
  <si>
    <t>GASIVEDK*LVEDLKTR</t>
  </si>
  <si>
    <t>620</t>
  </si>
  <si>
    <t>GASIVEDKLVEDLK*TR</t>
  </si>
  <si>
    <t>621</t>
  </si>
  <si>
    <t>622</t>
  </si>
  <si>
    <t>623</t>
  </si>
  <si>
    <t>Got2</t>
  </si>
  <si>
    <t>GOT2</t>
  </si>
  <si>
    <t>aspartate aminotransferase, mitochondrial</t>
  </si>
  <si>
    <t>P05202</t>
  </si>
  <si>
    <t>http://www.phosphosite.org/proteinAction.do?id=10223&amp;showAllSites=true</t>
  </si>
  <si>
    <t>FFK*FSR</t>
  </si>
  <si>
    <t>624</t>
  </si>
  <si>
    <t>625</t>
  </si>
  <si>
    <t>VGAFTVVCK*DAEEAK</t>
  </si>
  <si>
    <t>626</t>
  </si>
  <si>
    <t>DAEEAK*RVESQLK</t>
  </si>
  <si>
    <t>627</t>
  </si>
  <si>
    <t>http://www.phosphosite.org/proteinAction.do?id=15701&amp;showAllSites=true</t>
  </si>
  <si>
    <t>ADK*LAEEHGS</t>
  </si>
  <si>
    <t>586</t>
  </si>
  <si>
    <t>587</t>
  </si>
  <si>
    <t>Atp5j2</t>
  </si>
  <si>
    <t>ATP5J2</t>
  </si>
  <si>
    <t>ATP synthase subunit f, mitochondrial</t>
  </si>
  <si>
    <t>P56135</t>
  </si>
  <si>
    <t>http://www.phosphosite.org/proteinAction.do?id=19741&amp;showAllSites=true</t>
  </si>
  <si>
    <t>YYNK*YINVR</t>
  </si>
  <si>
    <t>588</t>
  </si>
  <si>
    <t>Atpif1</t>
  </si>
  <si>
    <t>ATPIF1</t>
  </si>
  <si>
    <t>ATPase inhibitor, mitochondrial precursor</t>
  </si>
  <si>
    <t>O35143</t>
  </si>
  <si>
    <t>http://www.phosphosite.org/proteinAction.do?id=17520&amp;showAllSites=true</t>
  </si>
  <si>
    <t>KHHEDEIDHHSK*EIER</t>
  </si>
  <si>
    <t>589</t>
  </si>
  <si>
    <t>Bdh1</t>
  </si>
  <si>
    <t>BDH</t>
  </si>
  <si>
    <t>D-beta-hydroxybutyrate dehydrogenase, mitochondrial precursor</t>
  </si>
  <si>
    <t>Q80XN0</t>
  </si>
  <si>
    <t>http://www.phosphosite.org/proteinAction.do?id=9209&amp;showAllSites=true</t>
  </si>
  <si>
    <t>K*YFDEK</t>
  </si>
  <si>
    <t>590</t>
  </si>
  <si>
    <t>Cs</t>
  </si>
  <si>
    <t>CS</t>
  </si>
  <si>
    <t>citrate synthase, mitochondrial precursor</t>
  </si>
  <si>
    <t>Q9CZU6</t>
  </si>
  <si>
    <t>http://www.phosphosite.org/proteinAction.do?id=13877&amp;showAllSites=true</t>
  </si>
  <si>
    <t>EVGKDVSDEK*LR</t>
  </si>
  <si>
    <t>591</t>
  </si>
  <si>
    <t>Dcakd</t>
  </si>
  <si>
    <t>DCAKD</t>
  </si>
  <si>
    <t>dephospho-CoA kinase domain-containing protein</t>
  </si>
  <si>
    <t>Q8BHC4</t>
  </si>
  <si>
    <t>http://www.phosphosite.org/proteinAction.do?id=1847200&amp;showAllSites=true</t>
  </si>
  <si>
    <t>QLPLK*DKAR</t>
  </si>
  <si>
    <t>592</t>
  </si>
  <si>
    <t>Dld</t>
  </si>
  <si>
    <t>DLD</t>
  </si>
  <si>
    <t>dihydrolipoyl dehydrogenase, mitochondrial precursor</t>
  </si>
  <si>
    <t>O08749</t>
  </si>
  <si>
    <t>http://www.phosphosite.org/proteinAction.do?id=9221&amp;showAllSites=true</t>
  </si>
  <si>
    <t>ALLNNSHYYHMAHGK*DFASR</t>
  </si>
  <si>
    <t>593</t>
  </si>
  <si>
    <t>SEEQLK*EEGIEFK</t>
  </si>
  <si>
    <t>594</t>
  </si>
  <si>
    <t>IGK*FPFAANSR</t>
  </si>
  <si>
    <t>595</t>
  </si>
  <si>
    <t>Ech1</t>
  </si>
  <si>
    <t>ECH1</t>
  </si>
  <si>
    <t>delta(3,5)-Delta(2,4)-dienoyl-CoA isomerase, mitochondrial precursor</t>
  </si>
  <si>
    <t>O35459</t>
  </si>
  <si>
    <t>http://www.phosphosite.org/proteinAction.do?id=19767&amp;showAllSites=true</t>
  </si>
  <si>
    <t>LQTQDIIK*SVQAAMEK*RDTK</t>
  </si>
  <si>
    <t>596</t>
  </si>
  <si>
    <t>Fh1</t>
  </si>
  <si>
    <t>FH</t>
  </si>
  <si>
    <t>fumarate hydratase, mitochondrial precursor</t>
  </si>
  <si>
    <t>P97807</t>
  </si>
  <si>
    <t>http://www.phosphosite.org/proteinAction.do?id=19723&amp;showAllSites=true</t>
  </si>
  <si>
    <t>SALRDEK*GALFR</t>
  </si>
  <si>
    <t>574</t>
  </si>
  <si>
    <t>Ak3</t>
  </si>
  <si>
    <t>AK3</t>
  </si>
  <si>
    <t>GTP:AMP phosphotransferase, mitochondrial</t>
  </si>
  <si>
    <t>Q9WTP7</t>
  </si>
  <si>
    <t>http://www.phosphosite.org/proteinAction.do?id=15789&amp;showAllSites=true</t>
  </si>
  <si>
    <t>ITK*HFELK</t>
  </si>
  <si>
    <t>575</t>
  </si>
  <si>
    <t>HFELK*HLSSGDLLR</t>
  </si>
  <si>
    <t>576</t>
  </si>
  <si>
    <t>577</t>
  </si>
  <si>
    <t>Aldh4a1</t>
  </si>
  <si>
    <t>ALDH4A1</t>
  </si>
  <si>
    <t>delta-1-pyrroline-5-carboxylate dehydrogenase, mitochondrial precursor</t>
  </si>
  <si>
    <t>Q8CHT0</t>
  </si>
  <si>
    <t>http://www.phosphosite.org/proteinAction.do?id=15730&amp;showAllSites=true</t>
  </si>
  <si>
    <t>VAK*FCYADK</t>
  </si>
  <si>
    <t>578</t>
  </si>
  <si>
    <t>Aldh5a1</t>
  </si>
  <si>
    <t>ALDH5A1</t>
  </si>
  <si>
    <t>succinate-semialdehyde dehydrogenase, mitochondrial precursor</t>
  </si>
  <si>
    <t>Q8BWF0</t>
  </si>
  <si>
    <t>http://www.phosphosite.org/proteinAction.do?id=10569&amp;showAllSites=true</t>
  </si>
  <si>
    <t>FAEAMK*K</t>
  </si>
  <si>
    <t>579</t>
  </si>
  <si>
    <t>Aldoa; Aldoart1; Aldoc</t>
  </si>
  <si>
    <t>ALDOA; Aldoart1; ALDOC</t>
  </si>
  <si>
    <t>fructose-bisphosphate aldolase A isoform 1</t>
  </si>
  <si>
    <t>P05064; Q9CPQ9; P05063</t>
  </si>
  <si>
    <t>http://www.phosphosite.org/proteinAction.do?id=4240&amp;showAllSites=true</t>
  </si>
  <si>
    <t>39; 39; 39</t>
  </si>
  <si>
    <t>DGADFAK*WR</t>
  </si>
  <si>
    <t>580</t>
  </si>
  <si>
    <t>KDGADFAK*WR</t>
  </si>
  <si>
    <t>581</t>
  </si>
  <si>
    <t>Aldoa; Aldoart1</t>
  </si>
  <si>
    <t>ALDOA; Aldoart1</t>
  </si>
  <si>
    <t>230; 230</t>
  </si>
  <si>
    <t>P05064; Q9CPQ9</t>
  </si>
  <si>
    <t>39; 39</t>
  </si>
  <si>
    <t>ALSDHHVYLEGTLLK*PNM#VTPGHACTQK</t>
  </si>
  <si>
    <t>582</t>
  </si>
  <si>
    <t>243; 243</t>
  </si>
  <si>
    <t>ALSDHHVYLEGTLLKPNM#VTPGHACTQK*</t>
  </si>
  <si>
    <t>583</t>
  </si>
  <si>
    <t>Aldoa</t>
  </si>
  <si>
    <t>ALDOA</t>
  </si>
  <si>
    <t>P05064</t>
  </si>
  <si>
    <t>GILAADESTGSIAK*R</t>
  </si>
  <si>
    <t>584</t>
  </si>
  <si>
    <t>Atad3a</t>
  </si>
  <si>
    <t>ATAD3A</t>
  </si>
  <si>
    <t>ATPase family AAA domain-containing protein 3</t>
  </si>
  <si>
    <t>Q925I1</t>
  </si>
  <si>
    <t>http://www.phosphosite.org/proteinAction.do?id=15738&amp;showAllSites=true</t>
  </si>
  <si>
    <t>M#YFDK*YVLKPATEGK</t>
  </si>
  <si>
    <t>585</t>
  </si>
  <si>
    <t>Atp5b</t>
  </si>
  <si>
    <t>ATP5B</t>
  </si>
  <si>
    <t>ATP synthase subunit beta, mitochondrial precursor</t>
  </si>
  <si>
    <t>P56480</t>
  </si>
  <si>
    <t>GK*FKVETFR</t>
  </si>
  <si>
    <t>Ligand, receptor tyrosine kinase</t>
  </si>
  <si>
    <t>558</t>
  </si>
  <si>
    <t>Efnb2</t>
  </si>
  <si>
    <t>EFNB2</t>
  </si>
  <si>
    <t>ephrin-B2 precursor</t>
  </si>
  <si>
    <t>P52800</t>
  </si>
  <si>
    <t>http://www.phosphosite.org/proteinAction.do?id=1578&amp;showAllSites=true</t>
  </si>
  <si>
    <t>TLATPK*R</t>
  </si>
  <si>
    <t>Lipid binding protein</t>
  </si>
  <si>
    <t>559</t>
  </si>
  <si>
    <t>Dbi</t>
  </si>
  <si>
    <t>DBI</t>
  </si>
  <si>
    <t>acyl-CoA-binding protein isoform 1</t>
  </si>
  <si>
    <t>P31786</t>
  </si>
  <si>
    <t>http://www.phosphosite.org/proteinAction.do?id=14297&amp;showAllSites=true</t>
  </si>
  <si>
    <t>QATVGDVNTDRPGLLDLK*GK</t>
  </si>
  <si>
    <t>560</t>
  </si>
  <si>
    <t>AK*WDSWNK</t>
  </si>
  <si>
    <t>561</t>
  </si>
  <si>
    <t>AK*WDSWNKLK</t>
  </si>
  <si>
    <t>Mitochondrial protein</t>
  </si>
  <si>
    <t>562</t>
  </si>
  <si>
    <t>Abat</t>
  </si>
  <si>
    <t>ABAT</t>
  </si>
  <si>
    <t>4-aminobutyrate aminotransferase, mitochondrial isoform 2 precursor</t>
  </si>
  <si>
    <t>P61922</t>
  </si>
  <si>
    <t>http://www.phosphosite.org/proteinAction.do?id=15703&amp;showAllSites=true</t>
  </si>
  <si>
    <t>CLEEVEDLIVK*YR</t>
  </si>
  <si>
    <t>563</t>
  </si>
  <si>
    <t>Acadsb</t>
  </si>
  <si>
    <t>ACADSB</t>
  </si>
  <si>
    <t>short/branched chain specific acyl-CoA dehydrogenase, mitochondrial</t>
  </si>
  <si>
    <t>Q9DBL1</t>
  </si>
  <si>
    <t>http://www.phosphosite.org/proteinAction.do?id=10575&amp;showAllSites=true</t>
  </si>
  <si>
    <t>IGHGYK*YAIGSLNEGR</t>
  </si>
  <si>
    <t>564</t>
  </si>
  <si>
    <t>565</t>
  </si>
  <si>
    <t>566</t>
  </si>
  <si>
    <t>Aco2</t>
  </si>
  <si>
    <t>ACO2</t>
  </si>
  <si>
    <t>aconitate hydratase, mitochondrial precursor</t>
  </si>
  <si>
    <t>Q99KI0</t>
  </si>
  <si>
    <t>http://www.phosphosite.org/proteinAction.do?id=9181&amp;showAllSites=true</t>
  </si>
  <si>
    <t>YDLLEK*NINIVR</t>
  </si>
  <si>
    <t>567</t>
  </si>
  <si>
    <t>LQLLEPFDKWDGK*DLEDLQILIK</t>
  </si>
  <si>
    <t>568</t>
  </si>
  <si>
    <t>CTTDHISAAGPWLK*FR</t>
  </si>
  <si>
    <t>569</t>
  </si>
  <si>
    <t>AIITK*SFAR</t>
  </si>
  <si>
    <t>570</t>
  </si>
  <si>
    <t>Acot10; Acot9</t>
  </si>
  <si>
    <t>Acot10; ACOT9</t>
  </si>
  <si>
    <t>acyl-coenzyme A thioesterase 10, mitochondrial precursor</t>
  </si>
  <si>
    <t>Q32MW3; Q9R0X4</t>
  </si>
  <si>
    <t>http://www.phosphosite.org/proteinAction.do?id=25516000&amp;showAllSites=true</t>
  </si>
  <si>
    <t>51; 51</t>
  </si>
  <si>
    <t>DK*YVTVQNTVR</t>
  </si>
  <si>
    <t>571</t>
  </si>
  <si>
    <t>573</t>
  </si>
  <si>
    <t>Acot2</t>
  </si>
  <si>
    <t>ACOT2</t>
  </si>
  <si>
    <t>acyl-coenzyme A thioesterase 2, mitochondrial precursor</t>
  </si>
  <si>
    <t>Q9QYR9</t>
  </si>
  <si>
    <t>Top1</t>
  </si>
  <si>
    <t>TOP1</t>
  </si>
  <si>
    <t>DNA topoisomerase 1</t>
  </si>
  <si>
    <t>Q04750</t>
  </si>
  <si>
    <t>http://www.phosphosite.org/proteinAction.do?id=6475&amp;showAllSites=true</t>
  </si>
  <si>
    <t>LRDEDDADYK*PK</t>
  </si>
  <si>
    <t>Upp2</t>
  </si>
  <si>
    <t>UPP2</t>
  </si>
  <si>
    <t>uridine phosphorylase 2</t>
  </si>
  <si>
    <t>Q8CGR7</t>
  </si>
  <si>
    <t>http://www.phosphosite.org/proteinAction.do?id=7583499&amp;showAllSites=true</t>
  </si>
  <si>
    <t>MASILPASNRSMRPDK*NTYER</t>
  </si>
  <si>
    <t>550</t>
  </si>
  <si>
    <t>Zadh2</t>
  </si>
  <si>
    <t>ZADH2</t>
  </si>
  <si>
    <t>zinc-binding alcohol dehydrogenase domain-containing protein 2</t>
  </si>
  <si>
    <t>Q8BGC4</t>
  </si>
  <si>
    <t>http://www.phosphosite.org/proteinAction.do?id=1175190&amp;showAllSites=true</t>
  </si>
  <si>
    <t>TMQK*LVVTR</t>
  </si>
  <si>
    <t>G protein or regulator</t>
  </si>
  <si>
    <t>551</t>
  </si>
  <si>
    <t>Arhgef26</t>
  </si>
  <si>
    <t>SGEF</t>
  </si>
  <si>
    <t>Rho guanine nucleotide exchange factor (GEF) 26</t>
  </si>
  <si>
    <t>D3YYY8</t>
  </si>
  <si>
    <t>http://www.phosphosite.org/proteinAction.do?id=23358&amp;showAllSites=true</t>
  </si>
  <si>
    <t>RNGLSQTVSQEERK*</t>
  </si>
  <si>
    <t>552</t>
  </si>
  <si>
    <t>Dock7; Dock7</t>
  </si>
  <si>
    <t>DOCK7; DOCK7 iso3</t>
  </si>
  <si>
    <t>dedicator of cytokinesis protein 7</t>
  </si>
  <si>
    <t>Q8R1A4; NP_080358</t>
  </si>
  <si>
    <t>http://www.phosphosite.org/proteinAction.do?id=9893&amp;showAllSites=true</t>
  </si>
  <si>
    <t>241; 238</t>
  </si>
  <si>
    <t>AHGELHEQFK*R</t>
  </si>
  <si>
    <t>553</t>
  </si>
  <si>
    <t>554</t>
  </si>
  <si>
    <t>Rab4a</t>
  </si>
  <si>
    <t>Rab4</t>
  </si>
  <si>
    <t>ras-related protein Rab-4A</t>
  </si>
  <si>
    <t>P56371</t>
  </si>
  <si>
    <t>http://www.phosphosite.org/proteinAction.do?id=5359&amp;showAllSites=true</t>
  </si>
  <si>
    <t>IINVGGK*YVK</t>
  </si>
  <si>
    <t>555</t>
  </si>
  <si>
    <t>Ranbp1</t>
  </si>
  <si>
    <t>RanBP1</t>
  </si>
  <si>
    <t>ran-specific GTPase-activating protein</t>
  </si>
  <si>
    <t>P34022</t>
  </si>
  <si>
    <t>http://www.phosphosite.org/proteinAction.do?id=7697&amp;showAllSites=true</t>
  </si>
  <si>
    <t>AWVWNTHADFADECPK*PELLAIR</t>
  </si>
  <si>
    <t>556</t>
  </si>
  <si>
    <t>Tbc1d24</t>
  </si>
  <si>
    <t>TBC1D24</t>
  </si>
  <si>
    <t>TBC1 domain family member 24 isoform a</t>
  </si>
  <si>
    <t>Q3UUG6</t>
  </si>
  <si>
    <t>http://www.phosphosite.org/proteinAction.do?id=16348&amp;showAllSites=true</t>
  </si>
  <si>
    <t>LLEK*AFAIR</t>
  </si>
  <si>
    <t>Inhibitor protein</t>
  </si>
  <si>
    <t>557</t>
  </si>
  <si>
    <t>Pebp1</t>
  </si>
  <si>
    <t>RKIP</t>
  </si>
  <si>
    <t>phosphatidylethanolamine-binding protein 1</t>
  </si>
  <si>
    <t>P70296</t>
  </si>
  <si>
    <t>http://www.phosphosite.org/proteinAction.do?id=2390&amp;showAllSites=true</t>
  </si>
  <si>
    <t>LITK*DLSEPYSIYTYR</t>
  </si>
  <si>
    <t>531</t>
  </si>
  <si>
    <t>Naa50; Naa50</t>
  </si>
  <si>
    <t>NAA50; NAA50 iso4</t>
  </si>
  <si>
    <t>N-alpha-acetyltransferase 50, NatE catalytic subunit</t>
  </si>
  <si>
    <t>Q6PGB6; Q6PGB6-4</t>
  </si>
  <si>
    <t>http://www.phosphosite.org/proteinAction.do?id=4323&amp;showAllSites=true</t>
  </si>
  <si>
    <t>19; 20</t>
  </si>
  <si>
    <t>LNQVIFPVSYNDK*FYK</t>
  </si>
  <si>
    <t>533</t>
  </si>
  <si>
    <t>534</t>
  </si>
  <si>
    <t>LNQVIFPVSYNDK*FYKDVLEVGELAK</t>
  </si>
  <si>
    <t>535</t>
  </si>
  <si>
    <t>RLNQVIFPVSYNDK*FYK</t>
  </si>
  <si>
    <t>536</t>
  </si>
  <si>
    <t>RLNQVIFPVSYNDK*FYKDVLEVGELAK</t>
  </si>
  <si>
    <t>538</t>
  </si>
  <si>
    <t>LNQVIFPVSYNDKFYK*DVLEVGELAK</t>
  </si>
  <si>
    <t>539</t>
  </si>
  <si>
    <t>RLNQVIFPVSYNDKFYK*DVLEVGELAK</t>
  </si>
  <si>
    <t>540</t>
  </si>
  <si>
    <t>541</t>
  </si>
  <si>
    <t>47; 53</t>
  </si>
  <si>
    <t>LNQVIFPVSYNDKFYKDVLEVGELAK*</t>
  </si>
  <si>
    <t>542</t>
  </si>
  <si>
    <t>Pelo</t>
  </si>
  <si>
    <t>PELO</t>
  </si>
  <si>
    <t>95, 114</t>
  </si>
  <si>
    <t>protein pelota homolog</t>
  </si>
  <si>
    <t>Q80X73</t>
  </si>
  <si>
    <t>http://www.phosphosite.org/proteinAction.do?id=8934&amp;showAllSites=true</t>
  </si>
  <si>
    <t>VK*MGAYHTIELEPNRQFTLAK*K</t>
  </si>
  <si>
    <t>543</t>
  </si>
  <si>
    <t>Plcb1; Plcb3</t>
  </si>
  <si>
    <t>PLCB1; PLCB3</t>
  </si>
  <si>
    <t>158; 159</t>
  </si>
  <si>
    <t>1-phosphatidylinositol-4,5-bisphosphate phosphodiesterase beta-1 isoform 1</t>
  </si>
  <si>
    <t>Q9Z1B3; P51432</t>
  </si>
  <si>
    <t>http://www.phosphosite.org/proteinAction.do?id=5599&amp;showAllSites=true</t>
  </si>
  <si>
    <t>138; 139</t>
  </si>
  <si>
    <t>KAYTK*LK</t>
  </si>
  <si>
    <t>544</t>
  </si>
  <si>
    <t>Ppia</t>
  </si>
  <si>
    <t>PPIA</t>
  </si>
  <si>
    <t>peptidyl-prolyl cis-trans isomerase A</t>
  </si>
  <si>
    <t>P17742</t>
  </si>
  <si>
    <t>http://www.phosphosite.org/proteinAction.do?id=7284&amp;showAllSites=true</t>
  </si>
  <si>
    <t>HVVFGK*VK</t>
  </si>
  <si>
    <t>545</t>
  </si>
  <si>
    <t>Pygb; Pygl; Pygm</t>
  </si>
  <si>
    <t>PYGB; PYGL; PYGM</t>
  </si>
  <si>
    <t>glycogen phosphorylase, brain form</t>
  </si>
  <si>
    <t>Q8CI94; Q9ET01; Q9WUB3</t>
  </si>
  <si>
    <t>http://www.phosphosite.org/proteinAction.do?id=8093&amp;showAllSites=true</t>
  </si>
  <si>
    <t>97; 97; 97</t>
  </si>
  <si>
    <t>VLYPNDNFFEGK*ELR</t>
  </si>
  <si>
    <t>546</t>
  </si>
  <si>
    <t>547</t>
  </si>
  <si>
    <t>Taldo1</t>
  </si>
  <si>
    <t>TALDO1</t>
  </si>
  <si>
    <t>transaldolase</t>
  </si>
  <si>
    <t>Q93092</t>
  </si>
  <si>
    <t>http://www.phosphosite.org/proteinAction.do?id=9223&amp;showAllSites=true</t>
  </si>
  <si>
    <t>FAADAIK*LER</t>
  </si>
  <si>
    <t>548</t>
  </si>
  <si>
    <t>519</t>
  </si>
  <si>
    <t>520</t>
  </si>
  <si>
    <t>K*YNVGVK</t>
  </si>
  <si>
    <t>521</t>
  </si>
  <si>
    <t>CATITPDEK*R</t>
  </si>
  <si>
    <t>522</t>
  </si>
  <si>
    <t>Idi1</t>
  </si>
  <si>
    <t>IDI1</t>
  </si>
  <si>
    <t>isopentenyl-diphosphate Delta-isomerase 1</t>
  </si>
  <si>
    <t>P58044</t>
  </si>
  <si>
    <t>http://www.phosphosite.org/proteinAction.do?id=2473669&amp;showAllSites=true</t>
  </si>
  <si>
    <t>SYCYVSK*EEVR</t>
  </si>
  <si>
    <t>523</t>
  </si>
  <si>
    <t>Mdh1</t>
  </si>
  <si>
    <t>MDH1</t>
  </si>
  <si>
    <t>malate dehydrogenase, cytoplasmic</t>
  </si>
  <si>
    <t>P14152</t>
  </si>
  <si>
    <t>http://www.phosphosite.org/proteinAction.do?id=14289&amp;showAllSites=true</t>
  </si>
  <si>
    <t>SQGTALEK*YAK</t>
  </si>
  <si>
    <t>524</t>
  </si>
  <si>
    <t>Mgea5</t>
  </si>
  <si>
    <t>OGA</t>
  </si>
  <si>
    <t>844, 850</t>
  </si>
  <si>
    <t>bifunctional protein NCOAT</t>
  </si>
  <si>
    <t>Q9EQQ9</t>
  </si>
  <si>
    <t>http://www.phosphosite.org/proteinAction.do?id=6710&amp;showAllSites=true</t>
  </si>
  <si>
    <t>IK*M#DIHKK*VTDPSVAK</t>
  </si>
  <si>
    <t>525</t>
  </si>
  <si>
    <t>Mobkl2c</t>
  </si>
  <si>
    <t>MOBKL2C</t>
  </si>
  <si>
    <t>mps one binder kinase activator-like 2C</t>
  </si>
  <si>
    <t>Q8BJG4</t>
  </si>
  <si>
    <t>http://www.phosphosite.org/proteinAction.do?id=9830817&amp;showAllSites=true</t>
  </si>
  <si>
    <t>QASLK*SGLDLR</t>
  </si>
  <si>
    <t>526</t>
  </si>
  <si>
    <t>Myst4</t>
  </si>
  <si>
    <t>MYST4</t>
  </si>
  <si>
    <t>histone acetyltransferase MYST4</t>
  </si>
  <si>
    <t>Q8BRB7</t>
  </si>
  <si>
    <t>http://www.phosphosite.org/proteinAction.do?id=22836&amp;showAllSites=true</t>
  </si>
  <si>
    <t>QSSAK*VQSK*NK*YLHSPER</t>
  </si>
  <si>
    <t>527</t>
  </si>
  <si>
    <t>Naa10</t>
  </si>
  <si>
    <t>NAA10</t>
  </si>
  <si>
    <t>N-alpha-acetyltransferase 10, NatA catalytic subunit isoform 2</t>
  </si>
  <si>
    <t>Q9QY36</t>
  </si>
  <si>
    <t>http://www.phosphosite.org/proteinAction.do?id=7998&amp;showAllSites=true</t>
  </si>
  <si>
    <t>AALHLYSNTLNFQISEVEPK*YYADGEDAYAM#KR</t>
  </si>
  <si>
    <t>AALHLYSNTLNFQISEVEPKYYADGEDAYAM#K*R</t>
  </si>
  <si>
    <t>529</t>
  </si>
  <si>
    <t>Naa11</t>
  </si>
  <si>
    <t>NAA11</t>
  </si>
  <si>
    <t>N-alpha-acetyltransferase 11, NatA catalytic subunit</t>
  </si>
  <si>
    <t>Q3UX61</t>
  </si>
  <si>
    <t>http://www.phosphosite.org/proteinAction.do?id=5117611&amp;showAllSites=true</t>
  </si>
  <si>
    <t>AALHLYSNTLNFQVSEVEPK*YYADGEDAYAM#KR</t>
  </si>
  <si>
    <t>530</t>
  </si>
  <si>
    <t>Naa30</t>
  </si>
  <si>
    <t>NAA30</t>
  </si>
  <si>
    <t>N-alpha-acetyltransferase 30, NatC catalytic subunit</t>
  </si>
  <si>
    <t>Q8CES0</t>
  </si>
  <si>
    <t>http://www.phosphosite.org/proteinAction.do?id=12251&amp;showAllSites=true</t>
  </si>
  <si>
    <t>Fkbp1a</t>
  </si>
  <si>
    <t>FKBP12</t>
  </si>
  <si>
    <t>peptidyl-prolyl cis-trans isomerase FKBP1A</t>
  </si>
  <si>
    <t>P26883</t>
  </si>
  <si>
    <t>http://www.phosphosite.org/proteinAction.do?id=19749&amp;showAllSites=true</t>
  </si>
  <si>
    <t>NKPFK*FTLGK</t>
  </si>
  <si>
    <t>498</t>
  </si>
  <si>
    <t>FTLGK*QEVIR</t>
  </si>
  <si>
    <t>499</t>
  </si>
  <si>
    <t>G6pd2</t>
  </si>
  <si>
    <t>G6PD-2</t>
  </si>
  <si>
    <t>407, 427, 429</t>
  </si>
  <si>
    <t>glucose-6-phosphate 1-dehydrogenase 2</t>
  </si>
  <si>
    <t>P97324</t>
  </si>
  <si>
    <t>http://www.phosphosite.org/proteinAction.do?id=4378&amp;showAllSites=true</t>
  </si>
  <si>
    <t>K*KPGMFFNPEESELDLTYGNK*YK*</t>
  </si>
  <si>
    <t>500</t>
  </si>
  <si>
    <t>Gapdh</t>
  </si>
  <si>
    <t>GAPDH</t>
  </si>
  <si>
    <t>glyceraldehyde-3-phosphate dehydrogenase</t>
  </si>
  <si>
    <t>P16858</t>
  </si>
  <si>
    <t>http://www.phosphosite.org/proteinAction.do?id=4368&amp;showAllSites=true</t>
  </si>
  <si>
    <t>TVDGPSGK*LWR</t>
  </si>
  <si>
    <t>501</t>
  </si>
  <si>
    <t>502</t>
  </si>
  <si>
    <t>LEK*PAKYDDIK</t>
  </si>
  <si>
    <t>503</t>
  </si>
  <si>
    <t>LEKPAK*YDDIK</t>
  </si>
  <si>
    <t>504</t>
  </si>
  <si>
    <t>505</t>
  </si>
  <si>
    <t>506</t>
  </si>
  <si>
    <t>LEKPAK*YDDIKK</t>
  </si>
  <si>
    <t>508</t>
  </si>
  <si>
    <t>509</t>
  </si>
  <si>
    <t>FNGTVK*AENGK</t>
  </si>
  <si>
    <t>510</t>
  </si>
  <si>
    <t>511</t>
  </si>
  <si>
    <t>LVINGK*PITIFQERDPTNIK</t>
  </si>
  <si>
    <t>512</t>
  </si>
  <si>
    <t>513</t>
  </si>
  <si>
    <t>Gsta3</t>
  </si>
  <si>
    <t>GSTA3</t>
  </si>
  <si>
    <t>glutathione S-transferase A3</t>
  </si>
  <si>
    <t>P30115</t>
  </si>
  <si>
    <t>http://www.phosphosite.org/proteinAction.do?id=19791&amp;showAllSites=true</t>
  </si>
  <si>
    <t>ASLAK*IK</t>
  </si>
  <si>
    <t>514</t>
  </si>
  <si>
    <t>Hmgcs1</t>
  </si>
  <si>
    <t>HMGCS1</t>
  </si>
  <si>
    <t>hydroxymethylglutaryl-CoA synthase, cytoplasmic</t>
  </si>
  <si>
    <t>Q8JZK9</t>
  </si>
  <si>
    <t>http://www.phosphosite.org/proteinAction.do?id=9215&amp;showAllSites=true</t>
  </si>
  <si>
    <t>GTHM#QHAYDFYK*PDM#LSEYPVVDGK</t>
  </si>
  <si>
    <t>515</t>
  </si>
  <si>
    <t>516</t>
  </si>
  <si>
    <t>Hsd17b1</t>
  </si>
  <si>
    <t>HSD17B1</t>
  </si>
  <si>
    <t>estradiol 17-beta-dehydrogenase 1</t>
  </si>
  <si>
    <t>P51656</t>
  </si>
  <si>
    <t>http://www.phosphosite.org/proteinAction.do?id=7579909&amp;showAllSites=true</t>
  </si>
  <si>
    <t>M#LQAFLPDMK*R</t>
  </si>
  <si>
    <t>517</t>
  </si>
  <si>
    <t>Idh1</t>
  </si>
  <si>
    <t>IDH1</t>
  </si>
  <si>
    <t>isocitrate dehydrogenase [NADP] cytoplasmic</t>
  </si>
  <si>
    <t>O88844</t>
  </si>
  <si>
    <t>http://www.phosphosite.org/proteinAction.do?id=10631&amp;showAllSites=true</t>
  </si>
  <si>
    <t>EAIICK*NIPR</t>
  </si>
  <si>
    <t>518</t>
  </si>
  <si>
    <t>SQFEAQK*ICYEHR</t>
  </si>
  <si>
    <t>AVGYICK*CSGGR</t>
  </si>
  <si>
    <t>482</t>
  </si>
  <si>
    <t>Cwc27</t>
  </si>
  <si>
    <t>SDCCAG10</t>
  </si>
  <si>
    <t>291, 292, 299</t>
  </si>
  <si>
    <t>peptidyl-prolyl cis-trans isomerase CWC27 homolog</t>
  </si>
  <si>
    <t>Q3TKY6</t>
  </si>
  <si>
    <t>http://www.phosphosite.org/proteinAction.do?id=21243&amp;showAllSites=true</t>
  </si>
  <si>
    <t>IAKRLK*K*DASASVK*</t>
  </si>
  <si>
    <t>483</t>
  </si>
  <si>
    <t>Dcps</t>
  </si>
  <si>
    <t>DCPS</t>
  </si>
  <si>
    <t>scavenger mRNA-decapping enzyme DcpS</t>
  </si>
  <si>
    <t>Q9DAR7</t>
  </si>
  <si>
    <t>http://www.phosphosite.org/proteinAction.do?id=22956&amp;showAllSites=true</t>
  </si>
  <si>
    <t>HLQK*YMR</t>
  </si>
  <si>
    <t>484</t>
  </si>
  <si>
    <t>HLQK*YM#R</t>
  </si>
  <si>
    <t>485</t>
  </si>
  <si>
    <t>Ddx59</t>
  </si>
  <si>
    <t>DDX59</t>
  </si>
  <si>
    <t>probable ATP-dependent RNA helicase DDX59</t>
  </si>
  <si>
    <t>Q9DBN9</t>
  </si>
  <si>
    <t>http://www.phosphosite.org/proteinAction.do?id=22643&amp;showAllSites=true</t>
  </si>
  <si>
    <t>EADTMLK*</t>
  </si>
  <si>
    <t>486</t>
  </si>
  <si>
    <t>Dpysl3</t>
  </si>
  <si>
    <t>CRMP-4</t>
  </si>
  <si>
    <t>dihydropyrimidinase-related protein 3 isoform 1</t>
  </si>
  <si>
    <t>Q62188</t>
  </si>
  <si>
    <t>http://www.phosphosite.org/proteinAction.do?id=6606&amp;showAllSites=true</t>
  </si>
  <si>
    <t>QEVQSLSK*EK</t>
  </si>
  <si>
    <t>487</t>
  </si>
  <si>
    <t>Epc1</t>
  </si>
  <si>
    <t>EPC1</t>
  </si>
  <si>
    <t>340, 343</t>
  </si>
  <si>
    <t>enhancer of polycomb homolog 1 isoform 1</t>
  </si>
  <si>
    <t>Q8C9X6</t>
  </si>
  <si>
    <t>http://www.phosphosite.org/proteinAction.do?id=18997&amp;showAllSites=true</t>
  </si>
  <si>
    <t>YEK*KPK*VLPPSAAAPQQQSPAALPGFSAK</t>
  </si>
  <si>
    <t>488</t>
  </si>
  <si>
    <t>Esd</t>
  </si>
  <si>
    <t>esterase D</t>
  </si>
  <si>
    <t>S-formylglutathione hydrolase</t>
  </si>
  <si>
    <t>Q9R0P3</t>
  </si>
  <si>
    <t>http://www.phosphosite.org/proteinAction.do?id=11127&amp;showAllSites=true</t>
  </si>
  <si>
    <t>WK*AYDATCLVK</t>
  </si>
  <si>
    <t>489</t>
  </si>
  <si>
    <t>Fasn</t>
  </si>
  <si>
    <t>FASN</t>
  </si>
  <si>
    <t>fatty acid synthase</t>
  </si>
  <si>
    <t>P19096</t>
  </si>
  <si>
    <t>http://www.phosphosite.org/proteinAction.do?id=7967&amp;showAllSites=true</t>
  </si>
  <si>
    <t>FLEIGK*FDLSNNHPLGMAIFLK</t>
  </si>
  <si>
    <t>490</t>
  </si>
  <si>
    <t>FLEIGK*FDLSNNHPLGM#AIFLK</t>
  </si>
  <si>
    <t>491</t>
  </si>
  <si>
    <t>2375</t>
  </si>
  <si>
    <t>QFLDVEHSK*VLEALLPLK</t>
  </si>
  <si>
    <t>492</t>
  </si>
  <si>
    <t>493</t>
  </si>
  <si>
    <t>2427</t>
  </si>
  <si>
    <t>AADQYK*PK</t>
  </si>
  <si>
    <t>494</t>
  </si>
  <si>
    <t>LKDLSK*FDASFFGVHPK</t>
  </si>
  <si>
    <t>495</t>
  </si>
  <si>
    <t>QEGVFAK*EVR</t>
  </si>
  <si>
    <t>496</t>
  </si>
  <si>
    <t>993</t>
  </si>
  <si>
    <t>LTQGEVYK*ELR</t>
  </si>
  <si>
    <t>497</t>
  </si>
  <si>
    <t>peroxisomal acyl-coenzyme A oxidase 1</t>
  </si>
  <si>
    <t>Q9R0H0; Q8BW35</t>
  </si>
  <si>
    <t>http://www.phosphosite.org/proteinAction.do?id=10613&amp;showAllSites=true</t>
  </si>
  <si>
    <t>75; 56</t>
  </si>
  <si>
    <t>FLMK*IYDQVQSGK</t>
  </si>
  <si>
    <t>466</t>
  </si>
  <si>
    <t>FLM#K*IYDQVQSGK</t>
  </si>
  <si>
    <t>467</t>
  </si>
  <si>
    <t>468</t>
  </si>
  <si>
    <t>Acox1</t>
  </si>
  <si>
    <t>ACOX1</t>
  </si>
  <si>
    <t>Q9R0H0</t>
  </si>
  <si>
    <t>HLK*PLQSK</t>
  </si>
  <si>
    <t>469</t>
  </si>
  <si>
    <t>Akr1a4</t>
  </si>
  <si>
    <t>AKR1A1</t>
  </si>
  <si>
    <t>alcohol dehydrogenase [NADP+]</t>
  </si>
  <si>
    <t>Q9JII6</t>
  </si>
  <si>
    <t>http://www.phosphosite.org/proteinAction.do?id=12602&amp;showAllSites=true</t>
  </si>
  <si>
    <t>GDNPFPK*NADGTVR</t>
  </si>
  <si>
    <t>470</t>
  </si>
  <si>
    <t>Aldh1l1</t>
  </si>
  <si>
    <t>ALDH1L1</t>
  </si>
  <si>
    <t>aldehyde dehydrogenase family 1 member L1</t>
  </si>
  <si>
    <t>Q8R0Y6</t>
  </si>
  <si>
    <t>http://www.phosphosite.org/proteinAction.do?id=16592&amp;showAllSites=true</t>
  </si>
  <si>
    <t>QSGFGK*DLGEAALNEYLR</t>
  </si>
  <si>
    <t>472</t>
  </si>
  <si>
    <t>Aldh1l2</t>
  </si>
  <si>
    <t>ALDH1L2</t>
  </si>
  <si>
    <t>aldehyde dehydrogenase family 1 member L2, mitochondrial</t>
  </si>
  <si>
    <t>Q8K009</t>
  </si>
  <si>
    <t>http://www.phosphosite.org/proteinAction.do?id=21096&amp;showAllSites=true</t>
  </si>
  <si>
    <t>SCDVK*PNDTVDSLYNR</t>
  </si>
  <si>
    <t>473</t>
  </si>
  <si>
    <t>Alox12b</t>
  </si>
  <si>
    <t>ALOX12B</t>
  </si>
  <si>
    <t>arachidonate 12-lipoxygenase, 12R-type</t>
  </si>
  <si>
    <t>O70582</t>
  </si>
  <si>
    <t>http://www.phosphosite.org/proteinAction.do?id=1284654&amp;showAllSites=true</t>
  </si>
  <si>
    <t>NPNRPEWDGYIPGFPILINIK*ATRFL</t>
  </si>
  <si>
    <t>474</t>
  </si>
  <si>
    <t>Atat1; ATAT1 iso2</t>
  </si>
  <si>
    <t>ATAT1; ATAT1 iso2</t>
  </si>
  <si>
    <t>162; 162</t>
  </si>
  <si>
    <t>alpha-tubulin N-acetyltransferase isoform 1</t>
  </si>
  <si>
    <t>Q8K341; Q8K341-2</t>
  </si>
  <si>
    <t>http://www.phosphosite.org/proteinAction.do?id=21502&amp;showAllSites=true</t>
  </si>
  <si>
    <t>47; 45</t>
  </si>
  <si>
    <t>AIDRPSPK*LLK</t>
  </si>
  <si>
    <t>ERVEPHQLAIDRPSPK*LLK</t>
  </si>
  <si>
    <t>476</t>
  </si>
  <si>
    <t>VEPHQLAIDRPSPK*LLK</t>
  </si>
  <si>
    <t>477</t>
  </si>
  <si>
    <t>AEGDIK*PYSSSDREFLK</t>
  </si>
  <si>
    <t>478</t>
  </si>
  <si>
    <t>RAEGDIK*PYSSSDR</t>
  </si>
  <si>
    <t>479</t>
  </si>
  <si>
    <t>RAEGDIK*PYSSSDREFLK</t>
  </si>
  <si>
    <t>480</t>
  </si>
  <si>
    <t>Cmas</t>
  </si>
  <si>
    <t>CMAS</t>
  </si>
  <si>
    <t>N-acylneuraminate cytidylyltransferase</t>
  </si>
  <si>
    <t>Q99KK2</t>
  </si>
  <si>
    <t>http://www.phosphosite.org/proteinAction.do?id=9538&amp;showAllSites=true</t>
  </si>
  <si>
    <t>FGYFGK*EK</t>
  </si>
  <si>
    <t>481</t>
  </si>
  <si>
    <t>http://www.phosphosite.org/proteinAction.do?id=18139&amp;showAllSites=true</t>
  </si>
  <si>
    <t>SLVPK*K*K*TK</t>
  </si>
  <si>
    <t>455</t>
  </si>
  <si>
    <t>Hadh</t>
  </si>
  <si>
    <t>HADHSC</t>
  </si>
  <si>
    <t>hydroxyacyl-coenzyme A dehydrogenase, mitochondrial precursor</t>
  </si>
  <si>
    <t>Q61425</t>
  </si>
  <si>
    <t>http://www.phosphosite.org/proteinAction.do?id=10555&amp;showAllSites=true</t>
  </si>
  <si>
    <t>GDASK*EDIDTAMK</t>
  </si>
  <si>
    <t>456</t>
  </si>
  <si>
    <t>Hadha</t>
  </si>
  <si>
    <t>HADHA</t>
  </si>
  <si>
    <t>trifunctional enzyme subunit alpha, mitochondrial precursor</t>
  </si>
  <si>
    <t>Q8BMS1</t>
  </si>
  <si>
    <t>http://www.phosphosite.org/proteinAction.do?id=11619&amp;showAllSites=true</t>
  </si>
  <si>
    <t>NK*FGAPQK</t>
  </si>
  <si>
    <t>457</t>
  </si>
  <si>
    <t>Ppat</t>
  </si>
  <si>
    <t>ATASE</t>
  </si>
  <si>
    <t>phosphoribosyl pyrophosphate amidotransferase</t>
  </si>
  <si>
    <t>Q3TKC5</t>
  </si>
  <si>
    <t>http://www.phosphosite.org/proteinAction.do?id=9664&amp;showAllSites=true</t>
  </si>
  <si>
    <t>GQESAGIVTSDGSAVPK*FR</t>
  </si>
  <si>
    <t>458</t>
  </si>
  <si>
    <t>K*LYDSNLGIGHTR</t>
  </si>
  <si>
    <t>459</t>
  </si>
  <si>
    <t>Whsc1l1</t>
  </si>
  <si>
    <t>WHSC1L1</t>
  </si>
  <si>
    <t>histone-lysine N-methyltransferase NSD3 isoform 1</t>
  </si>
  <si>
    <t>Q6P2L6</t>
  </si>
  <si>
    <t>http://www.phosphosite.org/proteinAction.do?id=1169911&amp;showAllSites=true</t>
  </si>
  <si>
    <t>KFPTAIFESK*GFR</t>
  </si>
  <si>
    <t>460</t>
  </si>
  <si>
    <t>Endoplasmic reticulum or golgi</t>
  </si>
  <si>
    <t>461</t>
  </si>
  <si>
    <t>Cat</t>
  </si>
  <si>
    <t>catalase</t>
  </si>
  <si>
    <t>P24270</t>
  </si>
  <si>
    <t>http://www.phosphosite.org/proteinAction.do?id=4045&amp;showAllSites=true</t>
  </si>
  <si>
    <t>TFYTK*VLNEEER</t>
  </si>
  <si>
    <t>462</t>
  </si>
  <si>
    <t>IQALLDK*YNAEKPK</t>
  </si>
  <si>
    <t>463</t>
  </si>
  <si>
    <t>Cyb5r4</t>
  </si>
  <si>
    <t>CYB5R4</t>
  </si>
  <si>
    <t>cytochrome b5 reductase 4</t>
  </si>
  <si>
    <t>Q3TDX8</t>
  </si>
  <si>
    <t>http://www.phosphosite.org/proteinAction.do?id=2464747&amp;showAllSites=true</t>
  </si>
  <si>
    <t>CQLEK*LALR</t>
  </si>
  <si>
    <t>Enzyme, misc.</t>
  </si>
  <si>
    <t>464</t>
  </si>
  <si>
    <t>Acaca; Acacb</t>
  </si>
  <si>
    <t>ACC1; ACC2</t>
  </si>
  <si>
    <t>519; 653</t>
  </si>
  <si>
    <t>acetyl-CoA carboxylase 1</t>
  </si>
  <si>
    <t>Q5SWU9; Q6JIZ0</t>
  </si>
  <si>
    <t>http://www.phosphosite.org/proteinAction.do?id=5670&amp;showAllSites=true</t>
  </si>
  <si>
    <t>265; 276</t>
  </si>
  <si>
    <t>ITSENPDEGFK*PSSGTVQELNFR</t>
  </si>
  <si>
    <t>465</t>
  </si>
  <si>
    <t>Acox1; Acox1</t>
  </si>
  <si>
    <t>ACOX1; ACOX1 iso3</t>
  </si>
  <si>
    <t>GATPYGGVK*LEDLIVK</t>
  </si>
  <si>
    <t>436</t>
  </si>
  <si>
    <t>437</t>
  </si>
  <si>
    <t>GATPYGGVK*LEDLIVKDGLTDVYNK</t>
  </si>
  <si>
    <t>438</t>
  </si>
  <si>
    <t>439</t>
  </si>
  <si>
    <t>DGLTDVYNK*IHM#GNCAENTAK</t>
  </si>
  <si>
    <t>440</t>
  </si>
  <si>
    <t>441</t>
  </si>
  <si>
    <t>SK*EAWDAGKFASEITPITISVK</t>
  </si>
  <si>
    <t>SKEAWDAGK*FASEITPITISVK</t>
  </si>
  <si>
    <t>443</t>
  </si>
  <si>
    <t>GKPDVVVKEDEEYK*R</t>
  </si>
  <si>
    <t>444</t>
  </si>
  <si>
    <t>VLK*YAGLK</t>
  </si>
  <si>
    <t>445</t>
  </si>
  <si>
    <t>VLK*YAGLKK</t>
  </si>
  <si>
    <t>446</t>
  </si>
  <si>
    <t>Acat2</t>
  </si>
  <si>
    <t>ACAT2</t>
  </si>
  <si>
    <t>acetyl-CoA acetyltransferase, cytosolic</t>
  </si>
  <si>
    <t>Q8CAY6</t>
  </si>
  <si>
    <t>http://www.phosphosite.org/proteinAction.do?id=2812809&amp;showAllSites=true</t>
  </si>
  <si>
    <t>LK*PYFLTDGTGTVTPANASGM#NDGAAAVVLM#K</t>
  </si>
  <si>
    <t>Adsl</t>
  </si>
  <si>
    <t>ADSL</t>
  </si>
  <si>
    <t>adenylosuccinate lyase</t>
  </si>
  <si>
    <t>P54822</t>
  </si>
  <si>
    <t>http://www.phosphosite.org/proteinAction.do?id=9175&amp;showAllSites=true</t>
  </si>
  <si>
    <t>QQIGSSAMPYK*R</t>
  </si>
  <si>
    <t>448</t>
  </si>
  <si>
    <t>Ckb</t>
  </si>
  <si>
    <t>CKB</t>
  </si>
  <si>
    <t>creatine kinase B-type</t>
  </si>
  <si>
    <t>Q04447</t>
  </si>
  <si>
    <t>http://www.phosphosite.org/proteinAction.do?id=5407&amp;showAllSites=true</t>
  </si>
  <si>
    <t>HEK*FSEVLK</t>
  </si>
  <si>
    <t>449</t>
  </si>
  <si>
    <t>FSEVLK*R</t>
  </si>
  <si>
    <t>450</t>
  </si>
  <si>
    <t>Dlst</t>
  </si>
  <si>
    <t>DLST</t>
  </si>
  <si>
    <t>dihydrolipoyllysine-residue succinyltransferase component of 2-oxoglutarate dehydrogenase complex, mitochondrial</t>
  </si>
  <si>
    <t>Q9D2G2</t>
  </si>
  <si>
    <t>http://www.phosphosite.org/proteinAction.do?id=18685&amp;showAllSites=true</t>
  </si>
  <si>
    <t>HK*DAFLK</t>
  </si>
  <si>
    <t>451</t>
  </si>
  <si>
    <t>HKDAFLK*K</t>
  </si>
  <si>
    <t>Dot1l</t>
  </si>
  <si>
    <t>DOT1L</t>
  </si>
  <si>
    <t>histone-lysine N-methyltransferase, H3 lysine-79 specific</t>
  </si>
  <si>
    <t>Q571B8</t>
  </si>
  <si>
    <t>http://www.phosphosite.org/proteinAction.do?id=10968&amp;showAllSites=true</t>
  </si>
  <si>
    <t>DHQLK*ER</t>
  </si>
  <si>
    <t>453</t>
  </si>
  <si>
    <t>Echs1</t>
  </si>
  <si>
    <t>ECHS1</t>
  </si>
  <si>
    <t>enoyl-CoA hydratase, mitochondrial precursor</t>
  </si>
  <si>
    <t>Q8BH95</t>
  </si>
  <si>
    <t>http://www.phosphosite.org/proteinAction.do?id=15720&amp;showAllSites=true</t>
  </si>
  <si>
    <t>AFAAGADIK*EM#QNR</t>
  </si>
  <si>
    <t>454</t>
  </si>
  <si>
    <t>Ehmt1</t>
  </si>
  <si>
    <t>EHMT1</t>
  </si>
  <si>
    <t>299, 300, 301</t>
  </si>
  <si>
    <t>histone-lysine N-methyltransferase EHMT1 isoform 1</t>
  </si>
  <si>
    <t>Q5DW34</t>
  </si>
  <si>
    <t>Mapt; Mapt; Mapt</t>
  </si>
  <si>
    <t>tau; tau iso3; tau iso7</t>
  </si>
  <si>
    <t>603; 300; 260</t>
  </si>
  <si>
    <t>microtubule-associated protein tau isoform a</t>
  </si>
  <si>
    <t>P10637; P10637-2; B1AQW2</t>
  </si>
  <si>
    <t>http://www.phosphosite.org/proteinAction.do?id=1501&amp;showAllSites=true</t>
  </si>
  <si>
    <t>76; 45; 41</t>
  </si>
  <si>
    <t>VQIVYK*PVDLSK</t>
  </si>
  <si>
    <t>419</t>
  </si>
  <si>
    <t>420</t>
  </si>
  <si>
    <t>Mtap6; Mtap6</t>
  </si>
  <si>
    <t>MAP6; MAP6 iso3</t>
  </si>
  <si>
    <t>254; 51</t>
  </si>
  <si>
    <t>microtubule-associated protein 6 isoform 3</t>
  </si>
  <si>
    <t>O55129; Q7TSJ2-3</t>
  </si>
  <si>
    <t>http://www.phosphosite.org/proteinAction.do?id=8692&amp;showAllSites=true</t>
  </si>
  <si>
    <t>96; 33</t>
  </si>
  <si>
    <t>NEGHEEK*PLPPAQSQTQEGGPAAGK</t>
  </si>
  <si>
    <t>421</t>
  </si>
  <si>
    <t>422</t>
  </si>
  <si>
    <t>423</t>
  </si>
  <si>
    <t>300; 97</t>
  </si>
  <si>
    <t>SEGHEEK*PLPPAQSQTQEGGPAAGK</t>
  </si>
  <si>
    <t>424</t>
  </si>
  <si>
    <t>425</t>
  </si>
  <si>
    <t>453; 250</t>
  </si>
  <si>
    <t>AKPQYK*PPDDK</t>
  </si>
  <si>
    <t>Mtap7d3</t>
  </si>
  <si>
    <t>RP11-535K18.3</t>
  </si>
  <si>
    <t>752</t>
  </si>
  <si>
    <t>MAP7 domain-containing protein 3</t>
  </si>
  <si>
    <t>A2AEY4</t>
  </si>
  <si>
    <t>http://www.phosphosite.org/proteinAction.do?id=5140289&amp;showAllSites=true</t>
  </si>
  <si>
    <t>KGSKLSAK*</t>
  </si>
  <si>
    <t>427</t>
  </si>
  <si>
    <t>Nefm</t>
  </si>
  <si>
    <t>NFM</t>
  </si>
  <si>
    <t>neurofilament medium polypeptide</t>
  </si>
  <si>
    <t>P08553</t>
  </si>
  <si>
    <t>http://www.phosphosite.org/proteinAction.do?id=2399&amp;showAllSites=true</t>
  </si>
  <si>
    <t>YAK*LTEAAEQNK</t>
  </si>
  <si>
    <t>428</t>
  </si>
  <si>
    <t>YAK*LTEAAEQNKEAIR</t>
  </si>
  <si>
    <t>429</t>
  </si>
  <si>
    <t>Stmn1</t>
  </si>
  <si>
    <t>STMN1</t>
  </si>
  <si>
    <t>stathmin</t>
  </si>
  <si>
    <t>P54227</t>
  </si>
  <si>
    <t>http://www.phosphosite.org/proteinAction.do?id=1533&amp;showAllSites=true</t>
  </si>
  <si>
    <t>EAQMAAK*LER</t>
  </si>
  <si>
    <t>430</t>
  </si>
  <si>
    <t>EAQM#AAK*LER</t>
  </si>
  <si>
    <t>431</t>
  </si>
  <si>
    <t>NK*ESKDPADETEAD</t>
  </si>
  <si>
    <t>432</t>
  </si>
  <si>
    <t>Tubb2b</t>
  </si>
  <si>
    <t>TUBB2B</t>
  </si>
  <si>
    <t>tubulin beta-2B chain</t>
  </si>
  <si>
    <t>Q9CWF2</t>
  </si>
  <si>
    <t>http://www.phosphosite.org/proteinAction.do?id=19277&amp;showAllSites=true</t>
  </si>
  <si>
    <t>INVYYNEATGNK*YVPR</t>
  </si>
  <si>
    <t>433</t>
  </si>
  <si>
    <t>434</t>
  </si>
  <si>
    <t>ENZYME, MISC.</t>
  </si>
  <si>
    <t>435</t>
  </si>
  <si>
    <t>Acat1</t>
  </si>
  <si>
    <t>ACAT1</t>
  </si>
  <si>
    <t>acetyl-CoA acetyltransferase, mitochondrial precursor</t>
  </si>
  <si>
    <t>Q8QZT1</t>
  </si>
  <si>
    <t>http://www.phosphosite.org/proteinAction.do?id=9173&amp;showAllSites=true</t>
  </si>
  <si>
    <t>VGDVLSEKSSTFLMKAATK*VVENEK*</t>
  </si>
  <si>
    <t>405</t>
  </si>
  <si>
    <t>Zbtb17</t>
  </si>
  <si>
    <t>ZBTB17</t>
  </si>
  <si>
    <t>435, 438</t>
  </si>
  <si>
    <t>zinc finger and BTB domain-containing protein 17</t>
  </si>
  <si>
    <t>Q60821</t>
  </si>
  <si>
    <t>http://www.phosphosite.org/proteinAction.do?id=19125&amp;showAllSites=true</t>
  </si>
  <si>
    <t>MRHLETHDTDK*EHK*</t>
  </si>
  <si>
    <t>406</t>
  </si>
  <si>
    <t>Zfp422</t>
  </si>
  <si>
    <t>ZNF22</t>
  </si>
  <si>
    <t>zinc finger protein 22</t>
  </si>
  <si>
    <t>Q9ERU3</t>
  </si>
  <si>
    <t>http://www.phosphosite.org/proteinAction.do?id=12245&amp;showAllSites=true</t>
  </si>
  <si>
    <t>SASQGK*AYESK</t>
  </si>
  <si>
    <t>Cytoskeletal protein</t>
  </si>
  <si>
    <t>407</t>
  </si>
  <si>
    <t>Actr6</t>
  </si>
  <si>
    <t>ACTR6</t>
  </si>
  <si>
    <t>actin-related protein 6</t>
  </si>
  <si>
    <t>Q9D864</t>
  </si>
  <si>
    <t>http://www.phosphosite.org/proteinAction.do?id=10166367&amp;showAllSites=true</t>
  </si>
  <si>
    <t>EEMVLSGK*YK</t>
  </si>
  <si>
    <t>408</t>
  </si>
  <si>
    <t>EEM#VLSGK*YK</t>
  </si>
  <si>
    <t>409</t>
  </si>
  <si>
    <t>Ina</t>
  </si>
  <si>
    <t>INA</t>
  </si>
  <si>
    <t>alpha-internexin</t>
  </si>
  <si>
    <t>P46660</t>
  </si>
  <si>
    <t>http://www.phosphosite.org/proteinAction.do?id=13293&amp;showAllSites=true</t>
  </si>
  <si>
    <t>SK*FANLNEQAAR</t>
  </si>
  <si>
    <t>410</t>
  </si>
  <si>
    <t>Kif14</t>
  </si>
  <si>
    <t>KIF14</t>
  </si>
  <si>
    <t>691, 699</t>
  </si>
  <si>
    <t>kinesin-like protein KIF14</t>
  </si>
  <si>
    <t>Q7TQJ9</t>
  </si>
  <si>
    <t>http://www.phosphosite.org/proteinAction.do?id=14299&amp;showAllSites=true</t>
  </si>
  <si>
    <t>LIVNIAK*VNEDMNAK*LIR</t>
  </si>
  <si>
    <t>411</t>
  </si>
  <si>
    <t>Kif5c</t>
  </si>
  <si>
    <t>KIF5C</t>
  </si>
  <si>
    <t>507</t>
  </si>
  <si>
    <t>kinesin heavy chain isoform 5C</t>
  </si>
  <si>
    <t>P28738</t>
  </si>
  <si>
    <t>http://www.phosphosite.org/proteinAction.do?id=23611&amp;showAllSites=true</t>
  </si>
  <si>
    <t>SQEVEDK*TR</t>
  </si>
  <si>
    <t>412</t>
  </si>
  <si>
    <t>Lmnb1</t>
  </si>
  <si>
    <t>Lamin B1</t>
  </si>
  <si>
    <t>lamin-B1</t>
  </si>
  <si>
    <t>P14733</t>
  </si>
  <si>
    <t>http://www.phosphosite.org/proteinAction.do?id=2157&amp;showAllSites=true</t>
  </si>
  <si>
    <t>FK*AEHDQLLLNYAK</t>
  </si>
  <si>
    <t>413</t>
  </si>
  <si>
    <t>LYK*EELEQTYHAK</t>
  </si>
  <si>
    <t>414</t>
  </si>
  <si>
    <t>LYKEELEQTYHAK*LENAR</t>
  </si>
  <si>
    <t>415</t>
  </si>
  <si>
    <t>416</t>
  </si>
  <si>
    <t>KIGDTSVSYK*YTSR</t>
  </si>
  <si>
    <t>417</t>
  </si>
  <si>
    <t>Mapre2</t>
  </si>
  <si>
    <t>RP1</t>
  </si>
  <si>
    <t>microtubule-associated protein RP/EB family member 2 isoform 2</t>
  </si>
  <si>
    <t>Q8R001</t>
  </si>
  <si>
    <t>http://www.phosphosite.org/proteinAction.do?id=2773&amp;showAllSites=true</t>
  </si>
  <si>
    <t>SDK*DLETQVIQLNEQVHSLK</t>
  </si>
  <si>
    <t>418</t>
  </si>
  <si>
    <t>http://www.phosphosite.org/proteinAction.do?id=12265&amp;showAllSites=true</t>
  </si>
  <si>
    <t>LSAK*PAPPKPEPKPK</t>
  </si>
  <si>
    <t>391</t>
  </si>
  <si>
    <t>GK*ADAGKDANNPAENGDAK</t>
  </si>
  <si>
    <t>392</t>
  </si>
  <si>
    <t>ADAGK*DANNPAENGDAK</t>
  </si>
  <si>
    <t>393</t>
  </si>
  <si>
    <t>ADAGK*DANNPAENGDAKTDQAQK</t>
  </si>
  <si>
    <t>394</t>
  </si>
  <si>
    <t>ADAGK*DANNPAENGDAKTDQAQKAEGAGDAK</t>
  </si>
  <si>
    <t>395</t>
  </si>
  <si>
    <t>GKADAGK*DANNPAENGDAK</t>
  </si>
  <si>
    <t>396</t>
  </si>
  <si>
    <t>Prr12</t>
  </si>
  <si>
    <t>PRR12</t>
  </si>
  <si>
    <t>proline rich 12</t>
  </si>
  <si>
    <t>Q69ZN8</t>
  </si>
  <si>
    <t>http://www.phosphosite.org/proteinAction.do?id=15928&amp;showAllSites=true</t>
  </si>
  <si>
    <t>LEPLK*PLK</t>
  </si>
  <si>
    <t>397</t>
  </si>
  <si>
    <t>Pura</t>
  </si>
  <si>
    <t>PURA</t>
  </si>
  <si>
    <t>transcriptional activator protein Pur-alpha</t>
  </si>
  <si>
    <t>P42669</t>
  </si>
  <si>
    <t>http://www.phosphosite.org/proteinAction.do?id=13141&amp;showAllSites=true</t>
  </si>
  <si>
    <t>FGHTFCK*YSEEM#K</t>
  </si>
  <si>
    <t>398</t>
  </si>
  <si>
    <t>FGHTFCK*YSEEMKK</t>
  </si>
  <si>
    <t>399</t>
  </si>
  <si>
    <t>Rad23a; Rad23a</t>
  </si>
  <si>
    <t>RAD23A; RAD23A iso2</t>
  </si>
  <si>
    <t>78; 78</t>
  </si>
  <si>
    <t>UV excision repair protein RAD23 homolog A</t>
  </si>
  <si>
    <t>P54726; NP_033036</t>
  </si>
  <si>
    <t>http://www.phosphosite.org/proteinAction.do?id=12045&amp;showAllSites=true</t>
  </si>
  <si>
    <t>40; 40</t>
  </si>
  <si>
    <t>NFVVVMVTK*AK</t>
  </si>
  <si>
    <t>400</t>
  </si>
  <si>
    <t>80; 80</t>
  </si>
  <si>
    <t>NFVVVMVTKAK*</t>
  </si>
  <si>
    <t>401</t>
  </si>
  <si>
    <t>Set</t>
  </si>
  <si>
    <t>SET</t>
  </si>
  <si>
    <t>protein SET isoform 2</t>
  </si>
  <si>
    <t>Q9EQU5</t>
  </si>
  <si>
    <t>http://www.phosphosite.org/proteinAction.do?id=5132&amp;showAllSites=true</t>
  </si>
  <si>
    <t>KPRPAAAPK*LEDK</t>
  </si>
  <si>
    <t>402</t>
  </si>
  <si>
    <t>Set; Set</t>
  </si>
  <si>
    <t>SET; SET iso2</t>
  </si>
  <si>
    <t>Q9EQU5; Q9EQU5-2</t>
  </si>
  <si>
    <t>33; 32</t>
  </si>
  <si>
    <t>LRQPFFQK*R</t>
  </si>
  <si>
    <t>403</t>
  </si>
  <si>
    <t>Spin1; Spin1</t>
  </si>
  <si>
    <t>SPIN1; SPIN1 iso2</t>
  </si>
  <si>
    <t>44; 22</t>
  </si>
  <si>
    <t>spindlin-1 isoform 1</t>
  </si>
  <si>
    <t>Q61142; Q3TQU2</t>
  </si>
  <si>
    <t>http://www.phosphosite.org/proteinAction.do?id=17419&amp;showAllSites=true</t>
  </si>
  <si>
    <t>30; 25</t>
  </si>
  <si>
    <t>TSVGPSK*PVSQPR</t>
  </si>
  <si>
    <t>404</t>
  </si>
  <si>
    <t>Terf1</t>
  </si>
  <si>
    <t>TRF1</t>
  </si>
  <si>
    <t>249, 255</t>
  </si>
  <si>
    <t>telomeric repeat-binding factor 1</t>
  </si>
  <si>
    <t>P70371</t>
  </si>
  <si>
    <t>http://www.phosphosite.org/proteinAction.do?id=1486&amp;showAllSites=true</t>
  </si>
  <si>
    <t>KGSK*K*AITK</t>
  </si>
  <si>
    <t>373</t>
  </si>
  <si>
    <t>KGSK*K*AITK*AQK</t>
  </si>
  <si>
    <t>374</t>
  </si>
  <si>
    <t>375</t>
  </si>
  <si>
    <t>K*AITK*AQK</t>
  </si>
  <si>
    <t>376</t>
  </si>
  <si>
    <t>K*AITK*AQK*K</t>
  </si>
  <si>
    <t>377</t>
  </si>
  <si>
    <t>Hmga1; Hmga1; Hmga1</t>
  </si>
  <si>
    <t>HMGA1; HMGA1 iso2; HMGA1 iso3</t>
  </si>
  <si>
    <t>high mobility group protein HMG-I/HMG-Y isoform a</t>
  </si>
  <si>
    <t>P17095; P17095-1; Q3TE85</t>
  </si>
  <si>
    <t>http://www.phosphosite.org/proteinAction.do?id=5179&amp;showAllSites=true</t>
  </si>
  <si>
    <t>12; 11; 11</t>
  </si>
  <si>
    <t>SSQPLASK*QEK</t>
  </si>
  <si>
    <t>378</t>
  </si>
  <si>
    <t>379</t>
  </si>
  <si>
    <t>380</t>
  </si>
  <si>
    <t>SSQPLASK*QEKDGTEKR</t>
  </si>
  <si>
    <t>381</t>
  </si>
  <si>
    <t>SSQPLASKQEK*DGTEKR</t>
  </si>
  <si>
    <t>382</t>
  </si>
  <si>
    <t>Hmgb1; Hmgb2; LOC637733</t>
  </si>
  <si>
    <t>HMG1L1; HMGB2; LOC637733</t>
  </si>
  <si>
    <t>high mobility group protein B1</t>
  </si>
  <si>
    <t>P63158; P30681; XP_918585</t>
  </si>
  <si>
    <t>http://www.phosphosite.org/proteinAction.do?id=6935&amp;showAllSites=true</t>
  </si>
  <si>
    <t>25; 24; 25</t>
  </si>
  <si>
    <t>LKEK*YEKDIAAYR</t>
  </si>
  <si>
    <t>383</t>
  </si>
  <si>
    <t>Hmgb1; LOC637733</t>
  </si>
  <si>
    <t>HMG1L1; LOC637733</t>
  </si>
  <si>
    <t>P63158; XP_918585</t>
  </si>
  <si>
    <t>25; 25</t>
  </si>
  <si>
    <t>EKGK*FEDM#AK</t>
  </si>
  <si>
    <t>384</t>
  </si>
  <si>
    <t>GK*FEDMAK</t>
  </si>
  <si>
    <t>385</t>
  </si>
  <si>
    <t>GK*FEDM#AK</t>
  </si>
  <si>
    <t>386</t>
  </si>
  <si>
    <t>Hmgb3</t>
  </si>
  <si>
    <t>HMGB3</t>
  </si>
  <si>
    <t>high mobility group protein B3</t>
  </si>
  <si>
    <t>O54879</t>
  </si>
  <si>
    <t>http://www.phosphosite.org/proteinAction.do?id=9556&amp;showAllSites=true</t>
  </si>
  <si>
    <t>GK*FDGAK</t>
  </si>
  <si>
    <t>387</t>
  </si>
  <si>
    <t>GK*FDGAKGPAK</t>
  </si>
  <si>
    <t>388</t>
  </si>
  <si>
    <t>SK*FDEM#AK</t>
  </si>
  <si>
    <t>389</t>
  </si>
  <si>
    <t>Hmgn1</t>
  </si>
  <si>
    <t>HMGN1</t>
  </si>
  <si>
    <t>non-histone chromosomal protein HMG-14</t>
  </si>
  <si>
    <t>P18608</t>
  </si>
  <si>
    <t>http://www.phosphosite.org/proteinAction.do?id=1303&amp;showAllSites=true</t>
  </si>
  <si>
    <t>VSADGAAK*AEPK</t>
  </si>
  <si>
    <t>390</t>
  </si>
  <si>
    <t>Hmgn2</t>
  </si>
  <si>
    <t>HMGN2</t>
  </si>
  <si>
    <t>non-histone chromosomal protein HMG-17</t>
  </si>
  <si>
    <t>P09602</t>
  </si>
  <si>
    <t>GGK*GLGK*GGAK*R</t>
  </si>
  <si>
    <t>340</t>
  </si>
  <si>
    <t>341</t>
  </si>
  <si>
    <t>342</t>
  </si>
  <si>
    <t>343</t>
  </si>
  <si>
    <t>344</t>
  </si>
  <si>
    <t>GKGGK*GLGK*GGAK*R</t>
  </si>
  <si>
    <t>345</t>
  </si>
  <si>
    <t>346</t>
  </si>
  <si>
    <t>347</t>
  </si>
  <si>
    <t>348</t>
  </si>
  <si>
    <t>GK*GLGK*GGAK*R</t>
  </si>
  <si>
    <t>349</t>
  </si>
  <si>
    <t>K*GLGK*GGAK*R</t>
  </si>
  <si>
    <t>350</t>
  </si>
  <si>
    <t>Hist2h2bb</t>
  </si>
  <si>
    <t>H2B1H</t>
  </si>
  <si>
    <t>histone H2B type 2-B</t>
  </si>
  <si>
    <t>Q64525</t>
  </si>
  <si>
    <t>http://www.phosphosite.org/proteinAction.do?id=8391&amp;showAllSites=true</t>
  </si>
  <si>
    <t>K*GSK*K*AVTK*VQK</t>
  </si>
  <si>
    <t>351</t>
  </si>
  <si>
    <t>352</t>
  </si>
  <si>
    <t>K*GSK*KAVTK*VQK</t>
  </si>
  <si>
    <t>353</t>
  </si>
  <si>
    <t>K*GSKK*AVTK*VQK</t>
  </si>
  <si>
    <t>354</t>
  </si>
  <si>
    <t>KGSK*K*AVTK*VQK</t>
  </si>
  <si>
    <t>355</t>
  </si>
  <si>
    <t>K*AVTK*VQK</t>
  </si>
  <si>
    <t>356</t>
  </si>
  <si>
    <t>K*AVTK*VQKK</t>
  </si>
  <si>
    <t>357</t>
  </si>
  <si>
    <t>K*AVTK*VQK*K</t>
  </si>
  <si>
    <t>358</t>
  </si>
  <si>
    <t>KAVTK*VQK</t>
  </si>
  <si>
    <t>359</t>
  </si>
  <si>
    <t>360</t>
  </si>
  <si>
    <t>361</t>
  </si>
  <si>
    <t>Hist2h2be</t>
  </si>
  <si>
    <t>H2B1L</t>
  </si>
  <si>
    <t>histone H2B type 2-E</t>
  </si>
  <si>
    <t>Q64524</t>
  </si>
  <si>
    <t>http://www.phosphosite.org/proteinAction.do?id=11535&amp;showAllSites=true</t>
  </si>
  <si>
    <t>AVTK*YTSAK</t>
  </si>
  <si>
    <t>362</t>
  </si>
  <si>
    <t>Hist3h2ba</t>
  </si>
  <si>
    <t>histone H2B type 3-A</t>
  </si>
  <si>
    <t>Q9D2U9</t>
  </si>
  <si>
    <t>http://www.phosphosite.org/proteinAction.do?id=5143208&amp;showAllSites=true</t>
  </si>
  <si>
    <t>STPAPK*K*GSK*K</t>
  </si>
  <si>
    <t>363</t>
  </si>
  <si>
    <t>STPAPK*K*GSK*K*AITK</t>
  </si>
  <si>
    <t>364</t>
  </si>
  <si>
    <t>365</t>
  </si>
  <si>
    <t>K*GSK*K*AITK</t>
  </si>
  <si>
    <t>366</t>
  </si>
  <si>
    <t>K*GSK*K*AITK*AQK</t>
  </si>
  <si>
    <t>368</t>
  </si>
  <si>
    <t>370</t>
  </si>
  <si>
    <t>371</t>
  </si>
  <si>
    <t>372</t>
  </si>
  <si>
    <t>PEPAK*SAPAPKK*GSK*</t>
  </si>
  <si>
    <t>310</t>
  </si>
  <si>
    <t>Hist1h2bh</t>
  </si>
  <si>
    <t>H2B2E</t>
  </si>
  <si>
    <t>histone H2B type 1-H</t>
  </si>
  <si>
    <t>Q64478</t>
  </si>
  <si>
    <t>http://www.phosphosite.org/proteinAction.do?id=22837&amp;showAllSites=true</t>
  </si>
  <si>
    <t>SAPAPK*K*GSK*K*ALTK</t>
  </si>
  <si>
    <t>311</t>
  </si>
  <si>
    <t>Hist1h2bm</t>
  </si>
  <si>
    <t>H2B1D</t>
  </si>
  <si>
    <t>histone H2B type 1-M</t>
  </si>
  <si>
    <t>P10854</t>
  </si>
  <si>
    <t>http://www.phosphosite.org/proteinAction.do?id=8425&amp;showAllSites=true</t>
  </si>
  <si>
    <t>PEPTK*SAPAPK</t>
  </si>
  <si>
    <t>312</t>
  </si>
  <si>
    <t>Hist1h4b; Hist1h4n</t>
  </si>
  <si>
    <t>H4; H4H4</t>
  </si>
  <si>
    <t>histone H4</t>
  </si>
  <si>
    <t>P62806; NP_783588</t>
  </si>
  <si>
    <t>http://www.phosphosite.org/proteinAction.do?id=1878&amp;showAllSites=true</t>
  </si>
  <si>
    <t>11; 11</t>
  </si>
  <si>
    <t>GK*GGAK*R</t>
  </si>
  <si>
    <t>313</t>
  </si>
  <si>
    <t>GLGK*GGAK*R</t>
  </si>
  <si>
    <t>314</t>
  </si>
  <si>
    <t>LGK*GGAK*R</t>
  </si>
  <si>
    <t>315</t>
  </si>
  <si>
    <t>DNIQGITK*PAIR</t>
  </si>
  <si>
    <t>316</t>
  </si>
  <si>
    <t>GK*GGKGLGK*GGAK*R</t>
  </si>
  <si>
    <t>318</t>
  </si>
  <si>
    <t>GK*GGK*GLGK</t>
  </si>
  <si>
    <t>319</t>
  </si>
  <si>
    <t>GK*GGK*GLGK*GGAK</t>
  </si>
  <si>
    <t>321</t>
  </si>
  <si>
    <t>322</t>
  </si>
  <si>
    <t>323</t>
  </si>
  <si>
    <t>GK*GGK*GLGK*GGAK*</t>
  </si>
  <si>
    <t>324</t>
  </si>
  <si>
    <t>GK*GGK*GLGK*GGAK*R</t>
  </si>
  <si>
    <t>325</t>
  </si>
  <si>
    <t>326</t>
  </si>
  <si>
    <t>327</t>
  </si>
  <si>
    <t>328</t>
  </si>
  <si>
    <t>329</t>
  </si>
  <si>
    <t>330</t>
  </si>
  <si>
    <t>331</t>
  </si>
  <si>
    <t>332</t>
  </si>
  <si>
    <t>DAVTYTEHAK*</t>
  </si>
  <si>
    <t>334</t>
  </si>
  <si>
    <t>DAVTYTEHAK*R</t>
  </si>
  <si>
    <t>335</t>
  </si>
  <si>
    <t>GGK*GLGK*GGAK</t>
  </si>
  <si>
    <t>336</t>
  </si>
  <si>
    <t>GGK*GLGK*GGAKR</t>
  </si>
  <si>
    <t>338</t>
  </si>
  <si>
    <t>GKGGK*GLGK*GGAK</t>
  </si>
  <si>
    <t>339</t>
  </si>
  <si>
    <t>K*AVTK*AQK*K</t>
  </si>
  <si>
    <t>Hist1h2bc; Hist1h2be; Hist1h2bh; Hist1h2bn</t>
  </si>
  <si>
    <t>H2B1C; H2B1K; H2B2E; H2B</t>
  </si>
  <si>
    <t>Q6ZWY9; NP_001171124; Q64478; P10853</t>
  </si>
  <si>
    <t>14; 14; 14; 14</t>
  </si>
  <si>
    <t>PEPAK*SAPAPK</t>
  </si>
  <si>
    <t>305</t>
  </si>
  <si>
    <t>PEPAK*SAPAPK*K*GSK</t>
  </si>
  <si>
    <t>306</t>
  </si>
  <si>
    <t>PEPAK*SAPAPK*K*GSK*K</t>
  </si>
  <si>
    <t>307</t>
  </si>
  <si>
    <t>308</t>
  </si>
  <si>
    <t>PEPAK*SAPAPK*K*GSKK*</t>
  </si>
  <si>
    <t>309</t>
  </si>
  <si>
    <t>K*GSK*K*AVTK*AQK</t>
  </si>
  <si>
    <t>297</t>
  </si>
  <si>
    <t>298</t>
  </si>
  <si>
    <t>K*GSK*KAVTK*AQK</t>
  </si>
  <si>
    <t>299</t>
  </si>
  <si>
    <t>KGSK*K*AVTK*AQK</t>
  </si>
  <si>
    <t>300</t>
  </si>
  <si>
    <t>301</t>
  </si>
  <si>
    <t>K*AVTK*AQK</t>
  </si>
  <si>
    <t>302</t>
  </si>
  <si>
    <t>K*AVTK*AQKK</t>
  </si>
  <si>
    <t>303</t>
  </si>
  <si>
    <t>http://www.phosphosite.org/proteinAction.do?id=8393&amp;showAllSites=true</t>
  </si>
  <si>
    <t>14; 14; 14; 14; 14; 14; 14</t>
  </si>
  <si>
    <t>SAPAPK*K*GSK*K*AVTK</t>
  </si>
  <si>
    <t>293</t>
  </si>
  <si>
    <t>Hist1h2bc; Hist1h2be; Hist1h2bm; Hist1h2bn; Hist1h2bp; Hist1h2bp; Hist2h2bb; Hist2h2be; Hist3h2bb-ps</t>
  </si>
  <si>
    <t>H2B1C; H2B1K; H2B1D; H2B; Hist1h2bp; Hist1h2bp iso3; H2B1H; H2B1L; HIST3H2BB</t>
  </si>
  <si>
    <t>Q6ZWY9; NP_001171124; P10854; P10853; Q8CGP2; Q8C622; Q64525; Q64524; Q8CGP0</t>
  </si>
  <si>
    <t>14; 14; 14; 14; 14; 16; 14; 14; 14</t>
  </si>
  <si>
    <t>K*GSK*K*AVTK</t>
  </si>
  <si>
    <t>294</t>
  </si>
  <si>
    <t>295</t>
  </si>
  <si>
    <t>Hist1h2bc; Hist1h2be; Hist1h2bm; Hist1h2bn; Hist1h2bp; Hist2h2be; Hist3h2bb-ps</t>
  </si>
  <si>
    <t>H2B1C; H2B1K; H2B1D; H2B; Hist1h2bp; H2B1L; HIST3H2BB</t>
  </si>
  <si>
    <t>Q6ZWY9; NP_001171124; P10854; P10853; Q8CGP2; Q64524; Q8CGP0</t>
  </si>
  <si>
    <t>SAPAPK*K*GSK*K</t>
  </si>
  <si>
    <t>280</t>
  </si>
  <si>
    <t>281</t>
  </si>
  <si>
    <t>282</t>
  </si>
  <si>
    <t>Hist1h2bb</t>
  </si>
  <si>
    <t>H2B1N</t>
  </si>
  <si>
    <t>Q64475</t>
  </si>
  <si>
    <t>SAPAPK*K*GSK*K*AISK</t>
  </si>
  <si>
    <t>283</t>
  </si>
  <si>
    <t>284</t>
  </si>
  <si>
    <t>K*GSK*K*AISK</t>
  </si>
  <si>
    <t>285</t>
  </si>
  <si>
    <t>286</t>
  </si>
  <si>
    <t>K*GSK*K*AISK*AQK</t>
  </si>
  <si>
    <t>287</t>
  </si>
  <si>
    <t>288</t>
  </si>
  <si>
    <t>K*AISK*AQK</t>
  </si>
  <si>
    <t>K*AISK*AQKK</t>
  </si>
  <si>
    <t>290</t>
  </si>
  <si>
    <t>Hist1h2bb; Hist1h2bc; Hist1h2be; Hist1h2bh; Hist1h2bm; Hist1h2bn; Hist1h2bp; Hist1h2bp; Hist2h2bb</t>
  </si>
  <si>
    <t>H2B1N; H2B1C; H2B1K; H2B2E; H2B1D; H2B; Hist1h2bp; Hist1h2bp iso3; H2B1H</t>
  </si>
  <si>
    <t>Q64475; Q6ZWY9; NP_001171124; Q64478; P10854; P10853; Q8CGP2; Q8C622; Q64525</t>
  </si>
  <si>
    <t>14; 14; 14; 14; 14; 14; 14; 16; 14</t>
  </si>
  <si>
    <t>K*ESYSVYVYK</t>
  </si>
  <si>
    <t>291</t>
  </si>
  <si>
    <t>Hist1h2bc; Hist1h2be; Hist1h2bm; Hist1h2bn; Hist2h2bb; Hist2h2be; Hist3h2bb-ps</t>
  </si>
  <si>
    <t>H2B1C; H2B1K; H2B1D; H2B; H2B1H; H2B1L; HIST3H2BB</t>
  </si>
  <si>
    <t>histone H2B type 1-C/E/G</t>
  </si>
  <si>
    <t>Q6ZWY9; NP_001171124; P10854; P10853; Q64525; Q64524; Q8CGP0</t>
  </si>
  <si>
    <t>Hist1h2ba; Hist1h2bb; Hist1h2bc; Hist1h2be; Hist1h2bh; Hist1h2bm; Hist1h2bn; Hist1h2bp; Hist2h2bb; Hist3h2ba; Hist3h2bb-ps</t>
  </si>
  <si>
    <t>H2B1A; H2B1N; H2B1C; H2B1K; H2B2E; H2B1D; H2B; Hist1h2bp; H2B1H; Hist3h2ba; HIST3H2BB</t>
  </si>
  <si>
    <t>P70696; Q64475; Q6ZWY9; NP_001171124; Q64478; P10854; P10853; Q8CGP2; Q64525; Q9D2U9; Q8CGP0</t>
  </si>
  <si>
    <t>14; 14; 14; 14; 14; 14; 14; 14; 14; 14; 14</t>
  </si>
  <si>
    <t>AVTK*YTSSK</t>
  </si>
  <si>
    <t>278</t>
  </si>
  <si>
    <t>Hist1h2bb; Hist1h2bc; Hist1h2be; Hist1h2bh; Hist1h2bm; Hist1h2bn; Hist2h2bb; Hist2h2be; Hist3h2bb-ps</t>
  </si>
  <si>
    <t>H2B1N; H2B1C; H2B1K; H2B2E; H2B1D; H2B; H2B1H; H2B1L; HIST3H2BB</t>
  </si>
  <si>
    <t>histone H2B type 1-B</t>
  </si>
  <si>
    <t>Q64475; Q6ZWY9; NP_001171124; Q64478; P10854; P10853; Q64525; Q64524; Q8CGP0</t>
  </si>
  <si>
    <t>http://www.phosphosite.org/proteinAction.do?id=8395&amp;showAllSites=true</t>
  </si>
  <si>
    <t>14; 14; 14; 14; 14; 14; 14; 14; 14</t>
  </si>
  <si>
    <t>SAPAPK*K*GSK</t>
  </si>
  <si>
    <t>279</t>
  </si>
  <si>
    <t>Hist1h1b; Hist1h1d; Hist1h1e</t>
  </si>
  <si>
    <t>H1B; H1D; H1E</t>
  </si>
  <si>
    <t>histone H1.5</t>
  </si>
  <si>
    <t>P43276; P43277; P43274</t>
  </si>
  <si>
    <t>http://www.phosphosite.org/proteinAction.do?id=8660&amp;showAllSites=true</t>
  </si>
  <si>
    <t>23; 22; 22</t>
  </si>
  <si>
    <t>SLVSK*GTLVQTK</t>
  </si>
  <si>
    <t>273</t>
  </si>
  <si>
    <t>Hist1h1c</t>
  </si>
  <si>
    <t>H1C</t>
  </si>
  <si>
    <t>175, 176, 178</t>
  </si>
  <si>
    <t>histone H1.2</t>
  </si>
  <si>
    <t>P15864</t>
  </si>
  <si>
    <t>http://www.phosphosite.org/proteinAction.do?id=5384&amp;showAllSites=true</t>
  </si>
  <si>
    <t>SPK*K*AK*VTK</t>
  </si>
  <si>
    <t>274</t>
  </si>
  <si>
    <t>Hist1h1c; Hist1h1d; Hist1h1e; Hist1h1t</t>
  </si>
  <si>
    <t>H1C; H1D; H1E; H1T</t>
  </si>
  <si>
    <t>75; 76; 75; 77</t>
  </si>
  <si>
    <t>P15864; P43277; P43274; Q07133</t>
  </si>
  <si>
    <t>21; 22; 22; 22</t>
  </si>
  <si>
    <t>ALAAAGYDVEK*NNSR</t>
  </si>
  <si>
    <t>275</t>
  </si>
  <si>
    <t>Hist1h2ba; Hist1h2bb; Hist1h2bc; Hist1h2be; Hist1h2bh; Hist1h2bm; Hist1h2bn; Hist1h2bp; Hist2h2bb; Hist2h2be; Hist3h2ba; Hist3h2bb-ps</t>
  </si>
  <si>
    <t>H2B1A; H2B1N; H2B1C; H2B1K; H2B2E; H2B1D; H2B; Hist1h2bp; H2B1H; H2B1L; Hist3h2ba; HIST3H2BB</t>
  </si>
  <si>
    <t>histone H2B type 1-A</t>
  </si>
  <si>
    <t>P70696; Q64475; Q6ZWY9; NP_001171124; Q64478; P10854; P10853; Q8CGP2; Q64525; Q64524; Q9D2U9; Q8CGP0</t>
  </si>
  <si>
    <t>http://www.phosphosite.org/proteinAction.do?id=15481&amp;showAllSites=true</t>
  </si>
  <si>
    <t>14; 14; 14; 14; 14; 14; 14; 14; 14; 14; 14; 14</t>
  </si>
  <si>
    <t>LLLPGELAK*HAVSEGTK</t>
  </si>
  <si>
    <t>276</t>
  </si>
  <si>
    <t>HAVSEGTK*AVTK</t>
  </si>
  <si>
    <t>277</t>
  </si>
  <si>
    <t>VNASK*TVDKK</t>
  </si>
  <si>
    <t>255</t>
  </si>
  <si>
    <t>C77370</t>
  </si>
  <si>
    <t>KIAA2022</t>
  </si>
  <si>
    <t>1444, 1450</t>
  </si>
  <si>
    <t>hypothetical protein LOC245555</t>
  </si>
  <si>
    <t>Q5DTT1</t>
  </si>
  <si>
    <t>http://www.phosphosite.org/proteinAction.do?id=10451&amp;showAllSites=true</t>
  </si>
  <si>
    <t>YSNVNTLGNNGPTHK*KLYRHK*</t>
  </si>
  <si>
    <t>Cbx3</t>
  </si>
  <si>
    <t>CBX3</t>
  </si>
  <si>
    <t>chromobox protein homolog 3</t>
  </si>
  <si>
    <t>P23198</t>
  </si>
  <si>
    <t>http://www.phosphosite.org/proteinAction.do?id=8646&amp;showAllSites=true</t>
  </si>
  <si>
    <t>VVNGK*VEYFLK</t>
  </si>
  <si>
    <t>257</t>
  </si>
  <si>
    <t>H2afv; H2afz</t>
  </si>
  <si>
    <t>H2AFV; H2AZ</t>
  </si>
  <si>
    <t>histone H2A.V</t>
  </si>
  <si>
    <t>Q3THW5; P0C0S6</t>
  </si>
  <si>
    <t>http://www.phosphosite.org/proteinAction.do?id=9917204&amp;showAllSites=true</t>
  </si>
  <si>
    <t>14; 14</t>
  </si>
  <si>
    <t>AGGK*AGK*DSGK</t>
  </si>
  <si>
    <t>258</t>
  </si>
  <si>
    <t>AGGK*AGK*DSGK*AK</t>
  </si>
  <si>
    <t>259</t>
  </si>
  <si>
    <t>260</t>
  </si>
  <si>
    <t>H2afv</t>
  </si>
  <si>
    <t>H2AFV</t>
  </si>
  <si>
    <t>Q3THW5</t>
  </si>
  <si>
    <t>AGGK*AGK*DSGK*AK*AK</t>
  </si>
  <si>
    <t>261</t>
  </si>
  <si>
    <t>262</t>
  </si>
  <si>
    <t>AGK*DSGK*AK</t>
  </si>
  <si>
    <t>AGK*DSGK*AK*AK</t>
  </si>
  <si>
    <t>264</t>
  </si>
  <si>
    <t>H2afy2</t>
  </si>
  <si>
    <t>H2AFY2</t>
  </si>
  <si>
    <t>core histone macro-H2A.2</t>
  </si>
  <si>
    <t>Q8CCK0</t>
  </si>
  <si>
    <t>http://www.phosphosite.org/proteinAction.do?id=17985&amp;showAllSites=true</t>
  </si>
  <si>
    <t>AK*DSDKEGTSNSTSEDGPGDGFTILSSK</t>
  </si>
  <si>
    <t>265</t>
  </si>
  <si>
    <t>AKDSDK*EGTSNSTSEDGPGDGFTILSSK</t>
  </si>
  <si>
    <t>267</t>
  </si>
  <si>
    <t>268</t>
  </si>
  <si>
    <t>DSDK*EGTSNSTSEDGPGDGFTILSSK</t>
  </si>
  <si>
    <t>269</t>
  </si>
  <si>
    <t>H2afz</t>
  </si>
  <si>
    <t>H2AZ</t>
  </si>
  <si>
    <t>histone H2A.Z</t>
  </si>
  <si>
    <t>P0C0S6</t>
  </si>
  <si>
    <t>http://www.phosphosite.org/proteinAction.do?id=12274&amp;showAllSites=true</t>
  </si>
  <si>
    <t>AGGK*AGK*DSGK*AK*TK</t>
  </si>
  <si>
    <t>AGK*DSGK*AK*TK</t>
  </si>
  <si>
    <t>272</t>
  </si>
  <si>
    <t>85; 83</t>
  </si>
  <si>
    <t>EK*YIDQEELNK</t>
  </si>
  <si>
    <t>Hspa8</t>
  </si>
  <si>
    <t>HSC70</t>
  </si>
  <si>
    <t>heat shock cognate 71 kDa protein</t>
  </si>
  <si>
    <t>P08109</t>
  </si>
  <si>
    <t>http://www.phosphosite.org/proteinAction.do?id=4250&amp;showAllSites=true</t>
  </si>
  <si>
    <t>VQVEYK*GETK</t>
  </si>
  <si>
    <t>237</t>
  </si>
  <si>
    <t>SK*GPAVGIDLGTTYSCVGVFQHGK</t>
  </si>
  <si>
    <t>238</t>
  </si>
  <si>
    <t>239</t>
  </si>
  <si>
    <t>ELEK*VCNPIITK</t>
  </si>
  <si>
    <t>240</t>
  </si>
  <si>
    <t>Hspa9</t>
  </si>
  <si>
    <t>HSPA9B</t>
  </si>
  <si>
    <t>stress-70 protein, mitochondrial</t>
  </si>
  <si>
    <t>P38647</t>
  </si>
  <si>
    <t>http://www.phosphosite.org/proteinAction.do?id=9558&amp;showAllSites=true</t>
  </si>
  <si>
    <t>ETGVDLTK*DNMALQR</t>
  </si>
  <si>
    <t>241</t>
  </si>
  <si>
    <t>ETGVDLTK*DNM#ALQR</t>
  </si>
  <si>
    <t>242</t>
  </si>
  <si>
    <t>NAEK*YAEEDRR</t>
  </si>
  <si>
    <t>243</t>
  </si>
  <si>
    <t>244</t>
  </si>
  <si>
    <t>Hspd1</t>
  </si>
  <si>
    <t>HSP60</t>
  </si>
  <si>
    <t>60 kDa heat shock protein, mitochondrial</t>
  </si>
  <si>
    <t>P19226</t>
  </si>
  <si>
    <t>http://www.phosphosite.org/proteinAction.do?id=4249&amp;showAllSites=true</t>
  </si>
  <si>
    <t>SIAK*EGFEK</t>
  </si>
  <si>
    <t>245</t>
  </si>
  <si>
    <t>EGFEK*ISK</t>
  </si>
  <si>
    <t>246</t>
  </si>
  <si>
    <t>VGEVIVTK*DDAM#LLK</t>
  </si>
  <si>
    <t>247</t>
  </si>
  <si>
    <t>369</t>
  </si>
  <si>
    <t>AHIEK*R</t>
  </si>
  <si>
    <t>248</t>
  </si>
  <si>
    <t>IQEITEQLDITTSEYEKEK*LNER</t>
  </si>
  <si>
    <t>249</t>
  </si>
  <si>
    <t>250</t>
  </si>
  <si>
    <t>CIPALDSLK*PANEDQK</t>
  </si>
  <si>
    <t>IGIEIIK*R</t>
  </si>
  <si>
    <t>252</t>
  </si>
  <si>
    <t>Ptges3</t>
  </si>
  <si>
    <t>TEBP</t>
  </si>
  <si>
    <t>prostaglandin E synthase 3</t>
  </si>
  <si>
    <t>Q9R0Q7</t>
  </si>
  <si>
    <t>http://www.phosphosite.org/proteinAction.do?id=4822&amp;showAllSites=true</t>
  </si>
  <si>
    <t>DVNVNFEK*SK</t>
  </si>
  <si>
    <t>253</t>
  </si>
  <si>
    <t>Stip1</t>
  </si>
  <si>
    <t>STI1</t>
  </si>
  <si>
    <t>stress-induced-phosphoprotein 1</t>
  </si>
  <si>
    <t>Q60864</t>
  </si>
  <si>
    <t>http://www.phosphosite.org/proteinAction.do?id=2730&amp;showAllSites=true</t>
  </si>
  <si>
    <t>IGNSYFK*EEK</t>
  </si>
  <si>
    <t>Chromatin, DNA-binding, DNA repair or DNA replication protein</t>
  </si>
  <si>
    <t>254</t>
  </si>
  <si>
    <t>Adnp</t>
  </si>
  <si>
    <t>ADNP</t>
  </si>
  <si>
    <t>859</t>
  </si>
  <si>
    <t>activity-dependent neuroprotector homeobox protein</t>
  </si>
  <si>
    <t>Q9Z103</t>
  </si>
  <si>
    <t>http://www.phosphosite.org/proteinAction.do?id=9197&amp;showAllSites=true</t>
  </si>
  <si>
    <t>RPGSTSVGDKGSGK*R</t>
  </si>
  <si>
    <t>217</t>
  </si>
  <si>
    <t>Psmb3</t>
  </si>
  <si>
    <t>PSMB3</t>
  </si>
  <si>
    <t>proteasome subunit beta type-3</t>
  </si>
  <si>
    <t>Q9R1P1</t>
  </si>
  <si>
    <t>http://www.phosphosite.org/proteinAction.do?id=12596&amp;showAllSites=true</t>
  </si>
  <si>
    <t>LNLYELK*EGR</t>
  </si>
  <si>
    <t>218</t>
  </si>
  <si>
    <t>Ptms</t>
  </si>
  <si>
    <t>PTMS</t>
  </si>
  <si>
    <t>parathymosin</t>
  </si>
  <si>
    <t>Q66JR8</t>
  </si>
  <si>
    <t>http://www.phosphosite.org/proteinAction.do?id=11269&amp;showAllSites=true</t>
  </si>
  <si>
    <t>SVEAAAELSAK*DLK</t>
  </si>
  <si>
    <t>219</t>
  </si>
  <si>
    <t>220</t>
  </si>
  <si>
    <t>221</t>
  </si>
  <si>
    <t>222</t>
  </si>
  <si>
    <t>SVEAAAELSAKDLK*</t>
  </si>
  <si>
    <t>Smc3</t>
  </si>
  <si>
    <t>SMC3</t>
  </si>
  <si>
    <t>structural maintenance of chromosomes protein 3</t>
  </si>
  <si>
    <t>Q9CW03</t>
  </si>
  <si>
    <t>http://www.phosphosite.org/proteinAction.do?id=8840&amp;showAllSites=true</t>
  </si>
  <si>
    <t>RVIGAK*K*DQY</t>
  </si>
  <si>
    <t>224</t>
  </si>
  <si>
    <t>RVIGAK*K*DQYFLDKK</t>
  </si>
  <si>
    <t>225</t>
  </si>
  <si>
    <t>226</t>
  </si>
  <si>
    <t>VIGAK*K*DQY</t>
  </si>
  <si>
    <t>227</t>
  </si>
  <si>
    <t>VIGAK*K*DQYFLDKK</t>
  </si>
  <si>
    <t>228</t>
  </si>
  <si>
    <t>229</t>
  </si>
  <si>
    <t>Cell development/differentiation</t>
  </si>
  <si>
    <t>230</t>
  </si>
  <si>
    <t>Brd1</t>
  </si>
  <si>
    <t>BRD1</t>
  </si>
  <si>
    <t>bromodomain containing 1</t>
  </si>
  <si>
    <t>Q571F6</t>
  </si>
  <si>
    <t>http://www.phosphosite.org/proteinAction.do?id=9388&amp;showAllSites=true</t>
  </si>
  <si>
    <t>ENDEEMKAAK*EK</t>
  </si>
  <si>
    <t>232</t>
  </si>
  <si>
    <t>LK*YWQR</t>
  </si>
  <si>
    <t>233</t>
  </si>
  <si>
    <t>Mllt3</t>
  </si>
  <si>
    <t>MLLT3</t>
  </si>
  <si>
    <t>134, 137</t>
  </si>
  <si>
    <t>protein AF-9 isoform 1</t>
  </si>
  <si>
    <t>A2AM29</t>
  </si>
  <si>
    <t>http://www.phosphosite.org/proteinAction.do?id=16140&amp;showAllSites=true</t>
  </si>
  <si>
    <t>K*LLK*AGGDPNRSIHTSSSSSSSSSSSSSSSSSSSSSSS</t>
  </si>
  <si>
    <t>234</t>
  </si>
  <si>
    <t>Rufy3; Rufy3; Rufy3; Rufy3</t>
  </si>
  <si>
    <t>RUFY3; RUFY3 iso1; RUFY3 iso3; RUFY3 iso4</t>
  </si>
  <si>
    <t>455; 405; 423; 455</t>
  </si>
  <si>
    <t>protein RUFY3</t>
  </si>
  <si>
    <t>Q9D394-2; Q9D394; Q9D394-3; Q9D394-4</t>
  </si>
  <si>
    <t>http://www.phosphosite.org/proteinAction.do?id=17406&amp;showAllSites=true</t>
  </si>
  <si>
    <t>74; 53; 55; 57</t>
  </si>
  <si>
    <t>ALK*HELAFK</t>
  </si>
  <si>
    <t>Chaperone</t>
  </si>
  <si>
    <t>235</t>
  </si>
  <si>
    <t>Hsp90aa1; Hsp90ab1</t>
  </si>
  <si>
    <t>HSP90A; HSP90B</t>
  </si>
  <si>
    <t>heat shock protein HSP 90-alpha</t>
  </si>
  <si>
    <t>P07901; P11499</t>
  </si>
  <si>
    <t>http://www.phosphosite.org/proteinAction.do?id=2030&amp;showAllSites=true</t>
  </si>
  <si>
    <t>Arid2</t>
  </si>
  <si>
    <t>ARID2</t>
  </si>
  <si>
    <t>1402</t>
  </si>
  <si>
    <t>AT rich interactive domain 2 (ARID, RFX-like)</t>
  </si>
  <si>
    <t>Q69ZG5</t>
  </si>
  <si>
    <t>http://www.phosphosite.org/proteinAction.do?id=22280&amp;showAllSites=true</t>
  </si>
  <si>
    <t>QDTAK*GDQLER</t>
  </si>
  <si>
    <t>204</t>
  </si>
  <si>
    <t>Zfp366</t>
  </si>
  <si>
    <t>ZNF366</t>
  </si>
  <si>
    <t>447</t>
  </si>
  <si>
    <t>zinc finger protein 366</t>
  </si>
  <si>
    <t>NP_001004149</t>
  </si>
  <si>
    <t>http://www.phosphosite.org/proteinAction.do?id=3749688&amp;showAllSites=true</t>
  </si>
  <si>
    <t>KGVKEHK*</t>
  </si>
  <si>
    <t>Calcium-binding protein</t>
  </si>
  <si>
    <t>205</t>
  </si>
  <si>
    <t>Calm1; Calm2; Calm3</t>
  </si>
  <si>
    <t>calmodulin; CALM2; CALM3</t>
  </si>
  <si>
    <t>calmodulin</t>
  </si>
  <si>
    <t>P62204; NP_031615; NP_031616</t>
  </si>
  <si>
    <t>http://www.phosphosite.org/proteinAction.do?id=2070&amp;showAllSites=true</t>
  </si>
  <si>
    <t>17; 17; 17</t>
  </si>
  <si>
    <t>DK*DGDGTITTK</t>
  </si>
  <si>
    <t>EAFSLFDK*DGDGTITTK</t>
  </si>
  <si>
    <t>207</t>
  </si>
  <si>
    <t>208</t>
  </si>
  <si>
    <t>VFDK*DGNGYISAAELR</t>
  </si>
  <si>
    <t>209</t>
  </si>
  <si>
    <t>Cell cycle regulation</t>
  </si>
  <si>
    <t>210</t>
  </si>
  <si>
    <t>Bub3</t>
  </si>
  <si>
    <t>mitotic checkpoint protein BUB3</t>
  </si>
  <si>
    <t>Q9WVA3</t>
  </si>
  <si>
    <t>http://www.phosphosite.org/proteinAction.do?id=6058&amp;showAllSites=true</t>
  </si>
  <si>
    <t>ESSLK*YQTR</t>
  </si>
  <si>
    <t>211</t>
  </si>
  <si>
    <t>Cul3</t>
  </si>
  <si>
    <t>CUL3</t>
  </si>
  <si>
    <t>cullin-3</t>
  </si>
  <si>
    <t>Q9JLV5</t>
  </si>
  <si>
    <t>http://www.phosphosite.org/proteinAction.do?id=4488&amp;showAllSites=true</t>
  </si>
  <si>
    <t>HLINK*VR</t>
  </si>
  <si>
    <t>212</t>
  </si>
  <si>
    <t>Fabp7</t>
  </si>
  <si>
    <t>FABP7</t>
  </si>
  <si>
    <t>fatty acid-binding protein, brain</t>
  </si>
  <si>
    <t>P51880</t>
  </si>
  <si>
    <t>http://www.phosphosite.org/proteinAction.do?id=14622&amp;showAllSites=true</t>
  </si>
  <si>
    <t>WDGK*ETNCTR</t>
  </si>
  <si>
    <t>213</t>
  </si>
  <si>
    <t>214</t>
  </si>
  <si>
    <t>QVGNVTK*PTVIISQEGGK</t>
  </si>
  <si>
    <t>215</t>
  </si>
  <si>
    <t>Nasp</t>
  </si>
  <si>
    <t>NASP</t>
  </si>
  <si>
    <t>251</t>
  </si>
  <si>
    <t>nuclear autoantigenic sperm protein isoform 1</t>
  </si>
  <si>
    <t>B1AU75</t>
  </si>
  <si>
    <t>http://www.phosphosite.org/proteinAction.do?id=10996&amp;showAllSites=true</t>
  </si>
  <si>
    <t>SISGAYVQNK*EFR</t>
  </si>
  <si>
    <t>216</t>
  </si>
  <si>
    <t>Nde1</t>
  </si>
  <si>
    <t>NUDE1</t>
  </si>
  <si>
    <t>nuclear distribution protein nudE homolog 1 isoform b</t>
  </si>
  <si>
    <t>Q9CZA6</t>
  </si>
  <si>
    <t>http://www.phosphosite.org/proteinAction.do?id=16584&amp;showAllSites=true</t>
  </si>
  <si>
    <t>184</t>
  </si>
  <si>
    <t>185</t>
  </si>
  <si>
    <t>186</t>
  </si>
  <si>
    <t>Tubb3</t>
  </si>
  <si>
    <t>TUBB3</t>
  </si>
  <si>
    <t>tubulin beta-3 chain</t>
  </si>
  <si>
    <t>Q9ERD7</t>
  </si>
  <si>
    <t>http://www.phosphosite.org/proteinAction.do?id=4852&amp;showAllSites=true</t>
  </si>
  <si>
    <t>ISVYYNEASSHK*YVPR</t>
  </si>
  <si>
    <t>187</t>
  </si>
  <si>
    <t>188</t>
  </si>
  <si>
    <t>189</t>
  </si>
  <si>
    <t>Tubb5</t>
  </si>
  <si>
    <t>TUBB</t>
  </si>
  <si>
    <t>tubulin beta-5 chain</t>
  </si>
  <si>
    <t>P99024</t>
  </si>
  <si>
    <t>http://www.phosphosite.org/proteinAction.do?id=2786&amp;showAllSites=true</t>
  </si>
  <si>
    <t>ISVYYNEATGGK*YVPR</t>
  </si>
  <si>
    <t>190</t>
  </si>
  <si>
    <t>191</t>
  </si>
  <si>
    <t>Vcan</t>
  </si>
  <si>
    <t>CSPG2</t>
  </si>
  <si>
    <t>versican core protein isoform 1</t>
  </si>
  <si>
    <t>Q62059</t>
  </si>
  <si>
    <t>http://www.phosphosite.org/proteinAction.do?id=14097&amp;showAllSites=true</t>
  </si>
  <si>
    <t>367</t>
  </si>
  <si>
    <t>DASLTMVK*LR</t>
  </si>
  <si>
    <t>Vegfa</t>
  </si>
  <si>
    <t>VEGF</t>
  </si>
  <si>
    <t>vascular endothelial growth factor A isoform 1 precursor</t>
  </si>
  <si>
    <t>Q00731</t>
  </si>
  <si>
    <t>http://www.phosphosite.org/proteinAction.do?id=10609&amp;showAllSites=true</t>
  </si>
  <si>
    <t>GK*GK*GQK*R</t>
  </si>
  <si>
    <t>193</t>
  </si>
  <si>
    <t>Zp3</t>
  </si>
  <si>
    <t>ZP3</t>
  </si>
  <si>
    <t>zona pellucida sperm-binding protein 3</t>
  </si>
  <si>
    <t>P10761</t>
  </si>
  <si>
    <t>http://www.phosphosite.org/proteinAction.do?id=15250804&amp;showAllSites=true</t>
  </si>
  <si>
    <t>VVTVSRDLFGTGK*</t>
  </si>
  <si>
    <t>Apoptosis</t>
  </si>
  <si>
    <t>194</t>
  </si>
  <si>
    <t>Ep400</t>
  </si>
  <si>
    <t>p400</t>
  </si>
  <si>
    <t>3068</t>
  </si>
  <si>
    <t>E1A-binding protein p400 isoform 1</t>
  </si>
  <si>
    <t>Q8CHI8</t>
  </si>
  <si>
    <t>http://www.phosphosite.org/proteinAction.do?id=9696&amp;showAllSites=true</t>
  </si>
  <si>
    <t>337</t>
  </si>
  <si>
    <t>LKTPTK*PPCQ</t>
  </si>
  <si>
    <t>195</t>
  </si>
  <si>
    <t>196</t>
  </si>
  <si>
    <t>TPTK*PPCQ</t>
  </si>
  <si>
    <t>197</t>
  </si>
  <si>
    <t>198</t>
  </si>
  <si>
    <t>Gpi1</t>
  </si>
  <si>
    <t>G6PI</t>
  </si>
  <si>
    <t>glucose-6-phosphate isomerase</t>
  </si>
  <si>
    <t>P06745</t>
  </si>
  <si>
    <t>http://www.phosphosite.org/proteinAction.do?id=7319&amp;showAllSites=true</t>
  </si>
  <si>
    <t>SGDWK*GYTGK</t>
  </si>
  <si>
    <t>199</t>
  </si>
  <si>
    <t>Ldha</t>
  </si>
  <si>
    <t>LDH-A</t>
  </si>
  <si>
    <t>L-lactate dehydrogenase A chain isoform 2</t>
  </si>
  <si>
    <t>P06151</t>
  </si>
  <si>
    <t>http://www.phosphosite.org/proteinAction.do?id=4238&amp;showAllSites=true</t>
  </si>
  <si>
    <t>IVK*YSPHCK</t>
  </si>
  <si>
    <t>200</t>
  </si>
  <si>
    <t>MEDK*LK</t>
  </si>
  <si>
    <t>201</t>
  </si>
  <si>
    <t>IVSSK*DYCVTANSK</t>
  </si>
  <si>
    <t>202</t>
  </si>
  <si>
    <t>C2H2-type zinc finger protein</t>
  </si>
  <si>
    <t>203</t>
  </si>
  <si>
    <t>164</t>
  </si>
  <si>
    <t>ADK*PDMGEIASFDKAK</t>
  </si>
  <si>
    <t>165</t>
  </si>
  <si>
    <t>ADK*PDM#GEIASFDK*AK</t>
  </si>
  <si>
    <t>166</t>
  </si>
  <si>
    <t>Tmsb4x</t>
  </si>
  <si>
    <t>TMSB4X</t>
  </si>
  <si>
    <t>thymosin beta-4</t>
  </si>
  <si>
    <t>P20065</t>
  </si>
  <si>
    <t>http://www.phosphosite.org/proteinAction.do?id=7745&amp;showAllSites=true</t>
  </si>
  <si>
    <t>SDK*PDMAEIEK</t>
  </si>
  <si>
    <t>167</t>
  </si>
  <si>
    <t>SDK*PDMAEIEKFDK</t>
  </si>
  <si>
    <t>168</t>
  </si>
  <si>
    <t>SDK*PDMAEIEKFDK*SK</t>
  </si>
  <si>
    <t>169</t>
  </si>
  <si>
    <t>SDK*PDMAEIEKFDKSK*</t>
  </si>
  <si>
    <t>Tuba1a; Tuba1b; Tuba1c</t>
  </si>
  <si>
    <t>TUBA1A; TUBA1B; TUBA1C</t>
  </si>
  <si>
    <t>tubulin alpha-1A chain</t>
  </si>
  <si>
    <t>P68369; P05213; P68373</t>
  </si>
  <si>
    <t>http://www.phosphosite.org/proteinAction.do?id=2788&amp;showAllSites=true</t>
  </si>
  <si>
    <t>50; 50; 50</t>
  </si>
  <si>
    <t>GHYTIGK*EIIDLVLDR</t>
  </si>
  <si>
    <t>171</t>
  </si>
  <si>
    <t>Tuba1a; Tuba1b; Tuba1c; Tuba3a; Tuba3b</t>
  </si>
  <si>
    <t>TUBA1A; TUBA1B; TUBA1C; TUBA3D; TUBA3E</t>
  </si>
  <si>
    <t>P68369; P05213; P68373; P05214; NP_033475</t>
  </si>
  <si>
    <t>GDVVPK*DVNAAIATIK</t>
  </si>
  <si>
    <t>172</t>
  </si>
  <si>
    <t>173</t>
  </si>
  <si>
    <t>174</t>
  </si>
  <si>
    <t>CLEHGIQPDGQM#PSDK*TIGGGDDSFNTFFSETGAGK</t>
  </si>
  <si>
    <t>175</t>
  </si>
  <si>
    <t>GIQPDGQM#PSDK*TIGGGDDSFNTFFSETGAGK</t>
  </si>
  <si>
    <t>176</t>
  </si>
  <si>
    <t>GQM#PSDK*TIGGGDDSFNTFFSETGAGK</t>
  </si>
  <si>
    <t>177</t>
  </si>
  <si>
    <t>HGIQPDGQM#PSDK*TIGGGDDSFNTFFSETGAGK</t>
  </si>
  <si>
    <t>178</t>
  </si>
  <si>
    <t>K*TIGGGDDSFNTFFSETGAGK</t>
  </si>
  <si>
    <t>179</t>
  </si>
  <si>
    <t>180</t>
  </si>
  <si>
    <t>PSDK*TIGGGDDSFNTFFSETGAGK</t>
  </si>
  <si>
    <t>181</t>
  </si>
  <si>
    <t>YCLEHGIQPDGQM#PSDK*TIGGGDDSFNTFFSETGAGK</t>
  </si>
  <si>
    <t>182</t>
  </si>
  <si>
    <t>Tubb2a; Tubb2b; Tubb2c</t>
  </si>
  <si>
    <t>TUBB2A; TUBB2B; TUBB2C</t>
  </si>
  <si>
    <t>379; 379; 379</t>
  </si>
  <si>
    <t>tubulin beta-2A chain</t>
  </si>
  <si>
    <t>Q7TMM9; Q9CWF2; P68372</t>
  </si>
  <si>
    <t>http://www.phosphosite.org/proteinAction.do?id=2137703&amp;showAllSites=true</t>
  </si>
  <si>
    <t>M#SATFIGNSTAIQELFK*R</t>
  </si>
  <si>
    <t>183</t>
  </si>
  <si>
    <t>Tubb2a</t>
  </si>
  <si>
    <t>TUBB2A</t>
  </si>
  <si>
    <t>Q7TMM9</t>
  </si>
  <si>
    <t>INVYYNEAAGNK*YVPR</t>
  </si>
  <si>
    <t>Q99P72; AAM77068</t>
  </si>
  <si>
    <t>http://www.phosphosite.org/proteinAction.do?id=6765&amp;showAllSites=true</t>
  </si>
  <si>
    <t>127; 127</t>
  </si>
  <si>
    <t>M#SVVAPVREEYADFK*PFEQAWEVK</t>
  </si>
  <si>
    <t>149</t>
  </si>
  <si>
    <t>150</t>
  </si>
  <si>
    <t>M#SVVAPVREEYADFK*PFEQAWEVKDTYEGSR</t>
  </si>
  <si>
    <t>151</t>
  </si>
  <si>
    <t>152</t>
  </si>
  <si>
    <t>Sbno2</t>
  </si>
  <si>
    <t>SBNO2</t>
  </si>
  <si>
    <t>452</t>
  </si>
  <si>
    <t>protein strawberry notch homolog 2</t>
  </si>
  <si>
    <t>Q7TNB8</t>
  </si>
  <si>
    <t>http://www.phosphosite.org/proteinAction.do?id=22530&amp;showAllSites=true</t>
  </si>
  <si>
    <t>HAIEK*R</t>
  </si>
  <si>
    <t>153</t>
  </si>
  <si>
    <t>154</t>
  </si>
  <si>
    <t>Serpina1c</t>
  </si>
  <si>
    <t>292</t>
  </si>
  <si>
    <t>alpha-1-antitrypsin 1-3</t>
  </si>
  <si>
    <t>NP_033271</t>
  </si>
  <si>
    <t>http://www.ncbi.nlm.nih.gov/entrez/query.fcgi?db=protein&amp;cmd=search&amp;term=NP_033271</t>
  </si>
  <si>
    <t>ELISK*FLLK</t>
  </si>
  <si>
    <t>155</t>
  </si>
  <si>
    <t>Spnb2; Spnb2</t>
  </si>
  <si>
    <t>SPTBN1; SPTBN1 iso2</t>
  </si>
  <si>
    <t>spectrin beta chain, brain 1 isoform 2</t>
  </si>
  <si>
    <t>Q62261; Q62261-2</t>
  </si>
  <si>
    <t>http://www.phosphosite.org/proteinAction.do?id=5047&amp;showAllSites=true</t>
  </si>
  <si>
    <t>274; 251</t>
  </si>
  <si>
    <t>FYHDAK*EIFGR</t>
  </si>
  <si>
    <t>156</t>
  </si>
  <si>
    <t>LVDTGDK*FR</t>
  </si>
  <si>
    <t>Spnb3</t>
  </si>
  <si>
    <t>SPTBN2</t>
  </si>
  <si>
    <t>1478</t>
  </si>
  <si>
    <t>spectrin beta chain, brain 2</t>
  </si>
  <si>
    <t>Q3UGZ4</t>
  </si>
  <si>
    <t>http://www.phosphosite.org/proteinAction.do?id=11929&amp;showAllSites=true</t>
  </si>
  <si>
    <t>271</t>
  </si>
  <si>
    <t>ALCQPMK*ER</t>
  </si>
  <si>
    <t>158</t>
  </si>
  <si>
    <t>Spnb4</t>
  </si>
  <si>
    <t>SPTBN4</t>
  </si>
  <si>
    <t>1511</t>
  </si>
  <si>
    <t>spectrin beta 4 isoform sigma6</t>
  </si>
  <si>
    <t>Q8VIE5</t>
  </si>
  <si>
    <t>http://www.phosphosite.org/proteinAction.do?id=10382&amp;showAllSites=true</t>
  </si>
  <si>
    <t>289</t>
  </si>
  <si>
    <t>RRLLLASK*ELHQ</t>
  </si>
  <si>
    <t>Tcp1; Tcp1</t>
  </si>
  <si>
    <t>CCT-alpha; CCT-alpha iso2</t>
  </si>
  <si>
    <t>T-complex protein 1 subunit alpha</t>
  </si>
  <si>
    <t>P11983; P11983-2</t>
  </si>
  <si>
    <t>http://www.phosphosite.org/proteinAction.do?id=8014&amp;showAllSites=true</t>
  </si>
  <si>
    <t>60; 55</t>
  </si>
  <si>
    <t>SLHDALCVVK*R</t>
  </si>
  <si>
    <t>160</t>
  </si>
  <si>
    <t>161</t>
  </si>
  <si>
    <t>162</t>
  </si>
  <si>
    <t>Tmsb10</t>
  </si>
  <si>
    <t>TMSB10</t>
  </si>
  <si>
    <t>thymosin beta-10</t>
  </si>
  <si>
    <t>Q6ZWY8</t>
  </si>
  <si>
    <t>http://www.phosphosite.org/proteinAction.do?id=7707705&amp;showAllSites=true</t>
  </si>
  <si>
    <t>ADK*PDMGEIASFDK</t>
  </si>
  <si>
    <t>163</t>
  </si>
  <si>
    <t>ADK*PDM#GEIASFDK</t>
  </si>
  <si>
    <t>http://www.phosphosite.org/proteinAction.do?id=6509&amp;showAllSites=true</t>
  </si>
  <si>
    <t>119; 94</t>
  </si>
  <si>
    <t>SEPPESEAK*PAPTEVK</t>
  </si>
  <si>
    <t>136</t>
  </si>
  <si>
    <t>137</t>
  </si>
  <si>
    <t>138</t>
  </si>
  <si>
    <t>638; 638</t>
  </si>
  <si>
    <t>HYLVK*YR</t>
  </si>
  <si>
    <t>139</t>
  </si>
  <si>
    <t>Nf1</t>
  </si>
  <si>
    <t>NF1</t>
  </si>
  <si>
    <t>neurofibromin</t>
  </si>
  <si>
    <t>Q04690</t>
  </si>
  <si>
    <t>http://www.phosphosite.org/proteinAction.do?id=7651&amp;showAllSites=true</t>
  </si>
  <si>
    <t>320</t>
  </si>
  <si>
    <t>HQVHEK*EEFK</t>
  </si>
  <si>
    <t>INISK*YK</t>
  </si>
  <si>
    <t>Numa1</t>
  </si>
  <si>
    <t>NuMA-1</t>
  </si>
  <si>
    <t>nuclear mitotic apparatus protein 1</t>
  </si>
  <si>
    <t>Q80Y35</t>
  </si>
  <si>
    <t>http://www.phosphosite.org/proteinAction.do?id=3454&amp;showAllSites=true</t>
  </si>
  <si>
    <t>236</t>
  </si>
  <si>
    <t>CLEEK*NEILQGK</t>
  </si>
  <si>
    <t>Pfn2</t>
  </si>
  <si>
    <t>profilin 2</t>
  </si>
  <si>
    <t>profilin-2</t>
  </si>
  <si>
    <t>Q9JJV2</t>
  </si>
  <si>
    <t>http://www.phosphosite.org/proteinAction.do?id=8331&amp;showAllSites=true</t>
  </si>
  <si>
    <t>AYSM#AK*YLR</t>
  </si>
  <si>
    <t>143</t>
  </si>
  <si>
    <t>Pi4ka</t>
  </si>
  <si>
    <t>PIK4CA</t>
  </si>
  <si>
    <t>549</t>
  </si>
  <si>
    <t>phosphatidylinositol 4-kinase type 3 alpha</t>
  </si>
  <si>
    <t>Q6DIC7</t>
  </si>
  <si>
    <t>http://www.phosphosite.org/proteinAction.do?id=8357&amp;showAllSites=true</t>
  </si>
  <si>
    <t>231</t>
  </si>
  <si>
    <t>LYISQESDK*DAHLIPDHTIR</t>
  </si>
  <si>
    <t>144</t>
  </si>
  <si>
    <t>145</t>
  </si>
  <si>
    <t>Pip5k1a; Pip5k1b</t>
  </si>
  <si>
    <t>PIP5K1A; PIP5K1B</t>
  </si>
  <si>
    <t>179; 138</t>
  </si>
  <si>
    <t>phosphatidylinositol-4-phosphate 5-kinase type-1 alpha</t>
  </si>
  <si>
    <t>P70182; P70181</t>
  </si>
  <si>
    <t>http://www.phosphosite.org/proteinAction.do?id=11799&amp;showAllSites=true</t>
  </si>
  <si>
    <t>60; 61</t>
  </si>
  <si>
    <t>EFIIK*TVQHKEAEFLQK</t>
  </si>
  <si>
    <t>146</t>
  </si>
  <si>
    <t>Ran</t>
  </si>
  <si>
    <t>RAN</t>
  </si>
  <si>
    <t>GTP-binding nuclear protein Ran</t>
  </si>
  <si>
    <t>P62827</t>
  </si>
  <si>
    <t>http://www.phosphosite.org/proteinAction.do?id=4804&amp;showAllSites=true</t>
  </si>
  <si>
    <t>HLTGEFEK*K</t>
  </si>
  <si>
    <t>147</t>
  </si>
  <si>
    <t>Rap1gap; Rap1gap</t>
  </si>
  <si>
    <t>Rap1GAP; Rap1GAP iso4</t>
  </si>
  <si>
    <t>rap1 GTPase-activating protein 1</t>
  </si>
  <si>
    <t>Q6A063; A2ALS4</t>
  </si>
  <si>
    <t>http://www.phosphosite.org/proteinAction.do?id=11296&amp;showAllSites=true</t>
  </si>
  <si>
    <t>81; 81</t>
  </si>
  <si>
    <t>LINAEYACYK*AEK</t>
  </si>
  <si>
    <t>148</t>
  </si>
  <si>
    <t>Rtn4; Rtn4</t>
  </si>
  <si>
    <t>Nogo; Nogo iso4</t>
  </si>
  <si>
    <t>reticulon-4 isoform C</t>
  </si>
  <si>
    <t>LDHK*FDLM#YAKR</t>
  </si>
  <si>
    <t>124</t>
  </si>
  <si>
    <t>LDHKFDLM#YAK*R</t>
  </si>
  <si>
    <t>125</t>
  </si>
  <si>
    <t>95; 96; 96; 96; 96; 96; 96; 96</t>
  </si>
  <si>
    <t>QLFHPEQLITGK*EDAANNYAR</t>
  </si>
  <si>
    <t>126</t>
  </si>
  <si>
    <t>127</t>
  </si>
  <si>
    <t>128</t>
  </si>
  <si>
    <t>Lmnb2</t>
  </si>
  <si>
    <t>Lamin B2</t>
  </si>
  <si>
    <t>lamin-B2</t>
  </si>
  <si>
    <t>P21619</t>
  </si>
  <si>
    <t>http://www.phosphosite.org/proteinAction.do?id=7445&amp;showAllSites=true</t>
  </si>
  <si>
    <t>ISEK*EEVTTR</t>
  </si>
  <si>
    <t>129</t>
  </si>
  <si>
    <t>Mapre1</t>
  </si>
  <si>
    <t>EB1</t>
  </si>
  <si>
    <t>microtubule-associated protein RP/EB family member 1</t>
  </si>
  <si>
    <t>Q61166</t>
  </si>
  <si>
    <t>http://www.phosphosite.org/proteinAction.do?id=2758&amp;showAllSites=true</t>
  </si>
  <si>
    <t>ILQAGFK*R</t>
  </si>
  <si>
    <t>130</t>
  </si>
  <si>
    <t>Mmp9</t>
  </si>
  <si>
    <t>MMP9</t>
  </si>
  <si>
    <t>matrix metalloproteinase-9 precursor</t>
  </si>
  <si>
    <t>P41245</t>
  </si>
  <si>
    <t>http://www.phosphosite.org/proteinAction.do?id=5635&amp;showAllSites=true</t>
  </si>
  <si>
    <t>AAQM#M#GEKQSLRPALLM#LQK*QLS</t>
  </si>
  <si>
    <t>131</t>
  </si>
  <si>
    <t>Mtap1b</t>
  </si>
  <si>
    <t>MAP1B</t>
  </si>
  <si>
    <t>1228</t>
  </si>
  <si>
    <t>microtubule-associated protein 1B</t>
  </si>
  <si>
    <t>P14873</t>
  </si>
  <si>
    <t>http://www.phosphosite.org/proteinAction.do?id=3340&amp;showAllSites=true</t>
  </si>
  <si>
    <t>270</t>
  </si>
  <si>
    <t>DAYCSEEK*ELK</t>
  </si>
  <si>
    <t>132</t>
  </si>
  <si>
    <t>1765</t>
  </si>
  <si>
    <t>EM#SLYASLASEK*VQSLEGEKLSPK</t>
  </si>
  <si>
    <t>133</t>
  </si>
  <si>
    <t>296</t>
  </si>
  <si>
    <t>SCFWK*LIR</t>
  </si>
  <si>
    <t>134</t>
  </si>
  <si>
    <t>Myh8</t>
  </si>
  <si>
    <t>MYH8</t>
  </si>
  <si>
    <t>1620</t>
  </si>
  <si>
    <t>myosin-8</t>
  </si>
  <si>
    <t>P13542</t>
  </si>
  <si>
    <t>http://www.phosphosite.org/proteinAction.do?id=11903&amp;showAllSites=true</t>
  </si>
  <si>
    <t>223</t>
  </si>
  <si>
    <t>K*M#EGDLNEM#EIQLNHANRLAAESLRNYR</t>
  </si>
  <si>
    <t>135</t>
  </si>
  <si>
    <t>Ncam1; Ncam1</t>
  </si>
  <si>
    <t>NCAM1; NCAM1 iso2</t>
  </si>
  <si>
    <t>1092; 825</t>
  </si>
  <si>
    <t>neural cell adhesion molecule 1 isoform 1</t>
  </si>
  <si>
    <t>P13595; P13595-2</t>
  </si>
  <si>
    <t>extracellular matrix protein FRAS1 precursor</t>
  </si>
  <si>
    <t>Q80T14</t>
  </si>
  <si>
    <t>http://www.phosphosite.org/proteinAction.do?id=10183&amp;showAllSites=true</t>
  </si>
  <si>
    <t>442</t>
  </si>
  <si>
    <t>YLDVKHK*EHPNRIHISVQIPHQDG</t>
  </si>
  <si>
    <t>109</t>
  </si>
  <si>
    <t>Fscn1</t>
  </si>
  <si>
    <t>Fascin</t>
  </si>
  <si>
    <t>fascin</t>
  </si>
  <si>
    <t>Q61553</t>
  </si>
  <si>
    <t>http://www.phosphosite.org/proteinAction.do?id=4519&amp;showAllSites=true</t>
  </si>
  <si>
    <t>YLAADK*DGNVTCER</t>
  </si>
  <si>
    <t>110</t>
  </si>
  <si>
    <t>Gm5620; Tuba1a; Tuba1b; Tuba1c; Tuba3a; Tuba3b; Tuba4a; Tuba8</t>
  </si>
  <si>
    <t>TUBA3C; TUBA1A; TUBA1B; TUBA1C; TUBA3D; TUBA3E; TUBA4A; TUBA8</t>
  </si>
  <si>
    <t>PREDICTED: tubulin alpha-1B chain</t>
  </si>
  <si>
    <t>XP_486246; P68369; P05213; P68373; P05214; NP_033475; P68368; Q9JJZ2</t>
  </si>
  <si>
    <t>http://www.phosphosite.org/proteinAction.do?id=25230&amp;showAllSites=true</t>
  </si>
  <si>
    <t>50; 50; 50; 50; 50; 50; 50; 50</t>
  </si>
  <si>
    <t>HGK*YMAC</t>
  </si>
  <si>
    <t>111</t>
  </si>
  <si>
    <t>Gm5620; Tuba1a; Tuba1b; Tuba1c; Tuba4a</t>
  </si>
  <si>
    <t>TUBA3C; TUBA1A; TUBA1B; TUBA1C; TUBA4A</t>
  </si>
  <si>
    <t>XP_486246; P68369; P05213; P68373; P68368</t>
  </si>
  <si>
    <t>50; 50; 50; 50; 50</t>
  </si>
  <si>
    <t>HGK*YMACCLLYR</t>
  </si>
  <si>
    <t>112</t>
  </si>
  <si>
    <t>113</t>
  </si>
  <si>
    <t>HGK*YM#ACCLLYR</t>
  </si>
  <si>
    <t>114</t>
  </si>
  <si>
    <t>115</t>
  </si>
  <si>
    <t>116</t>
  </si>
  <si>
    <t>117</t>
  </si>
  <si>
    <t>118</t>
  </si>
  <si>
    <t>119</t>
  </si>
  <si>
    <t>120</t>
  </si>
  <si>
    <t>Gm5620; Tuba1a; Tuba1b; Tuba1c; Tuba3a; Tuba3b; Tuba4a; Tuba8; Tubal3</t>
  </si>
  <si>
    <t>TUBA3C; TUBA1A; TUBA1B; TUBA1C; TUBA3D; TUBA3E; TUBA4A; TUBA8; TUBAL3</t>
  </si>
  <si>
    <t>XP_486246; P68369; P05213; P68373; P05214; NP_033475; P68368; Q9JJZ2; Q3UX10</t>
  </si>
  <si>
    <t>50; 50; 50; 50; 50; 50; 50; 50; 50</t>
  </si>
  <si>
    <t>LDHK*FDLMYAK</t>
  </si>
  <si>
    <t>121</t>
  </si>
  <si>
    <t>LDHK*FDLM#YAK</t>
  </si>
  <si>
    <t>122</t>
  </si>
  <si>
    <t>123</t>
  </si>
  <si>
    <t>http://www.phosphosite.org/proteinAction.do?id=1528&amp;showAllSites=true</t>
  </si>
  <si>
    <t>98; 96; 97; 97; 97</t>
  </si>
  <si>
    <t>NVYK*DYR</t>
  </si>
  <si>
    <t>95</t>
  </si>
  <si>
    <t>Dsp</t>
  </si>
  <si>
    <t>desmoplakin</t>
  </si>
  <si>
    <t>537</t>
  </si>
  <si>
    <t>E9Q557</t>
  </si>
  <si>
    <t>http://www.phosphosite.org/proteinAction.do?id=11406&amp;showAllSites=true</t>
  </si>
  <si>
    <t>333</t>
  </si>
  <si>
    <t>M#LVPSVGLIIPPPNPLAVDLSCK*</t>
  </si>
  <si>
    <t>96</t>
  </si>
  <si>
    <t>Dst; Dst; Dst; Macf1; Macf1</t>
  </si>
  <si>
    <t>BPAG1; BPAG1 iso6; BPAG1 iso9; ACF7; ACF7 iso7</t>
  </si>
  <si>
    <t>109; 287; 109; 152; 152</t>
  </si>
  <si>
    <t>dystonin isoform a</t>
  </si>
  <si>
    <t>Q91ZU6-1; NP_001263693; NP_598594; Q9QXZ0; NP_033730</t>
  </si>
  <si>
    <t>http://www.phosphosite.org/proteinAction.do?id=12240&amp;showAllSites=true</t>
  </si>
  <si>
    <t>834; 871; 615; 832; 620</t>
  </si>
  <si>
    <t>QVK*LVNIRNDDITDG</t>
  </si>
  <si>
    <t>97</t>
  </si>
  <si>
    <t>Dync1h1</t>
  </si>
  <si>
    <t>DNCH1</t>
  </si>
  <si>
    <t>cytoplasmic dynein 1 heavy chain 1</t>
  </si>
  <si>
    <t>Q9JHU4</t>
  </si>
  <si>
    <t>http://www.phosphosite.org/proteinAction.do?id=7506&amp;showAllSites=true</t>
  </si>
  <si>
    <t>532</t>
  </si>
  <si>
    <t>NTK*YPIQR</t>
  </si>
  <si>
    <t>99</t>
  </si>
  <si>
    <t>SFDSEFK*LACK</t>
  </si>
  <si>
    <t>100</t>
  </si>
  <si>
    <t>Ep300</t>
  </si>
  <si>
    <t>histone acetyltransferase p300</t>
  </si>
  <si>
    <t>E9PYJ8</t>
  </si>
  <si>
    <t>http://www.phosphosite.org/proteinAction.do?id=3870&amp;showAllSites=true</t>
  </si>
  <si>
    <t>263</t>
  </si>
  <si>
    <t>KLEFSPQTLCCYGK*QLCTIPR</t>
  </si>
  <si>
    <t>101</t>
  </si>
  <si>
    <t>EENTSNESTDVTK*GDSK*NAK</t>
  </si>
  <si>
    <t>102</t>
  </si>
  <si>
    <t>KREENTSNESTDVTK*GDSK*NAK</t>
  </si>
  <si>
    <t>103</t>
  </si>
  <si>
    <t>104</t>
  </si>
  <si>
    <t>EENTSNESTDVTK*GDSK*NAK*K</t>
  </si>
  <si>
    <t>105</t>
  </si>
  <si>
    <t>EENTSNESTDVTK*GDSK*NAK*K*K</t>
  </si>
  <si>
    <t>106</t>
  </si>
  <si>
    <t>107</t>
  </si>
  <si>
    <t>Fdps</t>
  </si>
  <si>
    <t>FDPS</t>
  </si>
  <si>
    <t>farnesyl pyrophosphate synthase</t>
  </si>
  <si>
    <t>Q920E5</t>
  </si>
  <si>
    <t>http://www.phosphosite.org/proteinAction.do?id=10611&amp;showAllSites=true</t>
  </si>
  <si>
    <t>LKEVLEYNALGGK*YNR</t>
  </si>
  <si>
    <t>108</t>
  </si>
  <si>
    <t>Fras1</t>
  </si>
  <si>
    <t>FRAS1</t>
  </si>
  <si>
    <t>3331</t>
  </si>
  <si>
    <t>KKEESTAASETPEGSQGDSK*NAKK*</t>
  </si>
  <si>
    <t>82</t>
  </si>
  <si>
    <t>NNK*K*TNK*NK*SSISR</t>
  </si>
  <si>
    <t>83</t>
  </si>
  <si>
    <t>84</t>
  </si>
  <si>
    <t>Crebbp; Ep300</t>
  </si>
  <si>
    <t>CBP; p300</t>
  </si>
  <si>
    <t>P45481; E9PYJ8</t>
  </si>
  <si>
    <t>266; 263</t>
  </si>
  <si>
    <t>p300</t>
  </si>
  <si>
    <t>LYATMEK*HK</t>
  </si>
  <si>
    <t>85</t>
  </si>
  <si>
    <t>FVYTCNECK*HHVETR</t>
  </si>
  <si>
    <t>86</t>
  </si>
  <si>
    <t>SHTHK*M#VK*WGLGLDDEGSSQGEPQSK</t>
  </si>
  <si>
    <t>87</t>
  </si>
  <si>
    <t>M#VK*WGLGLDDEGSSQGEPQSK*SPQESR</t>
  </si>
  <si>
    <t>88</t>
  </si>
  <si>
    <t>HCQENK*CPVPFCLNIK</t>
  </si>
  <si>
    <t>89</t>
  </si>
  <si>
    <t>90</t>
  </si>
  <si>
    <t>Ctnna1; Ctnna2; Ctnna2</t>
  </si>
  <si>
    <t>CTNNA1; CTNNA2; CTNNA2 iso3</t>
  </si>
  <si>
    <t>catenin alpha-1</t>
  </si>
  <si>
    <t>P26231; Q61301; Q61301-3</t>
  </si>
  <si>
    <t>http://www.phosphosite.org/proteinAction.do?id=3088&amp;showAllSites=true</t>
  </si>
  <si>
    <t>100; 105; 102</t>
  </si>
  <si>
    <t>ASYVASTK*YQK</t>
  </si>
  <si>
    <t>Dmd</t>
  </si>
  <si>
    <t>dystrophin</t>
  </si>
  <si>
    <t>1711, 1715, 1720</t>
  </si>
  <si>
    <t>P11531</t>
  </si>
  <si>
    <t>http://www.phosphosite.org/proteinAction.do?id=8496&amp;showAllSites=true</t>
  </si>
  <si>
    <t>426</t>
  </si>
  <si>
    <t>EKKK*PQQK*EDILK*R</t>
  </si>
  <si>
    <t>92</t>
  </si>
  <si>
    <t>Dnahc5</t>
  </si>
  <si>
    <t>DNAH5</t>
  </si>
  <si>
    <t>1602</t>
  </si>
  <si>
    <t>dynein heavy chain 5, axonemal</t>
  </si>
  <si>
    <t>Q8VHE6</t>
  </si>
  <si>
    <t>http://www.phosphosite.org/proteinAction.do?id=13197&amp;showAllSites=true</t>
  </si>
  <si>
    <t>528</t>
  </si>
  <si>
    <t>DSTSEVIASMEDSLM#LLGSLLSNRYNM#PFK*</t>
  </si>
  <si>
    <t>Dnahc6</t>
  </si>
  <si>
    <t>DNAH6</t>
  </si>
  <si>
    <t>2676</t>
  </si>
  <si>
    <t>axonemal dynein heavy chain</t>
  </si>
  <si>
    <t>E9Q0B6</t>
  </si>
  <si>
    <t>http://www.phosphosite.org/proteinAction.do?id=5140609&amp;showAllSites=true</t>
  </si>
  <si>
    <t>475</t>
  </si>
  <si>
    <t>INLYLTMLTEK*R</t>
  </si>
  <si>
    <t>94</t>
  </si>
  <si>
    <t>Dnm1; Dnm1; Dnm1; Dnm1; Dnm3</t>
  </si>
  <si>
    <t>DYN1; DYN1 iso3; DYN1 iso4; DYN1 iso6; DYN3</t>
  </si>
  <si>
    <t>dynamin-1</t>
  </si>
  <si>
    <t>P39053; P39053-3; P39053-4; P39053-6; Q8BZ98</t>
  </si>
  <si>
    <t>121; 121; 121</t>
  </si>
  <si>
    <t>cofilin-1</t>
  </si>
  <si>
    <t>P18760; P45591; Q9R0P5</t>
  </si>
  <si>
    <t>http://www.phosphosite.org/proteinAction.do?id=1482&amp;showAllSites=true</t>
  </si>
  <si>
    <t>19; 19; 19</t>
  </si>
  <si>
    <t>MIYASSK*DAIK</t>
  </si>
  <si>
    <t>62</t>
  </si>
  <si>
    <t>Cfl1</t>
  </si>
  <si>
    <t>cofilin 1</t>
  </si>
  <si>
    <t>P18760</t>
  </si>
  <si>
    <t>KLTGIK*HELQANCYEEVKDR</t>
  </si>
  <si>
    <t>63</t>
  </si>
  <si>
    <t>HELQANCYEEVK*DR</t>
  </si>
  <si>
    <t>64</t>
  </si>
  <si>
    <t>65</t>
  </si>
  <si>
    <t>LTGIKHELQANCYEEVK*DR</t>
  </si>
  <si>
    <t>66</t>
  </si>
  <si>
    <t>AVLFCLSEDK*K</t>
  </si>
  <si>
    <t>67</t>
  </si>
  <si>
    <t>MLPDK*DCR</t>
  </si>
  <si>
    <t>68</t>
  </si>
  <si>
    <t>M#LPDK*DCR</t>
  </si>
  <si>
    <t>69</t>
  </si>
  <si>
    <t>Clasp2</t>
  </si>
  <si>
    <t>CLASP2</t>
  </si>
  <si>
    <t>790</t>
  </si>
  <si>
    <t>CLIP-associating protein 2 isoform b</t>
  </si>
  <si>
    <t>Q8BRT1</t>
  </si>
  <si>
    <t>http://www.phosphosite.org/proteinAction.do?id=6744&amp;showAllSites=true</t>
  </si>
  <si>
    <t>141</t>
  </si>
  <si>
    <t>VAILK*YIETLAK</t>
  </si>
  <si>
    <t>70</t>
  </si>
  <si>
    <t>Cltc</t>
  </si>
  <si>
    <t>CLTC</t>
  </si>
  <si>
    <t>clathrin heavy chain 1</t>
  </si>
  <si>
    <t>Q68FD5</t>
  </si>
  <si>
    <t>http://www.phosphosite.org/proteinAction.do?id=4396&amp;showAllSites=true</t>
  </si>
  <si>
    <t>192</t>
  </si>
  <si>
    <t>AVNYFSK*VK</t>
  </si>
  <si>
    <t>71</t>
  </si>
  <si>
    <t>798</t>
  </si>
  <si>
    <t>NNLQK*YIEIYVQK</t>
  </si>
  <si>
    <t>72</t>
  </si>
  <si>
    <t>907</t>
  </si>
  <si>
    <t>VVGK*YCEK</t>
  </si>
  <si>
    <t>74</t>
  </si>
  <si>
    <t>Col15a1</t>
  </si>
  <si>
    <t>COL15A1</t>
  </si>
  <si>
    <t>754</t>
  </si>
  <si>
    <t>collagen alpha-1(XV) chain precursor</t>
  </si>
  <si>
    <t>O35206</t>
  </si>
  <si>
    <t>http://www.phosphosite.org/proteinAction.do?id=18095&amp;showAllSites=true</t>
  </si>
  <si>
    <t>140</t>
  </si>
  <si>
    <t>SGPKGEK*GEQGAK</t>
  </si>
  <si>
    <t>75</t>
  </si>
  <si>
    <t>Copg2</t>
  </si>
  <si>
    <t>COPG2</t>
  </si>
  <si>
    <t>471</t>
  </si>
  <si>
    <t>coatomer subunit gamma-2</t>
  </si>
  <si>
    <t>Q9QXK3</t>
  </si>
  <si>
    <t>http://www.phosphosite.org/proteinAction.do?id=10305&amp;showAllSites=true</t>
  </si>
  <si>
    <t>98</t>
  </si>
  <si>
    <t>TPVPSK*YIR</t>
  </si>
  <si>
    <t>76</t>
  </si>
  <si>
    <t>572</t>
  </si>
  <si>
    <t>ALHQYTLEPSEK*PFDM#K</t>
  </si>
  <si>
    <t>Crebbp</t>
  </si>
  <si>
    <t>CBP</t>
  </si>
  <si>
    <t>CREB-binding protein</t>
  </si>
  <si>
    <t>P45481</t>
  </si>
  <si>
    <t>http://www.phosphosite.org/proteinAction.do?id=1161&amp;showAllSites=true</t>
  </si>
  <si>
    <t>266</t>
  </si>
  <si>
    <t>TEVQTDDAEPEPTESK*GEPR</t>
  </si>
  <si>
    <t>79</t>
  </si>
  <si>
    <t>KYEFSPQTLCCYGK*QLCTIPR</t>
  </si>
  <si>
    <t>80</t>
  </si>
  <si>
    <t>81</t>
  </si>
  <si>
    <t>49</t>
  </si>
  <si>
    <t>IK*IIAPPERK</t>
  </si>
  <si>
    <t>Acta1; Acta2; Actc1; Actg2</t>
  </si>
  <si>
    <t>ACTA1; ACTA2; ACTC1; ACTG2</t>
  </si>
  <si>
    <t>P68134; P62737; P68033; P63268</t>
  </si>
  <si>
    <t>42; 42; 42; 42</t>
  </si>
  <si>
    <t>GILTLK*YPIEHGIITNWDDM#EK</t>
  </si>
  <si>
    <t>51</t>
  </si>
  <si>
    <t>Actl7a</t>
  </si>
  <si>
    <t>AL7A</t>
  </si>
  <si>
    <t>actin-like protein 7A</t>
  </si>
  <si>
    <t>Q9QY84</t>
  </si>
  <si>
    <t>http://www.phosphosite.org/proteinAction.do?id=3488&amp;showAllSites=true</t>
  </si>
  <si>
    <t>IVEDIK*TR</t>
  </si>
  <si>
    <t>52</t>
  </si>
  <si>
    <t>Actr3</t>
  </si>
  <si>
    <t>Arp3</t>
  </si>
  <si>
    <t>actin-related protein 3</t>
  </si>
  <si>
    <t>Q99JY9</t>
  </si>
  <si>
    <t>http://www.phosphosite.org/proteinAction.do?id=4810&amp;showAllSites=true</t>
  </si>
  <si>
    <t>EFNK*YDTDGSK</t>
  </si>
  <si>
    <t>Anxa2</t>
  </si>
  <si>
    <t>ANXA2</t>
  </si>
  <si>
    <t>annexin A2</t>
  </si>
  <si>
    <t>P07356</t>
  </si>
  <si>
    <t>http://www.phosphosite.org/proteinAction.do?id=3332&amp;showAllSites=true</t>
  </si>
  <si>
    <t>SVCHLQK*VFER</t>
  </si>
  <si>
    <t>54</t>
  </si>
  <si>
    <t>55</t>
  </si>
  <si>
    <t>56</t>
  </si>
  <si>
    <t>57</t>
  </si>
  <si>
    <t>Arhgdia</t>
  </si>
  <si>
    <t>RhoGDI alpha</t>
  </si>
  <si>
    <t>rho GDP-dissociation inhibitor 1</t>
  </si>
  <si>
    <t>Q99PT1</t>
  </si>
  <si>
    <t>http://www.phosphosite.org/proteinAction.do?id=5735&amp;showAllSites=true</t>
  </si>
  <si>
    <t>GSYNIK*SR</t>
  </si>
  <si>
    <t>58</t>
  </si>
  <si>
    <t>Arpc3</t>
  </si>
  <si>
    <t>ARPC3</t>
  </si>
  <si>
    <t>actin-related protein 2/3 complex subunit 3</t>
  </si>
  <si>
    <t>Q9JM76</t>
  </si>
  <si>
    <t>http://www.phosphosite.org/proteinAction.do?id=4432&amp;showAllSites=true</t>
  </si>
  <si>
    <t>NYEIK*NEADR</t>
  </si>
  <si>
    <t>59</t>
  </si>
  <si>
    <t>Bicd2</t>
  </si>
  <si>
    <t>663</t>
  </si>
  <si>
    <t>protein bicaudal D homolog 2 isoform 1</t>
  </si>
  <si>
    <t>Q921C5</t>
  </si>
  <si>
    <t>http://www.phosphosite.org/proteinAction.do?id=4311&amp;showAllSites=true</t>
  </si>
  <si>
    <t>93</t>
  </si>
  <si>
    <t>HLQAAVDRTTELSRQRIASQELGPAVDK*DK</t>
  </si>
  <si>
    <t>60</t>
  </si>
  <si>
    <t>Cct8</t>
  </si>
  <si>
    <t>CCT-theta</t>
  </si>
  <si>
    <t>T-complex protein 1 subunit theta</t>
  </si>
  <si>
    <t>P42932</t>
  </si>
  <si>
    <t>http://www.phosphosite.org/proteinAction.do?id=4270&amp;showAllSites=true</t>
  </si>
  <si>
    <t>LNSK*WDLR</t>
  </si>
  <si>
    <t>61</t>
  </si>
  <si>
    <t>Cfl1; Cfl2; Dstn</t>
  </si>
  <si>
    <t>cofilin 1; cofilin 2; Destrin</t>
  </si>
  <si>
    <t>Ywhae</t>
  </si>
  <si>
    <t>14-3-3 epsilon</t>
  </si>
  <si>
    <t>142</t>
  </si>
  <si>
    <t>14-3-3 protein epsilon</t>
  </si>
  <si>
    <t>P62259</t>
  </si>
  <si>
    <t>http://www.phosphosite.org/proteinAction.do?id=9697&amp;showAllSites=true</t>
  </si>
  <si>
    <t>29</t>
  </si>
  <si>
    <t>YLAEFATGNDRK*EAAENSLVAYK</t>
  </si>
  <si>
    <t>25</t>
  </si>
  <si>
    <t>IISSIEQK*EENKGGEDKLK</t>
  </si>
  <si>
    <t>26</t>
  </si>
  <si>
    <t>73</t>
  </si>
  <si>
    <t>IISSIEQKEENK*GGEDKLK</t>
  </si>
  <si>
    <t>27</t>
  </si>
  <si>
    <t>78</t>
  </si>
  <si>
    <t>IISSIEQKEENKGGEDK*LK</t>
  </si>
  <si>
    <t>28</t>
  </si>
  <si>
    <t>Ywhag</t>
  </si>
  <si>
    <t>14-3-3 gamma</t>
  </si>
  <si>
    <t>77</t>
  </si>
  <si>
    <t>14-3-3 protein gamma</t>
  </si>
  <si>
    <t>P61982</t>
  </si>
  <si>
    <t>http://www.phosphosite.org/proteinAction.do?id=6878&amp;showAllSites=true</t>
  </si>
  <si>
    <t>TSADGNEK*KIEMVR</t>
  </si>
  <si>
    <t>30</t>
  </si>
  <si>
    <t>TSADGNEK*KIEM#VR</t>
  </si>
  <si>
    <t>31</t>
  </si>
  <si>
    <t>32</t>
  </si>
  <si>
    <t>TSADGNEKK*IEMVR</t>
  </si>
  <si>
    <t>33</t>
  </si>
  <si>
    <t>Ywhah</t>
  </si>
  <si>
    <t>14-3-3 eta</t>
  </si>
  <si>
    <t>14-3-3 protein eta</t>
  </si>
  <si>
    <t>P68510</t>
  </si>
  <si>
    <t>http://www.phosphosite.org/proteinAction.do?id=3577&amp;showAllSites=true</t>
  </si>
  <si>
    <t>TMADGNEK*KLEK</t>
  </si>
  <si>
    <t>34</t>
  </si>
  <si>
    <t>35</t>
  </si>
  <si>
    <t>TM#ADGNEK*KLEK</t>
  </si>
  <si>
    <t>36</t>
  </si>
  <si>
    <t>37</t>
  </si>
  <si>
    <t>39</t>
  </si>
  <si>
    <t>TM#ADGNEKK*LEK</t>
  </si>
  <si>
    <t>40</t>
  </si>
  <si>
    <t>41</t>
  </si>
  <si>
    <t>42</t>
  </si>
  <si>
    <t>Ywhaz</t>
  </si>
  <si>
    <t>14-3-3 zeta</t>
  </si>
  <si>
    <t>14-3-3 protein zeta/delta</t>
  </si>
  <si>
    <t>P63101</t>
  </si>
  <si>
    <t>http://www.phosphosite.org/proteinAction.do?id=3579&amp;showAllSites=true</t>
  </si>
  <si>
    <t>FLIPNASQPESK*VFYLK</t>
  </si>
  <si>
    <t>43</t>
  </si>
  <si>
    <t>157</t>
  </si>
  <si>
    <t>GIVDQSQQAYQEAFEISK*K</t>
  </si>
  <si>
    <t>45</t>
  </si>
  <si>
    <t>M#DK*NELVQK</t>
  </si>
  <si>
    <t>46</t>
  </si>
  <si>
    <t>VVSSIEQK*TEGAEK</t>
  </si>
  <si>
    <t>Adhesion or extracellular matrix protein</t>
  </si>
  <si>
    <t>47</t>
  </si>
  <si>
    <t>Acta1; Acta2; Actb; Actbl2; Actc1; Actg1; Actg2</t>
  </si>
  <si>
    <t>ACTA1; ACTA2; ACTB; ACTBL2; ACTC1; ACTG1; ACTG2</t>
  </si>
  <si>
    <t>actin, alpha skeletal muscle</t>
  </si>
  <si>
    <t>P68134; P62737; P60710; Q8BFZ3; P68033; P63260; P63268</t>
  </si>
  <si>
    <t>http://www.phosphosite.org/proteinAction.do?id=4802&amp;showAllSites=true</t>
  </si>
  <si>
    <t>42; 42; 42; 42; 42; 42; 42</t>
  </si>
  <si>
    <t>DLTDYLM#K*ILTER</t>
  </si>
  <si>
    <t>48</t>
  </si>
  <si>
    <t>O08808; P47911</t>
  </si>
  <si>
    <t>http://www.phosphosite.org/proteinAction.do?id=7968&amp;showAllSites=true</t>
  </si>
  <si>
    <t>139; 34</t>
  </si>
  <si>
    <t>K*TK*VEK</t>
  </si>
  <si>
    <t>17</t>
  </si>
  <si>
    <t>Erc1; Erc1</t>
  </si>
  <si>
    <t>ERC1; ERC1 iso2</t>
  </si>
  <si>
    <t>10; 10</t>
  </si>
  <si>
    <t>ELKS/Rab6-interacting/CAST family member 1 isoform 1</t>
  </si>
  <si>
    <t>Q99MI1; Q99MI1-2</t>
  </si>
  <si>
    <t>http://www.phosphosite.org/proteinAction.do?id=12141&amp;showAllSites=true</t>
  </si>
  <si>
    <t>128; 112</t>
  </si>
  <si>
    <t>SVGK*VEPSSQSPGR</t>
  </si>
  <si>
    <t>18</t>
  </si>
  <si>
    <t>G3bp2; G3bp2</t>
  </si>
  <si>
    <t>G3BP-2; G3BP-2 iso2</t>
  </si>
  <si>
    <t>210; 210</t>
  </si>
  <si>
    <t>ras GTPase-activating protein-binding protein 2 isoform a</t>
  </si>
  <si>
    <t>P97379; P97379-2</t>
  </si>
  <si>
    <t>http://www.phosphosite.org/proteinAction.do?id=4379&amp;showAllSites=true</t>
  </si>
  <si>
    <t>54; 51</t>
  </si>
  <si>
    <t>TEELK*PQVEEK</t>
  </si>
  <si>
    <t>19</t>
  </si>
  <si>
    <t>Pik3ap1</t>
  </si>
  <si>
    <t>BCAP</t>
  </si>
  <si>
    <t>206</t>
  </si>
  <si>
    <t>phosphoinositide 3-kinase adapter protein 1</t>
  </si>
  <si>
    <t>Q9EQ32</t>
  </si>
  <si>
    <t>http://www.phosphosite.org/proteinAction.do?id=1112&amp;showAllSites=true</t>
  </si>
  <si>
    <t>91</t>
  </si>
  <si>
    <t>K*VSTEAEFSPEDSPSIR</t>
  </si>
  <si>
    <t>20</t>
  </si>
  <si>
    <t>Spna2; Spna2; Spna2</t>
  </si>
  <si>
    <t>SPTAN1; SPTAN1 iso2; SPTAN1 iso3</t>
  </si>
  <si>
    <t>1313; 1293; 1293</t>
  </si>
  <si>
    <t>spectrin alpha chain, brain isoform 1</t>
  </si>
  <si>
    <t>P16546; P16546-2; E9Q447</t>
  </si>
  <si>
    <t>http://www.phosphosite.org/proteinAction.do?id=3309&amp;showAllSites=true</t>
  </si>
  <si>
    <t>285; 282; 285</t>
  </si>
  <si>
    <t>LIQSHPESAEDLKEK*</t>
  </si>
  <si>
    <t>21</t>
  </si>
  <si>
    <t>Strap</t>
  </si>
  <si>
    <t>STRAP</t>
  </si>
  <si>
    <t>317</t>
  </si>
  <si>
    <t>serine-threonine kinase receptor-associated protein</t>
  </si>
  <si>
    <t>Q9Z1Z2</t>
  </si>
  <si>
    <t>http://www.phosphosite.org/proteinAction.do?id=4434&amp;showAllSites=true</t>
  </si>
  <si>
    <t>CVLPEEDSGELAK*PK</t>
  </si>
  <si>
    <t>Synrg; Synrg</t>
  </si>
  <si>
    <t>synergin, gamma; synergin, gamma iso2</t>
  </si>
  <si>
    <t>synergin gamma isoform 1</t>
  </si>
  <si>
    <t>Q5SV85; Q5SV85-2</t>
  </si>
  <si>
    <t>http://www.phosphosite.org/proteinAction.do?id=9911&amp;showAllSites=true</t>
  </si>
  <si>
    <t>140; 122</t>
  </si>
  <si>
    <t>ASTDK*YAVFK</t>
  </si>
  <si>
    <t>23</t>
  </si>
  <si>
    <t>ASDKYEALREEVSPSPLSSSTVEGAQHPPAAATK*YDVFK</t>
  </si>
  <si>
    <t>24</t>
  </si>
  <si>
    <t>EESEAAAAAEK*MEELHSLDPRR</t>
  </si>
  <si>
    <t>K*GDYPM#SK</t>
  </si>
  <si>
    <t>RYPLPVLTK*AGGRR</t>
  </si>
  <si>
    <t>SIILSDVLFK*PQYMSLMSNNLLC</t>
  </si>
  <si>
    <t>SKPVNK*NCYISK</t>
  </si>
  <si>
    <t>SSHFK*IEQIKLDK</t>
  </si>
  <si>
    <t>Activator protein</t>
  </si>
  <si>
    <t>Ahsa2</t>
  </si>
  <si>
    <t>AHSA2</t>
  </si>
  <si>
    <t>304</t>
  </si>
  <si>
    <t>activator of 90 kDa heat shock protein ATPase homolog 2</t>
  </si>
  <si>
    <t>Q8N9S3</t>
  </si>
  <si>
    <t>http://www.phosphosite.org/proteinAction.do?id=4852966&amp;showAllSites=true</t>
  </si>
  <si>
    <t>38</t>
  </si>
  <si>
    <t>GVPVCK*EENMK</t>
  </si>
  <si>
    <t>Adaptor/scaffold</t>
  </si>
  <si>
    <t>Akap2; Akap2; Akap2</t>
  </si>
  <si>
    <t>AKAP2; AKAP2 iso3; AKAP2 iso6</t>
  </si>
  <si>
    <t>175; 175; 216</t>
  </si>
  <si>
    <t>A-kinase anchor protein 2 isoform 2</t>
  </si>
  <si>
    <t>O54931; O54931-3; A2API8</t>
  </si>
  <si>
    <t>http://www.phosphosite.org/proteinAction.do?id=4359&amp;showAllSites=true</t>
  </si>
  <si>
    <t>99; 87; 102</t>
  </si>
  <si>
    <t>TLKK*EAK</t>
  </si>
  <si>
    <t>9</t>
  </si>
  <si>
    <t>Ank2; Ank2</t>
  </si>
  <si>
    <t>ANK2; ANK2 iso2</t>
  </si>
  <si>
    <t>3387; 3415</t>
  </si>
  <si>
    <t>ankyrin-2 isoform 3</t>
  </si>
  <si>
    <t>Q8C8R3; Q8C8R3-2</t>
  </si>
  <si>
    <t>http://www.phosphosite.org/proteinAction.do?id=24583&amp;showAllSites=true</t>
  </si>
  <si>
    <t>426; 429</t>
  </si>
  <si>
    <t>ERAEGFESESEDGATK*PK</t>
  </si>
  <si>
    <t>10</t>
  </si>
  <si>
    <t>Ap2m1</t>
  </si>
  <si>
    <t>AP2M1</t>
  </si>
  <si>
    <t>256</t>
  </si>
  <si>
    <t>AP-2 complex subunit mu</t>
  </si>
  <si>
    <t>P84091</t>
  </si>
  <si>
    <t>http://www.phosphosite.org/proteinAction.do?id=11190&amp;showAllSites=true</t>
  </si>
  <si>
    <t>50</t>
  </si>
  <si>
    <t>LSK*FDSER</t>
  </si>
  <si>
    <t>11</t>
  </si>
  <si>
    <t>Basp1</t>
  </si>
  <si>
    <t>BASP1</t>
  </si>
  <si>
    <t>159</t>
  </si>
  <si>
    <t>brain acid soluble protein 1</t>
  </si>
  <si>
    <t>Q91XV3</t>
  </si>
  <si>
    <t>http://www.phosphosite.org/proteinAction.do?id=15794&amp;showAllSites=true</t>
  </si>
  <si>
    <t>22</t>
  </si>
  <si>
    <t>KTEAPAAAGPEAK*</t>
  </si>
  <si>
    <t>12</t>
  </si>
  <si>
    <t>170</t>
  </si>
  <si>
    <t>SDAAPAASDSK*PSSAEPAPSSK</t>
  </si>
  <si>
    <t>13</t>
  </si>
  <si>
    <t>14</t>
  </si>
  <si>
    <t>Chn1</t>
  </si>
  <si>
    <t>ARHGAP2</t>
  </si>
  <si>
    <t>44</t>
  </si>
  <si>
    <t>N-chimaerin isoform 3</t>
  </si>
  <si>
    <t>Q91V57</t>
  </si>
  <si>
    <t>http://www.phosphosite.org/proteinAction.do?id=5154642&amp;showAllSites=true</t>
  </si>
  <si>
    <t>53</t>
  </si>
  <si>
    <t>RVTCTCEVENRPK*YYGR</t>
  </si>
  <si>
    <t>15</t>
  </si>
  <si>
    <t>VTCTCEVENRPK*YYGR</t>
  </si>
  <si>
    <t>16</t>
  </si>
  <si>
    <t>Diap1; Rpl6</t>
  </si>
  <si>
    <t>diaphanous 1; RPL6</t>
  </si>
  <si>
    <t>462, 464; 84, 86</t>
  </si>
  <si>
    <t>protein diaphanous homolog 1</t>
  </si>
  <si>
    <t/>
  </si>
  <si>
    <t>1</t>
  </si>
  <si>
    <t>Species</t>
  </si>
  <si>
    <t>mouse</t>
  </si>
  <si>
    <t>Protease</t>
  </si>
  <si>
    <t>2</t>
  </si>
  <si>
    <t>3</t>
  </si>
  <si>
    <t>4</t>
  </si>
  <si>
    <t>5</t>
  </si>
  <si>
    <t>6</t>
  </si>
  <si>
    <t>7</t>
  </si>
  <si>
    <t>8</t>
  </si>
  <si>
    <t>Raw Intensity</t>
  </si>
  <si>
    <t>MS2 Spectrum Number</t>
  </si>
  <si>
    <t>Peak Apex MS Spectrum Number</t>
  </si>
  <si>
    <t>Retention Time</t>
  </si>
  <si>
    <t>Xcorr</t>
  </si>
  <si>
    <t>Mass Accuracy (ppm)</t>
  </si>
  <si>
    <t>DeltaCN</t>
  </si>
  <si>
    <t>Rsp</t>
  </si>
  <si>
    <t>PP Probability</t>
  </si>
  <si>
    <t>Log2 Ratio</t>
  </si>
  <si>
    <t>Normalized Log2 Ratio</t>
  </si>
  <si>
    <t>Normalized Fold Change</t>
  </si>
  <si>
    <t>Protein Type</t>
  </si>
  <si>
    <t>Gene Name</t>
  </si>
  <si>
    <t>Protein Name</t>
  </si>
  <si>
    <t>Site</t>
  </si>
  <si>
    <t>Description</t>
  </si>
  <si>
    <t>Accession</t>
  </si>
  <si>
    <t>URL</t>
  </si>
  <si>
    <t>kD</t>
  </si>
  <si>
    <t>-7/+7 peptide</t>
  </si>
  <si>
    <t>Peptide</t>
  </si>
  <si>
    <t>Charge</t>
  </si>
  <si>
    <t>Calc. m/z</t>
  </si>
  <si>
    <t>Control Pool 1 (CS10558)</t>
  </si>
  <si>
    <t>Control Pool 1 (CS10559)</t>
  </si>
  <si>
    <t>Control Pool 2 (CS10560)</t>
  </si>
  <si>
    <t>Control Pool 2 (CS10561)</t>
  </si>
  <si>
    <t>A</t>
  </si>
  <si>
    <t>Column Name</t>
  </si>
  <si>
    <t>Definition</t>
  </si>
  <si>
    <t>In Details</t>
  </si>
  <si>
    <t>In Summary</t>
  </si>
  <si>
    <t>is the UniProt accession number for the assigned protein</t>
  </si>
  <si>
    <t>Y</t>
  </si>
  <si>
    <t>Calculated m/z</t>
  </si>
  <si>
    <t>is the calculated, accurate mass-to-charge ratio of the identified peptide from the primary amino acid sequence and associated modifications</t>
  </si>
  <si>
    <t>Y</t>
    <phoneticPr fontId="0" type="noConversion"/>
  </si>
  <si>
    <t>is the observed charge state for the identified peptide</t>
  </si>
  <si>
    <t>Count in Details</t>
    <phoneticPr fontId="0" type="noConversion"/>
  </si>
  <si>
    <t xml:space="preserve">is the number of times the designated modification site is represented from all  peptide assignments in the Details tab.  These redundant assignments can be as a result of multiple MS/MS spectra for the same peptide ion or from distinct peptide ions due to multiple charge states, presence of oxidized methionine and overlapping sequence </t>
  </si>
  <si>
    <t>Delta Cn</t>
  </si>
  <si>
    <t>is the delta Xcorr value.  In general, a Delta Cn of 0.1 or greater is good</t>
  </si>
  <si>
    <t>is the FASTA database description of the protein entry</t>
  </si>
  <si>
    <t>Fold Change</t>
    <phoneticPr fontId="0" type="noConversion"/>
  </si>
  <si>
    <t>is the relative fold-change between the integrated peak area of the experimental (numerator) and control (denominator) conditions. A negative value indicates the peptide is more abundant in the control condition</t>
  </si>
  <si>
    <t>is the gene name for the assigned protein.  In some cases, the Gene Name is hyperlinked (when in blue text) when there are siRNA products available at CST</t>
  </si>
  <si>
    <t>is the translated molecular weight of the assigned protein</t>
  </si>
  <si>
    <t>is the mass measurement error obtained between the observed and theoretical mass of the assigned peptide</t>
  </si>
  <si>
    <t>is the spectrum number of the MS2 channel of the raw LC-MS/MS data file</t>
  </si>
  <si>
    <t>is the spectrum number that is referenced for the corresponding apex peak intensity measurement of the parent ion from the MS channel of the raw LC-MS/MS data file</t>
  </si>
  <si>
    <t>is the amino acid sequence for the peptide assignment</t>
  </si>
  <si>
    <t>is the  parent ion intensity observed during the MS at its chromatographic apex. A blank intensity value indicates that a chromatographic peak corresponding to that peptide was not found.</t>
  </si>
  <si>
    <t>is the corresponding apex retention time of the parent ion from the MS channel of the raw LC-MS/MS data file</t>
  </si>
  <si>
    <t>is the site of modification for the peptide assignment. In some cases, the site is hyperlinked (when in blue text) when there are site-specific antibodies available at CST</t>
  </si>
  <si>
    <t>indicates the origin(s) of the identified peptide</t>
    <phoneticPr fontId="0" type="noConversion"/>
  </si>
  <si>
    <t>is the URL address for the PhosphoSitePlus web site for the protein assignment</t>
  </si>
  <si>
    <t>is the primary SEQUEST score for the identified peptide, which is based on the correlation of the experimental MS/MS spectrum and a theoretical MS/MS spectrum derived from the assigned sequence</t>
  </si>
  <si>
    <t>PP Probability</t>
    <phoneticPr fontId="0" type="noConversion"/>
  </si>
  <si>
    <t>is the peptide prophet probability score.  The closer to 1, the higher confidence in the assignment of the peptide sequence to the MS/MS spectrum</t>
    <phoneticPr fontId="0" type="noConversion"/>
  </si>
  <si>
    <t>Average Raw Intensity</t>
  </si>
  <si>
    <t>Control</t>
  </si>
  <si>
    <t>HDAC4 KO Pool 1 (CS10562)</t>
  </si>
  <si>
    <t>HDAC4 KO Pool 1 (CS10563)</t>
  </si>
  <si>
    <t>HDAC4 KO Pool 2 (CS10564)</t>
  </si>
  <si>
    <t>HDAC4 KO Pool 2 (CS10565)</t>
  </si>
  <si>
    <t>HDAC4 KO</t>
  </si>
  <si>
    <t>Control Pool 1</t>
  </si>
  <si>
    <t>Control Pool 2</t>
  </si>
  <si>
    <t>HDAC4 KO Pool 1</t>
  </si>
  <si>
    <t>HDAC4 KO Pool 2</t>
  </si>
  <si>
    <r>
      <t xml:space="preserve">Supplemental Table #S1: </t>
    </r>
    <r>
      <rPr>
        <i/>
        <sz val="18"/>
        <rFont val="Verdana"/>
      </rPr>
      <t>Mouse Brain; Trypsin Digest; Acetyl-lysine Antibody (#9895)</t>
    </r>
  </si>
  <si>
    <r>
      <t>Samples:</t>
    </r>
    <r>
      <rPr>
        <i/>
        <sz val="18"/>
        <rFont val="Verdana"/>
      </rPr>
      <t xml:space="preserve"> Mouse Brain Pool 1 = CS 10558, 10559; Mouse Brain Pool 2 = CS 10560, 10561; Mouse Brain HDAC4 KO Pool 1 = CS 10562, 10563; Mouse Brain HDAC4 KO Pool 2 = CS 10564, 10565</t>
    </r>
  </si>
  <si>
    <t xml:space="preserve">MEDIAN = </t>
  </si>
  <si>
    <t>Raw Ratio</t>
  </si>
  <si>
    <t>HDAC4 KO : Control</t>
  </si>
  <si>
    <t>Pool 1             HDAC4 KO : Control</t>
  </si>
  <si>
    <t>Pool 2             HDAC4 KO : Control</t>
  </si>
  <si>
    <t>Max Intensity</t>
  </si>
  <si>
    <t>Max % CV</t>
  </si>
  <si>
    <t>Biological</t>
  </si>
  <si>
    <t>Analytical</t>
  </si>
  <si>
    <t>§324, §326, §329</t>
  </si>
  <si>
    <t>§598; §598; §598; §594; §594</t>
  </si>
  <si>
    <t>§372; §372</t>
  </si>
  <si>
    <t>§239</t>
  </si>
  <si>
    <t>§96</t>
  </si>
  <si>
    <t>§567</t>
  </si>
  <si>
    <t>§22; §22; §22</t>
  </si>
  <si>
    <t>§300</t>
  </si>
  <si>
    <t>§10, §15; §16, §21; §10, §15; §10, §15; §10, §15; §10, §15; §10, §15; §10, §15, §55, §60</t>
  </si>
  <si>
    <t>§1541, §1545, §1548, §1549</t>
  </si>
  <si>
    <t>§193; §193; §191; §192; §193; §191; §192</t>
  </si>
  <si>
    <t>§5, §8; §5, §8</t>
  </si>
  <si>
    <t>§442; §442</t>
  </si>
  <si>
    <t>§146, §148; §145, §147</t>
  </si>
  <si>
    <t>§1064</t>
  </si>
  <si>
    <t>§279</t>
  </si>
  <si>
    <t>§187</t>
  </si>
  <si>
    <t>§10</t>
  </si>
  <si>
    <t>§130</t>
  </si>
  <si>
    <t>§863</t>
  </si>
  <si>
    <t>§78; §78</t>
  </si>
  <si>
    <t>308, §316</t>
  </si>
  <si>
    <t>§353</t>
  </si>
  <si>
    <t>§240</t>
  </si>
  <si>
    <t>§24; §24; §30; §24; §24; §24; §24; §24, §69</t>
  </si>
  <si>
    <t>§531</t>
  </si>
  <si>
    <t>§5, §8, §12, §14</t>
  </si>
  <si>
    <t>§59</t>
  </si>
  <si>
    <t>§736; §657</t>
  </si>
  <si>
    <t>§8, §12, §14</t>
  </si>
  <si>
    <t>§75</t>
  </si>
  <si>
    <t>§519</t>
  </si>
  <si>
    <t>§50</t>
  </si>
  <si>
    <t>§437; §437</t>
  </si>
  <si>
    <t>§136</t>
  </si>
  <si>
    <t>§37</t>
  </si>
  <si>
    <t>§1179</t>
  </si>
  <si>
    <t>§6, §12, §13; §6, §12, §13; §6, §12, §13; §6, §12, §13</t>
  </si>
  <si>
    <t>§18</t>
  </si>
  <si>
    <t>48; §28</t>
  </si>
  <si>
    <t>§945</t>
  </si>
  <si>
    <t>§498</t>
  </si>
  <si>
    <t>§1541, §1545, §1548</t>
  </si>
  <si>
    <t>§4</t>
  </si>
  <si>
    <t>§204</t>
  </si>
  <si>
    <t>§601</t>
  </si>
  <si>
    <t>§122</t>
  </si>
  <si>
    <t>§118; §117; §117; §117; §117; §117; §117; 117; §117; §117; 117; §117</t>
  </si>
  <si>
    <t>§84</t>
  </si>
  <si>
    <t>§472; §478</t>
  </si>
  <si>
    <t>§81</t>
  </si>
  <si>
    <t>§154</t>
  </si>
  <si>
    <t>§1258</t>
  </si>
  <si>
    <t>§256</t>
  </si>
  <si>
    <t>§73</t>
  </si>
  <si>
    <t>§241</t>
  </si>
  <si>
    <t>§40; §40; §40; §40; §40</t>
  </si>
  <si>
    <t>§4281</t>
  </si>
  <si>
    <t>§12, §13; §12, §13; §12, §13; §12, §13; §12, §13; §12, §13; §12, §13; §12, §13; §12, §13</t>
  </si>
  <si>
    <t>§94</t>
  </si>
  <si>
    <t>§490</t>
  </si>
  <si>
    <t>§181</t>
  </si>
  <si>
    <t>§38</t>
  </si>
  <si>
    <t>§671</t>
  </si>
  <si>
    <t>§12, §13, §16, §17</t>
  </si>
  <si>
    <t>§455</t>
  </si>
  <si>
    <t>§12, §13, §16, §17; §12, §13, §16, §17; §12, §13, §16, §17; §12, §13, §16, §17; §12, §13, §16, §17; §12, §13, §16, §17; §12, §13, §16, §17</t>
  </si>
  <si>
    <t>§200</t>
  </si>
  <si>
    <t>§1815; §1802</t>
  </si>
  <si>
    <t>§3147</t>
  </si>
  <si>
    <t>§127, §129, 130</t>
  </si>
  <si>
    <t>§83</t>
  </si>
  <si>
    <t>§211</t>
  </si>
  <si>
    <t>§59; 59</t>
  </si>
  <si>
    <t>§882</t>
  </si>
  <si>
    <t>§55</t>
  </si>
  <si>
    <t>§64</t>
  </si>
  <si>
    <t>§6, §9, §13, §17; §6, §9, §13, §17</t>
  </si>
  <si>
    <t>§61</t>
  </si>
  <si>
    <t>§352</t>
  </si>
  <si>
    <t>§152</t>
  </si>
  <si>
    <t>§281</t>
  </si>
  <si>
    <t>§83; §84</t>
  </si>
  <si>
    <t>§197; §197</t>
  </si>
  <si>
    <t>§15; §15; §15</t>
  </si>
  <si>
    <t>§404</t>
  </si>
  <si>
    <t>§95</t>
  </si>
  <si>
    <t>§90</t>
  </si>
  <si>
    <t>§6</t>
  </si>
  <si>
    <t>§539</t>
  </si>
  <si>
    <t>§42</t>
  </si>
  <si>
    <t>§99</t>
  </si>
  <si>
    <t>12, §13, §16, §17</t>
  </si>
  <si>
    <t>§92</t>
  </si>
  <si>
    <t>§124</t>
  </si>
  <si>
    <t>§503</t>
  </si>
  <si>
    <t>§12, §13, §16; §12, §13, §16; §12, §13, §16; §12, §13, §16; §12, §13, §16; §12, §13, §16; §12, §13, §16; §12, §13, §16; §12, §13, §16</t>
  </si>
  <si>
    <t>§45</t>
  </si>
  <si>
    <t>§105</t>
  </si>
  <si>
    <t>§5, §8, §12; §5, §8, §12</t>
  </si>
  <si>
    <t>§32; §32</t>
  </si>
  <si>
    <t>§155</t>
  </si>
  <si>
    <t>§220</t>
  </si>
  <si>
    <t>§1441</t>
  </si>
  <si>
    <t>§100; §100</t>
  </si>
  <si>
    <t>§272</t>
  </si>
  <si>
    <t>§643</t>
  </si>
  <si>
    <t>§5; §5</t>
  </si>
  <si>
    <t>§410</t>
  </si>
  <si>
    <t>§509; §430</t>
  </si>
  <si>
    <t>§24</t>
  </si>
  <si>
    <t>§146, §148, 160; §145, §147, 159</t>
  </si>
  <si>
    <t>§284</t>
  </si>
  <si>
    <t>§29</t>
  </si>
  <si>
    <t>§385</t>
  </si>
  <si>
    <t>§244</t>
  </si>
  <si>
    <t>§127</t>
  </si>
  <si>
    <t>§314</t>
  </si>
  <si>
    <t>§179</t>
  </si>
  <si>
    <t>§119</t>
  </si>
  <si>
    <t>§13, §17; §13, §17</t>
  </si>
  <si>
    <t>§107</t>
  </si>
  <si>
    <t>§284; §275</t>
  </si>
  <si>
    <t>§17, §21; §17, §21; §17, §21; §17, §21; §17, §21; §17, §21; §17, §21</t>
  </si>
  <si>
    <t>§23</t>
  </si>
  <si>
    <t>§522</t>
  </si>
  <si>
    <t>§321</t>
  </si>
  <si>
    <t>§389</t>
  </si>
  <si>
    <t>§296</t>
  </si>
  <si>
    <t>§72</t>
  </si>
  <si>
    <t>§117</t>
  </si>
  <si>
    <t>§21</t>
  </si>
  <si>
    <t>§327</t>
  </si>
  <si>
    <t>§144</t>
  </si>
  <si>
    <t>§185</t>
  </si>
  <si>
    <t>80; §80; 86; §80; §80; §80; §80; §80; §80, §125</t>
  </si>
  <si>
    <t>§673</t>
  </si>
  <si>
    <t>§246</t>
  </si>
  <si>
    <t>§2248</t>
  </si>
  <si>
    <t>§178</t>
  </si>
  <si>
    <t>§149</t>
  </si>
  <si>
    <t>§88</t>
  </si>
  <si>
    <t>§527</t>
  </si>
  <si>
    <t>12, §13, §16</t>
  </si>
  <si>
    <t>§288</t>
  </si>
  <si>
    <t>§1583</t>
  </si>
  <si>
    <t>§125</t>
  </si>
  <si>
    <t>§101</t>
  </si>
  <si>
    <t>§16, §17, §21</t>
  </si>
  <si>
    <t>§697</t>
  </si>
  <si>
    <t>§1745, 1763</t>
  </si>
  <si>
    <t>§459</t>
  </si>
  <si>
    <t>§1764</t>
  </si>
  <si>
    <t>§1952; §1920</t>
  </si>
  <si>
    <t>§108</t>
  </si>
  <si>
    <t>§16, §17, §21; §16, §17, §21; §16, §17, §21; §16, §17, §21; §16, §17, §21; §16, §17, §21; §16, §17, §21</t>
  </si>
  <si>
    <t>§63; §64</t>
  </si>
  <si>
    <t>§370</t>
  </si>
  <si>
    <t>§104</t>
  </si>
  <si>
    <t>§3071</t>
  </si>
  <si>
    <t>§39; §39; §39</t>
  </si>
  <si>
    <t>§1584, 1588</t>
  </si>
  <si>
    <t>§252</t>
  </si>
  <si>
    <t>§146</t>
  </si>
  <si>
    <t>§629</t>
  </si>
  <si>
    <t>§326; §326; §326; §326; §326</t>
  </si>
  <si>
    <t>§856, §860, §862</t>
  </si>
  <si>
    <t>§1015</t>
  </si>
  <si>
    <t>§302</t>
  </si>
  <si>
    <t>§86</t>
  </si>
  <si>
    <t>§298; §351</t>
  </si>
  <si>
    <t>§96; §96; §96</t>
  </si>
  <si>
    <t>§227</t>
  </si>
  <si>
    <t>§34; §40</t>
  </si>
  <si>
    <t>§384</t>
  </si>
  <si>
    <t>§171</t>
  </si>
  <si>
    <t>88; §88</t>
  </si>
  <si>
    <t>§163</t>
  </si>
  <si>
    <t>§68</t>
  </si>
  <si>
    <t>§77; §78</t>
  </si>
  <si>
    <t>§17, §21, §24</t>
  </si>
  <si>
    <t>§85</t>
  </si>
  <si>
    <t>§16, §17</t>
  </si>
  <si>
    <t>§17, §21</t>
  </si>
  <si>
    <t>§6, §13, §16; §6, §13, §16; §6, §13, §16; §6, §13, §16</t>
  </si>
  <si>
    <t>§134</t>
  </si>
  <si>
    <t>§126</t>
  </si>
  <si>
    <t>§233</t>
  </si>
  <si>
    <t>§292; §292; §292</t>
  </si>
  <si>
    <t>§30</t>
  </si>
  <si>
    <t>§70</t>
  </si>
  <si>
    <t>§375</t>
  </si>
  <si>
    <t>§19, §24; §19, §24; §25, §30; §19, §24; §19, §24; §19, §24; §19, §24; §19, §24, §64, §69</t>
  </si>
  <si>
    <t>§272; §272</t>
  </si>
  <si>
    <t>§13, §16, §17, §21</t>
  </si>
  <si>
    <t>§61; §62</t>
  </si>
  <si>
    <t>§51</t>
  </si>
  <si>
    <t>§13, §16, §17, §21; §13, §16, §17, §21; §13, §16, §17, §21; §13, §16, §17, §21; §13, §16, §17, §21; §13, §16, §17, §21; §13, §16, §17, §21</t>
  </si>
  <si>
    <t>§196</t>
  </si>
  <si>
    <t>§90; §91</t>
  </si>
  <si>
    <t>§192</t>
  </si>
  <si>
    <t>§265</t>
  </si>
  <si>
    <t>§202</t>
  </si>
  <si>
    <t>§789</t>
  </si>
  <si>
    <t>§145; §145</t>
  </si>
  <si>
    <t>§146, §148, §156; §145, §147, §155</t>
  </si>
  <si>
    <t>§1541, §1545</t>
  </si>
  <si>
    <t>§158</t>
  </si>
  <si>
    <t>§13</t>
  </si>
  <si>
    <t>§1053</t>
  </si>
  <si>
    <t>§1592, §1593, §1596, §1598</t>
  </si>
  <si>
    <t>§9, §13, §17; §9, §13, §17</t>
  </si>
  <si>
    <t>§37; §43</t>
  </si>
  <si>
    <t>§263</t>
  </si>
  <si>
    <t>§69, §74; §69, §74</t>
  </si>
  <si>
    <t>§1913; §1900</t>
  </si>
  <si>
    <t>§438</t>
  </si>
  <si>
    <t>§176</t>
  </si>
  <si>
    <t>§162</t>
  </si>
  <si>
    <t>§393; §394; §394; §394; §394; 394; §394; §394; §401</t>
  </si>
  <si>
    <t>§608</t>
  </si>
  <si>
    <t>§226; §227</t>
  </si>
  <si>
    <t>§115</t>
  </si>
  <si>
    <t>§6, §13, §17; §6, §13, §17</t>
  </si>
  <si>
    <t>§146, §148, §156, 160; §145, §147, §155, 159</t>
  </si>
  <si>
    <t>§235</t>
  </si>
  <si>
    <t>§13, §16, §17</t>
  </si>
  <si>
    <t>§56</t>
  </si>
  <si>
    <t>§122; §121; §121; §121; §121; §121; §121; §121; §121; §121; §121</t>
  </si>
  <si>
    <t>§190</t>
  </si>
  <si>
    <t>§58</t>
  </si>
  <si>
    <t>§63</t>
  </si>
  <si>
    <t>§13, §16, §17; §13, §16, §17; §13, §16, §17; §13, §16, §17; §13, §16, §17; §13, §16, §17; §13, §16, §17; §13, §16, §17; §13, §16, §17</t>
  </si>
  <si>
    <t>§121</t>
  </si>
  <si>
    <t>§4, §15</t>
  </si>
  <si>
    <t>§346</t>
  </si>
  <si>
    <t>§118</t>
  </si>
  <si>
    <t>§127, §129; §127, §129</t>
  </si>
  <si>
    <t>§74</t>
  </si>
  <si>
    <t>§32</t>
  </si>
  <si>
    <t>§457</t>
  </si>
  <si>
    <t>§260</t>
  </si>
  <si>
    <t>§264</t>
  </si>
  <si>
    <t>§80</t>
  </si>
  <si>
    <t>§33</t>
  </si>
  <si>
    <t>§435</t>
  </si>
  <si>
    <t>§10, §21</t>
  </si>
  <si>
    <t>§10, 23</t>
  </si>
  <si>
    <t>§9, §13; §9, §13</t>
  </si>
  <si>
    <t>§402</t>
  </si>
  <si>
    <t>§400; §401; §401; §401; §401; 401; §401; §401</t>
  </si>
  <si>
    <t>310; §311; §311; §311; §311</t>
  </si>
  <si>
    <t>§174</t>
  </si>
  <si>
    <t>§150</t>
  </si>
  <si>
    <t>§406</t>
  </si>
  <si>
    <t>§166</t>
  </si>
  <si>
    <t>§180</t>
  </si>
  <si>
    <t>§113</t>
  </si>
  <si>
    <t>§396</t>
  </si>
  <si>
    <t>§141</t>
  </si>
  <si>
    <t>§842; §889; §854</t>
  </si>
  <si>
    <t>§142</t>
  </si>
  <si>
    <t>§53</t>
  </si>
  <si>
    <t>§229</t>
  </si>
  <si>
    <t>§18; §18; §18</t>
  </si>
  <si>
    <t>§469</t>
  </si>
  <si>
    <t>§17, §21, 24</t>
  </si>
  <si>
    <t>§790</t>
  </si>
  <si>
    <t>154; §154; 154</t>
  </si>
  <si>
    <t>§170</t>
  </si>
  <si>
    <t>102; §82</t>
  </si>
  <si>
    <t>§6; §6; §6; §6</t>
  </si>
  <si>
    <t>§6, §9; §6, §9</t>
  </si>
  <si>
    <t>§24, §26</t>
  </si>
  <si>
    <t>§312</t>
  </si>
  <si>
    <t>§268</t>
  </si>
  <si>
    <t>§335</t>
  </si>
  <si>
    <t>§19</t>
  </si>
  <si>
    <t>§30; 30</t>
  </si>
  <si>
    <t>§290</t>
  </si>
  <si>
    <t>§554</t>
  </si>
  <si>
    <t>§261</t>
  </si>
  <si>
    <t>§60</t>
  </si>
  <si>
    <t>§199</t>
  </si>
  <si>
    <t>§328</t>
  </si>
  <si>
    <t>§1712; §1673</t>
  </si>
  <si>
    <t>§54</t>
  </si>
  <si>
    <t>§70; §70; §70; §69</t>
  </si>
  <si>
    <t>§236; §235; §226</t>
  </si>
  <si>
    <t>§36</t>
  </si>
  <si>
    <t>§689</t>
  </si>
  <si>
    <t>§455; 2307</t>
  </si>
  <si>
    <t>§206</t>
  </si>
  <si>
    <t>§523</t>
  </si>
  <si>
    <t>§369</t>
  </si>
  <si>
    <t>§1983; §1843; §1984</t>
  </si>
  <si>
    <t>1838; §1799</t>
  </si>
  <si>
    <t>§295</t>
  </si>
  <si>
    <t>§449</t>
  </si>
  <si>
    <t>§77</t>
  </si>
  <si>
    <t>§44; §44</t>
  </si>
  <si>
    <t>§3</t>
  </si>
  <si>
    <t>§147; §147; §147</t>
  </si>
  <si>
    <t>§34</t>
  </si>
  <si>
    <t>§20</t>
  </si>
  <si>
    <t>§420</t>
  </si>
  <si>
    <t>§237</t>
  </si>
  <si>
    <t>§318</t>
  </si>
  <si>
    <t>§221</t>
  </si>
  <si>
    <t>§434</t>
  </si>
  <si>
    <t>§6, §12, §13, §16; §6, §12, §13, §16; §6, §12, §13, §16; §6, §12, §13, §16</t>
  </si>
  <si>
    <t>§6, §12, §13, §17; §6, §12, §13, §17; §6, §12, §13, §17; §6, §12, §13, §17</t>
  </si>
  <si>
    <t>§1026; §1027</t>
  </si>
  <si>
    <t>§737</t>
  </si>
  <si>
    <t>§6, §9, §13; §6, §9, §13</t>
  </si>
  <si>
    <t>§110</t>
  </si>
  <si>
    <t>§605</t>
  </si>
  <si>
    <t>§1234</t>
  </si>
  <si>
    <t>§233; §210</t>
  </si>
  <si>
    <t>§31</t>
  </si>
  <si>
    <t>§473</t>
  </si>
  <si>
    <t>§95; §95; §95</t>
  </si>
  <si>
    <t>§377</t>
  </si>
  <si>
    <t>§17, §21, §24; §17, §21, §24; §17, §21, §24; §17, §21, §24; §17, §21, §24; §17, §21, §24; §17, §21, §24</t>
  </si>
  <si>
    <t>§249</t>
  </si>
  <si>
    <t>§69</t>
  </si>
  <si>
    <t>§191</t>
  </si>
  <si>
    <t>§273</t>
  </si>
  <si>
    <t>§371; §371</t>
  </si>
  <si>
    <t>§484</t>
  </si>
  <si>
    <t>§1742, §1745</t>
  </si>
  <si>
    <t>§27</t>
  </si>
  <si>
    <t>§172</t>
  </si>
  <si>
    <t>§655</t>
  </si>
  <si>
    <t>§275</t>
  </si>
  <si>
    <t>§1217</t>
  </si>
  <si>
    <t>§44</t>
  </si>
  <si>
    <t>§254</t>
  </si>
  <si>
    <t>§1021</t>
  </si>
  <si>
    <t>§462</t>
  </si>
  <si>
    <t>56; §5</t>
  </si>
  <si>
    <t>§17; §17</t>
  </si>
  <si>
    <t>§400; §351</t>
  </si>
  <si>
    <t>§114, §127, §129; §114, §127, §129</t>
  </si>
  <si>
    <t>§333</t>
  </si>
  <si>
    <t>§188</t>
  </si>
  <si>
    <t>§131</t>
  </si>
  <si>
    <t>§102; §102</t>
  </si>
  <si>
    <t>§2524</t>
  </si>
  <si>
    <t>575; §653; §542</t>
  </si>
  <si>
    <t>§203</t>
  </si>
  <si>
    <t>§41; §41</t>
  </si>
  <si>
    <t>§564</t>
  </si>
  <si>
    <t>§35</t>
  </si>
  <si>
    <t>§1628; §1589</t>
  </si>
  <si>
    <t>§57</t>
  </si>
  <si>
    <t>§105, §106</t>
  </si>
  <si>
    <t>§13, §16, §21; §13, §16, §21; §13, §16, §21; §13, §16, §21; §13, §16, §21; §13, §16, §21; §13, §16, §21</t>
  </si>
  <si>
    <t>§82; §70</t>
  </si>
  <si>
    <t>§147</t>
  </si>
  <si>
    <t>§35; §35; §35; 35; §35; 35; 35; 35; §35</t>
  </si>
  <si>
    <t>§15; §21; §15; §15; §15; §15; §15; §15, §60</t>
  </si>
  <si>
    <t>§398</t>
  </si>
  <si>
    <t>§1214</t>
  </si>
  <si>
    <t>§368</t>
  </si>
  <si>
    <t>§148; §148</t>
  </si>
  <si>
    <t>§90; §91; §90</t>
  </si>
  <si>
    <t>§201</t>
  </si>
  <si>
    <t>§8, §12; §8, §12</t>
  </si>
  <si>
    <t>§110; §109; §109; §109; §109; §109; §109; §109; §109; §109; §109; §109</t>
  </si>
  <si>
    <t>§106</t>
  </si>
  <si>
    <t>§112; §112; §112</t>
  </si>
  <si>
    <t>§499</t>
  </si>
  <si>
    <t>§577</t>
  </si>
  <si>
    <t>§13, §16, §21</t>
  </si>
  <si>
    <t>§13, §17, §21</t>
  </si>
  <si>
    <t>§290; §290; §290</t>
  </si>
  <si>
    <t>§132</t>
  </si>
  <si>
    <t>§330; §330; §328; §329; §330; §328; §329</t>
  </si>
  <si>
    <t>310; §311; §311; §311; 311; 311; §311; 311</t>
  </si>
  <si>
    <t>§393; §394; §394; §394; §394; 394; §394; §394</t>
  </si>
  <si>
    <t>145; §145; §145</t>
  </si>
  <si>
    <t>–</t>
  </si>
  <si>
    <t>Biological % CV</t>
  </si>
  <si>
    <t>Analytical % CV</t>
  </si>
  <si>
    <t>CKGVPVCK*EENMKFC</t>
  </si>
  <si>
    <t>FTLTTLKK*EAKFELR; FTLTTLKK*EAKFELR; FTLTTLKK*EAKFELR</t>
  </si>
  <si>
    <t>ESEDGATK*PKLFASR; ESEDGATK*PKLFASR</t>
  </si>
  <si>
    <t>HQCVRLSK*FDSERSI</t>
  </si>
  <si>
    <t>AAAGPEAK*SDAAPAA</t>
  </si>
  <si>
    <t>APAASDSK*PSSAEPA</t>
  </si>
  <si>
    <t>CEVENRPK*YYGREYH</t>
  </si>
  <si>
    <t>LVDQMIDK*TKVEKSE, DQMIDKTK*VEKSEAK; KRKYSAAK*TKVEKKK, KYSAAKTK*VEKKKKK</t>
  </si>
  <si>
    <t>GSARSVGK*VEPSSQS; GSARSVGK*VEPSSQS</t>
  </si>
  <si>
    <t>ETKTEELK*PQVEEKH; ETKTEELK*PQVEEKH</t>
  </si>
  <si>
    <t>VRCKLDEK*VSTEAEF</t>
  </si>
  <si>
    <t>SAEDLKEK*CTELNQA; SAEDLKEK*CTELNQA; SAEDLKEK*CTELNQA</t>
  </si>
  <si>
    <t>EDSGELAK*PKIGFPE</t>
  </si>
  <si>
    <t>GTKASTDK*YAVFKGI; GTKASTDK*YAVFKGI</t>
  </si>
  <si>
    <t>HPPAAATK*YDVFKQL; HPPAAATK*YDVFKQL</t>
  </si>
  <si>
    <t>FATGNDRK*EAAENSL</t>
  </si>
  <si>
    <t>IISSIEQK*EENKGGE</t>
  </si>
  <si>
    <t>IEQKEENK*GGEDKLK</t>
  </si>
  <si>
    <t>ENKGGEDK*LKMIREY</t>
  </si>
  <si>
    <t>TSADGNEK*KIEMVRA</t>
  </si>
  <si>
    <t>SADGNEKK*IEMVRAY</t>
  </si>
  <si>
    <t>TMADGNEK*KLEKVKA</t>
  </si>
  <si>
    <t>MADGNEKK*LEKVKAY</t>
  </si>
  <si>
    <t>NASQPESK*VFYLKMK</t>
  </si>
  <si>
    <t>QEAFEISK*KEMQPTH</t>
  </si>
  <si>
    <t>-----MDK*NELVQKA</t>
  </si>
  <si>
    <t>VVSSIEQK*TEGAEKK</t>
  </si>
  <si>
    <t>DLTDYLMK*ILTERGY; DLTDYLMK*ILTERGY; DLTDYLMK*ILTERGY; DLTDYLMK*ILTERGY; DLTDYLMK*ILTERGY; DLTDYLMK*ILTERGY; DLTDYLMK*ILTERGY</t>
  </si>
  <si>
    <t>APSTMKIK*IIAPPER; APSTMKIK*IIAPPER; APSTMKIK*IIAPPER; APSTMKIK*IIAPPER; APSTMKIK*IIAPPER; APSTMKIK*IIAPPER; APSTMKIK*IIAPPER</t>
  </si>
  <si>
    <t>KRGILTLK*YPIEHGI; KRGILTLK*YPIEHGI; KRGILTLK*YPIEHGI; KRGILTLK*YPIEHGI</t>
  </si>
  <si>
    <t>LGIVEDIK*TRCCFVA</t>
  </si>
  <si>
    <t>DLVKEFNK*YDTDGSK</t>
  </si>
  <si>
    <t>RSVCHLQK*VFERYKS</t>
  </si>
  <si>
    <t>ARGSYNIK*SRFTDDD</t>
  </si>
  <si>
    <t>FFKNYEIK*NEADRTL</t>
  </si>
  <si>
    <t>ELGPAVDK*DKEALME</t>
  </si>
  <si>
    <t>MLVRLNSK*WDLRRLC</t>
  </si>
  <si>
    <t>KMIYASSK*DAIKKKL; KMIYASSK*DAIKKKF; KMIYASSK*DAIKKKF</t>
  </si>
  <si>
    <t>KKKLTGIK*HELQANC</t>
  </si>
  <si>
    <t>ANCYEEVK*DRCTLAE</t>
  </si>
  <si>
    <t>LFCLSEDK*KNIILEE</t>
  </si>
  <si>
    <t>FVKMLPDK*DCRYALY</t>
  </si>
  <si>
    <t>KVKVAILK*YIETLAK</t>
  </si>
  <si>
    <t>RAVNYFSK*VKQLPLV</t>
  </si>
  <si>
    <t>LYRNNLQK*YIEIYVQ</t>
  </si>
  <si>
    <t>YDSRVVGK*YCEKRDP</t>
  </si>
  <si>
    <t>PSGPKGEK*GEQGAKG</t>
  </si>
  <si>
    <t>PRTPVPSK*YIRFIFN</t>
  </si>
  <si>
    <t>YTLEPSEK*PFDMKSI</t>
  </si>
  <si>
    <t>EPEPTESK*GEPRSEM</t>
  </si>
  <si>
    <t>QTLCCYGK*QLCTIPR</t>
  </si>
  <si>
    <t>EGSQGDSK*NAKKKNN, GDSKNAKK*KNNKKTN</t>
  </si>
  <si>
    <t>NAKKKNNK*KTNKNKS, AKKKNNKK*TNKNKSS, KNNKKTNK*NKSSISR, NKKTNKNK*SSISRAN</t>
  </si>
  <si>
    <t>KLYATMEK*HKEVFFV; KLYATMEK*HKEVFFV</t>
  </si>
  <si>
    <t>VYTCNECK*HHVETRW; VYTCNECK*HHVETRW</t>
  </si>
  <si>
    <t>NTKSHTHK*MVKWGLG, SHTHKMVK*WGLGLDD</t>
  </si>
  <si>
    <t>SHTHKMVK*WGLGLDD, SQGEPQSK*SPQESRR</t>
  </si>
  <si>
    <t>AKHCQENK*CPVPFCL; AKHCQENK*CPVPFCL</t>
  </si>
  <si>
    <t>ASYVASTK*YQKSQGM; ASYVASTK*YQKVYGT; ASYVASTK*YQKVYGT</t>
  </si>
  <si>
    <t>LDESEKKK*PQQKEDI, EKKKPQQK*EDILKRL, QQKEDILK*RLKAEMN</t>
  </si>
  <si>
    <t>NRYNMPFK*AQIQKWV</t>
  </si>
  <si>
    <t>YLTMLTEK*RKQLVSA</t>
  </si>
  <si>
    <t>TEQRNVYK*DYRQLEL; TEQRNVYK*DYRQLEL; TEQRNVYK*DYRQLEL; TEQRNVYK*DYRQLEL; TEQRNVYK*DYRFLEL</t>
  </si>
  <si>
    <t>LAVDLSCK*IEQYYEA</t>
  </si>
  <si>
    <t>YLKRRQVK*LVNIRND; YLKRRQVK*LVNIRND; YLKRRQVK*LVNIRND; FLKQRQVK*LVNIRND; FLKQRQVK*LVNIRND</t>
  </si>
  <si>
    <t>LRKIRNTK*YPIQRAL</t>
  </si>
  <si>
    <t>RSFDSEFK*LACKVDG</t>
  </si>
  <si>
    <t>NESTDVTK*GDSKNAK, DVTKGDSK*NAKKKNN</t>
  </si>
  <si>
    <t>NESTDVTK*GDSKNAK, DVTKGDSK*NAKKKNN, KGDSKNAK*KKNNKKT</t>
  </si>
  <si>
    <t>NESTDVTK*GDSKNAK, DVTKGDSK*NAKKKNN, KGDSKNAK*KKNNKKT, GDSKNAKK*KNNKKTS</t>
  </si>
  <si>
    <t>EYNALGGK*YNRGLTV</t>
  </si>
  <si>
    <t>KYLDVKHK*EHPNRIH</t>
  </si>
  <si>
    <t>GRYLAADK*DGNVTCE</t>
  </si>
  <si>
    <t>KCDPRHGK*YMACCLL; KCDPRHGK*YMACCLL; KCDPRHGK*YMACCLL; KCDPRHGK*YMACCLL; KCDPRHGK*YMACCML; KCDPRHGK*YMACCML; KCDPRHGK*YMACCLL; KCDPRHGK*YMACCML</t>
  </si>
  <si>
    <t>KCDPRHGK*YMACCLL; KCDPRHGK*YMACCLL; KCDPRHGK*YMACCLL; KCDPRHGK*YMACCLL; KCDPRHGK*YMACCLL</t>
  </si>
  <si>
    <t>AWARLDHK*FDLMYAK; AWARLDHK*FDLMYAK; AWARLDHK*FDLMYAK; AWARLDHK*FDLMYAK; AWARLDHK*FDLMYAK; AWARLDHK*FDLMYAK; AWARLDHK*FDLMYAK; AWARLDHK*FDLMYAK; AWARLDHK*FDLMYAK</t>
  </si>
  <si>
    <t>AWARLDHK*FDLMYAK; AWARLDHK*FDLMYAK; AWARLDHK*FDLMYAK; AWARLDHK*FDLMYAK; AWARLDHK*FDLMYAK; AWARLDHK*FDLMYAK; AWARLDHK*FDLMYAK; AWARLDHK*FDLMYAK</t>
  </si>
  <si>
    <t>KFDLMYAK*RAFVYWY; KFDLMYAK*RAFVHWY; KFDLMYAK*RAFVHWY; KFDLMYAK*RAFVHWY; KFDLMYAK*RAFVHWY; KFDLMYAK*RAFVHWY; KFDLMYAK*RAFVHWY; KFDLMYAK*RAFVHWY</t>
  </si>
  <si>
    <t>PEQLITGK*EDAANNY; PEQLITGK*EDAANNY; PEQLITGK*EDAANNY; PEQLITGK*EDAANNY; PEQLITGK*EDAANNY; PEQLITGK*EDAANNY; PEQLITGK*EDAANNY; PEQLITGK*EDAANNY</t>
  </si>
  <si>
    <t>LLLRISEK*EEVTTRE</t>
  </si>
  <si>
    <t>KILQAGFK*RMGVDKI</t>
  </si>
  <si>
    <t>PALLMLQK*QLSLPQT</t>
  </si>
  <si>
    <t>DAYCSEEK*ELKASAE</t>
  </si>
  <si>
    <t>YASLASEK*VQSLEGE</t>
  </si>
  <si>
    <t>ERKSCFWK*LIRHLDR</t>
  </si>
  <si>
    <t>DALRVKKK*MEGDLNE</t>
  </si>
  <si>
    <t>EPPESEAK*PAPTEVK; EPPESEAK*PAPTEVK</t>
  </si>
  <si>
    <t>PIRHYLVK*YRALASE; PIRHYLVK*YRALASE</t>
  </si>
  <si>
    <t>TRHQVHEK*EEFKALK</t>
  </si>
  <si>
    <t>ECLINISK*YKFSLVI</t>
  </si>
  <si>
    <t>DKKCLEEK*NEILQGK</t>
  </si>
  <si>
    <t>KKAYSMAK*YLRDSGF</t>
  </si>
  <si>
    <t>YISQESDK*DAHLIPD</t>
  </si>
  <si>
    <t>SDDEFIIK*TVQHKEA; SDDEFIIK*TVQHKEA</t>
  </si>
  <si>
    <t>HLTGEFEK*KYVATLG</t>
  </si>
  <si>
    <t>NAEYACYK*AEKFAKL; NAEYACYK*AEKFAKL</t>
  </si>
  <si>
    <t>REEYADFK*PFEQAWE; REEYADFK*PFEQAWE</t>
  </si>
  <si>
    <t>EFLHAIEK*RGVGAME</t>
  </si>
  <si>
    <t>LSKELISK*FLLKRPR</t>
  </si>
  <si>
    <t>HKFYHDAK*EIFGRIQ; HKFYHDAK*EIFGRIQ</t>
  </si>
  <si>
    <t>RLVDTGDK*FRFFSMV; RLVDTGDK*FRFFSMV</t>
  </si>
  <si>
    <t>RALCQPMK*ERCRRLH</t>
  </si>
  <si>
    <t>RRLLLASK*ELHQVAH</t>
  </si>
  <si>
    <t>HDALCVVK*RVLELKS; HDALCVVK*RVLELKS</t>
  </si>
  <si>
    <t>----MADK*PDMGEIA</t>
  </si>
  <si>
    <t>----MADK*PDMGEIA, GEIASFDK*AKLKKTE</t>
  </si>
  <si>
    <t>LPATMSDK*PDMAEIE</t>
  </si>
  <si>
    <t>LPATMSDK*PDMAEIE, AEIEKFDK*SKLKKTE</t>
  </si>
  <si>
    <t>LPATMSDK*PDMAEIE, IEKFDKSK*LKKTETQ</t>
  </si>
  <si>
    <t>RGHYTIGK*EIIDLVL; RGHYTIGK*EIIDLVL; RGHYTIGK*EIIDLVL</t>
  </si>
  <si>
    <t>YRGDVVPK*DVNAAIA; YRGDVVPK*DVNAAIA; YRGDVVPK*DVNAAIA; YRGDVVPK*DVNAAIA; YRGDVVPK*DVNAAIA</t>
  </si>
  <si>
    <t>DGQMPSDK*TIGGGDD; DGQMPSDK*TIGGGDD; DGQMPSDK*TIGGGDD; DGQMPSDK*TIGGGDD; DGQMPSDK*TIGGGDD</t>
  </si>
  <si>
    <t>TAIQELFK*RISEQFT; TAIQELFK*RISEQFT; TAIQELFK*RISEQFT</t>
  </si>
  <si>
    <t>YNEAAGNK*YVPRAIL</t>
  </si>
  <si>
    <t>YNEASSHK*YVPRAIL</t>
  </si>
  <si>
    <t>YNEATGGK*YVPRAIL</t>
  </si>
  <si>
    <t>DASLTMVK*LRASDAG</t>
  </si>
  <si>
    <t>EKKSVRGK*GKGQKRK, KSVRGKGK*GQKRKRK, RGKGKGQK*RKRKKSR</t>
  </si>
  <si>
    <t>RDLFGTGK*LVQPGDL</t>
  </si>
  <si>
    <t>VRLKTPTK*PPCQ---</t>
  </si>
  <si>
    <t>RVRSGDWK*GYTGKSI</t>
  </si>
  <si>
    <t>FIIPNIVK*YSPHCKL</t>
  </si>
  <si>
    <t>LVDVMEDK*LKGEMMD</t>
  </si>
  <si>
    <t>TPKIVSSK*DYCVTAN</t>
  </si>
  <si>
    <t>ATQQDTAK*GDQLERV</t>
  </si>
  <si>
    <t>HKGVKEHK*CGICGRE</t>
  </si>
  <si>
    <t>EAFSLFDK*DGDGTIT; EAFSLFDK*DGDGTIT; EAFSLFDK*DGDGTIT</t>
  </si>
  <si>
    <t>EAFRVFDK*DGNGYIS; EAFRVFDK*DGNGYIS; EAFRVFDK*DGNGYIS</t>
  </si>
  <si>
    <t>QRRESSLK*YQTRCIR</t>
  </si>
  <si>
    <t>VTEHLINK*VREDVLN</t>
  </si>
  <si>
    <t>HVQKWDGK*ETNCTRE</t>
  </si>
  <si>
    <t>RQVGNVTK*PTVIISQ</t>
  </si>
  <si>
    <t>SGAYVQNK*EFRETVE</t>
  </si>
  <si>
    <t>VGDKGSGK*RLEFGKP</t>
  </si>
  <si>
    <t>RLNLYELK*EGRQIKP</t>
  </si>
  <si>
    <t>AAAELSAK*DLKEKKD</t>
  </si>
  <si>
    <t>ELSAKDLK*EKKDKVE</t>
  </si>
  <si>
    <t>LRRVIGAK*KDQYFLD, RRVIGAKK*DQYFLDK</t>
  </si>
  <si>
    <t>DEEMKAAK*EKLKYWQ</t>
  </si>
  <si>
    <t>KAAKEKLK*YWQRLRH</t>
  </si>
  <si>
    <t>PTEDFRRK*LLKAGGD, DFRRKLLK*AGGDPNR</t>
  </si>
  <si>
    <t>LDDLRALK*HELAFKL; LDDLRALK*HELAFKL; LDDLRALK*HELAFKL; LDDLRALK*HELAFKL</t>
  </si>
  <si>
    <t>KKKKIKEK*YIDQEEL; KTKKIKEK*YIDQEEL</t>
  </si>
  <si>
    <t>PKVQVEYK*GETKSFY</t>
  </si>
  <si>
    <t>-----MSK*GPAVGID</t>
  </si>
  <si>
    <t>HQQKELEK*VCNPIIT</t>
  </si>
  <si>
    <t>NMVKNAEK*YAEEDRR</t>
  </si>
  <si>
    <t>VLARSIAK*EGFEKIS</t>
  </si>
  <si>
    <t>IAKEGFEK*ISKGANP</t>
  </si>
  <si>
    <t>VGEVIVTK*DDAMLLK</t>
  </si>
  <si>
    <t>GDKAHIEK*RIQEITE</t>
  </si>
  <si>
    <t>TSEYEKEK*LNERLAK</t>
  </si>
  <si>
    <t>IPALDSLK*PANEDQK</t>
  </si>
  <si>
    <t>KIGIEIIK*RALKIPA</t>
  </si>
  <si>
    <t>DVNVNFEK*SKLTFSC</t>
  </si>
  <si>
    <t>RIGNSYFK*EEKYKDA</t>
  </si>
  <si>
    <t>DSRVNASK*TVDKKHN</t>
  </si>
  <si>
    <t>GNNGPTHK*KLYRHKS, HKKLYRHK*SSSKGLR</t>
  </si>
  <si>
    <t>DRRVVNGK*VEYFLKW</t>
  </si>
  <si>
    <t>---MAGGK*AGKDSGK, MAGGKAGK*DSGKAKA; ---MAGGK*AGKDSGK, MAGGKAGK*DSGKAKT</t>
  </si>
  <si>
    <t>---MAGGK*AGKDSGK, MAGGKAGK*DSGKAKA, KAGKDSGK*AKAKAVS; ---MAGGK*AGKDSGK, MAGGKAGK*DSGKAKT, KAGKDSGK*AKTKAVS</t>
  </si>
  <si>
    <t>---MAGGK*AGKDSGK, MAGGKAGK*DSGKAKA, KAGKDSGK*AKAKAVS, GKDSGKAK*AKAVSRS</t>
  </si>
  <si>
    <t>MAGGKAGK*DSGKAKA, KAGKDSGK*AKAKAVS; MAGGKAGK*DSGKAKT, KAGKDSGK*AKTKAVS</t>
  </si>
  <si>
    <t>MAGGKAGK*DSGKAKA, KAGKDSGK*AKAKAVS, GKDSGKAK*AKAVSRS</t>
  </si>
  <si>
    <t>TSKKSKAK*DSDKEGT</t>
  </si>
  <si>
    <t>SKAKDSDK*EGTSNST</t>
  </si>
  <si>
    <t>---MAGGK*AGKDSGK, MAGGKAGK*DSGKAKT, KAGKDSGK*AKTKAVS, GKDSGKAK*TKAVSRS</t>
  </si>
  <si>
    <t>MAGGKAGK*DSGKAKT, KAGKDSGK*AKTKAVS, GKDSGKAK*TKAVSRS</t>
  </si>
  <si>
    <t>GLKSLVSK*GTLVQTK; GLKSLVSK*GTLVQTK; GLKSLVSK*GTLVQTK</t>
  </si>
  <si>
    <t>KKVAKSPK*KAKVTKP, KVAKSPKK*AKVTKPK, AKSPKKAK*VTKPKKV</t>
  </si>
  <si>
    <t>AAGYDVEK*NNSRIKL; AAGYDVEK*NNSRIKL; AAGYDVEK*NNSRIKL; AAGYDVEK*NNSRIKL</t>
  </si>
  <si>
    <t>LLPGELAK*HAVSEGT; LLPGELAK*HAVSEGT; LLPGELAK*HAVSEGT; LLPGELAK*HAVSEGT; LLPGELAK*HAVSEGT; LLPGELAK*HAVSEGT; LLPGELAK*HAVSEGT; LLPGELAK*HAVSEGT; LLPGELAK*HAVSEGT; LLPGELAK*HAVSEGT; LLPGELAK*HAVSEGT; LLPGELAK*HAVSEGT</t>
  </si>
  <si>
    <t>HAVSEGTK*AVTKYTS; HAVSEGTK*AVTKYTS; HAVSEGTK*AVTKYTS; HAVSEGTK*AVTKYTS; HAVSEGTK*AVTKYTS; HAVSEGTK*AVTKYTS; HAVSEGTK*AVTKYTS; HAVSEGTK*AVTKYTS; HAVSEGTK*AVTKYTS; HAVSEGTK*AVTKYTS; HAVSEGTK*AVTKYTS; HAVSEGTK*AVTKYTS</t>
  </si>
  <si>
    <t>EGTKAVTK*YTSSK--; EGTKAVTK*YTSSK--; EGTKAVTK*YTSSK--; EGTKAVTK*YTSSK--; EGTKAVTK*YTSSK--; EGTKAVTK*YTSSK--; EGTKAVTK*YTSSK--; EGTKAVTK*YTSSK--; EGTKAVTK*YTSSK--; EGTKAVTK*YTSSK--; EGTKAVTK*YTSSK--</t>
  </si>
  <si>
    <t>SKSAPAPK*KGSKKAI, KSAPAPKK*GSKKAIS; AKSAPAPK*KGSKKAV, KSAPAPKK*GSKKAVT; AKSAPAPK*KGSKKAV, KSAPAPKK*GSKKAVT; AKSAPAPK*KGSKKAL, KSAPAPKK*GSKKALT; TKSAPAPK*KGSKKAV, KSAPAPKK*GSKKAVT; AKSAPAPK*KGSKKAV, KSAPAPKK*GSKKAVT; AKSAPAPK*KGSKKAV, KSAPAPKK*GSKKAVT; AKSAPAPK*KGSKKAV, KSAPAPKK*GSKKAVT; SKSAPAPK*KGSKKAV, KSAPAPKK*GSKKAVT</t>
  </si>
  <si>
    <t>SKSAPAPK*KGSKKAI, KSAPAPKK*GSKKAIS, PAPKKGSK*KAISKAQ; AKSAPAPK*KGSKKAV, KSAPAPKK*GSKKAVT, PAPKKGSK*KAVTKAQ; AKSAPAPK*KGSKKAV, KSAPAPKK*GSKKAVT, PAPKKGSK*KAVTKAQ; AKSAPAPK*KGSKKAL, KSAPAPKK*GSKKALT, PAPKKGSK*KALTKAQ; TKSAPAPK*KGSKKAV, KSAPAPKK*GSKKAVT, PAPKKGSK*KAVTKAQ; AKSAPAPK*KGSKKAV, KSAPAPKK*GSKKAVT, PAPKKGSK*KAVTKAQ; AKSAPAPK*KGSKKAV, KSAPAPKK*GSKKAVT, PAPKKGSK*KAVTKVQ; AKSAPAPK*KGSKKAV, KSAPAPKK*GSKKAVT, PAPKKGSK*KAVTKAQ; SKSAPAPK*KGSKKAV, KSAPAPKK*GSKKAVT, PAPKKGSK*KAVTKAQ</t>
  </si>
  <si>
    <t>SKSAPAPK*KGSKKAI, KSAPAPKK*GSKKAIS, PAPKKGSK*KAISKAQ, APKKGSKK*AISKAQK</t>
  </si>
  <si>
    <t>KSAPAPKK*GSKKAIS, PAPKKGSK*KAISKAQ, APKKGSKK*AISKAQK</t>
  </si>
  <si>
    <t>KSAPAPKK*GSKKAIS, PAPKKGSK*KAISKAQ, APKKGSKK*AISKAQK, GSKKAISK*AQKKDGK</t>
  </si>
  <si>
    <t>APKKGSKK*AISKAQK, GSKKAISK*AQKKDGK</t>
  </si>
  <si>
    <t>KKRKRSRK*ESYSVYV; KKRKRSRK*ESYSVYV; KKRKRSRK*ESYSVYV; KKRKRSRK*ESYSVYV; KKRKRSRK*ESYSVYV; KKRKRSRK*ESYSVYV; KKRKRSRK*ESYSVYV; EERKRSRK*ESYSVYV; KKRKRSRK*ESYSVYV</t>
  </si>
  <si>
    <t>AKSAPAPK*KGSKKAV, KSAPAPKK*GSKKAVT, PAPKKGSK*KAVTKAQ, APKKGSKK*AVTKAQK; AKSAPAPK*KGSKKAV, KSAPAPKK*GSKKAVT, PAPKKGSK*KAVTKAQ, APKKGSKK*AVTKAQK; TKSAPAPK*KGSKKAV, KSAPAPKK*GSKKAVT, PAPKKGSK*KAVTKAQ, APKKGSKK*AVTKAQK; AKSAPAPK*KGSKKAV, KSAPAPKK*GSKKAVT, PAPKKGSK*KAVTKAQ, APKKGSKK*AVTKAQK; AKSAPAPK*KGSKKAV, KSAPAPKK*GSKKAVT, PAPKKGSK*KAVTKVQ, APKKGSKK*AVTKVQK; AKSAPAPK*KGSKKAV, KSAPAPKK*GSKKAVT, PAPKKGSK*KAVTKAQ, APKKGSKK*AVTKAQK; SKSAPAPK*KGSKKAV, KSAPAPKK*GSKKAVT, PAPKKGSK*KAVTKAQ, APKKGSKK*AVTKAQK</t>
  </si>
  <si>
    <t>KSAPAPKK*GSKKAVT, PAPKKGSK*KAVTKAQ, APKKGSKK*AVTKAQK; KSAPAPKK*GSKKAVT, PAPKKGSK*KAVTKAQ, APKKGSKK*AVTKAQK; KSAPAPKK*GSKKAVT, PAPKKGSK*KAVTKAQ, APKKGSKK*AVTKAQK; KSAPAPKK*GSKKAVT, PAPKKGSK*KAVTKAQ, APKKGSKK*AVTKAQK; KSVPAPKK*GSKKAVT, PAPKKGSK*KAVTKAQ, APKKGSKK*AVTKAQK; KSVPAPKK*GSKKAVT, PAPKKGSK*KAVTKVR, APKKGSKK*AVTKVRK; KSAPAPKK*GSKKAVT, PAPKKGSK*KAVTKVQ, APKKGSKK*AVTKVQK; KSAPAPKK*GSKKAVT, PAPKKGSK*KAVTKAQ, APKKGSKK*AVTKAQK; KSAPAPKK*GSKKAVT, PAPKKGSK*KAVTKAQ, APKKGSKK*AVTKAQK</t>
  </si>
  <si>
    <t>KSAPAPKK*GSKKAVT, PAPKKGSK*KAVTKAQ, APKKGSKK*AVTKAQK, GSKKAVTK*AQKKDGK; KSAPAPKK*GSKKAVT, PAPKKGSK*KAVTKAQ, APKKGSKK*AVTKAQK, GSKKAVTK*AQKKDGK; KSAPAPKK*GSKKAVT, PAPKKGSK*KAVTKAQ, APKKGSKK*AVTKAQK, GSKKAVTK*AQKKDGK; KSAPAPKK*GSKKAVT, PAPKKGSK*KAVTKAQ, APKKGSKK*AVTKAQK, GSKKAVTK*AQKKDGK; KSVPAPKK*GSKKAVT, PAPKKGSK*KAVTKAQ, APKKGSKK*AVTKAQK, GSKKAVTK*AQKKDGK; KSAPAPKK*GSKKAVT, PAPKKGSK*KAVTKAQ, APKKGSKK*AVTKAQK, GSKKAVTK*AQKKDGK; KSAPAPKK*GSKKAVT, PAPKKGSK*KAVTKAQ, APKKGSKK*AVTKAQK, GSKKAVTK*AQKKDGK</t>
  </si>
  <si>
    <t>KSAPAPKK*GSKKAVT, PAPKKGSK*KAVTKAQ, GSKKAVTK*AQKKDGK; KSAPAPKK*GSKKAVT, PAPKKGSK*KAVTKAQ, GSKKAVTK*AQKKDGK; KSAPAPKK*GSKKAVT, PAPKKGSK*KAVTKAQ, GSKKAVTK*AQKKDGK; KSAPAPKK*GSKKAVT, PAPKKGSK*KAVTKAQ, GSKKAVTK*AQKKDGK; KSVPAPKK*GSKKAVT, PAPKKGSK*KAVTKAQ, GSKKAVTK*AQKKDGK; KSAPAPKK*GSKKAVT, PAPKKGSK*KAVTKAQ, GSKKAVTK*AQKKDGK; KSAPAPKK*GSKKAVT, PAPKKGSK*KAVTKAQ, GSKKAVTK*AQKKDGK</t>
  </si>
  <si>
    <t>PAPKKGSK*KAVTKAQ, APKKGSKK*AVTKAQK, GSKKAVTK*AQKKDGK; PAPKKGSK*KAVTKAQ, APKKGSKK*AVTKAQK, GSKKAVTK*AQKKDGK; PAPKKGSK*KAVTKAQ, APKKGSKK*AVTKAQK, GSKKAVTK*AQKKDGK; PAPKKGSK*KAVTKAQ, APKKGSKK*AVTKAQK, GSKKAVTK*AQKKDGK; PAPKKGSK*KAVTKAQ, APKKGSKK*AVTKAQK, GSKKAVTK*AQKKDGK; PAPKKGSK*KAVTKAQ, APKKGSKK*AVTKAQK, GSKKAVTK*AQKKDGK; PAPKKGSK*KAVTKAQ, APKKGSKK*AVTKAQK, GSKKAVTK*AQKKDGK</t>
  </si>
  <si>
    <t>APKKGSKK*AVTKAQK, GSKKAVTK*AQKKDGK; APKKGSKK*AVTKAQK, GSKKAVTK*AQKKDGK; APKKGSKK*AVTKAQK, GSKKAVTK*AQKKDGK; APKKGSKK*AVTKAQK, GSKKAVTK*AQKKDGK; APKKGSKK*AVTKAQK, GSKKAVTK*AQKKDGK; APKKGSKK*AVTKAQK, GSKKAVTK*AQKKDGK; APKKGSKK*AVTKAQK, GSKKAVTK*AQKKDGK</t>
  </si>
  <si>
    <t>APKKGSKK*AVTKAQK, GSKKAVTK*AQKKDGK, KAVTKAQK*KDGKKRK; APKKGSKK*AVTKAQK, GSKKAVTK*AQKKDGK, KAVTKAQK*KDGKKRK; APKKGSKK*AVTKAQK, GSKKAVTK*AQKKDGK, KAVTKAQK*KDGKKRK; APKKGSKK*AVTKAQK, GSKKAVTK*AQKKDGK, KAVTKAQK*KDGKKRK; APKKGSKK*AVTKAQK, GSKKAVTK*AQKKDGK, KAVTKAQK*KDGKKRK; APKKGSKK*AVTKAQK, GSKKAVTK*AQKKDGK, KAVTKAQK*KDGKKRK; APKKGSKK*AVTKAQK, GSKKAVTK*AQKKDGK, KAVTKAQK*KDGKKRK</t>
  </si>
  <si>
    <t>--MPEPAK*SAPAPKK; --MPEPAK*SAPAPKK; --MPEPAK*SAPAPKK; --MPEPAK*SAPAPKK</t>
  </si>
  <si>
    <t>--MPEPAK*SAPAPKK, AKSAPAPK*KGSKKAV, KSAPAPKK*GSKKAVT; --MPEPAK*SAPAPKK, AKSAPAPK*KGSKKAV, KSAPAPKK*GSKKAVT; --MPEPAK*SAPAPKK, AKSAPAPK*KGSKKAL, KSAPAPKK*GSKKALT; --MPEPAK*SAPAPKK, AKSAPAPK*KGSKKAV, KSAPAPKK*GSKKAVT</t>
  </si>
  <si>
    <t>--MPEPAK*SAPAPKK, AKSAPAPK*KGSKKAV, KSAPAPKK*GSKKAVT, PAPKKGSK*KAVTKAQ; --MPEPAK*SAPAPKK, AKSAPAPK*KGSKKAV, KSAPAPKK*GSKKAVT, PAPKKGSK*KAVTKAQ; --MPEPAK*SAPAPKK, AKSAPAPK*KGSKKAL, KSAPAPKK*GSKKALT, PAPKKGSK*KALTKAQ; --MPEPAK*SAPAPKK, AKSAPAPK*KGSKKAV, KSAPAPKK*GSKKAVT, PAPKKGSK*KAVTKAQ</t>
  </si>
  <si>
    <t>--MPEPAK*SAPAPKK, AKSAPAPK*KGSKKAV, KSAPAPKK*GSKKAVT, APKKGSKK*AVTKAQK; --MPEPAK*SAPAPKK, AKSAPAPK*KGSKKAV, KSAPAPKK*GSKKAVT, APKKGSKK*AVTKAQK; --MPEPAK*SAPAPKK, AKSAPAPK*KGSKKAL, KSAPAPKK*GSKKALT, APKKGSKK*ALTKAQK; --MPEPAK*SAPAPKK, AKSAPAPK*KGSKKAV, KSAPAPKK*GSKKAVT, APKKGSKK*AVTKAQK</t>
  </si>
  <si>
    <t>--MPEPAK*SAPAPKK, KSAPAPKK*GSKKAVT, PAPKKGSK*KAVTKAQ; --MPEPAK*SAPAPKK, KSAPAPKK*GSKKAVT, PAPKKGSK*KAVTKAQ; --MPEPAK*SAPAPKK, KSAPAPKK*GSKKALT, PAPKKGSK*KALTKAQ; --MPEPAK*SAPAPKK, KSAPAPKK*GSKKAVT, PAPKKGSK*KAVTKAQ</t>
  </si>
  <si>
    <t>AKSAPAPK*KGSKKAL, KSAPAPKK*GSKKALT, PAPKKGSK*KALTKAQ, APKKGSKK*ALTKAQK</t>
  </si>
  <si>
    <t>--MPEPTK*SAPAPKK</t>
  </si>
  <si>
    <t>KGGKGLGK*GGAKRHR, GLGKGGAK*RHRKVLR; KGGKGLGK*GGAKRHR, GLGKGGAK*RHRKVLR</t>
  </si>
  <si>
    <t>DNIQGITK*PAIRRLA; DNIQGITK*PAIRRLA</t>
  </si>
  <si>
    <t>--MSGRGK*GGKGLGK, KGGKGLGK*GGAKRHR, GLGKGGAK*RHRKVLR; --MSGRGK*GGKGLGK, KGGKGLGK*GGAKRHR, GLGKGGAK*RHRKVLR</t>
  </si>
  <si>
    <t>--MSGRGK*GGKGLGK, SGRGKGGK*GLGKGGA; --MSGRGK*GGKGLGK, SGRGKGGK*GLGKGGA</t>
  </si>
  <si>
    <t>--MSGRGK*GGKGLGK, SGRGKGGK*GLGKGGA, KGGKGLGK*GGAKRHR; --MSGRGK*GGKGLGK, SGRGKGGK*GLGKGGA, KGGKGLGK*GGAKRHR</t>
  </si>
  <si>
    <t>--MSGRGK*GGKGLGK, SGRGKGGK*GLGKGGA, KGGKGLGK*GGAKRHR, GLGKGGAK*RHRKVLR; --MSGRGK*GGKGLGK, SGRGKGGK*GLGKGGA, KGGKGLGK*GGAKRHR, GLGKGGAK*RHRKVLR</t>
  </si>
  <si>
    <t>VTYTEHAK*RKTVTAM; VTYTEHAK*RKTVTAM</t>
  </si>
  <si>
    <t>SGRGKGGK*GLGKGGA, KGGKGLGK*GGAKRHR; SGRGKGGK*GLGKGGA, KGGKGLGK*GGAKRHR</t>
  </si>
  <si>
    <t>SGRGKGGK*GLGKGGA, KGGKGLGK*GGAKRHR, GLGKGGAK*RHRKVLR; SGRGKGGK*GLGKGGA, KGGKGLGK*GGAKRHR, GLGKGGAK*RHRKVLR</t>
  </si>
  <si>
    <t>KSAPAPKK*GSKKAVT, PAPKKGSK*KAVTKVQ, APKKGSKK*AVTKVQK, GSKKAVTK*VQKKDGK</t>
  </si>
  <si>
    <t>KSAPAPKK*GSKKAVT, PAPKKGSK*KAVTKVQ, GSKKAVTK*VQKKDGK</t>
  </si>
  <si>
    <t>KSAPAPKK*GSKKAVT, APKKGSKK*AVTKVQK, GSKKAVTK*VQKKDGK</t>
  </si>
  <si>
    <t>PAPKKGSK*KAVTKVQ, APKKGSKK*AVTKVQK, GSKKAVTK*VQKKDGK</t>
  </si>
  <si>
    <t>APKKGSKK*AVTKVQK, GSKKAVTK*VQKKDGK</t>
  </si>
  <si>
    <t>APKKGSKK*AVTKVQK, GSKKAVTK*VQKKDGK, KAVTKVQK*KDGKKRK</t>
  </si>
  <si>
    <t>GSKKAVTK*VQKKDGK</t>
  </si>
  <si>
    <t>EGTKAVTK*YTSAK--</t>
  </si>
  <si>
    <t>SRSTPAPK*KGSKKAI, RSTPAPKK*GSKKAIT, PAPKKGSK*KAITKAQ</t>
  </si>
  <si>
    <t>SRSTPAPK*KGSKKAI, RSTPAPKK*GSKKAIT, PAPKKGSK*KAITKAQ, APKKGSKK*AITKAQK</t>
  </si>
  <si>
    <t>RSTPAPKK*GSKKAIT, PAPKKGSK*KAITKAQ, APKKGSKK*AITKAQK</t>
  </si>
  <si>
    <t>RSTPAPKK*GSKKAIT, PAPKKGSK*KAITKAQ, APKKGSKK*AITKAQK, GSKKAITK*AQKKDGK</t>
  </si>
  <si>
    <t>PAPKKGSK*KAITKAQ, APKKGSKK*AITKAQK</t>
  </si>
  <si>
    <t>PAPKKGSK*KAITKAQ, APKKGSKK*AITKAQK, GSKKAITK*AQKKDGK</t>
  </si>
  <si>
    <t>APKKGSKK*AITKAQK, GSKKAITK*AQKKDGK</t>
  </si>
  <si>
    <t>APKKGSKK*AITKAQK, GSKKAITK*AQKKDGK, KAITKAQK*KDGKKRK</t>
  </si>
  <si>
    <t>SSQPLASK*QEKDGTE; SSQPLASK*QEKDGTE; SSQPLASK*QEKDGTE</t>
  </si>
  <si>
    <t>PLASKQEK*DGTEKRG; PLASKQEK*DGTEKRG; PLASKQEK*DGTEKRG</t>
  </si>
  <si>
    <t>KAAKLKEK*YEKDIAA; KAAKLKEK*YEKDIAA; KAAKLKEK*YEKDIAA</t>
  </si>
  <si>
    <t>MSAKEKGK*FEDMAKA; MSAKEKGK*FEDMAKA</t>
  </si>
  <si>
    <t>ADYKSKGK*FDGAKGP</t>
  </si>
  <si>
    <t>MSSKEKSK*FDEMAKA</t>
  </si>
  <si>
    <t>VSADGAAK*AEPKRRS</t>
  </si>
  <si>
    <t>RSARLSAK*PAPPKPE</t>
  </si>
  <si>
    <t>VPKGKKGK*ADAGKDA</t>
  </si>
  <si>
    <t>KGKADAGK*DANNPAE</t>
  </si>
  <si>
    <t>GTRLEPLK*PLKIKLS</t>
  </si>
  <si>
    <t>KFGHTFCK*YSEEMKK</t>
  </si>
  <si>
    <t>FVVVMVTK*AKAGQGI; FVVVMVTK*AKAGQGI</t>
  </si>
  <si>
    <t>VVMVTKAK*AGQGIPA; VVMVTKAK*AGQGIPA</t>
  </si>
  <si>
    <t>PRPAAAPK*LEDKSAS</t>
  </si>
  <si>
    <t>LRQPFFQK*RSELIAK; LRQPFFQK*RSELIAK</t>
  </si>
  <si>
    <t>RTSVGPSK*PVSQPRR; RTSVGPSK*PVSQPRR</t>
  </si>
  <si>
    <t>FLMKAATK*VVENEKA, TKVVENEK*ARTQASK</t>
  </si>
  <si>
    <t>LETHDTDK*EHKCPHC, HDTDKEHK*CPHCDKK</t>
  </si>
  <si>
    <t>SRSASQGK*AYESKRK</t>
  </si>
  <si>
    <t>EEMVLSGK*YKSGEQI</t>
  </si>
  <si>
    <t>AEEWYKSK*FANLNEQ</t>
  </si>
  <si>
    <t>RLIVNIAK*VNEDMNA, VNEDMNAK*LIRELKA</t>
  </si>
  <si>
    <t>KSQEVEDK*TRANEQL</t>
  </si>
  <si>
    <t>QIELGKFK*AEHDQLL</t>
  </si>
  <si>
    <t>DAQVRLYK*EELEQTY</t>
  </si>
  <si>
    <t>LEQTYHAK*LENARLS</t>
  </si>
  <si>
    <t>GDTSVSYK*YTSRYVL</t>
  </si>
  <si>
    <t>GSASRSDK*DLETQVI</t>
  </si>
  <si>
    <t>GSVQIVYK*PVDLSKV; GSVQIVYK*PVDLSKV; GSVQIVYK*PVDLSKV</t>
  </si>
  <si>
    <t>RNEGHEEK*PLPPAQS; RNEGHEEK*PLPPAQS</t>
  </si>
  <si>
    <t>RSEGHEEK*PLPPAQS; RSEGHEEK*PLPPAQS</t>
  </si>
  <si>
    <t>IKAKPQYK*PPDDKMV; IKAKPQYK*PPDDKMV</t>
  </si>
  <si>
    <t>KGSKLSAK*KPPTRPI</t>
  </si>
  <si>
    <t>WFKCRYAK*LTEAAEQ</t>
  </si>
  <si>
    <t>REAQMAAK*LERLREK</t>
  </si>
  <si>
    <t>VEEVRKNK*ESKDPAD</t>
  </si>
  <si>
    <t>YNEATGNK*YVPRAIL</t>
  </si>
  <si>
    <t>ATPYGGVK*LEDLIVK</t>
  </si>
  <si>
    <t>GLTDVYNK*IHMGNCA</t>
  </si>
  <si>
    <t>LSSYTRSK*EAWDAGK</t>
  </si>
  <si>
    <t>KEAWDAGK*FASEITP</t>
  </si>
  <si>
    <t>VKEDEEYK*RVDFSKV</t>
  </si>
  <si>
    <t>YAVPKVLK*YAGLKKE</t>
  </si>
  <si>
    <t>LEAMGKLK*PYFLTDG</t>
  </si>
  <si>
    <t>GSSAMPYK*RNPMRSE</t>
  </si>
  <si>
    <t>PHLGKHEK*FSEVLKR</t>
  </si>
  <si>
    <t>EKFSEVLK*RLRLQKR</t>
  </si>
  <si>
    <t>QEMRARHK*DAFLKKH</t>
  </si>
  <si>
    <t>RHKDAFLK*KHNLKLG</t>
  </si>
  <si>
    <t>PEVDHQLK*ERFANMK</t>
  </si>
  <si>
    <t>FAAGADIK*EMQNRTF</t>
  </si>
  <si>
    <t>GTYSLVPK*KKTKVLK, TYSLVPKK*KTKVLKQ, YSLVPKKK*TKVLKQR</t>
  </si>
  <si>
    <t>HERGDASK*EDIDTAM</t>
  </si>
  <si>
    <t>QVLCKKNK*FGAPQKN</t>
  </si>
  <si>
    <t>SDGSAVPK*FRVHKGM</t>
  </si>
  <si>
    <t>FTEDNLKK*LYDSNLG</t>
  </si>
  <si>
    <t>PTAIFESK*GFRCPQH</t>
  </si>
  <si>
    <t>QVRTFYTK*VLNEEER</t>
  </si>
  <si>
    <t>RIQALLDK*YNAEKPK</t>
  </si>
  <si>
    <t>IWRCQLEK*LALREKR</t>
  </si>
  <si>
    <t>ENPDEGFK*PSSGTVQ; ENPDEGFK*PSSGTVQ</t>
  </si>
  <si>
    <t>QTARFLMK*IYDQVQS; QTARFLMK*IYDQVQS</t>
  </si>
  <si>
    <t>ESYYKHLK*PLQSKL-</t>
  </si>
  <si>
    <t>RGDNPFPK*NADGTVR</t>
  </si>
  <si>
    <t>FKQSGFGK*DLGEAAL</t>
  </si>
  <si>
    <t>LQRSCDVK*PNDTVDS</t>
  </si>
  <si>
    <t>FPILINIK*ATRFLNS</t>
  </si>
  <si>
    <t>AIDRPSPK*LLKFLNK; AIDRPSPK*LLKFLNK</t>
  </si>
  <si>
    <t>KRAEGDIK*PYSSSDR; KRAEGDIK*PYSSSDR</t>
  </si>
  <si>
    <t>LRFGYFGK*EKLKEIK</t>
  </si>
  <si>
    <t>KAVGYICK*CSGGRGA</t>
  </si>
  <si>
    <t>ERIAKRLK*KDASASV, RIAKRLKK*DASASVK, KDASASVK*SAGDGEK</t>
  </si>
  <si>
    <t>ATEKHLQK*YMRQDLR</t>
  </si>
  <si>
    <t>DEADTMLK*MGFQQQV</t>
  </si>
  <si>
    <t>QEVQSLSK*EKGVNSF</t>
  </si>
  <si>
    <t>RPKRKYEK*KPKVLPP, RKYEKKPK*VLPPSAA</t>
  </si>
  <si>
    <t>GPDESKWK*AYDATCL</t>
  </si>
  <si>
    <t>GRFLEIGK*FDLSNNH</t>
  </si>
  <si>
    <t>FLDVEHSK*VLEALLP</t>
  </si>
  <si>
    <t>LRAADQYK*PKAKYHG</t>
  </si>
  <si>
    <t>GKLKDLSK*FDASFFG</t>
  </si>
  <si>
    <t>KQEGVFAK*EVRTGGL</t>
  </si>
  <si>
    <t>LTQGEVYK*ELRLRGY</t>
  </si>
  <si>
    <t>RDRNKPFK*FTLGKQE</t>
  </si>
  <si>
    <t>PFKFTLGK*QEVIRGW</t>
  </si>
  <si>
    <t>VYTTMMTK*KPGMFFN, LDLTYGNK*YKNVKLP, LTYGNKYK*NVKLPGA</t>
  </si>
  <si>
    <t>TVDGPSGK*LWRDGRG</t>
  </si>
  <si>
    <t>DLTCRLEK*PAKYDDI</t>
  </si>
  <si>
    <t>CRLEKPAK*YDDIKKV</t>
  </si>
  <si>
    <t>GKFNGTVK*AENGKLV</t>
  </si>
  <si>
    <t>GKLVINGK*PITIFQE</t>
  </si>
  <si>
    <t>EKEASLAK*IKEQTRN</t>
  </si>
  <si>
    <t>QHAYDFYK*PDMLSEY</t>
  </si>
  <si>
    <t>QAFLPDMK*RRHSGRV</t>
  </si>
  <si>
    <t>FREAIICK*NIPRLVT</t>
  </si>
  <si>
    <t>KSQFEAQK*ICYEHRL</t>
  </si>
  <si>
    <t>DAAEAIKK*YNVGVKC</t>
  </si>
  <si>
    <t>ATITPDEK*RVEEFKL</t>
  </si>
  <si>
    <t>KSYCYVSK*EEVREIL</t>
  </si>
  <si>
    <t>SQGTALEK*YAKKSVK</t>
  </si>
  <si>
    <t>ANFPSLIK*MDIHKKV, IKMDIHKK*VTDPSVA</t>
  </si>
  <si>
    <t>KKAQASLK*SGLDLRS</t>
  </si>
  <si>
    <t>SSRQSSAK*VQSKNKY, SSAKVQSK*NKYLHSP, AKVQSKNK*YLHSPER</t>
  </si>
  <si>
    <t>QISEVEPK*YYADGED</t>
  </si>
  <si>
    <t>GEDAYAMK*RDLTQMA</t>
  </si>
  <si>
    <t>QVSEVEPK*YYADGED</t>
  </si>
  <si>
    <t>DIMRLITK*DLSEPYS</t>
  </si>
  <si>
    <t>FPVSYNDK*FYKDVLE; FPVSYNDK*FYKDVLE</t>
  </si>
  <si>
    <t>SYNDKFYK*DVLEVGE; SYNDKFYK*DVLEVGE</t>
  </si>
  <si>
    <t>LEVGELAK*LAYFNDI; LEVGELAK*LAYFNDI</t>
  </si>
  <si>
    <t>IQENEYVK*MGAYHTI, NRQFTLAK*KQWDSVV</t>
  </si>
  <si>
    <t>FLEKAYTK*LKLQVTP; FLRKAYTK*LKLQVNQ</t>
  </si>
  <si>
    <t>GKHVVFGK*VKEGMNI</t>
  </si>
  <si>
    <t>NDNFFEGK*ELRLKQE; NDNFFEGK*ELRLKQE; NDNFFEGK*ELRLKQE</t>
  </si>
  <si>
    <t>KFAADAIK*LERMLTE</t>
  </si>
  <si>
    <t>DEDDADYK*PKKIKTE</t>
  </si>
  <si>
    <t>NRSMRPDK*NTYERKR</t>
  </si>
  <si>
    <t>AIPRTMQK*LVVTRLS</t>
  </si>
  <si>
    <t>TVSQEERK*RQEAIFE</t>
  </si>
  <si>
    <t>GELHEQFK*RKTILTT; GELHEQFK*RKTILTT</t>
  </si>
  <si>
    <t>KIINVGGK*YVKLQIW</t>
  </si>
  <si>
    <t>DFADECPK*PELLAIR</t>
  </si>
  <si>
    <t>SPEKLLEK*AFAIRLF</t>
  </si>
  <si>
    <t>KSGDNRGK*FKVETFR</t>
  </si>
  <si>
    <t>LSTLATPK*RGGNNNG</t>
  </si>
  <si>
    <t>RPGLLDLK*GKAKWDS</t>
  </si>
  <si>
    <t>LDLKGKAK*WDSWNKL</t>
  </si>
  <si>
    <t>EVEDLIVK*YRKKKRT</t>
  </si>
  <si>
    <t>GKIGHGYK*YAIGSLN</t>
  </si>
  <si>
    <t>IRYDLLEK*NINIVRK</t>
  </si>
  <si>
    <t>PFDKWDGK*DLEDLQI</t>
  </si>
  <si>
    <t>SAAGPWLK*FRGHLDN</t>
  </si>
  <si>
    <t>GGRAIITK*SFARIHE</t>
  </si>
  <si>
    <t>TDPELRDK*YVTVQNT; TDPELRDK*YVTVQNT</t>
  </si>
  <si>
    <t>RSALRDEK*GALFRAH</t>
  </si>
  <si>
    <t>TVSSRITK*HFELKHL</t>
  </si>
  <si>
    <t>ITKHFELK*HLSSGDL</t>
  </si>
  <si>
    <t>NHAHKVAK*FCYADKA</t>
  </si>
  <si>
    <t>TKFAEAMK*KSLRVGN</t>
  </si>
  <si>
    <t>KDGADFAK*WRCVLKI; KDGADFAK*WRCVLKI; KDGADFAK*WRCVLKI</t>
  </si>
  <si>
    <t>YLEGTLLK*PNMVTPG; YLEGTLLK*PNMVTPG</t>
  </si>
  <si>
    <t>PGHACTQK*FSNEEIA; PGHACTQK*FSNEEIA</t>
  </si>
  <si>
    <t>ESTGSIAK*RLQSIGT</t>
  </si>
  <si>
    <t>LVRMYFDK*YVLKPAT</t>
  </si>
  <si>
    <t>EAVAKADK*LAEEHGS</t>
  </si>
  <si>
    <t>GYDRYYNK*YINVRKG</t>
  </si>
  <si>
    <t>DEIDHHSK*EIERLQK</t>
  </si>
  <si>
    <t>VRKDYGRK*YFDEKIA</t>
  </si>
  <si>
    <t>GKDVSDEK*LRDYIWN</t>
  </si>
  <si>
    <t>INAQLPLK*DKARMAN</t>
  </si>
  <si>
    <t>YYHMAHGK*DFASRGI</t>
  </si>
  <si>
    <t>GKSEEQLK*EEGIEFK</t>
  </si>
  <si>
    <t>GIEFKIGK*FPFAANS</t>
  </si>
  <si>
    <t>LQTQDIIK*SVQAAME, SVQAAMEK*RDTKSIT</t>
  </si>
  <si>
    <t>DALSAKSK*EFAQVIK</t>
  </si>
  <si>
    <t>ELKVPTDK*YYGAQTV</t>
  </si>
  <si>
    <t>YKLHNSLK*NFNSEPM</t>
  </si>
  <si>
    <t>ATGQLPVK*KGKAKN-, TGQLPVKK*GKAKN--, QLPVKKGK*AKN----</t>
  </si>
  <si>
    <t>NPDGIDPK*ELEDFKL</t>
  </si>
  <si>
    <t>GSILGFPK*AKVYEGS</t>
  </si>
  <si>
    <t>SYGRLTFK*YERDSNY</t>
  </si>
  <si>
    <t>RISGASEK*DIVHSGL</t>
  </si>
  <si>
    <t>QIMRTAMK*YNLGLDL</t>
  </si>
  <si>
    <t>EDDPNFFK*MVEGFFD</t>
  </si>
  <si>
    <t>GASIVEDK*LVEDLKT</t>
  </si>
  <si>
    <t>DKLVEDLK*TRESEEQ</t>
  </si>
  <si>
    <t>SFLQRFFK*FSRDVFL</t>
  </si>
  <si>
    <t>GAFTVVCK*DAEEAKR</t>
  </si>
  <si>
    <t>CKDAEEAK*RVESQLK</t>
  </si>
  <si>
    <t>EQVERLTK*EFSVYMT</t>
  </si>
  <si>
    <t>EFSVYMTK*DGRISVA</t>
  </si>
  <si>
    <t>LGVTEAFK*RDTNSKK</t>
  </si>
  <si>
    <t>AYRDDNGK*PYVLPSV</t>
  </si>
  <si>
    <t>VRAVLIDK*DQTPKWK</t>
  </si>
  <si>
    <t>VAAIETDK*EGVQNAK; VAAIETDK*EGVQNAK</t>
  </si>
  <si>
    <t>TKVVLDDK*DYFLFRD</t>
  </si>
  <si>
    <t>RDSDILGK*YVD----</t>
  </si>
  <si>
    <t>DSALATQK*YSVAVKC</t>
  </si>
  <si>
    <t>RLVPGWTK*PITIGRH</t>
  </si>
  <si>
    <t>HAHGDQYK*ATDFVVD</t>
  </si>
  <si>
    <t>RGLEHRGK*LDGNQDL</t>
  </si>
  <si>
    <t>PHVDVQLK*YFDLGLP</t>
  </si>
  <si>
    <t>NTFVAELK*GLDPARV</t>
  </si>
  <si>
    <t>EAGTEVVK*AKAGAGS</t>
  </si>
  <si>
    <t>KITPFEEK*MIAEAIP</t>
  </si>
  <si>
    <t>EKFYDDPK*SNDGNSY</t>
  </si>
  <si>
    <t>TKTLDILK*HFPKHAA</t>
  </si>
  <si>
    <t>SSEIEETK*PAKTVNY</t>
  </si>
  <si>
    <t>ARLIEFYK*HESCGQC</t>
  </si>
  <si>
    <t>MNKLKNNK*EYLEFRK</t>
  </si>
  <si>
    <t>IYVHRLIK*GEKYEKR</t>
  </si>
  <si>
    <t>HRLIKGEK*YEKRIER</t>
  </si>
  <si>
    <t>LGAMQVSK*YGDLANW</t>
  </si>
  <si>
    <t>KFLKINCK*YITIGKG; KFLKINCK*YITIGKG; KFLKINCK*YITIGKG</t>
  </si>
  <si>
    <t>LCVREATK*FAAAYCR</t>
  </si>
  <si>
    <t>SDPIMLLK*DRMVNSN</t>
  </si>
  <si>
    <t>NDATFEIK*KCDLHRL</t>
  </si>
  <si>
    <t>LTREDGLK*YYRMMQT</t>
  </si>
  <si>
    <t>TVRRMELK*ADQLYKQ; VIRRMELK*ADQLYKQ</t>
  </si>
  <si>
    <t>LKADQLYK*QKIIRGF; LKADQLYK*QKFIRGF</t>
  </si>
  <si>
    <t>SSAGDGFK*ANLVFKE</t>
  </si>
  <si>
    <t>FKANLVFK*EIEKKLE</t>
  </si>
  <si>
    <t>FSRTEDGK*IYQRAFG</t>
  </si>
  <si>
    <t>RDFGSFEK*FKEKLTA</t>
  </si>
  <si>
    <t>NLNATEEK*YHEALAK</t>
  </si>
  <si>
    <t>DEAYAIAK*KLGSKDV</t>
  </si>
  <si>
    <t>LPKDQWTK*YEEDKFY</t>
  </si>
  <si>
    <t>WTKYEEDK*FYLEPYL</t>
  </si>
  <si>
    <t>RDHCVAHK*LFKNLK-</t>
  </si>
  <si>
    <t>TSPIKMFK*YCPYEKY</t>
  </si>
  <si>
    <t>GGLTGLNK*AETAAKH; GGLTGLNK*AETAAKH</t>
  </si>
  <si>
    <t>FYDECLRK*YGNANVW; FYDECLRK*YGNANVW</t>
  </si>
  <si>
    <t>NDKDAKMK*YQECSKI</t>
  </si>
  <si>
    <t>SCTFQLLK*MAFDEEV</t>
  </si>
  <si>
    <t>TSSTKSGK*FMNPTDQ</t>
  </si>
  <si>
    <t>ALPTKEPK*PGSKCLA</t>
  </si>
  <si>
    <t>VERASGYK*YLDYMQK</t>
  </si>
  <si>
    <t>HLTVLTSK*RNQLHDE</t>
  </si>
  <si>
    <t>RKLPRIKK*YLLNCDN</t>
  </si>
  <si>
    <t>VDWAKSGK*FTQQDID</t>
  </si>
  <si>
    <t>DAKTLIDK*ARVETQN</t>
  </si>
  <si>
    <t>EAANWKYK*YGYEIPV</t>
  </si>
  <si>
    <t>ESTSFLEK*KVKKKFD</t>
  </si>
  <si>
    <t>VSSSIVDK*YIGESAR</t>
  </si>
  <si>
    <t>HNIRIMAK*YYTRITM</t>
  </si>
  <si>
    <t>DRAKCFEK*NEAIQAA</t>
  </si>
  <si>
    <t>KKQIEELK*GQEVSPK</t>
  </si>
  <si>
    <t>FDTKTPAK*EEDAFHF</t>
  </si>
  <si>
    <t>SIPDFQRK*YVDKLEK</t>
  </si>
  <si>
    <t>DGNYVQTK*LMNPGMP</t>
  </si>
  <si>
    <t>LSARDHQK*LEREARI; LSARDHQK*LEREARI; LSARDHQK*LEREARI; LSARDHQK*LEREARI; LSARDHQK*LEREARI; LSARDHQK*LEREARI; LSARDHQK*LEREARI</t>
  </si>
  <si>
    <t>ITAHEALK*HPWVCQR; ITAHEALK*HPWVCQR; ITAHEALK*HPWVCQR</t>
  </si>
  <si>
    <t>SVVRRCVK*LCTGHEY; SVVRRCVK*LCTGHEY</t>
  </si>
  <si>
    <t>LREICLLK*ELKHKNI</t>
  </si>
  <si>
    <t>NSLCRLYK*FIEQKGD</t>
  </si>
  <si>
    <t>QAISPGMK*RRIRLGQ</t>
  </si>
  <si>
    <t>LATVKQLK*EFIQQPE</t>
  </si>
  <si>
    <t>FAMVTHVK*QEPRERE</t>
  </si>
  <si>
    <t>SLDTYLKK*NKNSINI, DTYLKKNK*NSINILW</t>
  </si>
  <si>
    <t>IPAHMIQK*TRKRKYF</t>
  </si>
  <si>
    <t>QRGHLLLK*QGKLDEA</t>
  </si>
  <si>
    <t>SAYVDEAK*RYAAEHT</t>
  </si>
  <si>
    <t>GQMSGEGK*AGPPGGG</t>
  </si>
  <si>
    <t>NAQVSQTK*FLPNAPK</t>
  </si>
  <si>
    <t>NRRYLSPK*YIKMFVL</t>
  </si>
  <si>
    <t>AKTGGAGK*FRRGKIN</t>
  </si>
  <si>
    <t>REGEGLGK*YSQGRKD</t>
  </si>
  <si>
    <t>GGGQYFAK*PRNQGGY; GGGQYFAK*PRNQGGY</t>
  </si>
  <si>
    <t>SPDTPEEK*IREYFGG; SPDTPEEK*IREYFGG</t>
  </si>
  <si>
    <t>EDGSCSYK*DFSESRN; EDGSCSYK*DFSESRN</t>
  </si>
  <si>
    <t>AHAMEEVK*KFLVPDM</t>
  </si>
  <si>
    <t>QGIIDILK*IMNKVGV</t>
  </si>
  <si>
    <t>VRVHLSQK*YKRIKKP</t>
  </si>
  <si>
    <t>KLAEPYGK*IKNYILM</t>
  </si>
  <si>
    <t>TESPAEGK*EQEEKSG</t>
  </si>
  <si>
    <t>APSLGEAK*KKQKGKQ</t>
  </si>
  <si>
    <t>GEPEQVHK*AVSAIVQ</t>
  </si>
  <si>
    <t>GGNKVPQK*KVKLDED</t>
  </si>
  <si>
    <t>QKSNQNGK*DLKPSTP</t>
  </si>
  <si>
    <t>SKGQESFK*KQEKTPK</t>
  </si>
  <si>
    <t>SLPKVEAK*FINYVKN</t>
  </si>
  <si>
    <t>ADKDYHFK*VDNDENE</t>
  </si>
  <si>
    <t>GVNQFGNK*YIQQTKP</t>
  </si>
  <si>
    <t>APYAMGMK*RRRERCS</t>
  </si>
  <si>
    <t>VTEDMLYK*KFRPAGP, TEDMLYKK*FRPAGPL</t>
  </si>
  <si>
    <t>HAIKVGVK*YTQQIIQ</t>
  </si>
  <si>
    <t>EYKSDSGK*PYYYNSQ</t>
  </si>
  <si>
    <t>EYKSDTGK*PYYYNNQ; EYKSDTGK*PYYYNNQ</t>
  </si>
  <si>
    <t>ALEAVFGK*YGRIVEV; ALEAVFGK*YGRIVEI</t>
  </si>
  <si>
    <t>VRKLDNTK*FRSHEGE</t>
  </si>
  <si>
    <t>TLRRVFEK*YGRVGDV</t>
  </si>
  <si>
    <t>DDKDPNKK*MKRNLRK</t>
  </si>
  <si>
    <t>VSGHDIRK*VGISSGK</t>
  </si>
  <si>
    <t>KVGISSGK*EIGALLQ</t>
  </si>
  <si>
    <t>KPLTRGAK*EEHGGLI</t>
  </si>
  <si>
    <t>VKTPWELK*WTKIYLP</t>
  </si>
  <si>
    <t>IGTVQHLK*SKFGKGY, TVQHLKSK*FGKGYFL, HLKSKFGK*GYFLEIK</t>
  </si>
  <si>
    <t>TPKLDGVK*EKALVSS</t>
  </si>
  <si>
    <t>MKCSSMQK*FGERAFK</t>
  </si>
  <si>
    <t>ATLNKTGK*AVSYLGP</t>
  </si>
  <si>
    <t>SVEEVCRK*YNTDCVQ</t>
  </si>
  <si>
    <t>FNDGTDEK*KKLYCIY</t>
  </si>
  <si>
    <t>NDGTDEKK*KLYCIYV</t>
  </si>
  <si>
    <t>STVAQLVK*RLTDADA</t>
  </si>
  <si>
    <t>GVRGYLDK*LEPSKIT</t>
  </si>
  <si>
    <t>GNIRSDGK*ISEQSDA</t>
  </si>
  <si>
    <t>ISEQSDAK*LKEIVTN</t>
  </si>
  <si>
    <t>MKMVAAAK*YARAERE</t>
  </si>
  <si>
    <t>QDAIDMEK*AQQALVQ</t>
  </si>
  <si>
    <t>AQQALVQK*RHYLFDV</t>
  </si>
  <si>
    <t>HMIDWVEK*HVVKSIS</t>
  </si>
  <si>
    <t>SISVQQEK*ETIAKCI</t>
  </si>
  <si>
    <t>AKCIEDLK*LLAKKAQ</t>
  </si>
  <si>
    <t>LRIQEYEK*QLEKMRN</t>
  </si>
  <si>
    <t>ETKLDKKK*YPYWPHQ</t>
  </si>
  <si>
    <t>GLVDDFEK*KYNALKI</t>
  </si>
  <si>
    <t>KIPVPEDK*YTALVDQ</t>
  </si>
  <si>
    <t>ALVDQEEK*EDVKSCA</t>
  </si>
  <si>
    <t>VTAVAFNK*ELDPVQK</t>
  </si>
  <si>
    <t>TFKFDDPK*FEVIDKP</t>
  </si>
  <si>
    <t>AKRYSYLK*PRAEEER</t>
  </si>
  <si>
    <t>LSPNQILK*LEIKTDP</t>
  </si>
  <si>
    <t>MIVRIGEK*YVDMSAK</t>
  </si>
  <si>
    <t>SVVRPFAK*LVRPPVQ</t>
  </si>
  <si>
    <t>QKAIPMYK*IATKKDV, PMYKIATK*KDVDVQI</t>
  </si>
  <si>
    <t>LLVDTHKK*QIDQKEA, HKKQIDQK*EADYGRL</t>
  </si>
  <si>
    <t>RAHGSVVK*SEDYAFP</t>
  </si>
  <si>
    <t>FFRQGDGK*WQLAYRT</t>
  </si>
  <si>
    <t>GDAPSEEK*KGEGDAA</t>
  </si>
  <si>
    <t>DAPSEEKK*GEGDAAP</t>
  </si>
  <si>
    <t>TDNSPSSK*AEDGPAK</t>
  </si>
  <si>
    <t>KDAVDEAK*PKESARQ</t>
  </si>
  <si>
    <t>AVDEAKPK*ESARQDE</t>
  </si>
  <si>
    <t>SARQDEGK*EDPEADQ</t>
  </si>
  <si>
    <t>KIEQDGVK*PEDKAHK</t>
  </si>
  <si>
    <t>VKFSTNTK*VHTTHWS</t>
  </si>
  <si>
    <t>KDACRMQK*YEDIKSK</t>
  </si>
  <si>
    <t>KTATNIIK*KSSDNLG</t>
  </si>
  <si>
    <t>NIKAAWGK*IGGHGAE; NIKAAWGK*IGGHGAE</t>
  </si>
  <si>
    <t>VATALAHK*YH-----; VATALAHK*YH-----</t>
  </si>
  <si>
    <t>AVSCLWAK*VNPDEVG</t>
  </si>
  <si>
    <t>QGLATPSK*ERNGKKK, PSKERNGK*KKKKGKG</t>
  </si>
  <si>
    <t>RADILEDK*DGKSRGI</t>
  </si>
  <si>
    <t>SKGCGVVK*FESPEVA</t>
  </si>
  <si>
    <t>AIKVRFAK*PVYPGQT</t>
  </si>
  <si>
    <t>FSVLAQNK*LGSGPFS</t>
  </si>
  <si>
    <t>EERPVMLK*IGTCQTK</t>
  </si>
  <si>
    <t>MVKKKKFK*LDKDNGM</t>
  </si>
  <si>
    <t>YVTLQVTK*KFRVVFE</t>
  </si>
  <si>
    <t>ETEVEMEK*GFDPAQP</t>
  </si>
  <si>
    <t>PSFQGIRK*AFSTCGS</t>
  </si>
  <si>
    <t>GWVFVYEK*GYQTSSG</t>
  </si>
  <si>
    <t>DPPVSHWK*PEAVYYE</t>
  </si>
  <si>
    <t>WEMQFKEK*YDYVGRL</t>
  </si>
  <si>
    <t>PSKKSLCK*KTNQSCE, LVIDSTEK*VNPSYIG</t>
  </si>
  <si>
    <t>IIRPIFLK*HESQVDS</t>
  </si>
  <si>
    <t>SISADTHK*YGYAPKG</t>
  </si>
  <si>
    <t>EAVPKMYK*EEGLNAF</t>
  </si>
  <si>
    <t>QIPYTMMK*FACFERT</t>
  </si>
  <si>
    <t>RMQVDPQK*YKGIFNG</t>
  </si>
  <si>
    <t>DCLTKIFK*SDGLKGL</t>
  </si>
  <si>
    <t>DCWRKIAK*DEGANAF</t>
  </si>
  <si>
    <t>EGANAFFK*GAWSNVL; EGSKAFFK*GAWSNVL</t>
  </si>
  <si>
    <t>FAFKDKYK*QIFLGGV</t>
  </si>
  <si>
    <t>IFLGGVDK*RTQFWRY</t>
  </si>
  <si>
    <t>AGAEREFK*GLGDCLV</t>
  </si>
  <si>
    <t>GLGDCLVK*IYKSDGI</t>
  </si>
  <si>
    <t>KSLPSSDK*RKNMYSG; KSLPSSDK*RKNMYSG; KSLPSSDK*RKNMYSG; KSLPSSDK*RKNMYSG</t>
  </si>
  <si>
    <t>AEPFIDAK*YDVRVQK; AEPFIDAK*YDVRVQK; AEPFIDAK*YDVRVQK</t>
  </si>
  <si>
    <t>DPKGKSLK*DEDVLQK</t>
  </si>
  <si>
    <t>QSINQSKK*TIFVLTK</t>
  </si>
  <si>
    <t>YYAYLPAK*LDKKIHS, YLPAKLDK*KIHSGAV</t>
  </si>
  <si>
    <t>KAVELNPK*YVKALFR</t>
  </si>
  <si>
    <t>TKKALHGK*KEEKAKT, KKALHGKK*EEKAKTV</t>
  </si>
  <si>
    <t>DCAVKQLK*VAVFGCM</t>
  </si>
  <si>
    <t>TRFGIAAK*YQVDPDA</t>
  </si>
  <si>
    <t>LGYTQTLK*PGIKLTL</t>
  </si>
  <si>
    <t>SARDVFTK*GYGFGLI</t>
  </si>
  <si>
    <t>VNGSLETK*YRWTEYG</t>
  </si>
  <si>
    <t>VSGTLETK*YKWCEYG</t>
  </si>
  <si>
    <t>GTLETKYK*WCEYGLT</t>
  </si>
  <si>
    <t>CDLGKAAK*DVFNKGY; CDLGKAAK*DVFNKGY</t>
  </si>
  <si>
    <t>NNFALGYK*AADFQLH; NNFALGYK*AADFQLH</t>
  </si>
  <si>
    <t>TRFGIAAK*YKLDCRT; TRFGIAAK*YKLDCRT</t>
  </si>
  <si>
    <t>FGIAAKYK*LDCRTSL; FGIAAKYK*LDCRTSL</t>
  </si>
  <si>
    <t>ASGNLETK*YKVCNYG; ASGNLETK*YKVCNYG</t>
  </si>
  <si>
    <t>GNLETKYK*VCNYGLT; GNLETKYK*VCNYGLT</t>
  </si>
  <si>
    <t>TEISWENK*LAEGLKL; TEISWENK*LAEGLKL</t>
  </si>
  <si>
    <t>GSDEVNCK*NVNQCLG</t>
  </si>
  <si>
    <t>AIQQLFGK*IKDIKDK</t>
  </si>
  <si>
    <t>LSKELISK*FLLNRRR; LSKELISK*FLLNRRR; LNKELISK*FLLNRRR</t>
  </si>
  <si>
    <t>DHMHLKCK*CHGLSGS; SHMHLKCK*CHGLSGS</t>
  </si>
  <si>
    <t>VVVAGMTK*CRESCSS</t>
  </si>
  <si>
    <t>HCPPAPAK*PMHPENK</t>
  </si>
  <si>
    <t>QETAKTGK*FLKRFTD</t>
  </si>
  <si>
    <t>NTEEEGPK*YKSKVSL</t>
  </si>
  <si>
    <t>PAPEMTVK*QERLDFE</t>
  </si>
  <si>
    <t>TDKSEGGK*RKADSDS</t>
  </si>
  <si>
    <t>QRYVVACK*EPKKK--</t>
  </si>
  <si>
    <t>GDKAVSSK*PEEIKMR</t>
  </si>
  <si>
    <t>GRNALIHK*SSVNCPF; GRNALIHK*SSVNCPF</t>
  </si>
  <si>
    <t>LKNVIKEK*YGKDATN</t>
  </si>
  <si>
    <t>VIKEKYGK*DATNVGD</t>
  </si>
  <si>
    <t>CRSERLAK*YNQILRI</t>
  </si>
  <si>
    <t>DDVAVTEK*SNYLFTK</t>
  </si>
  <si>
    <t>VKVATHEK*EWKCTNT</t>
  </si>
  <si>
    <t>AVKPPPNK*YPIFFFG; AVKPPPNK*YPIFFFG; AVKPPPNK*YPIFFFG</t>
  </si>
  <si>
    <t>VPPKPESK*PRKTSAK</t>
  </si>
  <si>
    <t>ISRGAKGK*KEEKQEA</t>
  </si>
  <si>
    <t>SRGAKGKK*EEKQEAG</t>
  </si>
  <si>
    <t>PVRHLYTK*DIDIHEV</t>
  </si>
  <si>
    <t>QGQFWGQK*PWSQHYH</t>
  </si>
  <si>
    <t>WFQNRRMK*MKKMSKE, MKMKKMSK*EKCPKGD</t>
  </si>
  <si>
    <t>NNDFQLGK*EFSIPRE</t>
  </si>
  <si>
    <t>FEADLKEK*QIESSDY, DYDSSSSK*GKKKGRT, DSSSSKGK*KKGRTQK; FEADLKEK*QIESSDY, DYDSSSSK*GKKSRTQ, DSSSSKGK*KSRTQKE</t>
  </si>
  <si>
    <t>DYDSSSSK*GKKKGRT, DSSSSKGK*KKGRTQK; DYDSSSSK*GKKSRTQ, DSSSSKGK*KSRTQKE</t>
  </si>
  <si>
    <t>DYDSSSSK*GKKSRTQ, DSSSSKGK*KSRTQKE, SSSSKGKK*SRTQKEK</t>
  </si>
  <si>
    <t>KAARARSK*GKNSDEE, ARARSKGK*NSDEEAP; KAARARSK*GKNSDEE, ARARSKGK*NSDEEAP</t>
  </si>
  <si>
    <t>KAARARSK*GKNSDEE, ARARSKGK*NSDEEAP, NSDEEAPK*AAQKKLK; KAARARSK*GKNSDEE, ARARSKGK*NSDEEAP, NSDEEAPK*AAQKKLK</t>
  </si>
  <si>
    <t>KAARARSK*GKNSDEE, ARARSKGK*NSDEEAP, NSDEEAPK*AAQKKLK, EAPKAAQK*KLKLVRT; KAARARSK*GKNSDEE, ARARSKGK*NSDEEAP, NSDEEAPK*AAQKKLK, EAPKAAQK*KLKLVRT</t>
  </si>
  <si>
    <t>KAARARSK*GKNSDEE, ARARSKGK*NSDEEAP, EAPKAAQK*KLKLVRT; KAARARSK*GKNSDEE, ARARSKGK*NSDEEAP, EAPKAAQK*KLKLVRT</t>
  </si>
  <si>
    <t>LTTKPRGK*WFCPRCS; LTTKPRGK*WFCPRCS; LTTKPKGK*WFCPRCV</t>
  </si>
  <si>
    <t>GHALEEIK*KFLIPDY</t>
  </si>
  <si>
    <t>AATRNMEK*IQVIKDF</t>
  </si>
  <si>
    <t>LVESANEK*AEREALL</t>
  </si>
  <si>
    <t>TSLSLGLK*PGQTVMG</t>
  </si>
  <si>
    <t>PVPKAAFK*EPKMALK</t>
  </si>
  <si>
    <t>--MADADK*SEAAAGD; --MADADK*SEAAAGD</t>
  </si>
  <si>
    <t>SLGHLTGK*HERHFSI</t>
  </si>
  <si>
    <t>KRNSGLSK*EQKEKYM</t>
  </si>
  <si>
    <t>RLVSQDGK*SKGIAYI</t>
  </si>
  <si>
    <t>KVTLDWAK*PKGEGGF</t>
  </si>
  <si>
    <t>TNQMQGNK*AQFNSQN</t>
  </si>
  <si>
    <t>HREKTQSK*PFSIQEL; HREKTQSK*PFSIQEL; HREKTQSK*PFSIQEL</t>
  </si>
  <si>
    <t>TKLIAGNK*PVSFLTA</t>
  </si>
  <si>
    <t>EAAGEAVK*TLKKTQP</t>
  </si>
  <si>
    <t>VQKAILQK*NRSAKQK, LQKNRSAK*QKADLRD, KNRSAKQK*ADLRDTS</t>
  </si>
  <si>
    <t>ARHMVMQK*LLRKQES</t>
  </si>
  <si>
    <t>GKQRAAFK*SGKRVGK</t>
  </si>
  <si>
    <t>GKQRAAFK*SGKRVGK, RAAFKSGK*RVGKPSP</t>
  </si>
  <si>
    <t>AIAQLNGK*EVKGKRI</t>
  </si>
  <si>
    <t>GGGVGRGK*DISTITG</t>
  </si>
  <si>
    <t>TITGHRGK*DISTILD</t>
  </si>
  <si>
    <t>RSVVSFDK*VKESRKS</t>
  </si>
  <si>
    <t>RGSSSGFK*PFKSGPP</t>
  </si>
  <si>
    <t>REARITEK*LEKQQKI; VRTAITEK*LEKLKTQ</t>
  </si>
  <si>
    <t>QSDPQIPK*PFPVTKG, PKPFPVTK*GSPKSAS</t>
  </si>
  <si>
    <t>TEPLKSAK*PGQEEDG, QEEDGPLK*GKGQGAA, EDGPLKGK*GQGAAAA</t>
  </si>
  <si>
    <t>LMSSGGPK*EKEAAEN</t>
  </si>
  <si>
    <t>GKRQGESK*PDSQAKS; GKRQGESK*PDSQAKS; GKRQGESK*PDSQAKS</t>
  </si>
  <si>
    <t>FYKENEGK*PENKGRA</t>
  </si>
  <si>
    <t>GKPARQGK*LEVEGGP</t>
  </si>
  <si>
    <t>APKTDSEK*PFRGSQS</t>
  </si>
  <si>
    <t>WESLHTGK*EKQRKAE</t>
  </si>
  <si>
    <t>SLHTGKEK*QRKAEEM</t>
  </si>
  <si>
    <t>GETCSVGK*LCKDRIT</t>
  </si>
  <si>
    <t>KHPPIAAK*VEEPLKN; KHPPIAAK*VEEPLKN</t>
  </si>
  <si>
    <t>---MPRRK*QQAPRRS; ---MPRRK*QQAPRRA</t>
  </si>
  <si>
    <t>QNQIKCRK*AFHSEKN, RKAFHSEK*NNSKSDK</t>
  </si>
  <si>
    <t>SDLRSHKK*IHTGEKP; CNLIIHQK*IHTGEKP; SHRNIHQK*IHTGEKP</t>
  </si>
  <si>
    <t>SEKPTSGK*DVEGKPQ, SGKDVEGK*PQTMRSS</t>
  </si>
  <si>
    <t>KEVSTYIK*KIGYNPD</t>
  </si>
  <si>
    <t>IDKRTIEK*FEKEAAE; IDKRTIEK*FEKEAAE</t>
  </si>
  <si>
    <t>RTIEKFEK*EAAEMGK; RTIEKFEK*EAAEMGK</t>
  </si>
  <si>
    <t>ENAKEEVK*RILGLLD</t>
  </si>
  <si>
    <t>GKAVNQGK*IFK----</t>
  </si>
  <si>
    <t>YFDPANGK*FSKSANS</t>
  </si>
  <si>
    <t>SAGGAVGK*GKGKGGS, GGAVGKGK*GKGGSGD</t>
  </si>
  <si>
    <t>NVVPTFGK*KKGPNAN</t>
  </si>
  <si>
    <t>-MALKAKK*DAPAPPK; -MALKAKK*DAPAPPK</t>
  </si>
  <si>
    <t>GLVYRSYK*PVYWSPS</t>
  </si>
  <si>
    <t>NVEKKICK*FTEVLKT</t>
  </si>
  <si>
    <t>REERLQAK*KEEIIKT</t>
  </si>
  <si>
    <t>GRHMGIGK*RKGTANA</t>
  </si>
  <si>
    <t>RYARTDGK*VFQFLNA</t>
  </si>
  <si>
    <t>KVVQVYRK*KYVIYIE</t>
  </si>
  <si>
    <t>VVQVYRKK*YVIYIER</t>
  </si>
  <si>
    <t>KIKRNWRK*PRGIDNR</t>
  </si>
  <si>
    <t>RIVYLYTK*KVGKAPK</t>
  </si>
  <si>
    <t>IVYLYTKK*VGKAPKS</t>
  </si>
  <si>
    <t>KGTSSFGK*RRNKTHT</t>
  </si>
  <si>
    <t>IDVIAVTK*GRGVKGV</t>
  </si>
  <si>
    <t>IRNFLGEK*YIRRVRM</t>
  </si>
  <si>
    <t>GNSSPSAK*DIKKILD</t>
  </si>
  <si>
    <t>VLLGETGK*EKLPRYY</t>
  </si>
  <si>
    <t>KNIGLGFK*TPKEAIE</t>
  </si>
  <si>
    <t>AARVIIEK*YYTRLGN</t>
  </si>
  <si>
    <t>QKDVKDGK*YSQVLAN</t>
  </si>
  <si>
    <t>YKVDENGK*ISRLRRE</t>
  </si>
  <si>
    <t>CLTYCFNK*PEDK---</t>
  </si>
  <si>
    <t>KQRTKKNK*EEAAEYA</t>
  </si>
  <si>
    <t>VPTRDLDK*PFLLPVE</t>
  </si>
  <si>
    <t>ENAEDDRK*ECWVVGR</t>
  </si>
  <si>
    <t>IIKRFEQK*GFRLVGL; IIKRFEQK*GFRLVAM</t>
  </si>
  <si>
    <t>AVRVASGK*KPSSIKK, VRVASGKK*PSSIKKE</t>
  </si>
  <si>
    <t>SAANFSEK*EEACRAN</t>
  </si>
  <si>
    <t>NTVNAALK*PLETLSR</t>
  </si>
  <si>
    <t>VEDGPEAK*RAKLDSS</t>
  </si>
  <si>
    <t>VTPDGRGK*NRAKWGL, GRGKNRAK*WGLLKNI</t>
  </si>
  <si>
    <t>NQYLTDSK*FVERTLR</t>
  </si>
  <si>
    <t>LKIECGPK*YPEAPPS</t>
  </si>
  <si>
    <t>GVCSEDGK*LQVFGLY</t>
  </si>
  <si>
    <t>RNNRAYSK*NVEGQDL</t>
  </si>
  <si>
    <t>NPSGFNCK*DETEFRN</t>
  </si>
  <si>
    <t>KEEEDALK*YVREIFF; KEYEKALK*YVRGLLQ; KEYEKALK*YVRGLLQ</t>
  </si>
  <si>
    <t>IEGRKQEK*PWEQRSL</t>
  </si>
  <si>
    <t>HGEEMRWK*TSSMVAL; HGEEMRWK*TSSMVAL</t>
  </si>
  <si>
    <t>HSFCSVVK*RMKVEND</t>
  </si>
  <si>
    <t>RIISIINK*TENKKQE</t>
  </si>
  <si>
    <t>SLRDKQGK*TALAVAA; KITDKQGK*TALAVAA</t>
  </si>
  <si>
    <t>SDMNVLMK*TLGLLRN</t>
  </si>
  <si>
    <t>NLAQIGGK*SPVARVG</t>
  </si>
  <si>
    <t>--MRITGK*TFRRRRA</t>
  </si>
  <si>
    <t>VAAALAHK*YH-----; VATALAHK*YH-----; VATALAHK*YH-----</t>
  </si>
  <si>
    <t>VAAALAHK*YH-----</t>
  </si>
  <si>
    <t>LSELHCDK*LHVDPEN; LSELHCDK*LHVDPEN; LSELHCDK*LHVDPEN</t>
  </si>
  <si>
    <t>MSLKQKIK*KEPEEAG</t>
  </si>
  <si>
    <t>LRTLAQAK*KECWDRF</t>
  </si>
  <si>
    <t>DWHKFCLK*CERCNKT; NWHRFCLK*CERCHSI</t>
  </si>
  <si>
    <t>KNMKCSVK*NDHSAYK; KNMKCSVK*NDHSAYK</t>
  </si>
  <si>
    <t>PEQSEKQK*DAVVRLI</t>
  </si>
  <si>
    <t>KNKVNMLK*QENRRIW</t>
  </si>
  <si>
    <t>HRFPGSRK*YSMLQEK</t>
  </si>
  <si>
    <t>PGTWAIVK*PGNTKEK</t>
  </si>
  <si>
    <t>RTKQTARK*STGGKAP, ARKSTGGK*APRKQLA; RTKQTARK*STGGKAP, ARKSTGGK*APRKQLA; RTKQTARK*STGGKAP, ARKSTGGK*APRKQLA; RTKQTARK*STGGKAP, ARKSTGGK*APRKQLA; LTKQTARK*STGGKAP, ARKSTGGK*APRKQLA; RTKQTARK*STGGKAP, ARKSTGGK*APRKQLA; RTKQTARK*STGGKAP, ARKSTGGK*APRKQLA; RTKQTARK*STGGKAP, ARKSTGGK*APRKQLA, RTKQTARK*STGGKAP, ARKSTGGK*APRKQLA</t>
  </si>
  <si>
    <t>ARKSTGGK*APRKQLA; ARKSTGGK*APRKQLA; ARKSTGGK*APRKQLA; ARKSTGGK*APRKQLA; ARKSTGGK*APRKQLA; ARKSTGGK*APRKQLA; ARKSTGGK*APRKQLA; ARKSTGGK*APRKQLA, ARKSTGGK*APRKQLA</t>
  </si>
  <si>
    <t>TGGKAPRK*QLATKAA, PRKQLATK*AARKSVP; TGGNSPRK*QLATKAA, PRKQLATK*AARKSAP; TGGKAPRK*QLATKAA, PRKQLATK*AARKSAP; TGGKAPRK*QLATKAA, PRKQLATK*AARKSAP; TGGKAPRK*QLATKAA, PRKQLATK*AARKSAP; TGGKAPRK*QLATKAA, PRKQLATK*AARKSAP; TGGKAPRK*QLATKAA, PRKQLATK*AARKSAP; TGGKAPRK*QLATKAA, PRKQLATK*AARKSAP, TGGKAPRK*QLATKAA, PRKQLATK*AARKSAP</t>
  </si>
  <si>
    <t>PRKQLATK*AARKSVP; PRKQLATK*AARKSAP; PRKQLATK*AARKSAP; PRKQLATK*AARKSAP; PRKQLATK*AARKSAP; PRKQLATK*AARKSAP; PRKQLATK*AARKSAP; PRKQLATK*AARKSAP, PRKQLATK*AARKSAP</t>
  </si>
  <si>
    <t>REIAQDFK*TDLRFQS; REIAQDFK*TDLRFQS; REIAQDFK*TDLRFQS; REIAQDFK*TDLRFQS; REIAQDFK*TDLRFQS; REIAQDFK*TDLRFQS; REIAQDFK*TDLRFQS; REIAQDFK*TDLRFQS; REIAQDFK*TDLRFQS, REIAQDFK*TDLRFQS</t>
  </si>
  <si>
    <t>LEATQMLK*TVGLEKI</t>
  </si>
  <si>
    <t>AIKDGFVK*VVKNKAY; ---MGFVK*VVKNKAY</t>
  </si>
  <si>
    <t>VFCVMAIK*ISCTKNP</t>
  </si>
  <si>
    <t>KTAQQIAK*DMERWVR; KTAQQIAK*DMERWAR; KTAQQIAK*DMERWAK</t>
  </si>
  <si>
    <t>LILDEASK*SLLFMGR</t>
  </si>
  <si>
    <t>LSDHGEDK*TELNPKS, DKTELNPK*SASVIKP</t>
  </si>
  <si>
    <t>SLRQLAQK*YNCDKMI; SLRQLAQK*YNCDKMI</t>
  </si>
  <si>
    <t>SVKQYSGK*FF-----; SVKQYSGK*FF-----; SVKQYSGK*FF-----</t>
  </si>
  <si>
    <t>GRSIYGEK*FEDENFI; GRSIYGEK*FEDENFI</t>
  </si>
  <si>
    <t>SFELFADK*VPKTAEN; SFELFADK*VPKTAEN</t>
  </si>
  <si>
    <t>LARRYLQK*GCTTLLF</t>
  </si>
  <si>
    <t>DLAEESDK*WMAIIRE</t>
  </si>
  <si>
    <t>WDYVAPLK*KEVYAHA, DYVAPLKK*EVYAHAG</t>
  </si>
  <si>
    <t>PGQGGLPK*EENKTQE</t>
  </si>
  <si>
    <t>GLTSWPGK*FIREDDV</t>
  </si>
  <si>
    <t>DRYLTNQK*NSNSKND, NQKNSNSK*NDRRNRK; DRYLTNQK*NSNSKND, NQKNSNSK*NDRRNRK</t>
  </si>
  <si>
    <t>IEDEDRRK*RMCKRGR</t>
  </si>
  <si>
    <t>PLRESSPK*KEETVAR</t>
  </si>
  <si>
    <t>EVKDYVAK*GEDVNRT</t>
  </si>
  <si>
    <t>LLLLSFMK*TCADDWT</t>
  </si>
  <si>
    <t>LVKKGKSK*VGDMLEK</t>
  </si>
  <si>
    <t>EAADLPTK*PTKMSKF</t>
  </si>
  <si>
    <t>AALAIQGK*FRRFQKR</t>
  </si>
  <si>
    <t>PGQRWSAK*YRYDKEW</t>
  </si>
  <si>
    <t>EFLVNTLK*KNPRDRM, FLVNTLKK*NPRDRMM</t>
  </si>
  <si>
    <t>FQQRFILK*RDDASMD</t>
  </si>
  <si>
    <t>SEISMEQK*KLQEALS, KLQEALSK*AAGKKTK, ALSKAAGK*KTKTPVQ</t>
  </si>
  <si>
    <t>EISMEQKK*LQEALSK, KLQEALSK*AAGKKTK, ALSKAAGK*KTKTPVQ</t>
  </si>
  <si>
    <t>PAKGSSSK*SSSKSHS, SSSKSSSK*SHSARSK, KSHSARSK*NKAANSR, HSARSKNK*AANSRTS</t>
  </si>
  <si>
    <t>KITSFSKK*HNILGCD, MDSVDQLK*NMSCLYL</t>
  </si>
  <si>
    <t>QKRPEILK*QEIKVFF</t>
  </si>
  <si>
    <t>PKTNNPSK*YIRFIYN</t>
  </si>
  <si>
    <t>QRPDQLDK*VEQYRRR</t>
  </si>
  <si>
    <t>VFMKNSFK*DVDQKFQ; VFLKNSFK*DVDQKFQ</t>
  </si>
  <si>
    <t>VAIEEKNK*TIFLRAY</t>
  </si>
  <si>
    <t>KDMKEAEK*NLTDLGK</t>
  </si>
  <si>
    <t>VGITDPEK*IGDGMNA, MNAYVAYK*VTTQTSL</t>
  </si>
  <si>
    <t>AATPKSGK*HKNKEKR, TPKSGKHK*NKEKRKD, KSGKHKNK*EKRKDSN</t>
  </si>
  <si>
    <t>RTSVLFSK*KNPKTAG</t>
  </si>
  <si>
    <t>FQCDCCGK*KFTRAYS</t>
  </si>
  <si>
    <t>SPAAGVRK*TEMSQAS</t>
  </si>
  <si>
    <t>KEMSLEAK*GGGRVQR</t>
  </si>
  <si>
    <t>QLEPKAGK*EQGGNEE</t>
  </si>
  <si>
    <t>QVEGAGEK*EKERAKG</t>
  </si>
  <si>
    <t>EGAGEKEK*ERAKGKR</t>
  </si>
  <si>
    <t>FHVEEEGK*GKDASGN</t>
  </si>
  <si>
    <t>DGVPMPDK*YSLEPVA</t>
  </si>
  <si>
    <r>
      <t>MIELCAREK ET AL. ACETYLSCAN</t>
    </r>
    <r>
      <rPr>
        <b/>
        <i/>
        <vertAlign val="superscript"/>
        <sz val="18"/>
        <rFont val="Verdana"/>
      </rPr>
      <t>®</t>
    </r>
    <r>
      <rPr>
        <b/>
        <i/>
        <sz val="18"/>
        <rFont val="Verdana"/>
      </rPr>
      <t xml:space="preserve"> RESULTS</t>
    </r>
  </si>
  <si>
    <r>
      <t xml:space="preserve">Legend: * </t>
    </r>
    <r>
      <rPr>
        <i/>
        <sz val="18"/>
        <rFont val="Verdana"/>
      </rPr>
      <t xml:space="preserve">-acetylation, </t>
    </r>
    <r>
      <rPr>
        <b/>
        <i/>
        <sz val="18"/>
        <rFont val="Verdana"/>
      </rPr>
      <t xml:space="preserve"># </t>
    </r>
    <r>
      <rPr>
        <i/>
        <sz val="18"/>
        <rFont val="Verdana"/>
      </rPr>
      <t xml:space="preserve">-  oxidized methionine, </t>
    </r>
    <r>
      <rPr>
        <b/>
        <i/>
        <sz val="18"/>
        <rFont val="Verdana"/>
      </rPr>
      <t>§</t>
    </r>
    <r>
      <rPr>
        <i/>
        <sz val="18"/>
        <rFont val="Verdana"/>
      </rPr>
      <t xml:space="preserve"> - published site,</t>
    </r>
    <r>
      <rPr>
        <b/>
        <i/>
        <sz val="18"/>
        <rFont val="Verdana"/>
      </rPr>
      <t xml:space="preserve"> </t>
    </r>
    <r>
      <rPr>
        <b/>
        <i/>
        <sz val="18"/>
        <color indexed="12"/>
        <rFont val="Verdana"/>
      </rPr>
      <t>Blue Text</t>
    </r>
    <r>
      <rPr>
        <i/>
        <sz val="18"/>
        <rFont val="Verdana"/>
      </rPr>
      <t xml:space="preserve"> - CST siRNA/antibody available, </t>
    </r>
    <r>
      <rPr>
        <b/>
        <i/>
        <sz val="18"/>
        <rFont val="Verdana"/>
      </rPr>
      <t>–</t>
    </r>
    <r>
      <rPr>
        <i/>
        <sz val="18"/>
        <rFont val="Verdana"/>
      </rPr>
      <t xml:space="preserve"> - no Fold Change determined, </t>
    </r>
    <r>
      <rPr>
        <b/>
        <i/>
        <sz val="18"/>
        <rFont val="Verdana"/>
      </rPr>
      <t>Bold Intensity</t>
    </r>
    <r>
      <rPr>
        <i/>
        <sz val="18"/>
        <rFont val="Verdana"/>
      </rPr>
      <t xml:space="preserve"> = manually reviewed values. </t>
    </r>
    <r>
      <rPr>
        <b/>
        <i/>
        <sz val="18"/>
        <color indexed="10"/>
        <rFont val="Verdana"/>
      </rPr>
      <t xml:space="preserve"> Red m/z and intensity</t>
    </r>
    <r>
      <rPr>
        <i/>
        <sz val="18"/>
        <rFont val="Verdana"/>
      </rPr>
      <t xml:space="preserve"> = multiple identifications for one m/z</t>
    </r>
    <r>
      <rPr>
        <b/>
        <i/>
        <sz val="18"/>
        <rFont val="Verdana"/>
      </rPr>
      <t/>
    </r>
  </si>
</sst>
</file>

<file path=xl/styles.xml><?xml version="1.0" encoding="utf-8"?>
<styleSheet xmlns="http://schemas.openxmlformats.org/spreadsheetml/2006/main">
  <numFmts count="3">
    <numFmt numFmtId="164" formatCode="0.0000"/>
    <numFmt numFmtId="165" formatCode="0.0"/>
    <numFmt numFmtId="166" formatCode="0.000"/>
  </numFmts>
  <fonts count="26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Verdana"/>
      <family val="2"/>
    </font>
    <font>
      <b/>
      <i/>
      <sz val="12"/>
      <color indexed="8"/>
      <name val="Verdana"/>
      <family val="2"/>
    </font>
    <font>
      <sz val="12"/>
      <color indexed="8"/>
      <name val="Verdana"/>
      <family val="2"/>
    </font>
    <font>
      <sz val="12"/>
      <color indexed="12"/>
      <name val="Verdana"/>
      <family val="2"/>
    </font>
    <font>
      <u/>
      <sz val="11"/>
      <color theme="11"/>
      <name val="Calibri"/>
      <family val="2"/>
      <scheme val="minor"/>
    </font>
    <font>
      <sz val="12"/>
      <color indexed="10"/>
      <name val="Verdana"/>
    </font>
    <font>
      <sz val="8"/>
      <name val="Verdana"/>
    </font>
    <font>
      <sz val="11"/>
      <color rgb="FF0000FF"/>
      <name val="Calibri"/>
      <family val="2"/>
      <scheme val="minor"/>
    </font>
    <font>
      <sz val="12"/>
      <color rgb="FF0000FF"/>
      <name val="Verdana"/>
      <family val="2"/>
    </font>
    <font>
      <sz val="12"/>
      <color rgb="FFFF0000"/>
      <name val="Verdana"/>
      <family val="2"/>
    </font>
    <font>
      <b/>
      <sz val="12"/>
      <color rgb="FFFF0000"/>
      <name val="Verdana"/>
      <family val="2"/>
    </font>
    <font>
      <sz val="8"/>
      <name val="Arial Narrow"/>
    </font>
    <font>
      <b/>
      <sz val="16"/>
      <name val="Verdana"/>
    </font>
    <font>
      <sz val="10"/>
      <name val="Arial"/>
    </font>
    <font>
      <b/>
      <sz val="12"/>
      <name val="Verdana"/>
    </font>
    <font>
      <sz val="12"/>
      <name val="Verdana"/>
      <family val="2"/>
    </font>
    <font>
      <sz val="11"/>
      <name val="Calibri"/>
      <family val="2"/>
      <scheme val="minor"/>
    </font>
    <font>
      <b/>
      <i/>
      <sz val="18"/>
      <name val="Verdana"/>
    </font>
    <font>
      <b/>
      <i/>
      <vertAlign val="superscript"/>
      <sz val="18"/>
      <name val="Verdana"/>
    </font>
    <font>
      <b/>
      <sz val="10"/>
      <name val="Arial"/>
    </font>
    <font>
      <i/>
      <sz val="18"/>
      <name val="Verdana"/>
    </font>
    <font>
      <b/>
      <i/>
      <sz val="18"/>
      <color indexed="12"/>
      <name val="Verdana"/>
    </font>
    <font>
      <b/>
      <i/>
      <sz val="18"/>
      <color indexed="10"/>
      <name val="Verdana"/>
    </font>
    <font>
      <b/>
      <sz val="12"/>
      <color theme="1"/>
      <name val="Verdana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37">
    <xf numFmtId="0" fontId="0" fillId="0" borderId="0"/>
    <xf numFmtId="0" fontId="6" fillId="0" borderId="0" applyNumberFormat="0" applyFill="0" applyBorder="0" applyAlignment="0" applyProtection="0"/>
    <xf numFmtId="0" fontId="13" fillId="0" borderId="0"/>
    <xf numFmtId="0" fontId="15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2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/>
    </xf>
    <xf numFmtId="0" fontId="4" fillId="0" borderId="0" xfId="0" applyFont="1"/>
    <xf numFmtId="0" fontId="4" fillId="3" borderId="0" xfId="0" applyFont="1" applyFill="1"/>
    <xf numFmtId="0" fontId="4" fillId="0" borderId="0" xfId="0" applyFont="1" applyAlignment="1">
      <alignment horizontal="center"/>
    </xf>
    <xf numFmtId="0" fontId="5" fillId="0" borderId="0" xfId="0" applyFont="1"/>
    <xf numFmtId="0" fontId="5" fillId="3" borderId="0" xfId="0" applyFont="1" applyFill="1"/>
    <xf numFmtId="0" fontId="5" fillId="0" borderId="0" xfId="0" applyFont="1" applyAlignment="1">
      <alignment horizontal="center"/>
    </xf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4" fillId="0" borderId="0" xfId="0" applyFont="1"/>
    <xf numFmtId="0" fontId="0" fillId="2" borderId="0" xfId="0" applyFill="1"/>
    <xf numFmtId="0" fontId="4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2" fontId="4" fillId="0" borderId="0" xfId="0" applyNumberFormat="1" applyFont="1" applyAlignment="1">
      <alignment horizontal="center"/>
    </xf>
    <xf numFmtId="164" fontId="1" fillId="0" borderId="0" xfId="0" applyNumberFormat="1" applyFont="1"/>
    <xf numFmtId="164" fontId="4" fillId="0" borderId="0" xfId="0" applyNumberFormat="1" applyFont="1" applyAlignment="1">
      <alignment horizontal="center"/>
    </xf>
    <xf numFmtId="164" fontId="1" fillId="2" borderId="0" xfId="0" applyNumberFormat="1" applyFont="1" applyFill="1"/>
    <xf numFmtId="3" fontId="0" fillId="0" borderId="0" xfId="0" applyNumberFormat="1" applyAlignment="1">
      <alignment horizontal="center"/>
    </xf>
    <xf numFmtId="3" fontId="4" fillId="0" borderId="0" xfId="0" applyNumberFormat="1" applyFont="1" applyAlignment="1">
      <alignment horizontal="center"/>
    </xf>
    <xf numFmtId="3" fontId="0" fillId="2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wrapText="1"/>
    </xf>
    <xf numFmtId="0" fontId="4" fillId="0" borderId="0" xfId="0" applyFont="1" applyFill="1"/>
    <xf numFmtId="0" fontId="4" fillId="2" borderId="0" xfId="0" applyFont="1" applyFill="1" applyAlignment="1">
      <alignment horizontal="center"/>
    </xf>
    <xf numFmtId="165" fontId="4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0" fontId="9" fillId="2" borderId="0" xfId="0" applyFont="1" applyFill="1"/>
    <xf numFmtId="0" fontId="10" fillId="0" borderId="0" xfId="0" applyFont="1"/>
    <xf numFmtId="0" fontId="10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10" fillId="3" borderId="0" xfId="0" applyFont="1" applyFill="1"/>
    <xf numFmtId="3" fontId="11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14" fillId="4" borderId="1" xfId="2" applyFont="1" applyFill="1" applyBorder="1"/>
    <xf numFmtId="49" fontId="14" fillId="4" borderId="1" xfId="2" applyNumberFormat="1" applyFont="1" applyFill="1" applyBorder="1" applyAlignment="1">
      <alignment wrapText="1"/>
    </xf>
    <xf numFmtId="0" fontId="14" fillId="4" borderId="1" xfId="2" applyFont="1" applyFill="1" applyBorder="1" applyAlignment="1">
      <alignment horizontal="center"/>
    </xf>
    <xf numFmtId="0" fontId="15" fillId="0" borderId="0" xfId="3"/>
    <xf numFmtId="0" fontId="16" fillId="0" borderId="0" xfId="2" applyFont="1"/>
    <xf numFmtId="49" fontId="17" fillId="0" borderId="0" xfId="2" applyNumberFormat="1" applyFont="1" applyAlignment="1">
      <alignment wrapText="1"/>
    </xf>
    <xf numFmtId="0" fontId="17" fillId="0" borderId="0" xfId="2" applyFont="1" applyAlignment="1">
      <alignment horizontal="center"/>
    </xf>
    <xf numFmtId="0" fontId="18" fillId="0" borderId="0" xfId="0" applyFont="1" applyAlignment="1">
      <alignment horizontal="center"/>
    </xf>
    <xf numFmtId="2" fontId="18" fillId="0" borderId="0" xfId="0" applyNumberFormat="1" applyFont="1" applyAlignment="1">
      <alignment horizontal="center"/>
    </xf>
    <xf numFmtId="0" fontId="17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0" fontId="18" fillId="2" borderId="0" xfId="0" applyFont="1" applyFill="1" applyAlignment="1">
      <alignment horizontal="center"/>
    </xf>
    <xf numFmtId="2" fontId="18" fillId="2" borderId="0" xfId="0" applyNumberFormat="1" applyFont="1" applyFill="1" applyAlignment="1">
      <alignment horizontal="center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0" fontId="19" fillId="0" borderId="0" xfId="0" applyFont="1" applyAlignment="1">
      <alignment horizontal="left"/>
    </xf>
    <xf numFmtId="3" fontId="0" fillId="0" borderId="0" xfId="0" applyNumberFormat="1" applyFill="1" applyAlignment="1">
      <alignment horizontal="center"/>
    </xf>
    <xf numFmtId="165" fontId="15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4" fontId="0" fillId="0" borderId="0" xfId="0" applyNumberFormat="1" applyFill="1" applyAlignment="1">
      <alignment horizontal="center" wrapText="1"/>
    </xf>
    <xf numFmtId="3" fontId="21" fillId="0" borderId="0" xfId="0" applyNumberFormat="1" applyFont="1" applyFill="1" applyAlignment="1">
      <alignment horizontal="center" wrapText="1"/>
    </xf>
    <xf numFmtId="0" fontId="15" fillId="0" borderId="0" xfId="0" applyFont="1" applyFill="1"/>
    <xf numFmtId="0" fontId="0" fillId="0" borderId="0" xfId="0" applyAlignment="1">
      <alignment horizontal="left"/>
    </xf>
    <xf numFmtId="0" fontId="0" fillId="0" borderId="0" xfId="0" applyFill="1" applyAlignment="1"/>
    <xf numFmtId="3" fontId="15" fillId="0" borderId="0" xfId="0" applyNumberFormat="1" applyFont="1" applyAlignment="1">
      <alignment horizontal="center"/>
    </xf>
    <xf numFmtId="2" fontId="0" fillId="0" borderId="0" xfId="0" applyNumberFormat="1" applyFill="1" applyAlignment="1"/>
    <xf numFmtId="0" fontId="15" fillId="0" borderId="0" xfId="0" applyFont="1" applyFill="1" applyAlignment="1"/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165" fontId="25" fillId="0" borderId="0" xfId="0" applyNumberFormat="1" applyFont="1" applyFill="1" applyAlignment="1">
      <alignment horizontal="center"/>
    </xf>
    <xf numFmtId="0" fontId="0" fillId="0" borderId="2" xfId="0" applyBorder="1" applyAlignment="1">
      <alignment wrapText="1"/>
    </xf>
    <xf numFmtId="2" fontId="2" fillId="0" borderId="2" xfId="0" applyNumberFormat="1" applyFont="1" applyFill="1" applyBorder="1" applyAlignment="1">
      <alignment horizontal="center" wrapText="1"/>
    </xf>
    <xf numFmtId="0" fontId="18" fillId="0" borderId="2" xfId="0" applyFont="1" applyBorder="1" applyAlignment="1">
      <alignment horizontal="center" wrapText="1"/>
    </xf>
    <xf numFmtId="164" fontId="1" fillId="0" borderId="2" xfId="0" applyNumberFormat="1" applyFont="1" applyBorder="1" applyAlignment="1">
      <alignment wrapText="1"/>
    </xf>
    <xf numFmtId="0" fontId="0" fillId="0" borderId="2" xfId="0" applyBorder="1" applyAlignment="1">
      <alignment horizontal="center" wrapText="1"/>
    </xf>
    <xf numFmtId="2" fontId="17" fillId="0" borderId="2" xfId="0" applyNumberFormat="1" applyFont="1" applyFill="1" applyBorder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165" fontId="2" fillId="5" borderId="2" xfId="0" applyNumberFormat="1" applyFont="1" applyFill="1" applyBorder="1" applyAlignment="1">
      <alignment horizontal="center" wrapText="1"/>
    </xf>
    <xf numFmtId="2" fontId="2" fillId="5" borderId="2" xfId="0" applyNumberFormat="1" applyFont="1" applyFill="1" applyBorder="1" applyAlignment="1">
      <alignment horizontal="center" wrapText="1"/>
    </xf>
    <xf numFmtId="0" fontId="16" fillId="5" borderId="2" xfId="0" applyFont="1" applyFill="1" applyBorder="1" applyAlignment="1">
      <alignment horizontal="center" wrapText="1"/>
    </xf>
    <xf numFmtId="164" fontId="2" fillId="5" borderId="2" xfId="0" applyNumberFormat="1" applyFont="1" applyFill="1" applyBorder="1" applyAlignment="1">
      <alignment horizontal="center" wrapText="1"/>
    </xf>
    <xf numFmtId="2" fontId="16" fillId="5" borderId="2" xfId="0" applyNumberFormat="1" applyFont="1" applyFill="1" applyBorder="1" applyAlignment="1">
      <alignment horizontal="center" wrapText="1"/>
    </xf>
    <xf numFmtId="3" fontId="2" fillId="5" borderId="2" xfId="0" applyNumberFormat="1" applyFont="1" applyFill="1" applyBorder="1" applyAlignment="1">
      <alignment horizontal="center" wrapText="1"/>
    </xf>
    <xf numFmtId="166" fontId="0" fillId="0" borderId="0" xfId="0" applyNumberFormat="1" applyFill="1" applyAlignment="1">
      <alignment horizontal="center"/>
    </xf>
    <xf numFmtId="166" fontId="0" fillId="2" borderId="0" xfId="0" applyNumberFormat="1" applyFill="1"/>
    <xf numFmtId="166" fontId="4" fillId="0" borderId="0" xfId="0" applyNumberFormat="1" applyFont="1" applyAlignment="1">
      <alignment horizontal="center"/>
    </xf>
    <xf numFmtId="166" fontId="4" fillId="3" borderId="0" xfId="0" applyNumberFormat="1" applyFont="1" applyFill="1" applyAlignment="1">
      <alignment horizontal="center"/>
    </xf>
    <xf numFmtId="166" fontId="0" fillId="0" borderId="0" xfId="0" applyNumberFormat="1"/>
    <xf numFmtId="164" fontId="0" fillId="0" borderId="0" xfId="0" applyNumberFormat="1" applyFill="1" applyAlignment="1">
      <alignment horizontal="center"/>
    </xf>
    <xf numFmtId="164" fontId="0" fillId="2" borderId="0" xfId="0" applyNumberFormat="1" applyFill="1"/>
    <xf numFmtId="164" fontId="4" fillId="3" borderId="0" xfId="0" applyNumberFormat="1" applyFont="1" applyFill="1" applyAlignment="1">
      <alignment horizontal="center"/>
    </xf>
    <xf numFmtId="164" fontId="0" fillId="0" borderId="0" xfId="0" applyNumberFormat="1"/>
    <xf numFmtId="164" fontId="0" fillId="0" borderId="2" xfId="0" applyNumberFormat="1" applyBorder="1" applyAlignment="1">
      <alignment wrapText="1"/>
    </xf>
    <xf numFmtId="166" fontId="2" fillId="5" borderId="2" xfId="0" applyNumberFormat="1" applyFont="1" applyFill="1" applyBorder="1" applyAlignment="1">
      <alignment horizontal="center" wrapText="1"/>
    </xf>
    <xf numFmtId="166" fontId="4" fillId="0" borderId="0" xfId="0" applyNumberFormat="1" applyFont="1"/>
    <xf numFmtId="166" fontId="4" fillId="3" borderId="0" xfId="0" applyNumberFormat="1" applyFont="1" applyFill="1"/>
    <xf numFmtId="164" fontId="0" fillId="0" borderId="0" xfId="0" applyNumberFormat="1" applyFill="1" applyAlignment="1"/>
    <xf numFmtId="164" fontId="4" fillId="0" borderId="0" xfId="0" applyNumberFormat="1" applyFont="1"/>
    <xf numFmtId="164" fontId="4" fillId="3" borderId="0" xfId="0" applyNumberFormat="1" applyFont="1" applyFill="1"/>
    <xf numFmtId="166" fontId="2" fillId="5" borderId="3" xfId="0" applyNumberFormat="1" applyFont="1" applyFill="1" applyBorder="1" applyAlignment="1">
      <alignment horizontal="center" wrapText="1"/>
    </xf>
    <xf numFmtId="166" fontId="2" fillId="5" borderId="4" xfId="0" applyNumberFormat="1" applyFont="1" applyFill="1" applyBorder="1" applyAlignment="1">
      <alignment horizontal="center" wrapText="1"/>
    </xf>
    <xf numFmtId="166" fontId="2" fillId="5" borderId="5" xfId="0" applyNumberFormat="1" applyFont="1" applyFill="1" applyBorder="1" applyAlignment="1">
      <alignment horizontal="center" wrapText="1"/>
    </xf>
    <xf numFmtId="0" fontId="2" fillId="5" borderId="3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 wrapText="1"/>
    </xf>
    <xf numFmtId="0" fontId="2" fillId="5" borderId="5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164" fontId="2" fillId="0" borderId="3" xfId="0" applyNumberFormat="1" applyFont="1" applyBorder="1" applyAlignment="1">
      <alignment horizontal="center" wrapText="1"/>
    </xf>
    <xf numFmtId="164" fontId="2" fillId="0" borderId="4" xfId="0" applyNumberFormat="1" applyFont="1" applyBorder="1" applyAlignment="1">
      <alignment horizontal="center" wrapText="1"/>
    </xf>
    <xf numFmtId="164" fontId="2" fillId="0" borderId="5" xfId="0" applyNumberFormat="1" applyFont="1" applyBorder="1" applyAlignment="1">
      <alignment horizontal="center" wrapText="1"/>
    </xf>
    <xf numFmtId="164" fontId="2" fillId="5" borderId="3" xfId="0" applyNumberFormat="1" applyFont="1" applyFill="1" applyBorder="1" applyAlignment="1">
      <alignment horizontal="center" wrapText="1"/>
    </xf>
    <xf numFmtId="164" fontId="2" fillId="5" borderId="4" xfId="0" applyNumberFormat="1" applyFont="1" applyFill="1" applyBorder="1" applyAlignment="1">
      <alignment horizontal="center" wrapText="1"/>
    </xf>
    <xf numFmtId="164" fontId="2" fillId="5" borderId="5" xfId="0" applyNumberFormat="1" applyFont="1" applyFill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2" fontId="16" fillId="0" borderId="2" xfId="0" applyNumberFormat="1" applyFont="1" applyFill="1" applyBorder="1" applyAlignment="1">
      <alignment horizontal="center" wrapText="1"/>
    </xf>
    <xf numFmtId="2" fontId="2" fillId="5" borderId="2" xfId="0" applyNumberFormat="1" applyFont="1" applyFill="1" applyBorder="1" applyAlignment="1">
      <alignment horizontal="center" wrapText="1"/>
    </xf>
    <xf numFmtId="2" fontId="2" fillId="0" borderId="2" xfId="0" applyNumberFormat="1" applyFont="1" applyFill="1" applyBorder="1" applyAlignment="1">
      <alignment horizontal="center" wrapText="1"/>
    </xf>
    <xf numFmtId="165" fontId="2" fillId="5" borderId="2" xfId="0" applyNumberFormat="1" applyFont="1" applyFill="1" applyBorder="1" applyAlignment="1">
      <alignment horizontal="center" wrapText="1"/>
    </xf>
    <xf numFmtId="3" fontId="2" fillId="5" borderId="2" xfId="0" applyNumberFormat="1" applyFont="1" applyFill="1" applyBorder="1" applyAlignment="1">
      <alignment horizontal="center" wrapText="1"/>
    </xf>
    <xf numFmtId="3" fontId="2" fillId="0" borderId="2" xfId="0" applyNumberFormat="1" applyFont="1" applyFill="1" applyBorder="1" applyAlignment="1">
      <alignment horizontal="center" wrapText="1"/>
    </xf>
  </cellXfs>
  <cellStyles count="37">
    <cellStyle name="Followed Hyperlink" xfId="1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Normal" xfId="0" builtinId="0"/>
    <cellStyle name="Normal 2" xfId="3"/>
    <cellStyle name="Normal_PTMScanTableRequestFormTemplate_032808.xls" xfId="2"/>
  </cellStyles>
  <dxfs count="6">
    <dxf>
      <font>
        <color auto="1"/>
      </font>
      <fill>
        <patternFill patternType="solid">
          <fgColor indexed="64"/>
          <bgColor rgb="FF00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  <dxf>
      <font>
        <color auto="1"/>
      </font>
      <fill>
        <patternFill patternType="solid">
          <fgColor indexed="64"/>
          <bgColor rgb="FF00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none">
          <fgColor indexed="64"/>
          <bgColor auto="1"/>
        </patternFill>
      </fill>
    </dxf>
  </dxfs>
  <tableStyles count="0" defaultTableStyle="TableStyleMedium9" defaultPivotStyle="PivotStyleMedium4"/>
  <colors>
    <mruColors>
      <color rgb="FFC0C0C0"/>
      <color rgb="FF808080"/>
      <color rgb="FFC0C0C0"/>
      <color rgb="FF80808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phosphosite.org/proteinAction.do?id=5634&amp;showAllSites=true" TargetMode="External"/><Relationship Id="rId21" Type="http://schemas.openxmlformats.org/officeDocument/2006/relationships/hyperlink" Target="http://www.phosphosite.org/proteinAction.do?id=9911&amp;showAllSites=true" TargetMode="External"/><Relationship Id="rId170" Type="http://schemas.openxmlformats.org/officeDocument/2006/relationships/hyperlink" Target="http://www.phosphosite.org/proteinAction.do?id=3870&amp;showAllSites=true" TargetMode="External"/><Relationship Id="rId268" Type="http://schemas.openxmlformats.org/officeDocument/2006/relationships/hyperlink" Target="http://www.phosphosite.org/proteinAction.do?id=7745&amp;showAllSites=true" TargetMode="External"/><Relationship Id="rId475" Type="http://schemas.openxmlformats.org/officeDocument/2006/relationships/hyperlink" Target="http://www.cellsignal.com/products/8135.html" TargetMode="External"/><Relationship Id="rId682" Type="http://schemas.openxmlformats.org/officeDocument/2006/relationships/hyperlink" Target="http://www.phosphosite.org/proteinAction.do?id=8391&amp;showAllSites=true" TargetMode="External"/><Relationship Id="rId128" Type="http://schemas.openxmlformats.org/officeDocument/2006/relationships/hyperlink" Target="http://www.phosphosite.org/proteinAction.do?id=10305&amp;showAllSites=true" TargetMode="External"/><Relationship Id="rId335" Type="http://schemas.openxmlformats.org/officeDocument/2006/relationships/hyperlink" Target="http://www.cellsignal.com/products/4830.html" TargetMode="External"/><Relationship Id="rId542" Type="http://schemas.openxmlformats.org/officeDocument/2006/relationships/hyperlink" Target="http://www.cellsignal.com/products/9072.html" TargetMode="External"/><Relationship Id="rId987" Type="http://schemas.openxmlformats.org/officeDocument/2006/relationships/hyperlink" Target="http://www.phosphosite.org/proteinAction.do?id=14297&amp;showAllSites=true" TargetMode="External"/><Relationship Id="rId1172" Type="http://schemas.openxmlformats.org/officeDocument/2006/relationships/hyperlink" Target="http://www.phosphosite.org/proteinAction.do?id=1378&amp;showAllSites=true" TargetMode="External"/><Relationship Id="rId402" Type="http://schemas.openxmlformats.org/officeDocument/2006/relationships/hyperlink" Target="http://www.phosphosite.org/proteinAction.do?id=4249&amp;showAllSites=true" TargetMode="External"/><Relationship Id="rId847" Type="http://schemas.openxmlformats.org/officeDocument/2006/relationships/hyperlink" Target="http://www.phosphosite.org/proteinAction.do?id=5670&amp;showAllSites=true" TargetMode="External"/><Relationship Id="rId1032" Type="http://schemas.openxmlformats.org/officeDocument/2006/relationships/hyperlink" Target="http://www.phosphosite.org/proteinAction.do?id=1847200&amp;showAllSites=true" TargetMode="External"/><Relationship Id="rId1477" Type="http://schemas.openxmlformats.org/officeDocument/2006/relationships/hyperlink" Target="http://www.phosphosite.org/proteinAction.do?id=4345&amp;showAllSites=true" TargetMode="External"/><Relationship Id="rId1684" Type="http://schemas.openxmlformats.org/officeDocument/2006/relationships/hyperlink" Target="http://www.phosphosite.org/proteinAction.do?id=25516004&amp;showAllSites=true" TargetMode="External"/><Relationship Id="rId707" Type="http://schemas.openxmlformats.org/officeDocument/2006/relationships/hyperlink" Target="http://www.cellsignal.com/products/8135.html" TargetMode="External"/><Relationship Id="rId914" Type="http://schemas.openxmlformats.org/officeDocument/2006/relationships/hyperlink" Target="http://www.phosphosite.org/proteinAction.do?id=4368&amp;showAllSites=true" TargetMode="External"/><Relationship Id="rId1337" Type="http://schemas.openxmlformats.org/officeDocument/2006/relationships/hyperlink" Target="http://www.phosphosite.org/proteinAction.do?id=15751&amp;showAllSites=true" TargetMode="External"/><Relationship Id="rId1544" Type="http://schemas.openxmlformats.org/officeDocument/2006/relationships/hyperlink" Target="http://www.phosphosite.org/proteinAction.do?id=11652&amp;showAllSites=true" TargetMode="External"/><Relationship Id="rId1751" Type="http://schemas.openxmlformats.org/officeDocument/2006/relationships/hyperlink" Target="http://www.ncbi.nlm.nih.gov/entrez/query.fcgi?db=protein&amp;cmd=search&amp;term=NP_808276" TargetMode="External"/><Relationship Id="rId43" Type="http://schemas.openxmlformats.org/officeDocument/2006/relationships/hyperlink" Target="http://www.cellsignal.com/products/5521.html" TargetMode="External"/><Relationship Id="rId1404" Type="http://schemas.openxmlformats.org/officeDocument/2006/relationships/hyperlink" Target="http://www.phosphosite.org/proteinAction.do?id=14465&amp;showAllSites=true" TargetMode="External"/><Relationship Id="rId1611" Type="http://schemas.openxmlformats.org/officeDocument/2006/relationships/hyperlink" Target="http://www.cellsignal.com/products/3586.html" TargetMode="External"/><Relationship Id="rId192" Type="http://schemas.openxmlformats.org/officeDocument/2006/relationships/hyperlink" Target="http://www.cellsignal.com/products/9099.html" TargetMode="External"/><Relationship Id="rId1709" Type="http://schemas.openxmlformats.org/officeDocument/2006/relationships/hyperlink" Target="http://www.phosphosite.org/proteinAction.do?id=5145077&amp;showAllSites=true" TargetMode="External"/><Relationship Id="rId497" Type="http://schemas.openxmlformats.org/officeDocument/2006/relationships/hyperlink" Target="http://www.cellsignal.com/products/9072.html" TargetMode="External"/><Relationship Id="rId357" Type="http://schemas.openxmlformats.org/officeDocument/2006/relationships/hyperlink" Target="http://www.phosphosite.org/proteinAction.do?id=11269&amp;showAllSites=true" TargetMode="External"/><Relationship Id="rId1194" Type="http://schemas.openxmlformats.org/officeDocument/2006/relationships/hyperlink" Target="http://www.cellsignal.com/products/11896.html" TargetMode="External"/><Relationship Id="rId217" Type="http://schemas.openxmlformats.org/officeDocument/2006/relationships/hyperlink" Target="http://www.phosphosite.org/proteinAction.do?id=2758&amp;showAllSites=true" TargetMode="External"/><Relationship Id="rId564" Type="http://schemas.openxmlformats.org/officeDocument/2006/relationships/hyperlink" Target="http://www.cellsignal.com/products/2591.html" TargetMode="External"/><Relationship Id="rId771" Type="http://schemas.openxmlformats.org/officeDocument/2006/relationships/hyperlink" Target="http://www.phosphosite.org/proteinAction.do?id=2157&amp;showAllSites=true" TargetMode="External"/><Relationship Id="rId869" Type="http://schemas.openxmlformats.org/officeDocument/2006/relationships/hyperlink" Target="http://www.phosphosite.org/proteinAction.do?id=6606&amp;showAllSites=true" TargetMode="External"/><Relationship Id="rId1499" Type="http://schemas.openxmlformats.org/officeDocument/2006/relationships/hyperlink" Target="http://www.cellsignal.com/products/8744.html" TargetMode="External"/><Relationship Id="rId424" Type="http://schemas.openxmlformats.org/officeDocument/2006/relationships/hyperlink" Target="http://www.cellsignal.com/products/2718.html" TargetMode="External"/><Relationship Id="rId631" Type="http://schemas.openxmlformats.org/officeDocument/2006/relationships/hyperlink" Target="http://www.cellsignal.com/products/2591.html" TargetMode="External"/><Relationship Id="rId729" Type="http://schemas.openxmlformats.org/officeDocument/2006/relationships/hyperlink" Target="http://www.cellsignal.com/products/11944.html" TargetMode="External"/><Relationship Id="rId1054" Type="http://schemas.openxmlformats.org/officeDocument/2006/relationships/hyperlink" Target="http://www.phosphosite.org/proteinAction.do?id=9550&amp;showAllSites=true" TargetMode="External"/><Relationship Id="rId1261" Type="http://schemas.openxmlformats.org/officeDocument/2006/relationships/hyperlink" Target="http://www.phosphosite.org/proteinAction.do?id=8696&amp;showAllSites=true" TargetMode="External"/><Relationship Id="rId1359" Type="http://schemas.openxmlformats.org/officeDocument/2006/relationships/hyperlink" Target="http://www.phosphosite.org/proteinAction.do?id=10227&amp;showAllSites=true" TargetMode="External"/><Relationship Id="rId936" Type="http://schemas.openxmlformats.org/officeDocument/2006/relationships/hyperlink" Target="http://www.phosphosite.org/proteinAction.do?id=10631&amp;showAllSites=true" TargetMode="External"/><Relationship Id="rId1121" Type="http://schemas.openxmlformats.org/officeDocument/2006/relationships/hyperlink" Target="http://www.cellsignal.com/products/11908.html" TargetMode="External"/><Relationship Id="rId1219" Type="http://schemas.openxmlformats.org/officeDocument/2006/relationships/hyperlink" Target="http://www.phosphosite.org/proteinAction.do?id=5321&amp;showAllSites=true" TargetMode="External"/><Relationship Id="rId1566" Type="http://schemas.openxmlformats.org/officeDocument/2006/relationships/hyperlink" Target="http://www.phosphosite.org/proteinAction.do?id=11394&amp;showAllSites=true" TargetMode="External"/><Relationship Id="rId1773" Type="http://schemas.openxmlformats.org/officeDocument/2006/relationships/hyperlink" Target="http://www.phosphosite.org/proteinAction.do?id=12701&amp;showAllSites=true" TargetMode="External"/><Relationship Id="rId65" Type="http://schemas.openxmlformats.org/officeDocument/2006/relationships/hyperlink" Target="http://www.cellsignal.com/products/8312.html" TargetMode="External"/><Relationship Id="rId1426" Type="http://schemas.openxmlformats.org/officeDocument/2006/relationships/hyperlink" Target="http://www.phosphosite.org/proteinAction.do?id=5161&amp;showAllSites=true" TargetMode="External"/><Relationship Id="rId1633" Type="http://schemas.openxmlformats.org/officeDocument/2006/relationships/hyperlink" Target="http://www.phosphosite.org/proteinAction.do?id=17694&amp;showAllSites=true" TargetMode="External"/><Relationship Id="rId1700" Type="http://schemas.openxmlformats.org/officeDocument/2006/relationships/hyperlink" Target="http://www.phosphosite.org/proteinAction.do?id=5145077&amp;showAllSites=true" TargetMode="External"/><Relationship Id="rId281" Type="http://schemas.openxmlformats.org/officeDocument/2006/relationships/hyperlink" Target="http://www.phosphosite.org/proteinAction.do?id=2788&amp;showAllSites=true" TargetMode="External"/><Relationship Id="rId141" Type="http://schemas.openxmlformats.org/officeDocument/2006/relationships/hyperlink" Target="http://www.cellsignal.com/products/7425.html" TargetMode="External"/><Relationship Id="rId379" Type="http://schemas.openxmlformats.org/officeDocument/2006/relationships/hyperlink" Target="http://www.cellsignal.com/products/4877.html" TargetMode="External"/><Relationship Id="rId586" Type="http://schemas.openxmlformats.org/officeDocument/2006/relationships/hyperlink" Target="http://www.phosphosite.org/proteinAction.do?id=1878&amp;showAllSites=true" TargetMode="External"/><Relationship Id="rId793" Type="http://schemas.openxmlformats.org/officeDocument/2006/relationships/hyperlink" Target="http://www.cellsignal.com/products/4265.html" TargetMode="External"/><Relationship Id="rId7" Type="http://schemas.openxmlformats.org/officeDocument/2006/relationships/hyperlink" Target="http://www.phosphosite.org/proteinAction.do?id=15794&amp;showAllSites=true" TargetMode="External"/><Relationship Id="rId239" Type="http://schemas.openxmlformats.org/officeDocument/2006/relationships/hyperlink" Target="http://www.cellsignal.com/products/4902.html" TargetMode="External"/><Relationship Id="rId446" Type="http://schemas.openxmlformats.org/officeDocument/2006/relationships/hyperlink" Target="http://www.phosphosite.org/proteinAction.do?id=15481&amp;showAllSites=true" TargetMode="External"/><Relationship Id="rId653" Type="http://schemas.openxmlformats.org/officeDocument/2006/relationships/hyperlink" Target="http://www.phosphosite.org/proteinAction.do?id=1878&amp;showAllSites=true" TargetMode="External"/><Relationship Id="rId1076" Type="http://schemas.openxmlformats.org/officeDocument/2006/relationships/hyperlink" Target="http://www.phosphosite.org/proteinAction.do?id=9550&amp;showAllSites=true" TargetMode="External"/><Relationship Id="rId1283" Type="http://schemas.openxmlformats.org/officeDocument/2006/relationships/hyperlink" Target="http://www.cellsignal.com/products/3542.html" TargetMode="External"/><Relationship Id="rId1490" Type="http://schemas.openxmlformats.org/officeDocument/2006/relationships/hyperlink" Target="http://www.phosphosite.org/proteinAction.do?id=11222&amp;showAllSites=true" TargetMode="External"/><Relationship Id="rId306" Type="http://schemas.openxmlformats.org/officeDocument/2006/relationships/hyperlink" Target="http://www.phosphosite.org/proteinAction.do?id=2137703&amp;showAllSites=true" TargetMode="External"/><Relationship Id="rId860" Type="http://schemas.openxmlformats.org/officeDocument/2006/relationships/hyperlink" Target="http://www.phosphosite.org/proteinAction.do?id=21502&amp;showAllSites=true" TargetMode="External"/><Relationship Id="rId958" Type="http://schemas.openxmlformats.org/officeDocument/2006/relationships/hyperlink" Target="http://www.phosphosite.org/proteinAction.do?id=4323&amp;showAllSites=true" TargetMode="External"/><Relationship Id="rId1143" Type="http://schemas.openxmlformats.org/officeDocument/2006/relationships/hyperlink" Target="http://www.cellsignal.com/products/3205.html" TargetMode="External"/><Relationship Id="rId1588" Type="http://schemas.openxmlformats.org/officeDocument/2006/relationships/hyperlink" Target="http://www.phosphosite.org/proteinAction.do?id=8693&amp;showAllSites=true" TargetMode="External"/><Relationship Id="rId87" Type="http://schemas.openxmlformats.org/officeDocument/2006/relationships/hyperlink" Target="http://www.phosphosite.org/proteinAction.do?id=3332&amp;showAllSites=true" TargetMode="External"/><Relationship Id="rId513" Type="http://schemas.openxmlformats.org/officeDocument/2006/relationships/hyperlink" Target="http://www.phosphosite.org/proteinAction.do?id=8393&amp;showAllSites=true" TargetMode="External"/><Relationship Id="rId720" Type="http://schemas.openxmlformats.org/officeDocument/2006/relationships/hyperlink" Target="http://www.phosphosite.org/proteinAction.do?id=5179&amp;showAllSites=true" TargetMode="External"/><Relationship Id="rId818" Type="http://schemas.openxmlformats.org/officeDocument/2006/relationships/hyperlink" Target="http://www.phosphosite.org/proteinAction.do?id=9173&amp;showAllSites=true" TargetMode="External"/><Relationship Id="rId1350" Type="http://schemas.openxmlformats.org/officeDocument/2006/relationships/hyperlink" Target="http://www.phosphosite.org/proteinAction.do?id=9526&amp;showAllSites=true" TargetMode="External"/><Relationship Id="rId1448" Type="http://schemas.openxmlformats.org/officeDocument/2006/relationships/hyperlink" Target="http://www.phosphosite.org/proteinAction.do?id=15755&amp;showAllSites=true" TargetMode="External"/><Relationship Id="rId1655" Type="http://schemas.openxmlformats.org/officeDocument/2006/relationships/hyperlink" Target="http://www.phosphosite.org/proteinAction.do?id=16402&amp;showAllSites=true" TargetMode="External"/><Relationship Id="rId1003" Type="http://schemas.openxmlformats.org/officeDocument/2006/relationships/hyperlink" Target="http://www.phosphosite.org/proteinAction.do?id=19723&amp;showAllSites=true" TargetMode="External"/><Relationship Id="rId1210" Type="http://schemas.openxmlformats.org/officeDocument/2006/relationships/hyperlink" Target="http://www.phosphosite.org/proteinAction.do?id=6591&amp;showAllSites=true" TargetMode="External"/><Relationship Id="rId1308" Type="http://schemas.openxmlformats.org/officeDocument/2006/relationships/hyperlink" Target="http://www.phosphosite.org/proteinAction.do?id=5140307&amp;showAllSites=true" TargetMode="External"/><Relationship Id="rId1515" Type="http://schemas.openxmlformats.org/officeDocument/2006/relationships/hyperlink" Target="http://www.phosphosite.org/proteinAction.do?id=2613075&amp;showAllSites=true" TargetMode="External"/><Relationship Id="rId1722" Type="http://schemas.openxmlformats.org/officeDocument/2006/relationships/hyperlink" Target="http://www.phosphosite.org/proteinAction.do?id=12571405&amp;showAllSites=true" TargetMode="External"/><Relationship Id="rId14" Type="http://schemas.openxmlformats.org/officeDocument/2006/relationships/hyperlink" Target="http://www.cellsignal.com/products/2884.html" TargetMode="External"/><Relationship Id="rId163" Type="http://schemas.openxmlformats.org/officeDocument/2006/relationships/hyperlink" Target="http://www.phosphosite.org/proteinAction.do?id=12240&amp;showAllSites=true" TargetMode="External"/><Relationship Id="rId370" Type="http://schemas.openxmlformats.org/officeDocument/2006/relationships/hyperlink" Target="http://www.cellsignal.com/products/5696.html" TargetMode="External"/><Relationship Id="rId230" Type="http://schemas.openxmlformats.org/officeDocument/2006/relationships/hyperlink" Target="http://www.cellsignal.com/products/3606.html" TargetMode="External"/><Relationship Id="rId468" Type="http://schemas.openxmlformats.org/officeDocument/2006/relationships/hyperlink" Target="http://www.phosphosite.org/proteinAction.do?id=8395&amp;showAllSites=true" TargetMode="External"/><Relationship Id="rId675" Type="http://schemas.openxmlformats.org/officeDocument/2006/relationships/hyperlink" Target="http://www.cellsignal.com/products/8135.html" TargetMode="External"/><Relationship Id="rId882" Type="http://schemas.openxmlformats.org/officeDocument/2006/relationships/hyperlink" Target="http://www.cellsignal.com/products/3180.html" TargetMode="External"/><Relationship Id="rId1098" Type="http://schemas.openxmlformats.org/officeDocument/2006/relationships/hyperlink" Target="http://www.phosphosite.org/proteinAction.do?id=10223&amp;showAllSites=true" TargetMode="External"/><Relationship Id="rId328" Type="http://schemas.openxmlformats.org/officeDocument/2006/relationships/hyperlink" Target="http://www.phosphosite.org/proteinAction.do?id=4238&amp;showAllSites=true" TargetMode="External"/><Relationship Id="rId535" Type="http://schemas.openxmlformats.org/officeDocument/2006/relationships/hyperlink" Target="http://www.cellsignal.com/products/12364.html" TargetMode="External"/><Relationship Id="rId742" Type="http://schemas.openxmlformats.org/officeDocument/2006/relationships/hyperlink" Target="http://www.phosphosite.org/proteinAction.do?id=12265&amp;showAllSites=true" TargetMode="External"/><Relationship Id="rId1165" Type="http://schemas.openxmlformats.org/officeDocument/2006/relationships/hyperlink" Target="http://www.cellsignal.com/products/12098.html" TargetMode="External"/><Relationship Id="rId1372" Type="http://schemas.openxmlformats.org/officeDocument/2006/relationships/hyperlink" Target="http://www.cellsignal.com/products/5307.html" TargetMode="External"/><Relationship Id="rId602" Type="http://schemas.openxmlformats.org/officeDocument/2006/relationships/hyperlink" Target="http://www.cellsignal.com/products/2592.html" TargetMode="External"/><Relationship Id="rId1025" Type="http://schemas.openxmlformats.org/officeDocument/2006/relationships/hyperlink" Target="http://www.phosphosite.org/proteinAction.do?id=15701&amp;showAllSites=true" TargetMode="External"/><Relationship Id="rId1232" Type="http://schemas.openxmlformats.org/officeDocument/2006/relationships/hyperlink" Target="http://www.cellsignal.com/products/3230.html" TargetMode="External"/><Relationship Id="rId1677" Type="http://schemas.openxmlformats.org/officeDocument/2006/relationships/hyperlink" Target="http://www.phosphosite.org/proteinAction.do?id=22944&amp;showAllSites=true" TargetMode="External"/><Relationship Id="rId907" Type="http://schemas.openxmlformats.org/officeDocument/2006/relationships/hyperlink" Target="http://www.cellsignal.com/products/5174.html" TargetMode="External"/><Relationship Id="rId1537" Type="http://schemas.openxmlformats.org/officeDocument/2006/relationships/hyperlink" Target="http://www.phosphosite.org/proteinAction.do?id=10980&amp;showAllSites=true" TargetMode="External"/><Relationship Id="rId1744" Type="http://schemas.openxmlformats.org/officeDocument/2006/relationships/hyperlink" Target="http://www.phosphosite.org/proteinAction.do?id=9670&amp;showAllSites=true" TargetMode="External"/><Relationship Id="rId36" Type="http://schemas.openxmlformats.org/officeDocument/2006/relationships/hyperlink" Target="http://www.phosphosite.org/proteinAction.do?id=6878&amp;showAllSites=true" TargetMode="External"/><Relationship Id="rId1604" Type="http://schemas.openxmlformats.org/officeDocument/2006/relationships/hyperlink" Target="http://www.phosphosite.org/proteinAction.do?id=3354&amp;showAllSites=true" TargetMode="External"/><Relationship Id="rId185" Type="http://schemas.openxmlformats.org/officeDocument/2006/relationships/hyperlink" Target="http://www.phosphosite.org/proteinAction.do?id=25230&amp;showAllSites=true" TargetMode="External"/><Relationship Id="rId392" Type="http://schemas.openxmlformats.org/officeDocument/2006/relationships/hyperlink" Target="http://www.phosphosite.org/proteinAction.do?id=9558&amp;showAllSites=true" TargetMode="External"/><Relationship Id="rId697" Type="http://schemas.openxmlformats.org/officeDocument/2006/relationships/hyperlink" Target="http://www.cellsignal.com/products/8135.html" TargetMode="External"/><Relationship Id="rId252" Type="http://schemas.openxmlformats.org/officeDocument/2006/relationships/hyperlink" Target="http://www.ncbi.nlm.nih.gov/entrez/query.fcgi?db=protein&amp;cmd=search&amp;term=NP_033271" TargetMode="External"/><Relationship Id="rId1187" Type="http://schemas.openxmlformats.org/officeDocument/2006/relationships/hyperlink" Target="http://www.phosphosite.org/proteinAction.do?id=8079&amp;showAllSites=true" TargetMode="External"/><Relationship Id="rId112" Type="http://schemas.openxmlformats.org/officeDocument/2006/relationships/hyperlink" Target="http://www.cellsignal.com/products/3318.html" TargetMode="External"/><Relationship Id="rId557" Type="http://schemas.openxmlformats.org/officeDocument/2006/relationships/hyperlink" Target="http://www.phosphosite.org/proteinAction.do?id=1878&amp;showAllSites=true" TargetMode="External"/><Relationship Id="rId764" Type="http://schemas.openxmlformats.org/officeDocument/2006/relationships/hyperlink" Target="http://www.phosphosite.org/proteinAction.do?id=12245&amp;showAllSites=true" TargetMode="External"/><Relationship Id="rId971" Type="http://schemas.openxmlformats.org/officeDocument/2006/relationships/hyperlink" Target="http://www.phosphosite.org/proteinAction.do?id=7583499&amp;showAllSites=true" TargetMode="External"/><Relationship Id="rId1394" Type="http://schemas.openxmlformats.org/officeDocument/2006/relationships/hyperlink" Target="http://www.phosphosite.org/proteinAction.do?id=4630&amp;showAllSites=true" TargetMode="External"/><Relationship Id="rId1699" Type="http://schemas.openxmlformats.org/officeDocument/2006/relationships/hyperlink" Target="http://www.cellsignal.com/products/4318.html" TargetMode="External"/><Relationship Id="rId417" Type="http://schemas.openxmlformats.org/officeDocument/2006/relationships/hyperlink" Target="http://www.phosphosite.org/proteinAction.do?id=10451&amp;showAllSites=true" TargetMode="External"/><Relationship Id="rId624" Type="http://schemas.openxmlformats.org/officeDocument/2006/relationships/hyperlink" Target="http://www.cellsignal.com/products/2592.html" TargetMode="External"/><Relationship Id="rId831" Type="http://schemas.openxmlformats.org/officeDocument/2006/relationships/hyperlink" Target="http://www.phosphosite.org/proteinAction.do?id=10968&amp;showAllSites=true" TargetMode="External"/><Relationship Id="rId1047" Type="http://schemas.openxmlformats.org/officeDocument/2006/relationships/hyperlink" Target="http://www.cellsignal.com/products/4567.html" TargetMode="External"/><Relationship Id="rId1254" Type="http://schemas.openxmlformats.org/officeDocument/2006/relationships/hyperlink" Target="http://www.cellsignal.com/products/12763.html" TargetMode="External"/><Relationship Id="rId1461" Type="http://schemas.openxmlformats.org/officeDocument/2006/relationships/hyperlink" Target="http://www.phosphosite.org/proteinAction.do?id=4806&amp;showAllSites=true" TargetMode="External"/><Relationship Id="rId929" Type="http://schemas.openxmlformats.org/officeDocument/2006/relationships/hyperlink" Target="http://www.cellsignal.com/products/3997.html" TargetMode="External"/><Relationship Id="rId1114" Type="http://schemas.openxmlformats.org/officeDocument/2006/relationships/hyperlink" Target="http://www.phosphosite.org/proteinAction.do?id=9668&amp;showAllSites=true" TargetMode="External"/><Relationship Id="rId1321" Type="http://schemas.openxmlformats.org/officeDocument/2006/relationships/hyperlink" Target="http://www.phosphosite.org/proteinAction.do?id=15508&amp;showAllSites=true" TargetMode="External"/><Relationship Id="rId1559" Type="http://schemas.openxmlformats.org/officeDocument/2006/relationships/hyperlink" Target="http://www.phosphosite.org/proteinAction.do?id=14511&amp;showAllSites=true" TargetMode="External"/><Relationship Id="rId1766" Type="http://schemas.openxmlformats.org/officeDocument/2006/relationships/hyperlink" Target="http://www.phosphosite.org/proteinAction.do?id=11487&amp;showAllSites=true" TargetMode="External"/><Relationship Id="rId58" Type="http://schemas.openxmlformats.org/officeDocument/2006/relationships/hyperlink" Target="http://www.phosphosite.org/proteinAction.do?id=3577&amp;showAllSites=true" TargetMode="External"/><Relationship Id="rId1419" Type="http://schemas.openxmlformats.org/officeDocument/2006/relationships/hyperlink" Target="http://www.phosphosite.org/proteinAction.do?id=18995001&amp;showAllSites=true" TargetMode="External"/><Relationship Id="rId1626" Type="http://schemas.openxmlformats.org/officeDocument/2006/relationships/hyperlink" Target="http://www.phosphosite.org/proteinAction.do?id=9227&amp;showAllSites=true" TargetMode="External"/><Relationship Id="rId274" Type="http://schemas.openxmlformats.org/officeDocument/2006/relationships/hyperlink" Target="http://www.phosphosite.org/proteinAction.do?id=2788&amp;showAllSites=true" TargetMode="External"/><Relationship Id="rId481" Type="http://schemas.openxmlformats.org/officeDocument/2006/relationships/hyperlink" Target="http://www.cellsignal.com/products/8135.html" TargetMode="External"/><Relationship Id="rId134" Type="http://schemas.openxmlformats.org/officeDocument/2006/relationships/hyperlink" Target="http://www.phosphosite.org/proteinAction.do?id=1161&amp;showAllSites=true" TargetMode="External"/><Relationship Id="rId579" Type="http://schemas.openxmlformats.org/officeDocument/2006/relationships/hyperlink" Target="http://www.cellsignal.com/products/2591.html" TargetMode="External"/><Relationship Id="rId786" Type="http://schemas.openxmlformats.org/officeDocument/2006/relationships/hyperlink" Target="http://www.phosphosite.org/proteinAction.do?id=8692&amp;showAllSites=true" TargetMode="External"/><Relationship Id="rId993" Type="http://schemas.openxmlformats.org/officeDocument/2006/relationships/hyperlink" Target="http://www.phosphosite.org/proteinAction.do?id=9181&amp;showAllSites=true" TargetMode="External"/><Relationship Id="rId341" Type="http://schemas.openxmlformats.org/officeDocument/2006/relationships/hyperlink" Target="http://www.cellsignal.com/products/4830.html" TargetMode="External"/><Relationship Id="rId439" Type="http://schemas.openxmlformats.org/officeDocument/2006/relationships/hyperlink" Target="http://www.phosphosite.org/proteinAction.do?id=12274&amp;showAllSites=true" TargetMode="External"/><Relationship Id="rId646" Type="http://schemas.openxmlformats.org/officeDocument/2006/relationships/hyperlink" Target="http://www.cellsignal.com/products/8804.html" TargetMode="External"/><Relationship Id="rId1069" Type="http://schemas.openxmlformats.org/officeDocument/2006/relationships/hyperlink" Target="http://www.cellsignal.com/products/9828.html" TargetMode="External"/><Relationship Id="rId1276" Type="http://schemas.openxmlformats.org/officeDocument/2006/relationships/hyperlink" Target="http://www.phosphosite.org/proteinAction.do?id=1394&amp;showAllSites=true" TargetMode="External"/><Relationship Id="rId1483" Type="http://schemas.openxmlformats.org/officeDocument/2006/relationships/hyperlink" Target="http://www.phosphosite.org/proteinAction.do?id=4345&amp;showAllSites=true" TargetMode="External"/><Relationship Id="rId201" Type="http://schemas.openxmlformats.org/officeDocument/2006/relationships/hyperlink" Target="http://www.phosphosite.org/proteinAction.do?id=25230&amp;showAllSites=true" TargetMode="External"/><Relationship Id="rId285" Type="http://schemas.openxmlformats.org/officeDocument/2006/relationships/hyperlink" Target="http://www.cellsignal.com/products/9099.html" TargetMode="External"/><Relationship Id="rId506" Type="http://schemas.openxmlformats.org/officeDocument/2006/relationships/hyperlink" Target="http://www.cellsignal.com/products/9083.html" TargetMode="External"/><Relationship Id="rId853" Type="http://schemas.openxmlformats.org/officeDocument/2006/relationships/hyperlink" Target="http://www.phosphosite.org/proteinAction.do?id=16592&amp;showAllSites=true" TargetMode="External"/><Relationship Id="rId1136" Type="http://schemas.openxmlformats.org/officeDocument/2006/relationships/hyperlink" Target="http://www.phosphosite.org/proteinAction.do?id=1784&amp;showAllSites=true" TargetMode="External"/><Relationship Id="rId1690" Type="http://schemas.openxmlformats.org/officeDocument/2006/relationships/hyperlink" Target="http://www.phosphosite.org/proteinAction.do?id=8967&amp;showAllSites=true" TargetMode="External"/><Relationship Id="rId492" Type="http://schemas.openxmlformats.org/officeDocument/2006/relationships/hyperlink" Target="http://www.phosphosite.org/proteinAction.do?id=8393&amp;showAllSites=true" TargetMode="External"/><Relationship Id="rId713" Type="http://schemas.openxmlformats.org/officeDocument/2006/relationships/hyperlink" Target="http://www.cellsignal.com/products/8135.html" TargetMode="External"/><Relationship Id="rId797" Type="http://schemas.openxmlformats.org/officeDocument/2006/relationships/hyperlink" Target="http://www.phosphosite.org/proteinAction.do?id=5140289&amp;showAllSites=true" TargetMode="External"/><Relationship Id="rId920" Type="http://schemas.openxmlformats.org/officeDocument/2006/relationships/hyperlink" Target="http://www.phosphosite.org/proteinAction.do?id=4368&amp;showAllSites=true" TargetMode="External"/><Relationship Id="rId1343" Type="http://schemas.openxmlformats.org/officeDocument/2006/relationships/hyperlink" Target="http://www.phosphosite.org/proteinAction.do?id=8575&amp;showAllSites=true" TargetMode="External"/><Relationship Id="rId1550" Type="http://schemas.openxmlformats.org/officeDocument/2006/relationships/hyperlink" Target="http://www.cellsignal.com/products/12247.html" TargetMode="External"/><Relationship Id="rId1648" Type="http://schemas.openxmlformats.org/officeDocument/2006/relationships/hyperlink" Target="http://www.phosphosite.org/proteinAction.do?id=13422201&amp;showAllSites=true" TargetMode="External"/><Relationship Id="rId145" Type="http://schemas.openxmlformats.org/officeDocument/2006/relationships/hyperlink" Target="http://www.cellsignal.com/products/7389.html" TargetMode="External"/><Relationship Id="rId352" Type="http://schemas.openxmlformats.org/officeDocument/2006/relationships/hyperlink" Target="http://www.phosphosite.org/proteinAction.do?id=10996&amp;showAllSites=true" TargetMode="External"/><Relationship Id="rId1203" Type="http://schemas.openxmlformats.org/officeDocument/2006/relationships/hyperlink" Target="http://www.cellsignal.com/products/11896.html" TargetMode="External"/><Relationship Id="rId1287" Type="http://schemas.openxmlformats.org/officeDocument/2006/relationships/hyperlink" Target="http://www.cellsignal.com/products/3542.html" TargetMode="External"/><Relationship Id="rId1410" Type="http://schemas.openxmlformats.org/officeDocument/2006/relationships/hyperlink" Target="http://www.phosphosite.org/proteinAction.do?id=9183&amp;showAllSites=true" TargetMode="External"/><Relationship Id="rId1508" Type="http://schemas.openxmlformats.org/officeDocument/2006/relationships/hyperlink" Target="http://www.cellsignal.com/products/7096.html" TargetMode="External"/><Relationship Id="rId212" Type="http://schemas.openxmlformats.org/officeDocument/2006/relationships/hyperlink" Target="http://www.cellsignal.com/products/5059.html" TargetMode="External"/><Relationship Id="rId657" Type="http://schemas.openxmlformats.org/officeDocument/2006/relationships/hyperlink" Target="http://www.cellsignal.com/products/2592.html" TargetMode="External"/><Relationship Id="rId864" Type="http://schemas.openxmlformats.org/officeDocument/2006/relationships/hyperlink" Target="http://www.phosphosite.org/proteinAction.do?id=9538&amp;showAllSites=true" TargetMode="External"/><Relationship Id="rId1494" Type="http://schemas.openxmlformats.org/officeDocument/2006/relationships/hyperlink" Target="http://www.phosphosite.org/proteinAction.do?id=3502&amp;showAllSites=true" TargetMode="External"/><Relationship Id="rId1715" Type="http://schemas.openxmlformats.org/officeDocument/2006/relationships/hyperlink" Target="http://www.phosphosite.org/proteinAction.do?id=5141588&amp;showAllSites=true" TargetMode="External"/><Relationship Id="rId296" Type="http://schemas.openxmlformats.org/officeDocument/2006/relationships/hyperlink" Target="http://www.phosphosite.org/proteinAction.do?id=2788&amp;showAllSites=true" TargetMode="External"/><Relationship Id="rId517" Type="http://schemas.openxmlformats.org/officeDocument/2006/relationships/hyperlink" Target="http://www.cellsignal.com/products/8135.html" TargetMode="External"/><Relationship Id="rId724" Type="http://schemas.openxmlformats.org/officeDocument/2006/relationships/hyperlink" Target="http://www.phosphosite.org/proteinAction.do?id=5179&amp;showAllSites=true" TargetMode="External"/><Relationship Id="rId931" Type="http://schemas.openxmlformats.org/officeDocument/2006/relationships/hyperlink" Target="http://www.cellsignal.com/products/3997.html" TargetMode="External"/><Relationship Id="rId1147" Type="http://schemas.openxmlformats.org/officeDocument/2006/relationships/hyperlink" Target="http://www.cellsignal.com/products/2784.html" TargetMode="External"/><Relationship Id="rId1354" Type="http://schemas.openxmlformats.org/officeDocument/2006/relationships/hyperlink" Target="http://www.phosphosite.org/proteinAction.do?id=15764&amp;showAllSites=true" TargetMode="External"/><Relationship Id="rId1561" Type="http://schemas.openxmlformats.org/officeDocument/2006/relationships/hyperlink" Target="http://www.phosphosite.org/proteinAction.do?id=3164&amp;showAllSites=true" TargetMode="External"/><Relationship Id="rId60" Type="http://schemas.openxmlformats.org/officeDocument/2006/relationships/hyperlink" Target="http://www.phosphosite.org/proteinAction.do?id=3579&amp;showAllSites=true" TargetMode="External"/><Relationship Id="rId156" Type="http://schemas.openxmlformats.org/officeDocument/2006/relationships/hyperlink" Target="http://www.phosphosite.org/proteinAction.do?id=3088&amp;showAllSites=true" TargetMode="External"/><Relationship Id="rId363" Type="http://schemas.openxmlformats.org/officeDocument/2006/relationships/hyperlink" Target="http://www.phosphosite.org/proteinAction.do?id=8840&amp;showAllSites=true" TargetMode="External"/><Relationship Id="rId570" Type="http://schemas.openxmlformats.org/officeDocument/2006/relationships/hyperlink" Target="http://www.cellsignal.com/products/2591.html" TargetMode="External"/><Relationship Id="rId1007" Type="http://schemas.openxmlformats.org/officeDocument/2006/relationships/hyperlink" Target="http://www.phosphosite.org/proteinAction.do?id=15730&amp;showAllSites=true" TargetMode="External"/><Relationship Id="rId1214" Type="http://schemas.openxmlformats.org/officeDocument/2006/relationships/hyperlink" Target="http://www.cellsignal.com/products/3362.html" TargetMode="External"/><Relationship Id="rId1421" Type="http://schemas.openxmlformats.org/officeDocument/2006/relationships/hyperlink" Target="http://www.phosphosite.org/proteinAction.do?id=18995001&amp;showAllSites=true" TargetMode="External"/><Relationship Id="rId1659" Type="http://schemas.openxmlformats.org/officeDocument/2006/relationships/hyperlink" Target="http://www.phosphosite.org/proteinAction.do?id=6567&amp;showAllSites=true" TargetMode="External"/><Relationship Id="rId223" Type="http://schemas.openxmlformats.org/officeDocument/2006/relationships/hyperlink" Target="http://www.phosphosite.org/proteinAction.do?id=11903&amp;showAllSites=true" TargetMode="External"/><Relationship Id="rId430" Type="http://schemas.openxmlformats.org/officeDocument/2006/relationships/hyperlink" Target="http://www.phosphosite.org/proteinAction.do?id=9917204&amp;showAllSites=true" TargetMode="External"/><Relationship Id="rId668" Type="http://schemas.openxmlformats.org/officeDocument/2006/relationships/hyperlink" Target="http://www.phosphosite.org/proteinAction.do?id=8391&amp;showAllSites=true" TargetMode="External"/><Relationship Id="rId875" Type="http://schemas.openxmlformats.org/officeDocument/2006/relationships/hyperlink" Target="http://www.cellsignal.com/products/12588.html" TargetMode="External"/><Relationship Id="rId1060" Type="http://schemas.openxmlformats.org/officeDocument/2006/relationships/hyperlink" Target="http://www.phosphosite.org/proteinAction.do?id=9550&amp;showAllSites=true" TargetMode="External"/><Relationship Id="rId1298" Type="http://schemas.openxmlformats.org/officeDocument/2006/relationships/hyperlink" Target="http://www.phosphosite.org/proteinAction.do?id=5140324&amp;showAllSites=true" TargetMode="External"/><Relationship Id="rId1519" Type="http://schemas.openxmlformats.org/officeDocument/2006/relationships/hyperlink" Target="http://www.phosphosite.org/proteinAction.do?id=2613075&amp;showAllSites=true" TargetMode="External"/><Relationship Id="rId1726" Type="http://schemas.openxmlformats.org/officeDocument/2006/relationships/hyperlink" Target="http://www.phosphosite.org/proteinAction.do?id=18411405&amp;showAllSites=true" TargetMode="External"/><Relationship Id="rId18" Type="http://schemas.openxmlformats.org/officeDocument/2006/relationships/hyperlink" Target="http://www.cellsignal.com/products/2121.html" TargetMode="External"/><Relationship Id="rId528" Type="http://schemas.openxmlformats.org/officeDocument/2006/relationships/hyperlink" Target="http://www.phosphosite.org/proteinAction.do?id=8393&amp;showAllSites=true" TargetMode="External"/><Relationship Id="rId735" Type="http://schemas.openxmlformats.org/officeDocument/2006/relationships/hyperlink" Target="http://www.phosphosite.org/proteinAction.do?id=9556&amp;showAllSites=true" TargetMode="External"/><Relationship Id="rId942" Type="http://schemas.openxmlformats.org/officeDocument/2006/relationships/hyperlink" Target="http://www.phosphosite.org/proteinAction.do?id=9830817&amp;showAllSites=true" TargetMode="External"/><Relationship Id="rId1158" Type="http://schemas.openxmlformats.org/officeDocument/2006/relationships/hyperlink" Target="http://www.phosphosite.org/proteinAction.do?id=10597&amp;showAllSites=true" TargetMode="External"/><Relationship Id="rId1365" Type="http://schemas.openxmlformats.org/officeDocument/2006/relationships/hyperlink" Target="http://www.phosphosite.org/proteinAction.do?id=2143&amp;showAllSites=true" TargetMode="External"/><Relationship Id="rId1572" Type="http://schemas.openxmlformats.org/officeDocument/2006/relationships/hyperlink" Target="http://www.phosphosite.org/proteinAction.do?id=11394&amp;showAllSites=true" TargetMode="External"/><Relationship Id="rId167" Type="http://schemas.openxmlformats.org/officeDocument/2006/relationships/hyperlink" Target="http://www.phosphosite.org/proteinAction.do?id=3870&amp;showAllSites=true" TargetMode="External"/><Relationship Id="rId374" Type="http://schemas.openxmlformats.org/officeDocument/2006/relationships/hyperlink" Target="http://www.phosphosite.org/proteinAction.do?id=9388&amp;showAllSites=true" TargetMode="External"/><Relationship Id="rId581" Type="http://schemas.openxmlformats.org/officeDocument/2006/relationships/hyperlink" Target="http://www.cellsignal.com/products/2592.html" TargetMode="External"/><Relationship Id="rId1018" Type="http://schemas.openxmlformats.org/officeDocument/2006/relationships/hyperlink" Target="http://www.cellsignal.com/products/8966.html" TargetMode="External"/><Relationship Id="rId1225" Type="http://schemas.openxmlformats.org/officeDocument/2006/relationships/hyperlink" Target="http://www.cellsignal.com/products/7421.html" TargetMode="External"/><Relationship Id="rId1432" Type="http://schemas.openxmlformats.org/officeDocument/2006/relationships/hyperlink" Target="http://www.phosphosite.org/proteinAction.do?id=15732&amp;showAllSites=true" TargetMode="External"/><Relationship Id="rId71" Type="http://schemas.openxmlformats.org/officeDocument/2006/relationships/hyperlink" Target="http://www.cellsignal.com/products/8456.html" TargetMode="External"/><Relationship Id="rId234" Type="http://schemas.openxmlformats.org/officeDocument/2006/relationships/hyperlink" Target="http://www.cellsignal.com/products/8967.html" TargetMode="External"/><Relationship Id="rId679" Type="http://schemas.openxmlformats.org/officeDocument/2006/relationships/hyperlink" Target="http://www.cellsignal.com/products/8135.html" TargetMode="External"/><Relationship Id="rId802" Type="http://schemas.openxmlformats.org/officeDocument/2006/relationships/hyperlink" Target="http://www.cellsignal.com/products/3352.html" TargetMode="External"/><Relationship Id="rId886" Type="http://schemas.openxmlformats.org/officeDocument/2006/relationships/hyperlink" Target="http://www.phosphosite.org/proteinAction.do?id=7967&amp;showAllSites=true" TargetMode="External"/><Relationship Id="rId1737" Type="http://schemas.openxmlformats.org/officeDocument/2006/relationships/hyperlink" Target="http://www.phosphosite.org/proteinAction.do?id=6272105&amp;showAllSites=true" TargetMode="External"/><Relationship Id="rId2" Type="http://schemas.openxmlformats.org/officeDocument/2006/relationships/hyperlink" Target="http://www.phosphosite.org/proteinAction.do?id=4359&amp;showAllSites=true" TargetMode="External"/><Relationship Id="rId29" Type="http://schemas.openxmlformats.org/officeDocument/2006/relationships/hyperlink" Target="http://www.cellsignal.com/products/8312.html" TargetMode="External"/><Relationship Id="rId441" Type="http://schemas.openxmlformats.org/officeDocument/2006/relationships/hyperlink" Target="http://www.phosphosite.org/proteinAction.do?id=12274&amp;showAllSites=true" TargetMode="External"/><Relationship Id="rId539" Type="http://schemas.openxmlformats.org/officeDocument/2006/relationships/hyperlink" Target="http://www.cellsignal.com/products/9072.html" TargetMode="External"/><Relationship Id="rId746" Type="http://schemas.openxmlformats.org/officeDocument/2006/relationships/hyperlink" Target="http://www.phosphosite.org/proteinAction.do?id=12265&amp;showAllSites=true" TargetMode="External"/><Relationship Id="rId1071" Type="http://schemas.openxmlformats.org/officeDocument/2006/relationships/hyperlink" Target="http://www.cellsignal.com/products/9828.html" TargetMode="External"/><Relationship Id="rId1169" Type="http://schemas.openxmlformats.org/officeDocument/2006/relationships/hyperlink" Target="http://www.cellsignal.com/products/2039.html" TargetMode="External"/><Relationship Id="rId1376" Type="http://schemas.openxmlformats.org/officeDocument/2006/relationships/hyperlink" Target="http://www.cellsignal.com/products/5307.html" TargetMode="External"/><Relationship Id="rId1583" Type="http://schemas.openxmlformats.org/officeDocument/2006/relationships/hyperlink" Target="http://www.phosphosite.org/proteinAction.do?id=3838400&amp;showAllSites=true" TargetMode="External"/><Relationship Id="rId178" Type="http://schemas.openxmlformats.org/officeDocument/2006/relationships/hyperlink" Target="http://www.cellsignal.com/products/9099.html" TargetMode="External"/><Relationship Id="rId301" Type="http://schemas.openxmlformats.org/officeDocument/2006/relationships/hyperlink" Target="http://www.cellsignal.com/products/3971.html" TargetMode="External"/><Relationship Id="rId953" Type="http://schemas.openxmlformats.org/officeDocument/2006/relationships/hyperlink" Target="http://www.phosphosite.org/proteinAction.do?id=4323&amp;showAllSites=true" TargetMode="External"/><Relationship Id="rId1029" Type="http://schemas.openxmlformats.org/officeDocument/2006/relationships/hyperlink" Target="http://www.phosphosite.org/proteinAction.do?id=17520&amp;showAllSites=true" TargetMode="External"/><Relationship Id="rId1236" Type="http://schemas.openxmlformats.org/officeDocument/2006/relationships/hyperlink" Target="http://www.phosphosite.org/proteinAction.do?id=19769&amp;showAllSites=true" TargetMode="External"/><Relationship Id="rId82" Type="http://schemas.openxmlformats.org/officeDocument/2006/relationships/hyperlink" Target="http://www.cellsignal.com/products/8235.html" TargetMode="External"/><Relationship Id="rId385" Type="http://schemas.openxmlformats.org/officeDocument/2006/relationships/hyperlink" Target="http://www.cellsignal.com/products/8444.html" TargetMode="External"/><Relationship Id="rId592" Type="http://schemas.openxmlformats.org/officeDocument/2006/relationships/hyperlink" Target="http://www.phosphosite.org/proteinAction.do?id=1878&amp;showAllSites=true" TargetMode="External"/><Relationship Id="rId606" Type="http://schemas.openxmlformats.org/officeDocument/2006/relationships/hyperlink" Target="http://www.cellsignal.com/products/2591.html" TargetMode="External"/><Relationship Id="rId813" Type="http://schemas.openxmlformats.org/officeDocument/2006/relationships/hyperlink" Target="http://www.phosphosite.org/proteinAction.do?id=9173&amp;showAllSites=true" TargetMode="External"/><Relationship Id="rId1443" Type="http://schemas.openxmlformats.org/officeDocument/2006/relationships/hyperlink" Target="http://www.phosphosite.org/proteinAction.do?id=16741&amp;showAllSites=true" TargetMode="External"/><Relationship Id="rId1650" Type="http://schemas.openxmlformats.org/officeDocument/2006/relationships/hyperlink" Target="http://www.phosphosite.org/proteinAction.do?id=1574&amp;showAllSites=true" TargetMode="External"/><Relationship Id="rId1748" Type="http://schemas.openxmlformats.org/officeDocument/2006/relationships/hyperlink" Target="http://www.phosphosite.org/proteinAction.do?id=16274&amp;showAllSites=true" TargetMode="External"/><Relationship Id="rId245" Type="http://schemas.openxmlformats.org/officeDocument/2006/relationships/hyperlink" Target="http://www.phosphosite.org/proteinAction.do?id=11296&amp;showAllSites=true" TargetMode="External"/><Relationship Id="rId452" Type="http://schemas.openxmlformats.org/officeDocument/2006/relationships/hyperlink" Target="http://www.cellsignal.com/products/9072.html" TargetMode="External"/><Relationship Id="rId897" Type="http://schemas.openxmlformats.org/officeDocument/2006/relationships/hyperlink" Target="http://www.phosphosite.org/proteinAction.do?id=19749&amp;showAllSites=true" TargetMode="External"/><Relationship Id="rId1082" Type="http://schemas.openxmlformats.org/officeDocument/2006/relationships/hyperlink" Target="http://www.phosphosite.org/proteinAction.do?id=9550&amp;showAllSites=true" TargetMode="External"/><Relationship Id="rId1303" Type="http://schemas.openxmlformats.org/officeDocument/2006/relationships/hyperlink" Target="http://www.phosphosite.org/proteinAction.do?id=6068&amp;showAllSites=true" TargetMode="External"/><Relationship Id="rId1510" Type="http://schemas.openxmlformats.org/officeDocument/2006/relationships/hyperlink" Target="http://www.phosphosite.org/proteinAction.do?id=16084&amp;showAllSites=true" TargetMode="External"/><Relationship Id="rId105" Type="http://schemas.openxmlformats.org/officeDocument/2006/relationships/hyperlink" Target="http://www.cellsignal.com/products/6267.html" TargetMode="External"/><Relationship Id="rId312" Type="http://schemas.openxmlformats.org/officeDocument/2006/relationships/hyperlink" Target="http://www.phosphosite.org/proteinAction.do?id=4852&amp;showAllSites=true" TargetMode="External"/><Relationship Id="rId757" Type="http://schemas.openxmlformats.org/officeDocument/2006/relationships/hyperlink" Target="http://www.phosphosite.org/proteinAction.do?id=5132&amp;showAllSites=true" TargetMode="External"/><Relationship Id="rId964" Type="http://schemas.openxmlformats.org/officeDocument/2006/relationships/hyperlink" Target="http://www.phosphosite.org/proteinAction.do?id=5599&amp;showAllSites=true" TargetMode="External"/><Relationship Id="rId1387" Type="http://schemas.openxmlformats.org/officeDocument/2006/relationships/hyperlink" Target="http://www.phosphosite.org/proteinAction.do?id=2143&amp;showAllSites=true" TargetMode="External"/><Relationship Id="rId1594" Type="http://schemas.openxmlformats.org/officeDocument/2006/relationships/hyperlink" Target="http://www.phosphosite.org/proteinAction.do?id=11177&amp;showAllSites=true" TargetMode="External"/><Relationship Id="rId1608" Type="http://schemas.openxmlformats.org/officeDocument/2006/relationships/hyperlink" Target="http://www.phosphosite.org/proteinAction.do?id=3354&amp;showAllSites=true" TargetMode="External"/><Relationship Id="rId93" Type="http://schemas.openxmlformats.org/officeDocument/2006/relationships/hyperlink" Target="http://www.cellsignal.com/products/6267.html" TargetMode="External"/><Relationship Id="rId189" Type="http://schemas.openxmlformats.org/officeDocument/2006/relationships/hyperlink" Target="http://www.phosphosite.org/proteinAction.do?id=25230&amp;showAllSites=true" TargetMode="External"/><Relationship Id="rId396" Type="http://schemas.openxmlformats.org/officeDocument/2006/relationships/hyperlink" Target="http://www.phosphosite.org/proteinAction.do?id=9558&amp;showAllSites=true" TargetMode="External"/><Relationship Id="rId617" Type="http://schemas.openxmlformats.org/officeDocument/2006/relationships/hyperlink" Target="http://www.phosphosite.org/proteinAction.do?id=1878&amp;showAllSites=true" TargetMode="External"/><Relationship Id="rId824" Type="http://schemas.openxmlformats.org/officeDocument/2006/relationships/hyperlink" Target="http://www.phosphosite.org/proteinAction.do?id=9175&amp;showAllSites=true" TargetMode="External"/><Relationship Id="rId1247" Type="http://schemas.openxmlformats.org/officeDocument/2006/relationships/hyperlink" Target="http://www.phosphosite.org/proteinAction.do?id=2809&amp;showAllSites=true" TargetMode="External"/><Relationship Id="rId1454" Type="http://schemas.openxmlformats.org/officeDocument/2006/relationships/hyperlink" Target="http://www.phosphosite.org/proteinAction.do?id=11186&amp;showAllSites=true" TargetMode="External"/><Relationship Id="rId1661" Type="http://schemas.openxmlformats.org/officeDocument/2006/relationships/hyperlink" Target="http://www.phosphosite.org/proteinAction.do?id=14015&amp;showAllSites=true" TargetMode="External"/><Relationship Id="rId256" Type="http://schemas.openxmlformats.org/officeDocument/2006/relationships/hyperlink" Target="http://www.phosphosite.org/proteinAction.do?id=10382&amp;showAllSites=true" TargetMode="External"/><Relationship Id="rId463" Type="http://schemas.openxmlformats.org/officeDocument/2006/relationships/hyperlink" Target="http://www.cellsignal.com/products/12364.html" TargetMode="External"/><Relationship Id="rId670" Type="http://schemas.openxmlformats.org/officeDocument/2006/relationships/hyperlink" Target="http://www.cellsignal.com/products/9072.html" TargetMode="External"/><Relationship Id="rId1093" Type="http://schemas.openxmlformats.org/officeDocument/2006/relationships/hyperlink" Target="http://www.phosphosite.org/proteinAction.do?id=10223&amp;showAllSites=true" TargetMode="External"/><Relationship Id="rId1107" Type="http://schemas.openxmlformats.org/officeDocument/2006/relationships/hyperlink" Target="http://www.phosphosite.org/proteinAction.do?id=9560&amp;showAllSites=true" TargetMode="External"/><Relationship Id="rId1314" Type="http://schemas.openxmlformats.org/officeDocument/2006/relationships/hyperlink" Target="http://www.phosphosite.org/proteinAction.do?id=20398&amp;showAllSites=true" TargetMode="External"/><Relationship Id="rId1521" Type="http://schemas.openxmlformats.org/officeDocument/2006/relationships/hyperlink" Target="http://www.ncbi.nlm.nih.gov/entrez/query.fcgi?db=protein&amp;cmd=search&amp;term=NP_778249" TargetMode="External"/><Relationship Id="rId1759" Type="http://schemas.openxmlformats.org/officeDocument/2006/relationships/hyperlink" Target="http://www.phosphosite.org/proteinAction.do?id=8044&amp;showAllSites=true" TargetMode="External"/><Relationship Id="rId116" Type="http://schemas.openxmlformats.org/officeDocument/2006/relationships/hyperlink" Target="http://www.phosphosite.org/proteinAction.do?id=1482&amp;showAllSites=true" TargetMode="External"/><Relationship Id="rId323" Type="http://schemas.openxmlformats.org/officeDocument/2006/relationships/hyperlink" Target="http://www.phosphosite.org/proteinAction.do?id=9696&amp;showAllSites=true" TargetMode="External"/><Relationship Id="rId530" Type="http://schemas.openxmlformats.org/officeDocument/2006/relationships/hyperlink" Target="http://www.cellsignal.com/products/9072.html" TargetMode="External"/><Relationship Id="rId768" Type="http://schemas.openxmlformats.org/officeDocument/2006/relationships/hyperlink" Target="http://www.phosphosite.org/proteinAction.do?id=14299&amp;showAllSites=true" TargetMode="External"/><Relationship Id="rId975" Type="http://schemas.openxmlformats.org/officeDocument/2006/relationships/hyperlink" Target="http://www.phosphosite.org/proteinAction.do?id=9893&amp;showAllSites=true" TargetMode="External"/><Relationship Id="rId1160" Type="http://schemas.openxmlformats.org/officeDocument/2006/relationships/hyperlink" Target="http://www.phosphosite.org/proteinAction.do?id=15763&amp;showAllSites=true" TargetMode="External"/><Relationship Id="rId1398" Type="http://schemas.openxmlformats.org/officeDocument/2006/relationships/hyperlink" Target="http://www.phosphosite.org/proteinAction.do?id=6584&amp;showAllSites=true" TargetMode="External"/><Relationship Id="rId1619" Type="http://schemas.openxmlformats.org/officeDocument/2006/relationships/hyperlink" Target="http://www.cellsignal.com/products/3413.html" TargetMode="External"/><Relationship Id="rId20" Type="http://schemas.openxmlformats.org/officeDocument/2006/relationships/hyperlink" Target="http://www.phosphosite.org/proteinAction.do?id=4434&amp;showAllSites=true" TargetMode="External"/><Relationship Id="rId628" Type="http://schemas.openxmlformats.org/officeDocument/2006/relationships/hyperlink" Target="http://www.cellsignal.com/products/2591.html" TargetMode="External"/><Relationship Id="rId835" Type="http://schemas.openxmlformats.org/officeDocument/2006/relationships/hyperlink" Target="http://www.phosphosite.org/proteinAction.do?id=11619&amp;showAllSites=true" TargetMode="External"/><Relationship Id="rId1258" Type="http://schemas.openxmlformats.org/officeDocument/2006/relationships/hyperlink" Target="http://www.phosphosite.org/proteinAction.do?id=3643&amp;showAllSites=true" TargetMode="External"/><Relationship Id="rId1465" Type="http://schemas.openxmlformats.org/officeDocument/2006/relationships/hyperlink" Target="http://www.phosphosite.org/proteinAction.do?id=4806&amp;showAllSites=true" TargetMode="External"/><Relationship Id="rId1672" Type="http://schemas.openxmlformats.org/officeDocument/2006/relationships/hyperlink" Target="http://www.phosphosite.org/proteinAction.do?id=5143655&amp;showAllSites=true" TargetMode="External"/><Relationship Id="rId267" Type="http://schemas.openxmlformats.org/officeDocument/2006/relationships/hyperlink" Target="http://www.phosphosite.org/proteinAction.do?id=7745&amp;showAllSites=true" TargetMode="External"/><Relationship Id="rId474" Type="http://schemas.openxmlformats.org/officeDocument/2006/relationships/hyperlink" Target="http://www.phosphosite.org/proteinAction.do?id=8395&amp;showAllSites=true" TargetMode="External"/><Relationship Id="rId1020" Type="http://schemas.openxmlformats.org/officeDocument/2006/relationships/hyperlink" Target="http://www.phosphosite.org/proteinAction.do?id=4240&amp;showAllSites=true" TargetMode="External"/><Relationship Id="rId1118" Type="http://schemas.openxmlformats.org/officeDocument/2006/relationships/hyperlink" Target="http://www.phosphosite.org/proteinAction.do?id=4264&amp;showAllSites=true" TargetMode="External"/><Relationship Id="rId1325" Type="http://schemas.openxmlformats.org/officeDocument/2006/relationships/hyperlink" Target="http://www.phosphosite.org/proteinAction.do?id=6883&amp;showAllSites=true" TargetMode="External"/><Relationship Id="rId1532" Type="http://schemas.openxmlformats.org/officeDocument/2006/relationships/hyperlink" Target="http://www.phosphosite.org/proteinAction.do?id=10980&amp;showAllSites=true" TargetMode="External"/><Relationship Id="rId127" Type="http://schemas.openxmlformats.org/officeDocument/2006/relationships/hyperlink" Target="http://www.phosphosite.org/proteinAction.do?id=10305&amp;showAllSites=true" TargetMode="External"/><Relationship Id="rId681" Type="http://schemas.openxmlformats.org/officeDocument/2006/relationships/hyperlink" Target="http://www.cellsignal.com/products/8135.html" TargetMode="External"/><Relationship Id="rId779" Type="http://schemas.openxmlformats.org/officeDocument/2006/relationships/hyperlink" Target="http://www.phosphosite.org/proteinAction.do?id=2157&amp;showAllSites=true" TargetMode="External"/><Relationship Id="rId902" Type="http://schemas.openxmlformats.org/officeDocument/2006/relationships/hyperlink" Target="http://www.phosphosite.org/proteinAction.do?id=4368&amp;showAllSites=true" TargetMode="External"/><Relationship Id="rId986" Type="http://schemas.openxmlformats.org/officeDocument/2006/relationships/hyperlink" Target="http://www.phosphosite.org/proteinAction.do?id=14297&amp;showAllSites=true" TargetMode="External"/><Relationship Id="rId31" Type="http://schemas.openxmlformats.org/officeDocument/2006/relationships/hyperlink" Target="http://www.cellsignal.com/products/5522.html" TargetMode="External"/><Relationship Id="rId334" Type="http://schemas.openxmlformats.org/officeDocument/2006/relationships/hyperlink" Target="http://www.phosphosite.org/proteinAction.do?id=3749688&amp;showAllSites=true" TargetMode="External"/><Relationship Id="rId541" Type="http://schemas.openxmlformats.org/officeDocument/2006/relationships/hyperlink" Target="http://www.cellsignal.com/products/12364.html" TargetMode="External"/><Relationship Id="rId639" Type="http://schemas.openxmlformats.org/officeDocument/2006/relationships/hyperlink" Target="http://www.cellsignal.com/products/2592.html" TargetMode="External"/><Relationship Id="rId1171" Type="http://schemas.openxmlformats.org/officeDocument/2006/relationships/hyperlink" Target="http://www.cellsignal.com/products/2289.html" TargetMode="External"/><Relationship Id="rId1269" Type="http://schemas.openxmlformats.org/officeDocument/2006/relationships/hyperlink" Target="http://www.cellsignal.com/products/3542.html" TargetMode="External"/><Relationship Id="rId1476" Type="http://schemas.openxmlformats.org/officeDocument/2006/relationships/hyperlink" Target="http://www.phosphosite.org/proteinAction.do?id=4345&amp;showAllSites=true" TargetMode="External"/><Relationship Id="rId180" Type="http://schemas.openxmlformats.org/officeDocument/2006/relationships/hyperlink" Target="http://www.cellsignal.com/products/9099.html" TargetMode="External"/><Relationship Id="rId278" Type="http://schemas.openxmlformats.org/officeDocument/2006/relationships/hyperlink" Target="http://www.phosphosite.org/proteinAction.do?id=2788&amp;showAllSites=true" TargetMode="External"/><Relationship Id="rId401" Type="http://schemas.openxmlformats.org/officeDocument/2006/relationships/hyperlink" Target="http://www.cellsignal.com/products/12165.html" TargetMode="External"/><Relationship Id="rId846" Type="http://schemas.openxmlformats.org/officeDocument/2006/relationships/hyperlink" Target="http://www.cellsignal.com/products/3676.html" TargetMode="External"/><Relationship Id="rId1031" Type="http://schemas.openxmlformats.org/officeDocument/2006/relationships/hyperlink" Target="http://www.phosphosite.org/proteinAction.do?id=13877&amp;showAllSites=true" TargetMode="External"/><Relationship Id="rId1129" Type="http://schemas.openxmlformats.org/officeDocument/2006/relationships/hyperlink" Target="http://www.phosphosite.org/proteinAction.do?id=19739&amp;showAllSites=true" TargetMode="External"/><Relationship Id="rId1683" Type="http://schemas.openxmlformats.org/officeDocument/2006/relationships/hyperlink" Target="http://www.phosphosite.org/proteinAction.do?id=25516004&amp;showAllSites=true" TargetMode="External"/><Relationship Id="rId485" Type="http://schemas.openxmlformats.org/officeDocument/2006/relationships/hyperlink" Target="http://www.cellsignal.com/products/8135.html" TargetMode="External"/><Relationship Id="rId692" Type="http://schemas.openxmlformats.org/officeDocument/2006/relationships/hyperlink" Target="http://www.phosphosite.org/proteinAction.do?id=5143208&amp;showAllSites=true" TargetMode="External"/><Relationship Id="rId706" Type="http://schemas.openxmlformats.org/officeDocument/2006/relationships/hyperlink" Target="http://www.phosphosite.org/proteinAction.do?id=5143208&amp;showAllSites=true" TargetMode="External"/><Relationship Id="rId913" Type="http://schemas.openxmlformats.org/officeDocument/2006/relationships/hyperlink" Target="http://www.cellsignal.com/products/5174.html" TargetMode="External"/><Relationship Id="rId1336" Type="http://schemas.openxmlformats.org/officeDocument/2006/relationships/hyperlink" Target="http://www.phosphosite.org/proteinAction.do?id=15751&amp;showAllSites=true" TargetMode="External"/><Relationship Id="rId1543" Type="http://schemas.openxmlformats.org/officeDocument/2006/relationships/hyperlink" Target="http://www.phosphosite.org/proteinAction.do?id=11652&amp;showAllSites=true" TargetMode="External"/><Relationship Id="rId1750" Type="http://schemas.openxmlformats.org/officeDocument/2006/relationships/hyperlink" Target="http://www.phosphosite.org/proteinAction.do?id=12203&amp;showAllSites=true" TargetMode="External"/><Relationship Id="rId42" Type="http://schemas.openxmlformats.org/officeDocument/2006/relationships/hyperlink" Target="http://www.phosphosite.org/proteinAction.do?id=3577&amp;showAllSites=true" TargetMode="External"/><Relationship Id="rId138" Type="http://schemas.openxmlformats.org/officeDocument/2006/relationships/hyperlink" Target="http://www.phosphosite.org/proteinAction.do?id=1161&amp;showAllSites=true" TargetMode="External"/><Relationship Id="rId345" Type="http://schemas.openxmlformats.org/officeDocument/2006/relationships/hyperlink" Target="http://www.cellsignal.com/products/8195.html" TargetMode="External"/><Relationship Id="rId552" Type="http://schemas.openxmlformats.org/officeDocument/2006/relationships/hyperlink" Target="http://www.cellsignal.com/products/2592.html" TargetMode="External"/><Relationship Id="rId997" Type="http://schemas.openxmlformats.org/officeDocument/2006/relationships/hyperlink" Target="http://www.phosphosite.org/proteinAction.do?id=9181&amp;showAllSites=true" TargetMode="External"/><Relationship Id="rId1182" Type="http://schemas.openxmlformats.org/officeDocument/2006/relationships/hyperlink" Target="http://www.cellsignal.com/products/2458.html" TargetMode="External"/><Relationship Id="rId1403" Type="http://schemas.openxmlformats.org/officeDocument/2006/relationships/hyperlink" Target="http://www.phosphosite.org/proteinAction.do?id=14465&amp;showAllSites=true" TargetMode="External"/><Relationship Id="rId1610" Type="http://schemas.openxmlformats.org/officeDocument/2006/relationships/hyperlink" Target="http://www.phosphosite.org/proteinAction.do?id=3354&amp;showAllSites=true" TargetMode="External"/><Relationship Id="rId191" Type="http://schemas.openxmlformats.org/officeDocument/2006/relationships/hyperlink" Target="http://www.phosphosite.org/proteinAction.do?id=25230&amp;showAllSites=true" TargetMode="External"/><Relationship Id="rId205" Type="http://schemas.openxmlformats.org/officeDocument/2006/relationships/hyperlink" Target="http://www.phosphosite.org/proteinAction.do?id=25230&amp;showAllSites=true" TargetMode="External"/><Relationship Id="rId412" Type="http://schemas.openxmlformats.org/officeDocument/2006/relationships/hyperlink" Target="http://www.phosphosite.org/proteinAction.do?id=4249&amp;showAllSites=true" TargetMode="External"/><Relationship Id="rId857" Type="http://schemas.openxmlformats.org/officeDocument/2006/relationships/hyperlink" Target="http://www.phosphosite.org/proteinAction.do?id=21502&amp;showAllSites=true" TargetMode="External"/><Relationship Id="rId1042" Type="http://schemas.openxmlformats.org/officeDocument/2006/relationships/hyperlink" Target="http://www.phosphosite.org/proteinAction.do?id=7201&amp;showAllSites=true" TargetMode="External"/><Relationship Id="rId1487" Type="http://schemas.openxmlformats.org/officeDocument/2006/relationships/hyperlink" Target="http://www.phosphosite.org/proteinAction.do?id=2816400&amp;showAllSites=true" TargetMode="External"/><Relationship Id="rId1694" Type="http://schemas.openxmlformats.org/officeDocument/2006/relationships/hyperlink" Target="http://www.phosphosite.org/proteinAction.do?id=15000&amp;showAllSites=true" TargetMode="External"/><Relationship Id="rId1708" Type="http://schemas.openxmlformats.org/officeDocument/2006/relationships/hyperlink" Target="http://www.cellsignal.com/products/8848.html" TargetMode="External"/><Relationship Id="rId289" Type="http://schemas.openxmlformats.org/officeDocument/2006/relationships/hyperlink" Target="http://www.cellsignal.com/products/3971.html" TargetMode="External"/><Relationship Id="rId496" Type="http://schemas.openxmlformats.org/officeDocument/2006/relationships/hyperlink" Target="http://www.cellsignal.com/products/8135.html" TargetMode="External"/><Relationship Id="rId717" Type="http://schemas.openxmlformats.org/officeDocument/2006/relationships/hyperlink" Target="http://www.cellsignal.com/products/8135.html" TargetMode="External"/><Relationship Id="rId924" Type="http://schemas.openxmlformats.org/officeDocument/2006/relationships/hyperlink" Target="http://www.phosphosite.org/proteinAction.do?id=4368&amp;showAllSites=true" TargetMode="External"/><Relationship Id="rId1347" Type="http://schemas.openxmlformats.org/officeDocument/2006/relationships/hyperlink" Target="http://www.phosphosite.org/proteinAction.do?id=8575&amp;showAllSites=true" TargetMode="External"/><Relationship Id="rId1554" Type="http://schemas.openxmlformats.org/officeDocument/2006/relationships/hyperlink" Target="http://www.phosphosite.org/proteinAction.do?id=11254&amp;showAllSites=true" TargetMode="External"/><Relationship Id="rId1761" Type="http://schemas.openxmlformats.org/officeDocument/2006/relationships/hyperlink" Target="http://www.phosphosite.org/proteinAction.do?id=4776&amp;showAllSites=true" TargetMode="External"/><Relationship Id="rId53" Type="http://schemas.openxmlformats.org/officeDocument/2006/relationships/hyperlink" Target="http://www.cellsignal.com/products/5521.html" TargetMode="External"/><Relationship Id="rId149" Type="http://schemas.openxmlformats.org/officeDocument/2006/relationships/hyperlink" Target="http://www.cellsignal.com/products/7425.html" TargetMode="External"/><Relationship Id="rId356" Type="http://schemas.openxmlformats.org/officeDocument/2006/relationships/hyperlink" Target="http://www.phosphosite.org/proteinAction.do?id=11269&amp;showAllSites=true" TargetMode="External"/><Relationship Id="rId563" Type="http://schemas.openxmlformats.org/officeDocument/2006/relationships/hyperlink" Target="http://www.cellsignal.com/products/2592.html" TargetMode="External"/><Relationship Id="rId770" Type="http://schemas.openxmlformats.org/officeDocument/2006/relationships/hyperlink" Target="http://www.cellsignal.com/products/9087.html" TargetMode="External"/><Relationship Id="rId1193" Type="http://schemas.openxmlformats.org/officeDocument/2006/relationships/hyperlink" Target="http://www.cellsignal.com/products/12353.html" TargetMode="External"/><Relationship Id="rId1207" Type="http://schemas.openxmlformats.org/officeDocument/2006/relationships/hyperlink" Target="http://www.phosphosite.org/proteinAction.do?id=9334&amp;showAllSites=true" TargetMode="External"/><Relationship Id="rId1414" Type="http://schemas.openxmlformats.org/officeDocument/2006/relationships/hyperlink" Target="http://www.phosphosite.org/proteinAction.do?id=1236853&amp;showAllSites=true" TargetMode="External"/><Relationship Id="rId1621" Type="http://schemas.openxmlformats.org/officeDocument/2006/relationships/hyperlink" Target="http://www.phosphosite.org/proteinAction.do?id=9219&amp;showAllSites=true" TargetMode="External"/><Relationship Id="rId216" Type="http://schemas.openxmlformats.org/officeDocument/2006/relationships/hyperlink" Target="http://www.cellsignal.com/products/2164.html" TargetMode="External"/><Relationship Id="rId423" Type="http://schemas.openxmlformats.org/officeDocument/2006/relationships/hyperlink" Target="http://www.phosphosite.org/proteinAction.do?id=9917204&amp;showAllSites=true" TargetMode="External"/><Relationship Id="rId868" Type="http://schemas.openxmlformats.org/officeDocument/2006/relationships/hyperlink" Target="http://www.phosphosite.org/proteinAction.do?id=22643&amp;showAllSites=true" TargetMode="External"/><Relationship Id="rId1053" Type="http://schemas.openxmlformats.org/officeDocument/2006/relationships/hyperlink" Target="http://www.cellsignal.com/products/9828.html" TargetMode="External"/><Relationship Id="rId1260" Type="http://schemas.openxmlformats.org/officeDocument/2006/relationships/hyperlink" Target="http://www.phosphosite.org/proteinAction.do?id=8696&amp;showAllSites=true" TargetMode="External"/><Relationship Id="rId1498" Type="http://schemas.openxmlformats.org/officeDocument/2006/relationships/hyperlink" Target="http://www.phosphosite.org/proteinAction.do?id=1288245&amp;showAllSites=true" TargetMode="External"/><Relationship Id="rId1719" Type="http://schemas.openxmlformats.org/officeDocument/2006/relationships/hyperlink" Target="http://www.ncbi.nlm.nih.gov/entrez/query.fcgi?db=protein&amp;cmd=search&amp;term=XP_926778" TargetMode="External"/><Relationship Id="rId630" Type="http://schemas.openxmlformats.org/officeDocument/2006/relationships/hyperlink" Target="http://www.cellsignal.com/products/2592.html" TargetMode="External"/><Relationship Id="rId728" Type="http://schemas.openxmlformats.org/officeDocument/2006/relationships/hyperlink" Target="http://www.phosphosite.org/proteinAction.do?id=5179&amp;showAllSites=true" TargetMode="External"/><Relationship Id="rId935" Type="http://schemas.openxmlformats.org/officeDocument/2006/relationships/hyperlink" Target="http://www.cellsignal.com/products/3997.html" TargetMode="External"/><Relationship Id="rId1358" Type="http://schemas.openxmlformats.org/officeDocument/2006/relationships/hyperlink" Target="http://www.phosphosite.org/proteinAction.do?id=15764&amp;showAllSites=true" TargetMode="External"/><Relationship Id="rId1565" Type="http://schemas.openxmlformats.org/officeDocument/2006/relationships/hyperlink" Target="http://www.phosphosite.org/proteinAction.do?id=11394&amp;showAllSites=true" TargetMode="External"/><Relationship Id="rId1772" Type="http://schemas.openxmlformats.org/officeDocument/2006/relationships/hyperlink" Target="http://www.phosphosite.org/proteinAction.do?id=12701&amp;showAllSites=true" TargetMode="External"/><Relationship Id="rId64" Type="http://schemas.openxmlformats.org/officeDocument/2006/relationships/hyperlink" Target="http://www.phosphosite.org/proteinAction.do?id=3579&amp;showAllSites=true" TargetMode="External"/><Relationship Id="rId367" Type="http://schemas.openxmlformats.org/officeDocument/2006/relationships/hyperlink" Target="http://www.phosphosite.org/proteinAction.do?id=8840&amp;showAllSites=true" TargetMode="External"/><Relationship Id="rId574" Type="http://schemas.openxmlformats.org/officeDocument/2006/relationships/hyperlink" Target="http://www.phosphosite.org/proteinAction.do?id=1878&amp;showAllSites=true" TargetMode="External"/><Relationship Id="rId1120" Type="http://schemas.openxmlformats.org/officeDocument/2006/relationships/hyperlink" Target="http://www.phosphosite.org/proteinAction.do?id=4264&amp;showAllSites=true" TargetMode="External"/><Relationship Id="rId1218" Type="http://schemas.openxmlformats.org/officeDocument/2006/relationships/hyperlink" Target="http://www.cellsignal.com/products/3362.html" TargetMode="External"/><Relationship Id="rId1425" Type="http://schemas.openxmlformats.org/officeDocument/2006/relationships/hyperlink" Target="http://www.phosphosite.org/proteinAction.do?id=15792&amp;showAllSites=true" TargetMode="External"/><Relationship Id="rId227" Type="http://schemas.openxmlformats.org/officeDocument/2006/relationships/hyperlink" Target="http://www.phosphosite.org/proteinAction.do?id=6509&amp;showAllSites=true" TargetMode="External"/><Relationship Id="rId781" Type="http://schemas.openxmlformats.org/officeDocument/2006/relationships/hyperlink" Target="http://www.cellsignal.com/products/4019.html" TargetMode="External"/><Relationship Id="rId879" Type="http://schemas.openxmlformats.org/officeDocument/2006/relationships/hyperlink" Target="http://www.cellsignal.com/products/3180.html" TargetMode="External"/><Relationship Id="rId1632" Type="http://schemas.openxmlformats.org/officeDocument/2006/relationships/hyperlink" Target="http://www.cellsignal.com/products/5400.html" TargetMode="External"/><Relationship Id="rId434" Type="http://schemas.openxmlformats.org/officeDocument/2006/relationships/hyperlink" Target="http://www.phosphosite.org/proteinAction.do?id=17985&amp;showAllSites=true" TargetMode="External"/><Relationship Id="rId641" Type="http://schemas.openxmlformats.org/officeDocument/2006/relationships/hyperlink" Target="http://www.phosphosite.org/proteinAction.do?id=1878&amp;showAllSites=true" TargetMode="External"/><Relationship Id="rId739" Type="http://schemas.openxmlformats.org/officeDocument/2006/relationships/hyperlink" Target="http://www.cellsignal.com/products/9437.html" TargetMode="External"/><Relationship Id="rId1064" Type="http://schemas.openxmlformats.org/officeDocument/2006/relationships/hyperlink" Target="http://www.phosphosite.org/proteinAction.do?id=9550&amp;showAllSites=true" TargetMode="External"/><Relationship Id="rId1271" Type="http://schemas.openxmlformats.org/officeDocument/2006/relationships/hyperlink" Target="http://www.cellsignal.com/products/3542.html" TargetMode="External"/><Relationship Id="rId1369" Type="http://schemas.openxmlformats.org/officeDocument/2006/relationships/hyperlink" Target="http://www.phosphosite.org/proteinAction.do?id=2143&amp;showAllSites=true" TargetMode="External"/><Relationship Id="rId1576" Type="http://schemas.openxmlformats.org/officeDocument/2006/relationships/hyperlink" Target="http://www.cellsignal.com/products/3514.html" TargetMode="External"/><Relationship Id="rId280" Type="http://schemas.openxmlformats.org/officeDocument/2006/relationships/hyperlink" Target="http://www.cellsignal.com/products/3971.html" TargetMode="External"/><Relationship Id="rId501" Type="http://schemas.openxmlformats.org/officeDocument/2006/relationships/hyperlink" Target="http://www.phosphosite.org/proteinAction.do?id=8393&amp;showAllSites=true" TargetMode="External"/><Relationship Id="rId946" Type="http://schemas.openxmlformats.org/officeDocument/2006/relationships/hyperlink" Target="http://www.cellsignal.com/products/9046.html" TargetMode="External"/><Relationship Id="rId1131" Type="http://schemas.openxmlformats.org/officeDocument/2006/relationships/hyperlink" Target="http://www.phosphosite.org/proteinAction.do?id=19739&amp;showAllSites=true" TargetMode="External"/><Relationship Id="rId1229" Type="http://schemas.openxmlformats.org/officeDocument/2006/relationships/hyperlink" Target="http://www.cellsignal.com/products/3967.html" TargetMode="External"/><Relationship Id="rId75" Type="http://schemas.openxmlformats.org/officeDocument/2006/relationships/hyperlink" Target="http://www.cellsignal.com/products/8456.html" TargetMode="External"/><Relationship Id="rId140" Type="http://schemas.openxmlformats.org/officeDocument/2006/relationships/hyperlink" Target="http://www.phosphosite.org/proteinAction.do?id=1161&amp;showAllSites=true" TargetMode="External"/><Relationship Id="rId378" Type="http://schemas.openxmlformats.org/officeDocument/2006/relationships/hyperlink" Target="http://www.phosphosite.org/proteinAction.do?id=17406&amp;showAllSites=true" TargetMode="External"/><Relationship Id="rId585" Type="http://schemas.openxmlformats.org/officeDocument/2006/relationships/hyperlink" Target="http://www.cellsignal.com/products/2591.html" TargetMode="External"/><Relationship Id="rId792" Type="http://schemas.openxmlformats.org/officeDocument/2006/relationships/hyperlink" Target="http://www.phosphosite.org/proteinAction.do?id=8692&amp;showAllSites=true" TargetMode="External"/><Relationship Id="rId806" Type="http://schemas.openxmlformats.org/officeDocument/2006/relationships/hyperlink" Target="http://www.cellsignal.com/products/3352.html" TargetMode="External"/><Relationship Id="rId1436" Type="http://schemas.openxmlformats.org/officeDocument/2006/relationships/hyperlink" Target="http://www.phosphosite.org/proteinAction.do?id=9523&amp;showAllSites=true" TargetMode="External"/><Relationship Id="rId1643" Type="http://schemas.openxmlformats.org/officeDocument/2006/relationships/hyperlink" Target="http://www.phosphosite.org/proteinAction.do?id=6594&amp;showAllSites=true" TargetMode="External"/><Relationship Id="rId6" Type="http://schemas.openxmlformats.org/officeDocument/2006/relationships/hyperlink" Target="http://www.phosphosite.org/proteinAction.do?id=15794&amp;showAllSites=true" TargetMode="External"/><Relationship Id="rId238" Type="http://schemas.openxmlformats.org/officeDocument/2006/relationships/hyperlink" Target="http://www.phosphosite.org/proteinAction.do?id=8357&amp;showAllSites=true" TargetMode="External"/><Relationship Id="rId445" Type="http://schemas.openxmlformats.org/officeDocument/2006/relationships/hyperlink" Target="http://www.cellsignal.com/products/12364.html" TargetMode="External"/><Relationship Id="rId652" Type="http://schemas.openxmlformats.org/officeDocument/2006/relationships/hyperlink" Target="http://www.cellsignal.com/products/8804.html" TargetMode="External"/><Relationship Id="rId1075" Type="http://schemas.openxmlformats.org/officeDocument/2006/relationships/hyperlink" Target="http://www.cellsignal.com/products/9828.html" TargetMode="External"/><Relationship Id="rId1282" Type="http://schemas.openxmlformats.org/officeDocument/2006/relationships/hyperlink" Target="http://www.phosphosite.org/proteinAction.do?id=1394&amp;showAllSites=true" TargetMode="External"/><Relationship Id="rId1503" Type="http://schemas.openxmlformats.org/officeDocument/2006/relationships/hyperlink" Target="http://www.phosphosite.org/proteinAction.do?id=2760&amp;showAllSites=true" TargetMode="External"/><Relationship Id="rId1710" Type="http://schemas.openxmlformats.org/officeDocument/2006/relationships/hyperlink" Target="http://www.cellsignal.com/products/4499.html" TargetMode="External"/><Relationship Id="rId291" Type="http://schemas.openxmlformats.org/officeDocument/2006/relationships/hyperlink" Target="http://www.cellsignal.com/products/9099.html" TargetMode="External"/><Relationship Id="rId305" Type="http://schemas.openxmlformats.org/officeDocument/2006/relationships/hyperlink" Target="http://www.phosphosite.org/proteinAction.do?id=2137703&amp;showAllSites=true" TargetMode="External"/><Relationship Id="rId512" Type="http://schemas.openxmlformats.org/officeDocument/2006/relationships/hyperlink" Target="http://www.cellsignal.com/products/5435.html" TargetMode="External"/><Relationship Id="rId957" Type="http://schemas.openxmlformats.org/officeDocument/2006/relationships/hyperlink" Target="http://www.phosphosite.org/proteinAction.do?id=4323&amp;showAllSites=true" TargetMode="External"/><Relationship Id="rId1142" Type="http://schemas.openxmlformats.org/officeDocument/2006/relationships/hyperlink" Target="http://www.phosphosite.org/proteinAction.do?id=1784&amp;showAllSites=true" TargetMode="External"/><Relationship Id="rId1587" Type="http://schemas.openxmlformats.org/officeDocument/2006/relationships/hyperlink" Target="http://www.phosphosite.org/proteinAction.do?id=8693&amp;showAllSites=true" TargetMode="External"/><Relationship Id="rId86" Type="http://schemas.openxmlformats.org/officeDocument/2006/relationships/hyperlink" Target="http://www.cellsignal.com/products/8235.html" TargetMode="External"/><Relationship Id="rId151" Type="http://schemas.openxmlformats.org/officeDocument/2006/relationships/hyperlink" Target="http://www.cellsignal.com/products/7389.html" TargetMode="External"/><Relationship Id="rId389" Type="http://schemas.openxmlformats.org/officeDocument/2006/relationships/hyperlink" Target="http://www.cellsignal.com/products/3593.html" TargetMode="External"/><Relationship Id="rId596" Type="http://schemas.openxmlformats.org/officeDocument/2006/relationships/hyperlink" Target="http://www.cellsignal.com/products/2592.html" TargetMode="External"/><Relationship Id="rId817" Type="http://schemas.openxmlformats.org/officeDocument/2006/relationships/hyperlink" Target="http://www.phosphosite.org/proteinAction.do?id=9173&amp;showAllSites=true" TargetMode="External"/><Relationship Id="rId1002" Type="http://schemas.openxmlformats.org/officeDocument/2006/relationships/hyperlink" Target="http://www.phosphosite.org/proteinAction.do?id=25516000&amp;showAllSites=true" TargetMode="External"/><Relationship Id="rId1447" Type="http://schemas.openxmlformats.org/officeDocument/2006/relationships/hyperlink" Target="http://www.phosphosite.org/proteinAction.do?id=2386&amp;showAllSites=true" TargetMode="External"/><Relationship Id="rId1654" Type="http://schemas.openxmlformats.org/officeDocument/2006/relationships/hyperlink" Target="http://www.phosphosite.org/proteinAction.do?id=3837&amp;showAllSites=true" TargetMode="External"/><Relationship Id="rId249" Type="http://schemas.openxmlformats.org/officeDocument/2006/relationships/hyperlink" Target="http://www.phosphosite.org/proteinAction.do?id=6765&amp;showAllSites=true" TargetMode="External"/><Relationship Id="rId456" Type="http://schemas.openxmlformats.org/officeDocument/2006/relationships/hyperlink" Target="http://www.phosphosite.org/proteinAction.do?id=8395&amp;showAllSites=true" TargetMode="External"/><Relationship Id="rId663" Type="http://schemas.openxmlformats.org/officeDocument/2006/relationships/hyperlink" Target="http://www.cellsignal.com/products/8135.html" TargetMode="External"/><Relationship Id="rId870" Type="http://schemas.openxmlformats.org/officeDocument/2006/relationships/hyperlink" Target="http://www.phosphosite.org/proteinAction.do?id=18997&amp;showAllSites=true" TargetMode="External"/><Relationship Id="rId1086" Type="http://schemas.openxmlformats.org/officeDocument/2006/relationships/hyperlink" Target="http://www.phosphosite.org/proteinAction.do?id=9550&amp;showAllSites=true" TargetMode="External"/><Relationship Id="rId1293" Type="http://schemas.openxmlformats.org/officeDocument/2006/relationships/hyperlink" Target="http://www.phosphosite.org/proteinAction.do?id=5140324&amp;showAllSites=true" TargetMode="External"/><Relationship Id="rId1307" Type="http://schemas.openxmlformats.org/officeDocument/2006/relationships/hyperlink" Target="http://www.phosphosite.org/proteinAction.do?id=5140307&amp;showAllSites=true" TargetMode="External"/><Relationship Id="rId1514" Type="http://schemas.openxmlformats.org/officeDocument/2006/relationships/hyperlink" Target="http://www.phosphosite.org/proteinAction.do?id=2613075&amp;showAllSites=true" TargetMode="External"/><Relationship Id="rId1721" Type="http://schemas.openxmlformats.org/officeDocument/2006/relationships/hyperlink" Target="http://www.cellsignal.com/products/9081.html" TargetMode="External"/><Relationship Id="rId13" Type="http://schemas.openxmlformats.org/officeDocument/2006/relationships/hyperlink" Target="http://www.phosphosite.org/proteinAction.do?id=7968&amp;showAllSites=true" TargetMode="External"/><Relationship Id="rId109" Type="http://schemas.openxmlformats.org/officeDocument/2006/relationships/hyperlink" Target="http://www.cellsignal.com/products/3312.html" TargetMode="External"/><Relationship Id="rId316" Type="http://schemas.openxmlformats.org/officeDocument/2006/relationships/hyperlink" Target="http://www.phosphosite.org/proteinAction.do?id=2786&amp;showAllSites=true" TargetMode="External"/><Relationship Id="rId523" Type="http://schemas.openxmlformats.org/officeDocument/2006/relationships/hyperlink" Target="http://www.cellsignal.com/products/8135.html" TargetMode="External"/><Relationship Id="rId968" Type="http://schemas.openxmlformats.org/officeDocument/2006/relationships/hyperlink" Target="http://www.phosphosite.org/proteinAction.do?id=8093&amp;showAllSites=true" TargetMode="External"/><Relationship Id="rId1153" Type="http://schemas.openxmlformats.org/officeDocument/2006/relationships/hyperlink" Target="http://www.cellsignal.com/products/5839.html" TargetMode="External"/><Relationship Id="rId1598" Type="http://schemas.openxmlformats.org/officeDocument/2006/relationships/hyperlink" Target="http://www.phosphosite.org/proteinAction.do?id=11177&amp;showAllSites=true" TargetMode="External"/><Relationship Id="rId97" Type="http://schemas.openxmlformats.org/officeDocument/2006/relationships/hyperlink" Target="http://www.cellsignal.com/products/3312.html" TargetMode="External"/><Relationship Id="rId730" Type="http://schemas.openxmlformats.org/officeDocument/2006/relationships/hyperlink" Target="http://www.phosphosite.org/proteinAction.do?id=6935&amp;showAllSites=true" TargetMode="External"/><Relationship Id="rId828" Type="http://schemas.openxmlformats.org/officeDocument/2006/relationships/hyperlink" Target="http://www.phosphosite.org/proteinAction.do?id=18685&amp;showAllSites=true" TargetMode="External"/><Relationship Id="rId1013" Type="http://schemas.openxmlformats.org/officeDocument/2006/relationships/hyperlink" Target="http://www.cellsignal.com/products/3188.html" TargetMode="External"/><Relationship Id="rId1360" Type="http://schemas.openxmlformats.org/officeDocument/2006/relationships/hyperlink" Target="http://www.phosphosite.org/proteinAction.do?id=1288197&amp;showAllSites=true" TargetMode="External"/><Relationship Id="rId1458" Type="http://schemas.openxmlformats.org/officeDocument/2006/relationships/hyperlink" Target="http://www.cellsignal.com/products/4866.html" TargetMode="External"/><Relationship Id="rId1665" Type="http://schemas.openxmlformats.org/officeDocument/2006/relationships/hyperlink" Target="http://www.phosphosite.org/proteinAction.do?id=13020&amp;showAllSites=true" TargetMode="External"/><Relationship Id="rId162" Type="http://schemas.openxmlformats.org/officeDocument/2006/relationships/hyperlink" Target="http://www.phosphosite.org/proteinAction.do?id=11406&amp;showAllSites=true" TargetMode="External"/><Relationship Id="rId467" Type="http://schemas.openxmlformats.org/officeDocument/2006/relationships/hyperlink" Target="http://www.cellsignal.com/products/9072.html" TargetMode="External"/><Relationship Id="rId1097" Type="http://schemas.openxmlformats.org/officeDocument/2006/relationships/hyperlink" Target="http://www.phosphosite.org/proteinAction.do?id=10223&amp;showAllSites=true" TargetMode="External"/><Relationship Id="rId1220" Type="http://schemas.openxmlformats.org/officeDocument/2006/relationships/hyperlink" Target="http://www.cellsignal.com/products/6216.html" TargetMode="External"/><Relationship Id="rId1318" Type="http://schemas.openxmlformats.org/officeDocument/2006/relationships/hyperlink" Target="http://www.phosphosite.org/proteinAction.do?id=9509&amp;showAllSites=true" TargetMode="External"/><Relationship Id="rId1525" Type="http://schemas.openxmlformats.org/officeDocument/2006/relationships/hyperlink" Target="http://www.phosphosite.org/proteinAction.do?id=22078&amp;showAllSites=true" TargetMode="External"/><Relationship Id="rId674" Type="http://schemas.openxmlformats.org/officeDocument/2006/relationships/hyperlink" Target="http://www.phosphosite.org/proteinAction.do?id=8391&amp;showAllSites=true" TargetMode="External"/><Relationship Id="rId881" Type="http://schemas.openxmlformats.org/officeDocument/2006/relationships/hyperlink" Target="http://www.cellsignal.com/products/12588.html" TargetMode="External"/><Relationship Id="rId979" Type="http://schemas.openxmlformats.org/officeDocument/2006/relationships/hyperlink" Target="http://www.phosphosite.org/proteinAction.do?id=7697&amp;showAllSites=true" TargetMode="External"/><Relationship Id="rId1732" Type="http://schemas.openxmlformats.org/officeDocument/2006/relationships/hyperlink" Target="http://www.phosphosite.org/proteinAction.do?id=7219&amp;showAllSites=true" TargetMode="External"/><Relationship Id="rId24" Type="http://schemas.openxmlformats.org/officeDocument/2006/relationships/hyperlink" Target="http://www.phosphosite.org/proteinAction.do?id=9697&amp;showAllSites=true" TargetMode="External"/><Relationship Id="rId327" Type="http://schemas.openxmlformats.org/officeDocument/2006/relationships/hyperlink" Target="http://www.cellsignal.com/products/3582.html" TargetMode="External"/><Relationship Id="rId534" Type="http://schemas.openxmlformats.org/officeDocument/2006/relationships/hyperlink" Target="http://www.phosphosite.org/proteinAction.do?id=8393&amp;showAllSites=true" TargetMode="External"/><Relationship Id="rId741" Type="http://schemas.openxmlformats.org/officeDocument/2006/relationships/hyperlink" Target="http://www.cellsignal.com/products/9437.html" TargetMode="External"/><Relationship Id="rId839" Type="http://schemas.openxmlformats.org/officeDocument/2006/relationships/hyperlink" Target="http://www.phosphosite.org/proteinAction.do?id=1169911&amp;showAllSites=true" TargetMode="External"/><Relationship Id="rId1164" Type="http://schemas.openxmlformats.org/officeDocument/2006/relationships/hyperlink" Target="http://www.phosphosite.org/proteinAction.do?id=7580526&amp;showAllSites=true" TargetMode="External"/><Relationship Id="rId1371" Type="http://schemas.openxmlformats.org/officeDocument/2006/relationships/hyperlink" Target="http://www.phosphosite.org/proteinAction.do?id=2143&amp;showAllSites=true" TargetMode="External"/><Relationship Id="rId1469" Type="http://schemas.openxmlformats.org/officeDocument/2006/relationships/hyperlink" Target="http://www.phosphosite.org/proteinAction.do?id=4806&amp;showAllSites=true" TargetMode="External"/><Relationship Id="rId173" Type="http://schemas.openxmlformats.org/officeDocument/2006/relationships/hyperlink" Target="http://www.phosphosite.org/proteinAction.do?id=3870&amp;showAllSites=true" TargetMode="External"/><Relationship Id="rId380" Type="http://schemas.openxmlformats.org/officeDocument/2006/relationships/hyperlink" Target="http://www.phosphosite.org/proteinAction.do?id=2030&amp;showAllSites=true" TargetMode="External"/><Relationship Id="rId601" Type="http://schemas.openxmlformats.org/officeDocument/2006/relationships/hyperlink" Target="http://www.phosphosite.org/proteinAction.do?id=1878&amp;showAllSites=true" TargetMode="External"/><Relationship Id="rId1024" Type="http://schemas.openxmlformats.org/officeDocument/2006/relationships/hyperlink" Target="http://www.phosphosite.org/proteinAction.do?id=15738&amp;showAllSites=true" TargetMode="External"/><Relationship Id="rId1231" Type="http://schemas.openxmlformats.org/officeDocument/2006/relationships/hyperlink" Target="http://www.cellsignal.com/products/6235.html" TargetMode="External"/><Relationship Id="rId1676" Type="http://schemas.openxmlformats.org/officeDocument/2006/relationships/hyperlink" Target="http://www.phosphosite.org/proteinAction.do?id=11545507&amp;showAllSites=true" TargetMode="External"/><Relationship Id="rId240" Type="http://schemas.openxmlformats.org/officeDocument/2006/relationships/hyperlink" Target="http://www.phosphosite.org/proteinAction.do?id=8357&amp;showAllSites=true" TargetMode="External"/><Relationship Id="rId478" Type="http://schemas.openxmlformats.org/officeDocument/2006/relationships/hyperlink" Target="http://www.cellsignal.com/products/8135.html" TargetMode="External"/><Relationship Id="rId685" Type="http://schemas.openxmlformats.org/officeDocument/2006/relationships/hyperlink" Target="http://www.cellsignal.com/products/8135.html" TargetMode="External"/><Relationship Id="rId892" Type="http://schemas.openxmlformats.org/officeDocument/2006/relationships/hyperlink" Target="http://www.phosphosite.org/proteinAction.do?id=7967&amp;showAllSites=true" TargetMode="External"/><Relationship Id="rId906" Type="http://schemas.openxmlformats.org/officeDocument/2006/relationships/hyperlink" Target="http://www.phosphosite.org/proteinAction.do?id=4368&amp;showAllSites=true" TargetMode="External"/><Relationship Id="rId1329" Type="http://schemas.openxmlformats.org/officeDocument/2006/relationships/hyperlink" Target="http://www.phosphosite.org/proteinAction.do?id=6895&amp;showAllSites=true" TargetMode="External"/><Relationship Id="rId1536" Type="http://schemas.openxmlformats.org/officeDocument/2006/relationships/hyperlink" Target="http://www.phosphosite.org/proteinAction.do?id=10980&amp;showAllSites=true" TargetMode="External"/><Relationship Id="rId1743" Type="http://schemas.openxmlformats.org/officeDocument/2006/relationships/hyperlink" Target="http://www.phosphosite.org/proteinAction.do?id=4331&amp;showAllSites=true" TargetMode="External"/><Relationship Id="rId35" Type="http://schemas.openxmlformats.org/officeDocument/2006/relationships/hyperlink" Target="http://www.cellsignal.com/products/5522.html" TargetMode="External"/><Relationship Id="rId100" Type="http://schemas.openxmlformats.org/officeDocument/2006/relationships/hyperlink" Target="http://www.cellsignal.com/products/3312.html" TargetMode="External"/><Relationship Id="rId338" Type="http://schemas.openxmlformats.org/officeDocument/2006/relationships/hyperlink" Target="http://www.phosphosite.org/proteinAction.do?id=2070&amp;showAllSites=true" TargetMode="External"/><Relationship Id="rId545" Type="http://schemas.openxmlformats.org/officeDocument/2006/relationships/hyperlink" Target="http://www.cellsignal.com/products/9072.html" TargetMode="External"/><Relationship Id="rId752" Type="http://schemas.openxmlformats.org/officeDocument/2006/relationships/hyperlink" Target="http://www.phosphosite.org/proteinAction.do?id=13141&amp;showAllSites=true" TargetMode="External"/><Relationship Id="rId1175" Type="http://schemas.openxmlformats.org/officeDocument/2006/relationships/hyperlink" Target="http://www.phosphosite.org/proteinAction.do?id=7742&amp;showAllSites=true" TargetMode="External"/><Relationship Id="rId1382" Type="http://schemas.openxmlformats.org/officeDocument/2006/relationships/hyperlink" Target="http://www.cellsignal.com/products/5307.html" TargetMode="External"/><Relationship Id="rId1603" Type="http://schemas.openxmlformats.org/officeDocument/2006/relationships/hyperlink" Target="http://www.cellsignal.com/products/2551.html" TargetMode="External"/><Relationship Id="rId184" Type="http://schemas.openxmlformats.org/officeDocument/2006/relationships/hyperlink" Target="http://www.cellsignal.com/products/9099.html" TargetMode="External"/><Relationship Id="rId391" Type="http://schemas.openxmlformats.org/officeDocument/2006/relationships/hyperlink" Target="http://www.cellsignal.com/products/3593.html" TargetMode="External"/><Relationship Id="rId405" Type="http://schemas.openxmlformats.org/officeDocument/2006/relationships/hyperlink" Target="http://www.cellsignal.com/products/4869.html" TargetMode="External"/><Relationship Id="rId612" Type="http://schemas.openxmlformats.org/officeDocument/2006/relationships/hyperlink" Target="http://www.phosphosite.org/proteinAction.do?id=1878&amp;showAllSites=true" TargetMode="External"/><Relationship Id="rId1035" Type="http://schemas.openxmlformats.org/officeDocument/2006/relationships/hyperlink" Target="http://www.phosphosite.org/proteinAction.do?id=9221&amp;showAllSites=true" TargetMode="External"/><Relationship Id="rId1242" Type="http://schemas.openxmlformats.org/officeDocument/2006/relationships/hyperlink" Target="http://www.cellsignal.com/products/2746.html" TargetMode="External"/><Relationship Id="rId1687" Type="http://schemas.openxmlformats.org/officeDocument/2006/relationships/hyperlink" Target="http://www.phosphosite.org/proteinAction.do?id=9400&amp;showAllSites=true" TargetMode="External"/><Relationship Id="rId251" Type="http://schemas.openxmlformats.org/officeDocument/2006/relationships/hyperlink" Target="http://www.phosphosite.org/proteinAction.do?id=22530&amp;showAllSites=true" TargetMode="External"/><Relationship Id="rId489" Type="http://schemas.openxmlformats.org/officeDocument/2006/relationships/hyperlink" Target="http://www.phosphosite.org/proteinAction.do?id=8393&amp;showAllSites=true" TargetMode="External"/><Relationship Id="rId696" Type="http://schemas.openxmlformats.org/officeDocument/2006/relationships/hyperlink" Target="http://www.phosphosite.org/proteinAction.do?id=5143208&amp;showAllSites=true" TargetMode="External"/><Relationship Id="rId917" Type="http://schemas.openxmlformats.org/officeDocument/2006/relationships/hyperlink" Target="http://www.cellsignal.com/products/5174.html" TargetMode="External"/><Relationship Id="rId1102" Type="http://schemas.openxmlformats.org/officeDocument/2006/relationships/hyperlink" Target="http://www.phosphosite.org/proteinAction.do?id=10223&amp;showAllSites=true" TargetMode="External"/><Relationship Id="rId1547" Type="http://schemas.openxmlformats.org/officeDocument/2006/relationships/hyperlink" Target="http://www.phosphosite.org/proteinAction.do?id=18775&amp;showAllSites=true" TargetMode="External"/><Relationship Id="rId1754" Type="http://schemas.openxmlformats.org/officeDocument/2006/relationships/hyperlink" Target="http://www.phosphosite.org/proteinAction.do?id=22548&amp;showAllSites=true" TargetMode="External"/><Relationship Id="rId46" Type="http://schemas.openxmlformats.org/officeDocument/2006/relationships/hyperlink" Target="http://www.phosphosite.org/proteinAction.do?id=3577&amp;showAllSites=true" TargetMode="External"/><Relationship Id="rId349" Type="http://schemas.openxmlformats.org/officeDocument/2006/relationships/hyperlink" Target="http://www.phosphosite.org/proteinAction.do?id=14622&amp;showAllSites=true" TargetMode="External"/><Relationship Id="rId556" Type="http://schemas.openxmlformats.org/officeDocument/2006/relationships/hyperlink" Target="http://www.cellsignal.com/products/2591.html" TargetMode="External"/><Relationship Id="rId763" Type="http://schemas.openxmlformats.org/officeDocument/2006/relationships/hyperlink" Target="http://www.phosphosite.org/proteinAction.do?id=19125&amp;showAllSites=true" TargetMode="External"/><Relationship Id="rId1186" Type="http://schemas.openxmlformats.org/officeDocument/2006/relationships/hyperlink" Target="http://www.cellsignal.com/products/2459.html" TargetMode="External"/><Relationship Id="rId1393" Type="http://schemas.openxmlformats.org/officeDocument/2006/relationships/hyperlink" Target="http://www.phosphosite.org/proteinAction.do?id=2143&amp;showAllSites=true" TargetMode="External"/><Relationship Id="rId1407" Type="http://schemas.openxmlformats.org/officeDocument/2006/relationships/hyperlink" Target="http://www.phosphosite.org/proteinAction.do?id=6794&amp;showAllSites=true" TargetMode="External"/><Relationship Id="rId1614" Type="http://schemas.openxmlformats.org/officeDocument/2006/relationships/hyperlink" Target="http://www.phosphosite.org/proteinAction.do?id=9165&amp;showAllSites=true" TargetMode="External"/><Relationship Id="rId111" Type="http://schemas.openxmlformats.org/officeDocument/2006/relationships/hyperlink" Target="http://www.cellsignal.com/products/6267.html" TargetMode="External"/><Relationship Id="rId195" Type="http://schemas.openxmlformats.org/officeDocument/2006/relationships/hyperlink" Target="http://www.phosphosite.org/proteinAction.do?id=25230&amp;showAllSites=true" TargetMode="External"/><Relationship Id="rId209" Type="http://schemas.openxmlformats.org/officeDocument/2006/relationships/hyperlink" Target="http://www.phosphosite.org/proteinAction.do?id=25230&amp;showAllSites=true" TargetMode="External"/><Relationship Id="rId416" Type="http://schemas.openxmlformats.org/officeDocument/2006/relationships/hyperlink" Target="http://www.phosphosite.org/proteinAction.do?id=9197&amp;showAllSites=true" TargetMode="External"/><Relationship Id="rId970" Type="http://schemas.openxmlformats.org/officeDocument/2006/relationships/hyperlink" Target="http://www.phosphosite.org/proteinAction.do?id=6475&amp;showAllSites=true" TargetMode="External"/><Relationship Id="rId1046" Type="http://schemas.openxmlformats.org/officeDocument/2006/relationships/hyperlink" Target="http://www.phosphosite.org/proteinAction.do?id=7201&amp;showAllSites=true" TargetMode="External"/><Relationship Id="rId1253" Type="http://schemas.openxmlformats.org/officeDocument/2006/relationships/hyperlink" Target="http://www.phosphosite.org/proteinAction.do?id=2809&amp;showAllSites=true" TargetMode="External"/><Relationship Id="rId1698" Type="http://schemas.openxmlformats.org/officeDocument/2006/relationships/hyperlink" Target="http://www.cellsignal.com/products/4499.html" TargetMode="External"/><Relationship Id="rId623" Type="http://schemas.openxmlformats.org/officeDocument/2006/relationships/hyperlink" Target="http://www.phosphosite.org/proteinAction.do?id=1878&amp;showAllSites=true" TargetMode="External"/><Relationship Id="rId830" Type="http://schemas.openxmlformats.org/officeDocument/2006/relationships/hyperlink" Target="http://www.phosphosite.org/proteinAction.do?id=18685&amp;showAllSites=true" TargetMode="External"/><Relationship Id="rId928" Type="http://schemas.openxmlformats.org/officeDocument/2006/relationships/hyperlink" Target="http://www.phosphosite.org/proteinAction.do?id=7579909&amp;showAllSites=true" TargetMode="External"/><Relationship Id="rId1460" Type="http://schemas.openxmlformats.org/officeDocument/2006/relationships/hyperlink" Target="http://www.cellsignal.com/products/4866.html" TargetMode="External"/><Relationship Id="rId1558" Type="http://schemas.openxmlformats.org/officeDocument/2006/relationships/hyperlink" Target="http://www.phosphosite.org/proteinAction.do?id=11421&amp;showAllSites=true" TargetMode="External"/><Relationship Id="rId1765" Type="http://schemas.openxmlformats.org/officeDocument/2006/relationships/hyperlink" Target="http://www.phosphosite.org/proteinAction.do?id=11487&amp;showAllSites=true" TargetMode="External"/><Relationship Id="rId57" Type="http://schemas.openxmlformats.org/officeDocument/2006/relationships/hyperlink" Target="http://www.cellsignal.com/products/5521.html" TargetMode="External"/><Relationship Id="rId262" Type="http://schemas.openxmlformats.org/officeDocument/2006/relationships/hyperlink" Target="http://www.phosphosite.org/proteinAction.do?id=8014&amp;showAllSites=true" TargetMode="External"/><Relationship Id="rId567" Type="http://schemas.openxmlformats.org/officeDocument/2006/relationships/hyperlink" Target="http://www.cellsignal.com/products/8647.html" TargetMode="External"/><Relationship Id="rId1113" Type="http://schemas.openxmlformats.org/officeDocument/2006/relationships/hyperlink" Target="http://www.phosphosite.org/proteinAction.do?id=9668&amp;showAllSites=true" TargetMode="External"/><Relationship Id="rId1197" Type="http://schemas.openxmlformats.org/officeDocument/2006/relationships/hyperlink" Target="http://www.cellsignal.com/products/11896.html" TargetMode="External"/><Relationship Id="rId1320" Type="http://schemas.openxmlformats.org/officeDocument/2006/relationships/hyperlink" Target="http://www.phosphosite.org/proteinAction.do?id=15686&amp;showAllSites=true" TargetMode="External"/><Relationship Id="rId1418" Type="http://schemas.openxmlformats.org/officeDocument/2006/relationships/hyperlink" Target="http://www.phosphosite.org/proteinAction.do?id=18995001&amp;showAllSites=true" TargetMode="External"/><Relationship Id="rId122" Type="http://schemas.openxmlformats.org/officeDocument/2006/relationships/hyperlink" Target="http://www.cellsignal.com/products/4796.html" TargetMode="External"/><Relationship Id="rId774" Type="http://schemas.openxmlformats.org/officeDocument/2006/relationships/hyperlink" Target="http://www.cellsignal.com/products/9087.html" TargetMode="External"/><Relationship Id="rId981" Type="http://schemas.openxmlformats.org/officeDocument/2006/relationships/hyperlink" Target="http://www.cellsignal.com/products/6296.html" TargetMode="External"/><Relationship Id="rId1057" Type="http://schemas.openxmlformats.org/officeDocument/2006/relationships/hyperlink" Target="http://www.cellsignal.com/products/9828.html" TargetMode="External"/><Relationship Id="rId1625" Type="http://schemas.openxmlformats.org/officeDocument/2006/relationships/hyperlink" Target="http://www.phosphosite.org/proteinAction.do?id=11037&amp;showAllSites=true" TargetMode="External"/><Relationship Id="rId427" Type="http://schemas.openxmlformats.org/officeDocument/2006/relationships/hyperlink" Target="http://www.phosphosite.org/proteinAction.do?id=9917204&amp;showAllSites=true" TargetMode="External"/><Relationship Id="rId634" Type="http://schemas.openxmlformats.org/officeDocument/2006/relationships/hyperlink" Target="http://www.cellsignal.com/products/2591.html" TargetMode="External"/><Relationship Id="rId841" Type="http://schemas.openxmlformats.org/officeDocument/2006/relationships/hyperlink" Target="http://www.phosphosite.org/proteinAction.do?id=4045&amp;showAllSites=true" TargetMode="External"/><Relationship Id="rId1264" Type="http://schemas.openxmlformats.org/officeDocument/2006/relationships/hyperlink" Target="http://www.phosphosite.org/proteinAction.do?id=6142608&amp;showAllSites=true" TargetMode="External"/><Relationship Id="rId1471" Type="http://schemas.openxmlformats.org/officeDocument/2006/relationships/hyperlink" Target="http://www.phosphosite.org/proteinAction.do?id=4806&amp;showAllSites=true" TargetMode="External"/><Relationship Id="rId1569" Type="http://schemas.openxmlformats.org/officeDocument/2006/relationships/hyperlink" Target="http://www.phosphosite.org/proteinAction.do?id=11394&amp;showAllSites=true" TargetMode="External"/><Relationship Id="rId273" Type="http://schemas.openxmlformats.org/officeDocument/2006/relationships/hyperlink" Target="http://www.cellsignal.com/products/9099.html" TargetMode="External"/><Relationship Id="rId480" Type="http://schemas.openxmlformats.org/officeDocument/2006/relationships/hyperlink" Target="http://www.phosphosite.org/proteinAction.do?id=8395&amp;showAllSites=true" TargetMode="External"/><Relationship Id="rId701" Type="http://schemas.openxmlformats.org/officeDocument/2006/relationships/hyperlink" Target="http://www.cellsignal.com/products/8135.html" TargetMode="External"/><Relationship Id="rId939" Type="http://schemas.openxmlformats.org/officeDocument/2006/relationships/hyperlink" Target="http://www.phosphosite.org/proteinAction.do?id=2473669&amp;showAllSites=true" TargetMode="External"/><Relationship Id="rId1124" Type="http://schemas.openxmlformats.org/officeDocument/2006/relationships/hyperlink" Target="http://www.phosphosite.org/proteinAction.do?id=12681&amp;showAllSites=true" TargetMode="External"/><Relationship Id="rId1331" Type="http://schemas.openxmlformats.org/officeDocument/2006/relationships/hyperlink" Target="http://www.phosphosite.org/proteinAction.do?id=6895&amp;showAllSites=true" TargetMode="External"/><Relationship Id="rId1776" Type="http://schemas.openxmlformats.org/officeDocument/2006/relationships/hyperlink" Target="http://www.phosphosite.org/proteinAction.do?id=12701&amp;showAllSites=true" TargetMode="External"/><Relationship Id="rId68" Type="http://schemas.openxmlformats.org/officeDocument/2006/relationships/hyperlink" Target="http://www.phosphosite.org/proteinAction.do?id=3579&amp;showAllSites=true" TargetMode="External"/><Relationship Id="rId133" Type="http://schemas.openxmlformats.org/officeDocument/2006/relationships/hyperlink" Target="http://www.cellsignal.com/products/7389.html" TargetMode="External"/><Relationship Id="rId340" Type="http://schemas.openxmlformats.org/officeDocument/2006/relationships/hyperlink" Target="http://www.phosphosite.org/proteinAction.do?id=2070&amp;showAllSites=true" TargetMode="External"/><Relationship Id="rId578" Type="http://schemas.openxmlformats.org/officeDocument/2006/relationships/hyperlink" Target="http://www.cellsignal.com/products/2592.html" TargetMode="External"/><Relationship Id="rId785" Type="http://schemas.openxmlformats.org/officeDocument/2006/relationships/hyperlink" Target="http://www.cellsignal.com/products/4265.html" TargetMode="External"/><Relationship Id="rId992" Type="http://schemas.openxmlformats.org/officeDocument/2006/relationships/hyperlink" Target="http://www.cellsignal.com/products/6922.html" TargetMode="External"/><Relationship Id="rId1429" Type="http://schemas.openxmlformats.org/officeDocument/2006/relationships/hyperlink" Target="http://www.phosphosite.org/proteinAction.do?id=15732&amp;showAllSites=true" TargetMode="External"/><Relationship Id="rId1636" Type="http://schemas.openxmlformats.org/officeDocument/2006/relationships/hyperlink" Target="http://www.phosphosite.org/proteinAction.do?id=23252&amp;showAllSites=true" TargetMode="External"/><Relationship Id="rId200" Type="http://schemas.openxmlformats.org/officeDocument/2006/relationships/hyperlink" Target="http://www.cellsignal.com/products/9099.html" TargetMode="External"/><Relationship Id="rId438" Type="http://schemas.openxmlformats.org/officeDocument/2006/relationships/hyperlink" Target="http://www.cellsignal.com/products/2718.html" TargetMode="External"/><Relationship Id="rId645" Type="http://schemas.openxmlformats.org/officeDocument/2006/relationships/hyperlink" Target="http://www.cellsignal.com/products/2592.html" TargetMode="External"/><Relationship Id="rId852" Type="http://schemas.openxmlformats.org/officeDocument/2006/relationships/hyperlink" Target="http://www.phosphosite.org/proteinAction.do?id=12602&amp;showAllSites=true" TargetMode="External"/><Relationship Id="rId1068" Type="http://schemas.openxmlformats.org/officeDocument/2006/relationships/hyperlink" Target="http://www.phosphosite.org/proteinAction.do?id=9550&amp;showAllSites=true" TargetMode="External"/><Relationship Id="rId1275" Type="http://schemas.openxmlformats.org/officeDocument/2006/relationships/hyperlink" Target="http://www.cellsignal.com/products/3542.html" TargetMode="External"/><Relationship Id="rId1482" Type="http://schemas.openxmlformats.org/officeDocument/2006/relationships/hyperlink" Target="http://www.phosphosite.org/proteinAction.do?id=4345&amp;showAllSites=true" TargetMode="External"/><Relationship Id="rId1703" Type="http://schemas.openxmlformats.org/officeDocument/2006/relationships/hyperlink" Target="http://www.phosphosite.org/proteinAction.do?id=5145077&amp;showAllSites=true" TargetMode="External"/><Relationship Id="rId284" Type="http://schemas.openxmlformats.org/officeDocument/2006/relationships/hyperlink" Target="http://www.phosphosite.org/proteinAction.do?id=2788&amp;showAllSites=true" TargetMode="External"/><Relationship Id="rId491" Type="http://schemas.openxmlformats.org/officeDocument/2006/relationships/hyperlink" Target="http://www.cellsignal.com/products/9072.html" TargetMode="External"/><Relationship Id="rId505" Type="http://schemas.openxmlformats.org/officeDocument/2006/relationships/hyperlink" Target="http://www.cellsignal.com/products/8135.html" TargetMode="External"/><Relationship Id="rId712" Type="http://schemas.openxmlformats.org/officeDocument/2006/relationships/hyperlink" Target="http://www.phosphosite.org/proteinAction.do?id=5143208&amp;showAllSites=true" TargetMode="External"/><Relationship Id="rId1135" Type="http://schemas.openxmlformats.org/officeDocument/2006/relationships/hyperlink" Target="http://www.cellsignal.com/products/3205.html" TargetMode="External"/><Relationship Id="rId1342" Type="http://schemas.openxmlformats.org/officeDocument/2006/relationships/hyperlink" Target="http://www.phosphosite.org/proteinAction.do?id=8575&amp;showAllSites=true" TargetMode="External"/><Relationship Id="rId79" Type="http://schemas.openxmlformats.org/officeDocument/2006/relationships/hyperlink" Target="http://www.phosphosite.org/proteinAction.do?id=4810&amp;showAllSites=true" TargetMode="External"/><Relationship Id="rId144" Type="http://schemas.openxmlformats.org/officeDocument/2006/relationships/hyperlink" Target="http://www.phosphosite.org/proteinAction.do?id=1161&amp;showAllSites=true" TargetMode="External"/><Relationship Id="rId589" Type="http://schemas.openxmlformats.org/officeDocument/2006/relationships/hyperlink" Target="http://www.phosphosite.org/proteinAction.do?id=1878&amp;showAllSites=true" TargetMode="External"/><Relationship Id="rId796" Type="http://schemas.openxmlformats.org/officeDocument/2006/relationships/hyperlink" Target="http://www.phosphosite.org/proteinAction.do?id=8692&amp;showAllSites=true" TargetMode="External"/><Relationship Id="rId1202" Type="http://schemas.openxmlformats.org/officeDocument/2006/relationships/hyperlink" Target="http://www.cellsignal.com/products/12353.html" TargetMode="External"/><Relationship Id="rId1647" Type="http://schemas.openxmlformats.org/officeDocument/2006/relationships/hyperlink" Target="http://www.phosphosite.org/proteinAction.do?id=13422201&amp;showAllSites=true" TargetMode="External"/><Relationship Id="rId351" Type="http://schemas.openxmlformats.org/officeDocument/2006/relationships/hyperlink" Target="http://www.phosphosite.org/proteinAction.do?id=14622&amp;showAllSites=true" TargetMode="External"/><Relationship Id="rId449" Type="http://schemas.openxmlformats.org/officeDocument/2006/relationships/hyperlink" Target="http://www.cellsignal.com/products/8135.html" TargetMode="External"/><Relationship Id="rId656" Type="http://schemas.openxmlformats.org/officeDocument/2006/relationships/hyperlink" Target="http://www.phosphosite.org/proteinAction.do?id=1878&amp;showAllSites=true" TargetMode="External"/><Relationship Id="rId863" Type="http://schemas.openxmlformats.org/officeDocument/2006/relationships/hyperlink" Target="http://www.phosphosite.org/proteinAction.do?id=9538&amp;showAllSites=true" TargetMode="External"/><Relationship Id="rId1079" Type="http://schemas.openxmlformats.org/officeDocument/2006/relationships/hyperlink" Target="http://www.cellsignal.com/products/9828.html" TargetMode="External"/><Relationship Id="rId1286" Type="http://schemas.openxmlformats.org/officeDocument/2006/relationships/hyperlink" Target="http://www.phosphosite.org/proteinAction.do?id=1394&amp;showAllSites=true" TargetMode="External"/><Relationship Id="rId1493" Type="http://schemas.openxmlformats.org/officeDocument/2006/relationships/hyperlink" Target="http://www.phosphosite.org/proteinAction.do?id=3502&amp;showAllSites=true" TargetMode="External"/><Relationship Id="rId1507" Type="http://schemas.openxmlformats.org/officeDocument/2006/relationships/hyperlink" Target="http://www.phosphosite.org/proteinAction.do?id=2760&amp;showAllSites=true" TargetMode="External"/><Relationship Id="rId1714" Type="http://schemas.openxmlformats.org/officeDocument/2006/relationships/hyperlink" Target="http://www.phosphosite.org/proteinAction.do?id=5251804&amp;showAllSites=true" TargetMode="External"/><Relationship Id="rId211" Type="http://schemas.openxmlformats.org/officeDocument/2006/relationships/hyperlink" Target="http://www.phosphosite.org/proteinAction.do?id=25230&amp;showAllSites=true" TargetMode="External"/><Relationship Id="rId295" Type="http://schemas.openxmlformats.org/officeDocument/2006/relationships/hyperlink" Target="http://www.cellsignal.com/products/3971.html" TargetMode="External"/><Relationship Id="rId309" Type="http://schemas.openxmlformats.org/officeDocument/2006/relationships/hyperlink" Target="http://www.cellsignal.com/products/5666.html" TargetMode="External"/><Relationship Id="rId516" Type="http://schemas.openxmlformats.org/officeDocument/2006/relationships/hyperlink" Target="http://www.phosphosite.org/proteinAction.do?id=8393&amp;showAllSites=true" TargetMode="External"/><Relationship Id="rId1146" Type="http://schemas.openxmlformats.org/officeDocument/2006/relationships/hyperlink" Target="http://www.phosphosite.org/proteinAction.do?id=1784&amp;showAllSites=true" TargetMode="External"/><Relationship Id="rId723" Type="http://schemas.openxmlformats.org/officeDocument/2006/relationships/hyperlink" Target="http://www.cellsignal.com/products/7777.html" TargetMode="External"/><Relationship Id="rId930" Type="http://schemas.openxmlformats.org/officeDocument/2006/relationships/hyperlink" Target="http://www.phosphosite.org/proteinAction.do?id=10631&amp;showAllSites=true" TargetMode="External"/><Relationship Id="rId1006" Type="http://schemas.openxmlformats.org/officeDocument/2006/relationships/hyperlink" Target="http://www.phosphosite.org/proteinAction.do?id=15789&amp;showAllSites=true" TargetMode="External"/><Relationship Id="rId1353" Type="http://schemas.openxmlformats.org/officeDocument/2006/relationships/hyperlink" Target="http://www.phosphosite.org/proteinAction.do?id=9530&amp;showAllSites=true" TargetMode="External"/><Relationship Id="rId1560" Type="http://schemas.openxmlformats.org/officeDocument/2006/relationships/hyperlink" Target="http://www.phosphosite.org/proteinAction.do?id=11649&amp;showAllSites=true" TargetMode="External"/><Relationship Id="rId1658" Type="http://schemas.openxmlformats.org/officeDocument/2006/relationships/hyperlink" Target="http://www.cellsignal.com/products/5695.html" TargetMode="External"/><Relationship Id="rId155" Type="http://schemas.openxmlformats.org/officeDocument/2006/relationships/hyperlink" Target="http://www.cellsignal.com/products/3240.html" TargetMode="External"/><Relationship Id="rId362" Type="http://schemas.openxmlformats.org/officeDocument/2006/relationships/hyperlink" Target="http://www.cellsignal.com/products/5696.html" TargetMode="External"/><Relationship Id="rId1213" Type="http://schemas.openxmlformats.org/officeDocument/2006/relationships/hyperlink" Target="http://www.phosphosite.org/proteinAction.do?id=1433&amp;showAllSites=true" TargetMode="External"/><Relationship Id="rId1297" Type="http://schemas.openxmlformats.org/officeDocument/2006/relationships/hyperlink" Target="http://www.phosphosite.org/proteinAction.do?id=5140324&amp;showAllSites=true" TargetMode="External"/><Relationship Id="rId1420" Type="http://schemas.openxmlformats.org/officeDocument/2006/relationships/hyperlink" Target="http://www.phosphosite.org/proteinAction.do?id=18995001&amp;showAllSites=true" TargetMode="External"/><Relationship Id="rId1518" Type="http://schemas.openxmlformats.org/officeDocument/2006/relationships/hyperlink" Target="http://www.phosphosite.org/proteinAction.do?id=2613075&amp;showAllSites=true" TargetMode="External"/><Relationship Id="rId222" Type="http://schemas.openxmlformats.org/officeDocument/2006/relationships/hyperlink" Target="http://www.phosphosite.org/proteinAction.do?id=3340&amp;showAllSites=true" TargetMode="External"/><Relationship Id="rId667" Type="http://schemas.openxmlformats.org/officeDocument/2006/relationships/hyperlink" Target="http://www.cellsignal.com/products/9083.html" TargetMode="External"/><Relationship Id="rId874" Type="http://schemas.openxmlformats.org/officeDocument/2006/relationships/hyperlink" Target="http://www.phosphosite.org/proteinAction.do?id=7967&amp;showAllSites=true" TargetMode="External"/><Relationship Id="rId1725" Type="http://schemas.openxmlformats.org/officeDocument/2006/relationships/hyperlink" Target="http://www.cellsignal.com/products/2175.html" TargetMode="External"/><Relationship Id="rId17" Type="http://schemas.openxmlformats.org/officeDocument/2006/relationships/hyperlink" Target="http://www.phosphosite.org/proteinAction.do?id=1112&amp;showAllSites=true" TargetMode="External"/><Relationship Id="rId527" Type="http://schemas.openxmlformats.org/officeDocument/2006/relationships/hyperlink" Target="http://www.cellsignal.com/products/2574.html" TargetMode="External"/><Relationship Id="rId734" Type="http://schemas.openxmlformats.org/officeDocument/2006/relationships/hyperlink" Target="http://www.phosphosite.org/proteinAction.do?id=9556&amp;showAllSites=true" TargetMode="External"/><Relationship Id="rId941" Type="http://schemas.openxmlformats.org/officeDocument/2006/relationships/hyperlink" Target="http://www.phosphosite.org/proteinAction.do?id=6710&amp;showAllSites=true" TargetMode="External"/><Relationship Id="rId1157" Type="http://schemas.openxmlformats.org/officeDocument/2006/relationships/hyperlink" Target="http://www.phosphosite.org/proteinAction.do?id=10597&amp;showAllSites=true" TargetMode="External"/><Relationship Id="rId1364" Type="http://schemas.openxmlformats.org/officeDocument/2006/relationships/hyperlink" Target="http://www.cellsignal.com/products/5307.html" TargetMode="External"/><Relationship Id="rId1571" Type="http://schemas.openxmlformats.org/officeDocument/2006/relationships/hyperlink" Target="http://www.phosphosite.org/proteinAction.do?id=11394&amp;showAllSites=true" TargetMode="External"/><Relationship Id="rId70" Type="http://schemas.openxmlformats.org/officeDocument/2006/relationships/hyperlink" Target="http://www.phosphosite.org/proteinAction.do?id=4802&amp;showAllSites=true" TargetMode="External"/><Relationship Id="rId166" Type="http://schemas.openxmlformats.org/officeDocument/2006/relationships/hyperlink" Target="http://www.phosphosite.org/proteinAction.do?id=7506&amp;showAllSites=true" TargetMode="External"/><Relationship Id="rId373" Type="http://schemas.openxmlformats.org/officeDocument/2006/relationships/hyperlink" Target="http://www.phosphosite.org/proteinAction.do?id=8840&amp;showAllSites=true" TargetMode="External"/><Relationship Id="rId580" Type="http://schemas.openxmlformats.org/officeDocument/2006/relationships/hyperlink" Target="http://www.phosphosite.org/proteinAction.do?id=1878&amp;showAllSites=true" TargetMode="External"/><Relationship Id="rId801" Type="http://schemas.openxmlformats.org/officeDocument/2006/relationships/hyperlink" Target="http://www.phosphosite.org/proteinAction.do?id=2399&amp;showAllSites=true" TargetMode="External"/><Relationship Id="rId1017" Type="http://schemas.openxmlformats.org/officeDocument/2006/relationships/hyperlink" Target="http://www.phosphosite.org/proteinAction.do?id=4240&amp;showAllSites=true" TargetMode="External"/><Relationship Id="rId1224" Type="http://schemas.openxmlformats.org/officeDocument/2006/relationships/hyperlink" Target="http://www.phosphosite.org/proteinAction.do?id=979&amp;showAllSites=true" TargetMode="External"/><Relationship Id="rId1431" Type="http://schemas.openxmlformats.org/officeDocument/2006/relationships/hyperlink" Target="http://www.phosphosite.org/proteinAction.do?id=15732&amp;showAllSites=true" TargetMode="External"/><Relationship Id="rId1669" Type="http://schemas.openxmlformats.org/officeDocument/2006/relationships/hyperlink" Target="http://www.phosphosite.org/proteinAction.do?id=9193&amp;showAllSites=true" TargetMode="External"/><Relationship Id="rId1" Type="http://schemas.openxmlformats.org/officeDocument/2006/relationships/hyperlink" Target="http://www.phosphosite.org/proteinAction.do?id=4852966&amp;showAllSites=true" TargetMode="External"/><Relationship Id="rId233" Type="http://schemas.openxmlformats.org/officeDocument/2006/relationships/hyperlink" Target="http://www.phosphosite.org/proteinAction.do?id=7651&amp;showAllSites=true" TargetMode="External"/><Relationship Id="rId440" Type="http://schemas.openxmlformats.org/officeDocument/2006/relationships/hyperlink" Target="http://www.cellsignal.com/products/2718.html" TargetMode="External"/><Relationship Id="rId678" Type="http://schemas.openxmlformats.org/officeDocument/2006/relationships/hyperlink" Target="http://www.phosphosite.org/proteinAction.do?id=8391&amp;showAllSites=true" TargetMode="External"/><Relationship Id="rId885" Type="http://schemas.openxmlformats.org/officeDocument/2006/relationships/hyperlink" Target="http://www.cellsignal.com/products/3180.html" TargetMode="External"/><Relationship Id="rId1070" Type="http://schemas.openxmlformats.org/officeDocument/2006/relationships/hyperlink" Target="http://www.phosphosite.org/proteinAction.do?id=9550&amp;showAllSites=true" TargetMode="External"/><Relationship Id="rId1529" Type="http://schemas.openxmlformats.org/officeDocument/2006/relationships/hyperlink" Target="http://www.phosphosite.org/proteinAction.do?id=10980&amp;showAllSites=true" TargetMode="External"/><Relationship Id="rId1736" Type="http://schemas.openxmlformats.org/officeDocument/2006/relationships/hyperlink" Target="http://www.phosphosite.org/proteinAction.do?id=11375&amp;showAllSites=true" TargetMode="External"/><Relationship Id="rId28" Type="http://schemas.openxmlformats.org/officeDocument/2006/relationships/hyperlink" Target="http://www.phosphosite.org/proteinAction.do?id=9697&amp;showAllSites=true" TargetMode="External"/><Relationship Id="rId300" Type="http://schemas.openxmlformats.org/officeDocument/2006/relationships/hyperlink" Target="http://www.cellsignal.com/products/5059.html" TargetMode="External"/><Relationship Id="rId538" Type="http://schemas.openxmlformats.org/officeDocument/2006/relationships/hyperlink" Target="http://www.cellsignal.com/products/12364.html" TargetMode="External"/><Relationship Id="rId745" Type="http://schemas.openxmlformats.org/officeDocument/2006/relationships/hyperlink" Target="http://www.cellsignal.com/products/9437.html" TargetMode="External"/><Relationship Id="rId952" Type="http://schemas.openxmlformats.org/officeDocument/2006/relationships/hyperlink" Target="http://www.phosphosite.org/proteinAction.do?id=4323&amp;showAllSites=true" TargetMode="External"/><Relationship Id="rId1168" Type="http://schemas.openxmlformats.org/officeDocument/2006/relationships/hyperlink" Target="http://www.phosphosite.org/proteinAction.do?id=4427&amp;showAllSites=true" TargetMode="External"/><Relationship Id="rId1375" Type="http://schemas.openxmlformats.org/officeDocument/2006/relationships/hyperlink" Target="http://www.phosphosite.org/proteinAction.do?id=2143&amp;showAllSites=true" TargetMode="External"/><Relationship Id="rId1582" Type="http://schemas.openxmlformats.org/officeDocument/2006/relationships/hyperlink" Target="http://www.phosphosite.org/proteinAction.do?id=3838400&amp;showAllSites=true" TargetMode="External"/><Relationship Id="rId81" Type="http://schemas.openxmlformats.org/officeDocument/2006/relationships/hyperlink" Target="http://www.phosphosite.org/proteinAction.do?id=3332&amp;showAllSites=true" TargetMode="External"/><Relationship Id="rId177" Type="http://schemas.openxmlformats.org/officeDocument/2006/relationships/hyperlink" Target="http://www.phosphosite.org/proteinAction.do?id=4519&amp;showAllSites=true" TargetMode="External"/><Relationship Id="rId384" Type="http://schemas.openxmlformats.org/officeDocument/2006/relationships/hyperlink" Target="http://www.phosphosite.org/proteinAction.do?id=4250&amp;showAllSites=true" TargetMode="External"/><Relationship Id="rId591" Type="http://schemas.openxmlformats.org/officeDocument/2006/relationships/hyperlink" Target="http://www.cellsignal.com/products/2591.html" TargetMode="External"/><Relationship Id="rId605" Type="http://schemas.openxmlformats.org/officeDocument/2006/relationships/hyperlink" Target="http://www.cellsignal.com/products/2592.html" TargetMode="External"/><Relationship Id="rId812" Type="http://schemas.openxmlformats.org/officeDocument/2006/relationships/hyperlink" Target="http://www.phosphosite.org/proteinAction.do?id=9173&amp;showAllSites=true" TargetMode="External"/><Relationship Id="rId1028" Type="http://schemas.openxmlformats.org/officeDocument/2006/relationships/hyperlink" Target="http://www.cellsignal.com/products/8528.html" TargetMode="External"/><Relationship Id="rId1235" Type="http://schemas.openxmlformats.org/officeDocument/2006/relationships/hyperlink" Target="http://www.cellsignal.com/products/2940.html" TargetMode="External"/><Relationship Id="rId1442" Type="http://schemas.openxmlformats.org/officeDocument/2006/relationships/hyperlink" Target="http://www.cellsignal.com/products/11867.html" TargetMode="External"/><Relationship Id="rId244" Type="http://schemas.openxmlformats.org/officeDocument/2006/relationships/hyperlink" Target="http://www.phosphosite.org/proteinAction.do?id=4804&amp;showAllSites=true" TargetMode="External"/><Relationship Id="rId689" Type="http://schemas.openxmlformats.org/officeDocument/2006/relationships/hyperlink" Target="http://www.cellsignal.com/products/12364.html" TargetMode="External"/><Relationship Id="rId896" Type="http://schemas.openxmlformats.org/officeDocument/2006/relationships/hyperlink" Target="http://www.phosphosite.org/proteinAction.do?id=19749&amp;showAllSites=true" TargetMode="External"/><Relationship Id="rId1081" Type="http://schemas.openxmlformats.org/officeDocument/2006/relationships/hyperlink" Target="http://www.cellsignal.com/products/9828.html" TargetMode="External"/><Relationship Id="rId1302" Type="http://schemas.openxmlformats.org/officeDocument/2006/relationships/hyperlink" Target="http://www.phosphosite.org/proteinAction.do?id=8916&amp;showAllSites=true" TargetMode="External"/><Relationship Id="rId1747" Type="http://schemas.openxmlformats.org/officeDocument/2006/relationships/hyperlink" Target="http://www.phosphosite.org/proteinAction.do?id=23748&amp;showAllSites=true" TargetMode="External"/><Relationship Id="rId39" Type="http://schemas.openxmlformats.org/officeDocument/2006/relationships/hyperlink" Target="http://www.cellsignal.com/products/5522.html" TargetMode="External"/><Relationship Id="rId451" Type="http://schemas.openxmlformats.org/officeDocument/2006/relationships/hyperlink" Target="http://www.cellsignal.com/products/12364.html" TargetMode="External"/><Relationship Id="rId549" Type="http://schemas.openxmlformats.org/officeDocument/2006/relationships/hyperlink" Target="http://www.cellsignal.com/products/2592.html" TargetMode="External"/><Relationship Id="rId756" Type="http://schemas.openxmlformats.org/officeDocument/2006/relationships/hyperlink" Target="http://www.phosphosite.org/proteinAction.do?id=5132&amp;showAllSites=true" TargetMode="External"/><Relationship Id="rId1179" Type="http://schemas.openxmlformats.org/officeDocument/2006/relationships/hyperlink" Target="http://www.phosphosite.org/proteinAction.do?id=23850&amp;showAllSites=true" TargetMode="External"/><Relationship Id="rId1386" Type="http://schemas.openxmlformats.org/officeDocument/2006/relationships/hyperlink" Target="http://www.cellsignal.com/products/5307.html" TargetMode="External"/><Relationship Id="rId1593" Type="http://schemas.openxmlformats.org/officeDocument/2006/relationships/hyperlink" Target="http://www.phosphosite.org/proteinAction.do?id=11177&amp;showAllSites=true" TargetMode="External"/><Relationship Id="rId1607" Type="http://schemas.openxmlformats.org/officeDocument/2006/relationships/hyperlink" Target="http://www.cellsignal.com/products/3586.html" TargetMode="External"/><Relationship Id="rId104" Type="http://schemas.openxmlformats.org/officeDocument/2006/relationships/hyperlink" Target="http://www.phosphosite.org/proteinAction.do?id=1482&amp;showAllSites=true" TargetMode="External"/><Relationship Id="rId188" Type="http://schemas.openxmlformats.org/officeDocument/2006/relationships/hyperlink" Target="http://www.cellsignal.com/products/9099.html" TargetMode="External"/><Relationship Id="rId311" Type="http://schemas.openxmlformats.org/officeDocument/2006/relationships/hyperlink" Target="http://www.cellsignal.com/products/5666.html" TargetMode="External"/><Relationship Id="rId395" Type="http://schemas.openxmlformats.org/officeDocument/2006/relationships/hyperlink" Target="http://www.cellsignal.com/products/3593.html" TargetMode="External"/><Relationship Id="rId409" Type="http://schemas.openxmlformats.org/officeDocument/2006/relationships/hyperlink" Target="http://www.cellsignal.com/products/4869.html" TargetMode="External"/><Relationship Id="rId963" Type="http://schemas.openxmlformats.org/officeDocument/2006/relationships/hyperlink" Target="http://www.cellsignal.com/products/2482.html" TargetMode="External"/><Relationship Id="rId1039" Type="http://schemas.openxmlformats.org/officeDocument/2006/relationships/hyperlink" Target="http://www.cellsignal.com/products/4567.html" TargetMode="External"/><Relationship Id="rId1246" Type="http://schemas.openxmlformats.org/officeDocument/2006/relationships/hyperlink" Target="http://www.cellsignal.com/products/8443.html" TargetMode="External"/><Relationship Id="rId92" Type="http://schemas.openxmlformats.org/officeDocument/2006/relationships/hyperlink" Target="http://www.phosphosite.org/proteinAction.do?id=4270&amp;showAllSites=true" TargetMode="External"/><Relationship Id="rId616" Type="http://schemas.openxmlformats.org/officeDocument/2006/relationships/hyperlink" Target="http://www.cellsignal.com/products/2594.html" TargetMode="External"/><Relationship Id="rId823" Type="http://schemas.openxmlformats.org/officeDocument/2006/relationships/hyperlink" Target="http://www.phosphosite.org/proteinAction.do?id=2812809&amp;showAllSites=true" TargetMode="External"/><Relationship Id="rId1453" Type="http://schemas.openxmlformats.org/officeDocument/2006/relationships/hyperlink" Target="http://www.phosphosite.org/proteinAction.do?id=3510501&amp;showAllSites=true" TargetMode="External"/><Relationship Id="rId1660" Type="http://schemas.openxmlformats.org/officeDocument/2006/relationships/hyperlink" Target="http://www.phosphosite.org/proteinAction.do?id=9602&amp;showAllSites=true" TargetMode="External"/><Relationship Id="rId1758" Type="http://schemas.openxmlformats.org/officeDocument/2006/relationships/hyperlink" Target="http://www.phosphosite.org/proteinAction.do?id=1657&amp;showAllSites=true" TargetMode="External"/><Relationship Id="rId255" Type="http://schemas.openxmlformats.org/officeDocument/2006/relationships/hyperlink" Target="http://www.phosphosite.org/proteinAction.do?id=11929&amp;showAllSites=true" TargetMode="External"/><Relationship Id="rId462" Type="http://schemas.openxmlformats.org/officeDocument/2006/relationships/hyperlink" Target="http://www.phosphosite.org/proteinAction.do?id=8395&amp;showAllSites=true" TargetMode="External"/><Relationship Id="rId1092" Type="http://schemas.openxmlformats.org/officeDocument/2006/relationships/hyperlink" Target="http://www.phosphosite.org/proteinAction.do?id=10223&amp;showAllSites=true" TargetMode="External"/><Relationship Id="rId1106" Type="http://schemas.openxmlformats.org/officeDocument/2006/relationships/hyperlink" Target="http://www.phosphosite.org/proteinAction.do?id=10900&amp;showAllSites=true" TargetMode="External"/><Relationship Id="rId1313" Type="http://schemas.openxmlformats.org/officeDocument/2006/relationships/hyperlink" Target="http://www.phosphosite.org/proteinAction.do?id=9847&amp;showAllSites=true" TargetMode="External"/><Relationship Id="rId1397" Type="http://schemas.openxmlformats.org/officeDocument/2006/relationships/hyperlink" Target="http://www.phosphosite.org/proteinAction.do?id=9368&amp;showAllSites=true" TargetMode="External"/><Relationship Id="rId1520" Type="http://schemas.openxmlformats.org/officeDocument/2006/relationships/hyperlink" Target="http://www.ncbi.nlm.nih.gov/entrez/query.fcgi?db=protein&amp;cmd=search&amp;term=NP_778249" TargetMode="External"/><Relationship Id="rId115" Type="http://schemas.openxmlformats.org/officeDocument/2006/relationships/hyperlink" Target="http://www.cellsignal.com/products/3318.html" TargetMode="External"/><Relationship Id="rId322" Type="http://schemas.openxmlformats.org/officeDocument/2006/relationships/hyperlink" Target="http://www.phosphosite.org/proteinAction.do?id=9696&amp;showAllSites=true" TargetMode="External"/><Relationship Id="rId767" Type="http://schemas.openxmlformats.org/officeDocument/2006/relationships/hyperlink" Target="http://www.phosphosite.org/proteinAction.do?id=13293&amp;showAllSites=true" TargetMode="External"/><Relationship Id="rId974" Type="http://schemas.openxmlformats.org/officeDocument/2006/relationships/hyperlink" Target="http://www.phosphosite.org/proteinAction.do?id=9893&amp;showAllSites=true" TargetMode="External"/><Relationship Id="rId1618" Type="http://schemas.openxmlformats.org/officeDocument/2006/relationships/hyperlink" Target="http://www.phosphosite.org/proteinAction.do?id=1537&amp;showAllSites=true" TargetMode="External"/><Relationship Id="rId199" Type="http://schemas.openxmlformats.org/officeDocument/2006/relationships/hyperlink" Target="http://www.phosphosite.org/proteinAction.do?id=25230&amp;showAllSites=true" TargetMode="External"/><Relationship Id="rId627" Type="http://schemas.openxmlformats.org/officeDocument/2006/relationships/hyperlink" Target="http://www.cellsignal.com/products/2592.html" TargetMode="External"/><Relationship Id="rId834" Type="http://schemas.openxmlformats.org/officeDocument/2006/relationships/hyperlink" Target="http://www.phosphosite.org/proteinAction.do?id=10555&amp;showAllSites=true" TargetMode="External"/><Relationship Id="rId1257" Type="http://schemas.openxmlformats.org/officeDocument/2006/relationships/hyperlink" Target="http://www.phosphosite.org/proteinAction.do?id=8886&amp;showAllSites=true" TargetMode="External"/><Relationship Id="rId1464" Type="http://schemas.openxmlformats.org/officeDocument/2006/relationships/hyperlink" Target="http://www.cellsignal.com/products/4866.html" TargetMode="External"/><Relationship Id="rId1671" Type="http://schemas.openxmlformats.org/officeDocument/2006/relationships/hyperlink" Target="http://www.phosphosite.org/proteinAction.do?id=3641390&amp;showAllSites=true" TargetMode="External"/><Relationship Id="rId266" Type="http://schemas.openxmlformats.org/officeDocument/2006/relationships/hyperlink" Target="http://www.phosphosite.org/proteinAction.do?id=7707705&amp;showAllSites=true" TargetMode="External"/><Relationship Id="rId473" Type="http://schemas.openxmlformats.org/officeDocument/2006/relationships/hyperlink" Target="http://www.cellsignal.com/products/9083.html" TargetMode="External"/><Relationship Id="rId680" Type="http://schemas.openxmlformats.org/officeDocument/2006/relationships/hyperlink" Target="http://www.phosphosite.org/proteinAction.do?id=8391&amp;showAllSites=true" TargetMode="External"/><Relationship Id="rId901" Type="http://schemas.openxmlformats.org/officeDocument/2006/relationships/hyperlink" Target="http://www.cellsignal.com/products/5174.html" TargetMode="External"/><Relationship Id="rId1117" Type="http://schemas.openxmlformats.org/officeDocument/2006/relationships/hyperlink" Target="http://www.cellsignal.com/products/11908.html" TargetMode="External"/><Relationship Id="rId1324" Type="http://schemas.openxmlformats.org/officeDocument/2006/relationships/hyperlink" Target="http://www.cellsignal.com/products/4929.html" TargetMode="External"/><Relationship Id="rId1531" Type="http://schemas.openxmlformats.org/officeDocument/2006/relationships/hyperlink" Target="http://www.phosphosite.org/proteinAction.do?id=5355605&amp;showAllSites=true" TargetMode="External"/><Relationship Id="rId1769" Type="http://schemas.openxmlformats.org/officeDocument/2006/relationships/hyperlink" Target="http://www.phosphosite.org/proteinAction.do?id=11319&amp;showAllSites=true" TargetMode="External"/><Relationship Id="rId30" Type="http://schemas.openxmlformats.org/officeDocument/2006/relationships/hyperlink" Target="http://www.phosphosite.org/proteinAction.do?id=9697&amp;showAllSites=true" TargetMode="External"/><Relationship Id="rId126" Type="http://schemas.openxmlformats.org/officeDocument/2006/relationships/hyperlink" Target="http://www.phosphosite.org/proteinAction.do?id=18095&amp;showAllSites=true" TargetMode="External"/><Relationship Id="rId333" Type="http://schemas.openxmlformats.org/officeDocument/2006/relationships/hyperlink" Target="http://www.phosphosite.org/proteinAction.do?id=22280&amp;showAllSites=true" TargetMode="External"/><Relationship Id="rId540" Type="http://schemas.openxmlformats.org/officeDocument/2006/relationships/hyperlink" Target="http://www.phosphosite.org/proteinAction.do?id=8393&amp;showAllSites=true" TargetMode="External"/><Relationship Id="rId778" Type="http://schemas.openxmlformats.org/officeDocument/2006/relationships/hyperlink" Target="http://www.cellsignal.com/products/9087.html" TargetMode="External"/><Relationship Id="rId985" Type="http://schemas.openxmlformats.org/officeDocument/2006/relationships/hyperlink" Target="http://www.phosphosite.org/proteinAction.do?id=14297&amp;showAllSites=true" TargetMode="External"/><Relationship Id="rId1170" Type="http://schemas.openxmlformats.org/officeDocument/2006/relationships/hyperlink" Target="http://www.phosphosite.org/proteinAction.do?id=1686&amp;showAllSites=true" TargetMode="External"/><Relationship Id="rId1629" Type="http://schemas.openxmlformats.org/officeDocument/2006/relationships/hyperlink" Target="http://www.phosphosite.org/proteinAction.do?id=9207&amp;showAllSites=true" TargetMode="External"/><Relationship Id="rId638" Type="http://schemas.openxmlformats.org/officeDocument/2006/relationships/hyperlink" Target="http://www.phosphosite.org/proteinAction.do?id=1878&amp;showAllSites=true" TargetMode="External"/><Relationship Id="rId845" Type="http://schemas.openxmlformats.org/officeDocument/2006/relationships/hyperlink" Target="http://www.cellsignal.com/products/6224.html" TargetMode="External"/><Relationship Id="rId1030" Type="http://schemas.openxmlformats.org/officeDocument/2006/relationships/hyperlink" Target="http://www.phosphosite.org/proteinAction.do?id=9209&amp;showAllSites=true" TargetMode="External"/><Relationship Id="rId1268" Type="http://schemas.openxmlformats.org/officeDocument/2006/relationships/hyperlink" Target="http://www.phosphosite.org/proteinAction.do?id=1394&amp;showAllSites=true" TargetMode="External"/><Relationship Id="rId1475" Type="http://schemas.openxmlformats.org/officeDocument/2006/relationships/hyperlink" Target="http://www.phosphosite.org/proteinAction.do?id=9588&amp;showAllSites=true" TargetMode="External"/><Relationship Id="rId1682" Type="http://schemas.openxmlformats.org/officeDocument/2006/relationships/hyperlink" Target="http://www.phosphosite.org/proteinAction.do?id=25516004&amp;showAllSites=true" TargetMode="External"/><Relationship Id="rId277" Type="http://schemas.openxmlformats.org/officeDocument/2006/relationships/hyperlink" Target="http://www.cellsignal.com/products/9099.html" TargetMode="External"/><Relationship Id="rId400" Type="http://schemas.openxmlformats.org/officeDocument/2006/relationships/hyperlink" Target="http://www.phosphosite.org/proteinAction.do?id=4249&amp;showAllSites=true" TargetMode="External"/><Relationship Id="rId484" Type="http://schemas.openxmlformats.org/officeDocument/2006/relationships/hyperlink" Target="http://www.phosphosite.org/proteinAction.do?id=8395&amp;showAllSites=true" TargetMode="External"/><Relationship Id="rId705" Type="http://schemas.openxmlformats.org/officeDocument/2006/relationships/hyperlink" Target="http://www.cellsignal.com/products/8135.html" TargetMode="External"/><Relationship Id="rId1128" Type="http://schemas.openxmlformats.org/officeDocument/2006/relationships/hyperlink" Target="http://www.phosphosite.org/proteinAction.do?id=19739&amp;showAllSites=true" TargetMode="External"/><Relationship Id="rId1335" Type="http://schemas.openxmlformats.org/officeDocument/2006/relationships/hyperlink" Target="http://www.phosphosite.org/proteinAction.do?id=11730&amp;showAllSites=true" TargetMode="External"/><Relationship Id="rId1542" Type="http://schemas.openxmlformats.org/officeDocument/2006/relationships/hyperlink" Target="http://www.phosphosite.org/proteinAction.do?id=10166283&amp;showAllSites=true" TargetMode="External"/><Relationship Id="rId137" Type="http://schemas.openxmlformats.org/officeDocument/2006/relationships/hyperlink" Target="http://www.cellsignal.com/products/7389.html" TargetMode="External"/><Relationship Id="rId344" Type="http://schemas.openxmlformats.org/officeDocument/2006/relationships/hyperlink" Target="http://www.phosphosite.org/proteinAction.do?id=2070&amp;showAllSites=true" TargetMode="External"/><Relationship Id="rId691" Type="http://schemas.openxmlformats.org/officeDocument/2006/relationships/hyperlink" Target="http://www.cellsignal.com/products/12364.html" TargetMode="External"/><Relationship Id="rId789" Type="http://schemas.openxmlformats.org/officeDocument/2006/relationships/hyperlink" Target="http://www.cellsignal.com/products/4265.html" TargetMode="External"/><Relationship Id="rId912" Type="http://schemas.openxmlformats.org/officeDocument/2006/relationships/hyperlink" Target="http://www.phosphosite.org/proteinAction.do?id=4368&amp;showAllSites=true" TargetMode="External"/><Relationship Id="rId996" Type="http://schemas.openxmlformats.org/officeDocument/2006/relationships/hyperlink" Target="http://www.cellsignal.com/products/6571.html" TargetMode="External"/><Relationship Id="rId41" Type="http://schemas.openxmlformats.org/officeDocument/2006/relationships/hyperlink" Target="http://www.cellsignal.com/products/5521.html" TargetMode="External"/><Relationship Id="rId551" Type="http://schemas.openxmlformats.org/officeDocument/2006/relationships/hyperlink" Target="http://www.phosphosite.org/proteinAction.do?id=1878&amp;showAllSites=true" TargetMode="External"/><Relationship Id="rId649" Type="http://schemas.openxmlformats.org/officeDocument/2006/relationships/hyperlink" Target="http://www.cellsignal.com/products/8804.html" TargetMode="External"/><Relationship Id="rId856" Type="http://schemas.openxmlformats.org/officeDocument/2006/relationships/hyperlink" Target="http://www.phosphosite.org/proteinAction.do?id=1284654&amp;showAllSites=true" TargetMode="External"/><Relationship Id="rId1181" Type="http://schemas.openxmlformats.org/officeDocument/2006/relationships/hyperlink" Target="http://www.phosphosite.org/proteinAction.do?id=23850&amp;showAllSites=true" TargetMode="External"/><Relationship Id="rId1279" Type="http://schemas.openxmlformats.org/officeDocument/2006/relationships/hyperlink" Target="http://www.cellsignal.com/products/3542.html" TargetMode="External"/><Relationship Id="rId1402" Type="http://schemas.openxmlformats.org/officeDocument/2006/relationships/hyperlink" Target="http://www.phosphosite.org/proteinAction.do?id=6584&amp;showAllSites=true" TargetMode="External"/><Relationship Id="rId1486" Type="http://schemas.openxmlformats.org/officeDocument/2006/relationships/hyperlink" Target="http://www.phosphosite.org/proteinAction.do?id=2383082&amp;showAllSites=true" TargetMode="External"/><Relationship Id="rId1707" Type="http://schemas.openxmlformats.org/officeDocument/2006/relationships/hyperlink" Target="http://www.cellsignal.com/products/4620.html" TargetMode="External"/><Relationship Id="rId190" Type="http://schemas.openxmlformats.org/officeDocument/2006/relationships/hyperlink" Target="http://www.cellsignal.com/products/9099.html" TargetMode="External"/><Relationship Id="rId204" Type="http://schemas.openxmlformats.org/officeDocument/2006/relationships/hyperlink" Target="http://www.cellsignal.com/products/9099.html" TargetMode="External"/><Relationship Id="rId288" Type="http://schemas.openxmlformats.org/officeDocument/2006/relationships/hyperlink" Target="http://www.cellsignal.com/products/9099.html" TargetMode="External"/><Relationship Id="rId411" Type="http://schemas.openxmlformats.org/officeDocument/2006/relationships/hyperlink" Target="http://www.cellsignal.com/products/4869.html" TargetMode="External"/><Relationship Id="rId509" Type="http://schemas.openxmlformats.org/officeDocument/2006/relationships/hyperlink" Target="http://www.cellsignal.com/products/9072.html" TargetMode="External"/><Relationship Id="rId1041" Type="http://schemas.openxmlformats.org/officeDocument/2006/relationships/hyperlink" Target="http://www.cellsignal.com/products/4567.html" TargetMode="External"/><Relationship Id="rId1139" Type="http://schemas.openxmlformats.org/officeDocument/2006/relationships/hyperlink" Target="http://www.cellsignal.com/products/2784.html" TargetMode="External"/><Relationship Id="rId1346" Type="http://schemas.openxmlformats.org/officeDocument/2006/relationships/hyperlink" Target="http://www.phosphosite.org/proteinAction.do?id=8575&amp;showAllSites=true" TargetMode="External"/><Relationship Id="rId1693" Type="http://schemas.openxmlformats.org/officeDocument/2006/relationships/hyperlink" Target="http://www.phosphosite.org/proteinAction.do?id=9394200&amp;showAllSites=true" TargetMode="External"/><Relationship Id="rId495" Type="http://schemas.openxmlformats.org/officeDocument/2006/relationships/hyperlink" Target="http://www.phosphosite.org/proteinAction.do?id=8393&amp;showAllSites=true" TargetMode="External"/><Relationship Id="rId716" Type="http://schemas.openxmlformats.org/officeDocument/2006/relationships/hyperlink" Target="http://www.phosphosite.org/proteinAction.do?id=5143208&amp;showAllSites=true" TargetMode="External"/><Relationship Id="rId923" Type="http://schemas.openxmlformats.org/officeDocument/2006/relationships/hyperlink" Target="http://www.cellsignal.com/products/5174.html" TargetMode="External"/><Relationship Id="rId1553" Type="http://schemas.openxmlformats.org/officeDocument/2006/relationships/hyperlink" Target="http://www.phosphosite.org/proteinAction.do?id=3053&amp;showAllSites=true" TargetMode="External"/><Relationship Id="rId1760" Type="http://schemas.openxmlformats.org/officeDocument/2006/relationships/hyperlink" Target="http://www.cellsignal.com/products/3926.html" TargetMode="External"/><Relationship Id="rId52" Type="http://schemas.openxmlformats.org/officeDocument/2006/relationships/hyperlink" Target="http://www.phosphosite.org/proteinAction.do?id=3577&amp;showAllSites=true" TargetMode="External"/><Relationship Id="rId148" Type="http://schemas.openxmlformats.org/officeDocument/2006/relationships/hyperlink" Target="http://www.phosphosite.org/proteinAction.do?id=1161&amp;showAllSites=true" TargetMode="External"/><Relationship Id="rId355" Type="http://schemas.openxmlformats.org/officeDocument/2006/relationships/hyperlink" Target="http://www.phosphosite.org/proteinAction.do?id=11269&amp;showAllSites=true" TargetMode="External"/><Relationship Id="rId562" Type="http://schemas.openxmlformats.org/officeDocument/2006/relationships/hyperlink" Target="http://www.phosphosite.org/proteinAction.do?id=1878&amp;showAllSites=true" TargetMode="External"/><Relationship Id="rId1192" Type="http://schemas.openxmlformats.org/officeDocument/2006/relationships/hyperlink" Target="http://www.phosphosite.org/proteinAction.do?id=14892&amp;showAllSites=true" TargetMode="External"/><Relationship Id="rId1206" Type="http://schemas.openxmlformats.org/officeDocument/2006/relationships/hyperlink" Target="http://www.cellsignal.com/products/11896.html" TargetMode="External"/><Relationship Id="rId1413" Type="http://schemas.openxmlformats.org/officeDocument/2006/relationships/hyperlink" Target="http://www.phosphosite.org/proteinAction.do?id=7749&amp;showAllSites=true" TargetMode="External"/><Relationship Id="rId1620" Type="http://schemas.openxmlformats.org/officeDocument/2006/relationships/hyperlink" Target="http://www.phosphosite.org/proteinAction.do?id=17304&amp;showAllSites=true" TargetMode="External"/><Relationship Id="rId215" Type="http://schemas.openxmlformats.org/officeDocument/2006/relationships/hyperlink" Target="http://www.phosphosite.org/proteinAction.do?id=7445&amp;showAllSites=true" TargetMode="External"/><Relationship Id="rId422" Type="http://schemas.openxmlformats.org/officeDocument/2006/relationships/hyperlink" Target="http://www.cellsignal.com/products/2718.html" TargetMode="External"/><Relationship Id="rId867" Type="http://schemas.openxmlformats.org/officeDocument/2006/relationships/hyperlink" Target="http://www.phosphosite.org/proteinAction.do?id=22956&amp;showAllSites=true" TargetMode="External"/><Relationship Id="rId1052" Type="http://schemas.openxmlformats.org/officeDocument/2006/relationships/hyperlink" Target="http://www.phosphosite.org/proteinAction.do?id=9550&amp;showAllSites=true" TargetMode="External"/><Relationship Id="rId1497" Type="http://schemas.openxmlformats.org/officeDocument/2006/relationships/hyperlink" Target="http://www.phosphosite.org/proteinAction.do?id=9534&amp;showAllSites=true" TargetMode="External"/><Relationship Id="rId1718" Type="http://schemas.openxmlformats.org/officeDocument/2006/relationships/hyperlink" Target="http://www.phosphosite.org/proteinAction.do?id=2322340&amp;showAllSites=true" TargetMode="External"/><Relationship Id="rId299" Type="http://schemas.openxmlformats.org/officeDocument/2006/relationships/hyperlink" Target="http://www.phosphosite.org/proteinAction.do?id=2788&amp;showAllSites=true" TargetMode="External"/><Relationship Id="rId727" Type="http://schemas.openxmlformats.org/officeDocument/2006/relationships/hyperlink" Target="http://www.cellsignal.com/products/7777.html" TargetMode="External"/><Relationship Id="rId934" Type="http://schemas.openxmlformats.org/officeDocument/2006/relationships/hyperlink" Target="http://www.phosphosite.org/proteinAction.do?id=10631&amp;showAllSites=true" TargetMode="External"/><Relationship Id="rId1357" Type="http://schemas.openxmlformats.org/officeDocument/2006/relationships/hyperlink" Target="http://www.phosphosite.org/proteinAction.do?id=15764&amp;showAllSites=true" TargetMode="External"/><Relationship Id="rId1564" Type="http://schemas.openxmlformats.org/officeDocument/2006/relationships/hyperlink" Target="http://www.phosphosite.org/proteinAction.do?id=6039&amp;showAllSites=true" TargetMode="External"/><Relationship Id="rId1771" Type="http://schemas.openxmlformats.org/officeDocument/2006/relationships/hyperlink" Target="http://www.phosphosite.org/proteinAction.do?id=12701&amp;showAllSites=true" TargetMode="External"/><Relationship Id="rId63" Type="http://schemas.openxmlformats.org/officeDocument/2006/relationships/hyperlink" Target="http://www.cellsignal.com/products/7413.html" TargetMode="External"/><Relationship Id="rId159" Type="http://schemas.openxmlformats.org/officeDocument/2006/relationships/hyperlink" Target="http://www.phosphosite.org/proteinAction.do?id=5140609&amp;showAllSites=true" TargetMode="External"/><Relationship Id="rId366" Type="http://schemas.openxmlformats.org/officeDocument/2006/relationships/hyperlink" Target="http://www.cellsignal.com/products/5696.html" TargetMode="External"/><Relationship Id="rId573" Type="http://schemas.openxmlformats.org/officeDocument/2006/relationships/hyperlink" Target="http://www.cellsignal.com/products/2591.html" TargetMode="External"/><Relationship Id="rId780" Type="http://schemas.openxmlformats.org/officeDocument/2006/relationships/hyperlink" Target="http://www.phosphosite.org/proteinAction.do?id=2773&amp;showAllSites=true" TargetMode="External"/><Relationship Id="rId1217" Type="http://schemas.openxmlformats.org/officeDocument/2006/relationships/hyperlink" Target="http://www.phosphosite.org/proteinAction.do?id=5321&amp;showAllSites=true" TargetMode="External"/><Relationship Id="rId1424" Type="http://schemas.openxmlformats.org/officeDocument/2006/relationships/hyperlink" Target="http://www.phosphosite.org/proteinAction.do?id=18995001&amp;showAllSites=true" TargetMode="External"/><Relationship Id="rId1631" Type="http://schemas.openxmlformats.org/officeDocument/2006/relationships/hyperlink" Target="http://www.phosphosite.org/proteinAction.do?id=17694&amp;showAllSites=true" TargetMode="External"/><Relationship Id="rId226" Type="http://schemas.openxmlformats.org/officeDocument/2006/relationships/hyperlink" Target="http://www.cellsignal.com/products/3576.html" TargetMode="External"/><Relationship Id="rId433" Type="http://schemas.openxmlformats.org/officeDocument/2006/relationships/hyperlink" Target="http://www.phosphosite.org/proteinAction.do?id=17985&amp;showAllSites=true" TargetMode="External"/><Relationship Id="rId878" Type="http://schemas.openxmlformats.org/officeDocument/2006/relationships/hyperlink" Target="http://www.cellsignal.com/products/12588.html" TargetMode="External"/><Relationship Id="rId1063" Type="http://schemas.openxmlformats.org/officeDocument/2006/relationships/hyperlink" Target="http://www.cellsignal.com/products/9828.html" TargetMode="External"/><Relationship Id="rId1270" Type="http://schemas.openxmlformats.org/officeDocument/2006/relationships/hyperlink" Target="http://www.phosphosite.org/proteinAction.do?id=1394&amp;showAllSites=true" TargetMode="External"/><Relationship Id="rId1729" Type="http://schemas.openxmlformats.org/officeDocument/2006/relationships/hyperlink" Target="http://www.phosphosite.org/proteinAction.do?id=15074&amp;showAllSites=true" TargetMode="External"/><Relationship Id="rId640" Type="http://schemas.openxmlformats.org/officeDocument/2006/relationships/hyperlink" Target="http://www.cellsignal.com/products/2591.html" TargetMode="External"/><Relationship Id="rId738" Type="http://schemas.openxmlformats.org/officeDocument/2006/relationships/hyperlink" Target="http://www.phosphosite.org/proteinAction.do?id=1303&amp;showAllSites=true" TargetMode="External"/><Relationship Id="rId945" Type="http://schemas.openxmlformats.org/officeDocument/2006/relationships/hyperlink" Target="http://www.phosphosite.org/proteinAction.do?id=7998&amp;showAllSites=true" TargetMode="External"/><Relationship Id="rId1368" Type="http://schemas.openxmlformats.org/officeDocument/2006/relationships/hyperlink" Target="http://www.cellsignal.com/products/5307.html" TargetMode="External"/><Relationship Id="rId1575" Type="http://schemas.openxmlformats.org/officeDocument/2006/relationships/hyperlink" Target="http://www.phosphosite.org/proteinAction.do?id=7679&amp;showAllSites=true" TargetMode="External"/><Relationship Id="rId74" Type="http://schemas.openxmlformats.org/officeDocument/2006/relationships/hyperlink" Target="http://www.phosphosite.org/proteinAction.do?id=4802&amp;showAllSites=true" TargetMode="External"/><Relationship Id="rId377" Type="http://schemas.openxmlformats.org/officeDocument/2006/relationships/hyperlink" Target="http://www.phosphosite.org/proteinAction.do?id=16140&amp;showAllSites=true" TargetMode="External"/><Relationship Id="rId500" Type="http://schemas.openxmlformats.org/officeDocument/2006/relationships/hyperlink" Target="http://www.cellsignal.com/products/9083.html" TargetMode="External"/><Relationship Id="rId584" Type="http://schemas.openxmlformats.org/officeDocument/2006/relationships/hyperlink" Target="http://www.cellsignal.com/products/2592.html" TargetMode="External"/><Relationship Id="rId805" Type="http://schemas.openxmlformats.org/officeDocument/2006/relationships/hyperlink" Target="http://www.phosphosite.org/proteinAction.do?id=1533&amp;showAllSites=true" TargetMode="External"/><Relationship Id="rId1130" Type="http://schemas.openxmlformats.org/officeDocument/2006/relationships/hyperlink" Target="http://www.phosphosite.org/proteinAction.do?id=19739&amp;showAllSites=true" TargetMode="External"/><Relationship Id="rId1228" Type="http://schemas.openxmlformats.org/officeDocument/2006/relationships/hyperlink" Target="http://www.phosphosite.org/proteinAction.do?id=11243&amp;showAllSites=true" TargetMode="External"/><Relationship Id="rId1435" Type="http://schemas.openxmlformats.org/officeDocument/2006/relationships/hyperlink" Target="http://www.phosphosite.org/proteinAction.do?id=9523&amp;showAllSites=true" TargetMode="External"/><Relationship Id="rId5" Type="http://schemas.openxmlformats.org/officeDocument/2006/relationships/hyperlink" Target="http://www.phosphosite.org/proteinAction.do?id=15794&amp;showAllSites=true" TargetMode="External"/><Relationship Id="rId237" Type="http://schemas.openxmlformats.org/officeDocument/2006/relationships/hyperlink" Target="http://www.cellsignal.com/products/4902.html" TargetMode="External"/><Relationship Id="rId791" Type="http://schemas.openxmlformats.org/officeDocument/2006/relationships/hyperlink" Target="http://www.cellsignal.com/products/4265.html" TargetMode="External"/><Relationship Id="rId889" Type="http://schemas.openxmlformats.org/officeDocument/2006/relationships/hyperlink" Target="http://www.phosphosite.org/proteinAction.do?id=7967&amp;showAllSites=true" TargetMode="External"/><Relationship Id="rId1074" Type="http://schemas.openxmlformats.org/officeDocument/2006/relationships/hyperlink" Target="http://www.phosphosite.org/proteinAction.do?id=9550&amp;showAllSites=true" TargetMode="External"/><Relationship Id="rId1642" Type="http://schemas.openxmlformats.org/officeDocument/2006/relationships/hyperlink" Target="http://www.phosphosite.org/proteinAction.do?id=8547&amp;showAllSites=true" TargetMode="External"/><Relationship Id="rId444" Type="http://schemas.openxmlformats.org/officeDocument/2006/relationships/hyperlink" Target="http://www.phosphosite.org/proteinAction.do?id=5384&amp;showAllSites=true" TargetMode="External"/><Relationship Id="rId651" Type="http://schemas.openxmlformats.org/officeDocument/2006/relationships/hyperlink" Target="http://www.cellsignal.com/products/2592.html" TargetMode="External"/><Relationship Id="rId749" Type="http://schemas.openxmlformats.org/officeDocument/2006/relationships/hyperlink" Target="http://www.cellsignal.com/products/9437.html" TargetMode="External"/><Relationship Id="rId1281" Type="http://schemas.openxmlformats.org/officeDocument/2006/relationships/hyperlink" Target="http://www.cellsignal.com/products/3542.html" TargetMode="External"/><Relationship Id="rId1379" Type="http://schemas.openxmlformats.org/officeDocument/2006/relationships/hyperlink" Target="http://www.phosphosite.org/proteinAction.do?id=2143&amp;showAllSites=true" TargetMode="External"/><Relationship Id="rId1502" Type="http://schemas.openxmlformats.org/officeDocument/2006/relationships/hyperlink" Target="http://www.cellsignal.com/products/3810.html" TargetMode="External"/><Relationship Id="rId1586" Type="http://schemas.openxmlformats.org/officeDocument/2006/relationships/hyperlink" Target="http://www.phosphosite.org/proteinAction.do?id=8693&amp;showAllSites=true" TargetMode="External"/><Relationship Id="rId290" Type="http://schemas.openxmlformats.org/officeDocument/2006/relationships/hyperlink" Target="http://www.phosphosite.org/proteinAction.do?id=2788&amp;showAllSites=true" TargetMode="External"/><Relationship Id="rId304" Type="http://schemas.openxmlformats.org/officeDocument/2006/relationships/hyperlink" Target="http://www.phosphosite.org/proteinAction.do?id=2137703&amp;showAllSites=true" TargetMode="External"/><Relationship Id="rId388" Type="http://schemas.openxmlformats.org/officeDocument/2006/relationships/hyperlink" Target="http://www.phosphosite.org/proteinAction.do?id=4250&amp;showAllSites=true" TargetMode="External"/><Relationship Id="rId511" Type="http://schemas.openxmlformats.org/officeDocument/2006/relationships/hyperlink" Target="http://www.cellsignal.com/products/8135.html" TargetMode="External"/><Relationship Id="rId609" Type="http://schemas.openxmlformats.org/officeDocument/2006/relationships/hyperlink" Target="http://www.cellsignal.com/products/2591.html" TargetMode="External"/><Relationship Id="rId956" Type="http://schemas.openxmlformats.org/officeDocument/2006/relationships/hyperlink" Target="http://www.phosphosite.org/proteinAction.do?id=4323&amp;showAllSites=true" TargetMode="External"/><Relationship Id="rId1141" Type="http://schemas.openxmlformats.org/officeDocument/2006/relationships/hyperlink" Target="http://www.cellsignal.com/products/3205.html" TargetMode="External"/><Relationship Id="rId1239" Type="http://schemas.openxmlformats.org/officeDocument/2006/relationships/hyperlink" Target="http://www.phosphosite.org/proteinAction.do?id=10267&amp;showAllSites=true" TargetMode="External"/><Relationship Id="rId85" Type="http://schemas.openxmlformats.org/officeDocument/2006/relationships/hyperlink" Target="http://www.phosphosite.org/proteinAction.do?id=3332&amp;showAllSites=true" TargetMode="External"/><Relationship Id="rId150" Type="http://schemas.openxmlformats.org/officeDocument/2006/relationships/hyperlink" Target="http://www.phosphosite.org/proteinAction.do?id=1161&amp;showAllSites=true" TargetMode="External"/><Relationship Id="rId595" Type="http://schemas.openxmlformats.org/officeDocument/2006/relationships/hyperlink" Target="http://www.phosphosite.org/proteinAction.do?id=1878&amp;showAllSites=true" TargetMode="External"/><Relationship Id="rId816" Type="http://schemas.openxmlformats.org/officeDocument/2006/relationships/hyperlink" Target="http://www.phosphosite.org/proteinAction.do?id=9173&amp;showAllSites=true" TargetMode="External"/><Relationship Id="rId1001" Type="http://schemas.openxmlformats.org/officeDocument/2006/relationships/hyperlink" Target="http://www.phosphosite.org/proteinAction.do?id=25516000&amp;showAllSites=true" TargetMode="External"/><Relationship Id="rId1446" Type="http://schemas.openxmlformats.org/officeDocument/2006/relationships/hyperlink" Target="http://www.cellsignal.com/products/5297.html" TargetMode="External"/><Relationship Id="rId1653" Type="http://schemas.openxmlformats.org/officeDocument/2006/relationships/hyperlink" Target="http://www.cellsignal.com/products/3345.html" TargetMode="External"/><Relationship Id="rId248" Type="http://schemas.openxmlformats.org/officeDocument/2006/relationships/hyperlink" Target="http://www.phosphosite.org/proteinAction.do?id=6765&amp;showAllSites=true" TargetMode="External"/><Relationship Id="rId455" Type="http://schemas.openxmlformats.org/officeDocument/2006/relationships/hyperlink" Target="http://www.cellsignal.com/products/5435.html" TargetMode="External"/><Relationship Id="rId662" Type="http://schemas.openxmlformats.org/officeDocument/2006/relationships/hyperlink" Target="http://www.phosphosite.org/proteinAction.do?id=8391&amp;showAllSites=true" TargetMode="External"/><Relationship Id="rId1085" Type="http://schemas.openxmlformats.org/officeDocument/2006/relationships/hyperlink" Target="http://www.cellsignal.com/products/9828.html" TargetMode="External"/><Relationship Id="rId1292" Type="http://schemas.openxmlformats.org/officeDocument/2006/relationships/hyperlink" Target="http://www.phosphosite.org/proteinAction.do?id=5140324&amp;showAllSites=true" TargetMode="External"/><Relationship Id="rId1306" Type="http://schemas.openxmlformats.org/officeDocument/2006/relationships/hyperlink" Target="http://www.phosphosite.org/proteinAction.do?id=5140307&amp;showAllSites=true" TargetMode="External"/><Relationship Id="rId1513" Type="http://schemas.openxmlformats.org/officeDocument/2006/relationships/hyperlink" Target="http://www.phosphosite.org/proteinAction.do?id=2613075&amp;showAllSites=true" TargetMode="External"/><Relationship Id="rId1720" Type="http://schemas.openxmlformats.org/officeDocument/2006/relationships/hyperlink" Target="http://www.phosphosite.org/proteinAction.do?id=9917202&amp;showAllSites=true" TargetMode="External"/><Relationship Id="rId12" Type="http://schemas.openxmlformats.org/officeDocument/2006/relationships/hyperlink" Target="http://www.cellsignal.com/products/5486.html" TargetMode="External"/><Relationship Id="rId108" Type="http://schemas.openxmlformats.org/officeDocument/2006/relationships/hyperlink" Target="http://www.cellsignal.com/products/6267.html" TargetMode="External"/><Relationship Id="rId315" Type="http://schemas.openxmlformats.org/officeDocument/2006/relationships/hyperlink" Target="http://www.cellsignal.com/products/2128.html" TargetMode="External"/><Relationship Id="rId522" Type="http://schemas.openxmlformats.org/officeDocument/2006/relationships/hyperlink" Target="http://www.phosphosite.org/proteinAction.do?id=8393&amp;showAllSites=true" TargetMode="External"/><Relationship Id="rId967" Type="http://schemas.openxmlformats.org/officeDocument/2006/relationships/hyperlink" Target="http://www.phosphosite.org/proteinAction.do?id=8093&amp;showAllSites=true" TargetMode="External"/><Relationship Id="rId1152" Type="http://schemas.openxmlformats.org/officeDocument/2006/relationships/hyperlink" Target="http://www.phosphosite.org/proteinAction.do?id=10557&amp;showAllSites=true" TargetMode="External"/><Relationship Id="rId1597" Type="http://schemas.openxmlformats.org/officeDocument/2006/relationships/hyperlink" Target="http://www.phosphosite.org/proteinAction.do?id=11177&amp;showAllSites=true" TargetMode="External"/><Relationship Id="rId96" Type="http://schemas.openxmlformats.org/officeDocument/2006/relationships/hyperlink" Target="http://www.cellsignal.com/products/6267.html" TargetMode="External"/><Relationship Id="rId161" Type="http://schemas.openxmlformats.org/officeDocument/2006/relationships/hyperlink" Target="http://www.phosphosite.org/proteinAction.do?id=1528&amp;showAllSites=true" TargetMode="External"/><Relationship Id="rId399" Type="http://schemas.openxmlformats.org/officeDocument/2006/relationships/hyperlink" Target="http://www.cellsignal.com/products/4869.html" TargetMode="External"/><Relationship Id="rId827" Type="http://schemas.openxmlformats.org/officeDocument/2006/relationships/hyperlink" Target="http://www.cellsignal.com/products/11954.html" TargetMode="External"/><Relationship Id="rId1012" Type="http://schemas.openxmlformats.org/officeDocument/2006/relationships/hyperlink" Target="http://www.cellsignal.com/products/8966.html" TargetMode="External"/><Relationship Id="rId1457" Type="http://schemas.openxmlformats.org/officeDocument/2006/relationships/hyperlink" Target="http://www.phosphosite.org/proteinAction.do?id=4806&amp;showAllSites=true" TargetMode="External"/><Relationship Id="rId1664" Type="http://schemas.openxmlformats.org/officeDocument/2006/relationships/hyperlink" Target="http://www.phosphosite.org/proteinAction.do?id=18332&amp;showAllSites=true" TargetMode="External"/><Relationship Id="rId259" Type="http://schemas.openxmlformats.org/officeDocument/2006/relationships/hyperlink" Target="http://www.cellsignal.com/products/4454.html" TargetMode="External"/><Relationship Id="rId466" Type="http://schemas.openxmlformats.org/officeDocument/2006/relationships/hyperlink" Target="http://www.cellsignal.com/products/12364.html" TargetMode="External"/><Relationship Id="rId673" Type="http://schemas.openxmlformats.org/officeDocument/2006/relationships/hyperlink" Target="http://www.cellsignal.com/products/5435.html" TargetMode="External"/><Relationship Id="rId880" Type="http://schemas.openxmlformats.org/officeDocument/2006/relationships/hyperlink" Target="http://www.phosphosite.org/proteinAction.do?id=7967&amp;showAllSites=true" TargetMode="External"/><Relationship Id="rId1096" Type="http://schemas.openxmlformats.org/officeDocument/2006/relationships/hyperlink" Target="http://www.phosphosite.org/proteinAction.do?id=10223&amp;showAllSites=true" TargetMode="External"/><Relationship Id="rId1317" Type="http://schemas.openxmlformats.org/officeDocument/2006/relationships/hyperlink" Target="http://www.phosphosite.org/proteinAction.do?id=17762&amp;showAllSites=true" TargetMode="External"/><Relationship Id="rId1524" Type="http://schemas.openxmlformats.org/officeDocument/2006/relationships/hyperlink" Target="http://www.phosphosite.org/proteinAction.do?id=5634&amp;showAllSites=true" TargetMode="External"/><Relationship Id="rId1731" Type="http://schemas.openxmlformats.org/officeDocument/2006/relationships/hyperlink" Target="http://www.phosphosite.org/proteinAction.do?id=7219&amp;showAllSites=true" TargetMode="External"/><Relationship Id="rId23" Type="http://schemas.openxmlformats.org/officeDocument/2006/relationships/hyperlink" Target="http://www.cellsignal.com/products/9635.html" TargetMode="External"/><Relationship Id="rId119" Type="http://schemas.openxmlformats.org/officeDocument/2006/relationships/hyperlink" Target="http://www.phosphosite.org/proteinAction.do?id=4396&amp;showAllSites=true" TargetMode="External"/><Relationship Id="rId326" Type="http://schemas.openxmlformats.org/officeDocument/2006/relationships/hyperlink" Target="http://www.phosphosite.org/proteinAction.do?id=4238&amp;showAllSites=true" TargetMode="External"/><Relationship Id="rId533" Type="http://schemas.openxmlformats.org/officeDocument/2006/relationships/hyperlink" Target="http://www.cellsignal.com/products/9072.html" TargetMode="External"/><Relationship Id="rId978" Type="http://schemas.openxmlformats.org/officeDocument/2006/relationships/hyperlink" Target="http://www.cellsignal.com/products/8780.html" TargetMode="External"/><Relationship Id="rId1163" Type="http://schemas.openxmlformats.org/officeDocument/2006/relationships/hyperlink" Target="http://www.phosphosite.org/proteinAction.do?id=7580526&amp;showAllSites=true" TargetMode="External"/><Relationship Id="rId1370" Type="http://schemas.openxmlformats.org/officeDocument/2006/relationships/hyperlink" Target="http://www.cellsignal.com/products/5307.html" TargetMode="External"/><Relationship Id="rId740" Type="http://schemas.openxmlformats.org/officeDocument/2006/relationships/hyperlink" Target="http://www.phosphosite.org/proteinAction.do?id=12265&amp;showAllSites=true" TargetMode="External"/><Relationship Id="rId838" Type="http://schemas.openxmlformats.org/officeDocument/2006/relationships/hyperlink" Target="http://www.phosphosite.org/proteinAction.do?id=1169911&amp;showAllSites=true" TargetMode="External"/><Relationship Id="rId1023" Type="http://schemas.openxmlformats.org/officeDocument/2006/relationships/hyperlink" Target="http://www.phosphosite.org/proteinAction.do?id=4240&amp;showAllSites=true" TargetMode="External"/><Relationship Id="rId1468" Type="http://schemas.openxmlformats.org/officeDocument/2006/relationships/hyperlink" Target="http://www.cellsignal.com/products/4866.html" TargetMode="External"/><Relationship Id="rId1675" Type="http://schemas.openxmlformats.org/officeDocument/2006/relationships/hyperlink" Target="http://www.phosphosite.org/proteinAction.do?id=944201&amp;showAllSites=true" TargetMode="External"/><Relationship Id="rId172" Type="http://schemas.openxmlformats.org/officeDocument/2006/relationships/hyperlink" Target="http://www.phosphosite.org/proteinAction.do?id=3870&amp;showAllSites=true" TargetMode="External"/><Relationship Id="rId477" Type="http://schemas.openxmlformats.org/officeDocument/2006/relationships/hyperlink" Target="http://www.phosphosite.org/proteinAction.do?id=8395&amp;showAllSites=true" TargetMode="External"/><Relationship Id="rId600" Type="http://schemas.openxmlformats.org/officeDocument/2006/relationships/hyperlink" Target="http://www.cellsignal.com/products/2591.html" TargetMode="External"/><Relationship Id="rId684" Type="http://schemas.openxmlformats.org/officeDocument/2006/relationships/hyperlink" Target="http://www.phosphosite.org/proteinAction.do?id=8391&amp;showAllSites=true" TargetMode="External"/><Relationship Id="rId1230" Type="http://schemas.openxmlformats.org/officeDocument/2006/relationships/hyperlink" Target="http://www.phosphosite.org/proteinAction.do?id=9915&amp;showAllSites=true" TargetMode="External"/><Relationship Id="rId1328" Type="http://schemas.openxmlformats.org/officeDocument/2006/relationships/hyperlink" Target="http://www.phosphosite.org/proteinAction.do?id=6895&amp;showAllSites=true" TargetMode="External"/><Relationship Id="rId1535" Type="http://schemas.openxmlformats.org/officeDocument/2006/relationships/hyperlink" Target="http://www.phosphosite.org/proteinAction.do?id=10980&amp;showAllSites=true" TargetMode="External"/><Relationship Id="rId337" Type="http://schemas.openxmlformats.org/officeDocument/2006/relationships/hyperlink" Target="http://www.cellsignal.com/products/4830.html" TargetMode="External"/><Relationship Id="rId891" Type="http://schemas.openxmlformats.org/officeDocument/2006/relationships/hyperlink" Target="http://www.cellsignal.com/products/3180.html" TargetMode="External"/><Relationship Id="rId905" Type="http://schemas.openxmlformats.org/officeDocument/2006/relationships/hyperlink" Target="http://www.cellsignal.com/products/5174.html" TargetMode="External"/><Relationship Id="rId989" Type="http://schemas.openxmlformats.org/officeDocument/2006/relationships/hyperlink" Target="http://www.phosphosite.org/proteinAction.do?id=10575&amp;showAllSites=true" TargetMode="External"/><Relationship Id="rId1742" Type="http://schemas.openxmlformats.org/officeDocument/2006/relationships/hyperlink" Target="http://www.phosphosite.org/proteinAction.do?id=4331&amp;showAllSites=true" TargetMode="External"/><Relationship Id="rId34" Type="http://schemas.openxmlformats.org/officeDocument/2006/relationships/hyperlink" Target="http://www.phosphosite.org/proteinAction.do?id=6878&amp;showAllSites=true" TargetMode="External"/><Relationship Id="rId544" Type="http://schemas.openxmlformats.org/officeDocument/2006/relationships/hyperlink" Target="http://www.cellsignal.com/products/12364.html" TargetMode="External"/><Relationship Id="rId751" Type="http://schemas.openxmlformats.org/officeDocument/2006/relationships/hyperlink" Target="http://www.phosphosite.org/proteinAction.do?id=15928&amp;showAllSites=true" TargetMode="External"/><Relationship Id="rId849" Type="http://schemas.openxmlformats.org/officeDocument/2006/relationships/hyperlink" Target="http://www.phosphosite.org/proteinAction.do?id=10613&amp;showAllSites=true" TargetMode="External"/><Relationship Id="rId1174" Type="http://schemas.openxmlformats.org/officeDocument/2006/relationships/hyperlink" Target="http://www.phosphosite.org/proteinAction.do?id=7742&amp;showAllSites=true" TargetMode="External"/><Relationship Id="rId1381" Type="http://schemas.openxmlformats.org/officeDocument/2006/relationships/hyperlink" Target="http://www.phosphosite.org/proteinAction.do?id=2143&amp;showAllSites=true" TargetMode="External"/><Relationship Id="rId1479" Type="http://schemas.openxmlformats.org/officeDocument/2006/relationships/hyperlink" Target="http://www.phosphosite.org/proteinAction.do?id=4345&amp;showAllSites=true" TargetMode="External"/><Relationship Id="rId1602" Type="http://schemas.openxmlformats.org/officeDocument/2006/relationships/hyperlink" Target="http://www.phosphosite.org/proteinAction.do?id=20125&amp;showAllSites=true" TargetMode="External"/><Relationship Id="rId1686" Type="http://schemas.openxmlformats.org/officeDocument/2006/relationships/hyperlink" Target="http://www.phosphosite.org/proteinAction.do?id=9400&amp;showAllSites=true" TargetMode="External"/><Relationship Id="rId183" Type="http://schemas.openxmlformats.org/officeDocument/2006/relationships/hyperlink" Target="http://www.phosphosite.org/proteinAction.do?id=25230&amp;showAllSites=true" TargetMode="External"/><Relationship Id="rId390" Type="http://schemas.openxmlformats.org/officeDocument/2006/relationships/hyperlink" Target="http://www.phosphosite.org/proteinAction.do?id=9558&amp;showAllSites=true" TargetMode="External"/><Relationship Id="rId404" Type="http://schemas.openxmlformats.org/officeDocument/2006/relationships/hyperlink" Target="http://www.phosphosite.org/proteinAction.do?id=4249&amp;showAllSites=true" TargetMode="External"/><Relationship Id="rId611" Type="http://schemas.openxmlformats.org/officeDocument/2006/relationships/hyperlink" Target="http://www.cellsignal.com/products/2592.html" TargetMode="External"/><Relationship Id="rId1034" Type="http://schemas.openxmlformats.org/officeDocument/2006/relationships/hyperlink" Target="http://www.phosphosite.org/proteinAction.do?id=9221&amp;showAllSites=true" TargetMode="External"/><Relationship Id="rId1241" Type="http://schemas.openxmlformats.org/officeDocument/2006/relationships/hyperlink" Target="http://www.phosphosite.org/proteinAction.do?id=8032&amp;showAllSites=true" TargetMode="External"/><Relationship Id="rId1339" Type="http://schemas.openxmlformats.org/officeDocument/2006/relationships/hyperlink" Target="http://www.phosphosite.org/proteinAction.do?id=15751&amp;showAllSites=true" TargetMode="External"/><Relationship Id="rId250" Type="http://schemas.openxmlformats.org/officeDocument/2006/relationships/hyperlink" Target="http://www.phosphosite.org/proteinAction.do?id=22530&amp;showAllSites=true" TargetMode="External"/><Relationship Id="rId488" Type="http://schemas.openxmlformats.org/officeDocument/2006/relationships/hyperlink" Target="http://www.cellsignal.com/products/9072.html" TargetMode="External"/><Relationship Id="rId695" Type="http://schemas.openxmlformats.org/officeDocument/2006/relationships/hyperlink" Target="http://www.cellsignal.com/products/8135.html" TargetMode="External"/><Relationship Id="rId709" Type="http://schemas.openxmlformats.org/officeDocument/2006/relationships/hyperlink" Target="http://www.cellsignal.com/products/8135.html" TargetMode="External"/><Relationship Id="rId916" Type="http://schemas.openxmlformats.org/officeDocument/2006/relationships/hyperlink" Target="http://www.phosphosite.org/proteinAction.do?id=4368&amp;showAllSites=true" TargetMode="External"/><Relationship Id="rId1101" Type="http://schemas.openxmlformats.org/officeDocument/2006/relationships/hyperlink" Target="http://www.phosphosite.org/proteinAction.do?id=10223&amp;showAllSites=true" TargetMode="External"/><Relationship Id="rId1546" Type="http://schemas.openxmlformats.org/officeDocument/2006/relationships/hyperlink" Target="http://www.phosphosite.org/proteinAction.do?id=17294&amp;showAllSites=true" TargetMode="External"/><Relationship Id="rId1753" Type="http://schemas.openxmlformats.org/officeDocument/2006/relationships/hyperlink" Target="http://www.phosphosite.org/proteinAction.do?id=19382&amp;showAllSites=true" TargetMode="External"/><Relationship Id="rId45" Type="http://schemas.openxmlformats.org/officeDocument/2006/relationships/hyperlink" Target="http://www.cellsignal.com/products/5521.html" TargetMode="External"/><Relationship Id="rId110" Type="http://schemas.openxmlformats.org/officeDocument/2006/relationships/hyperlink" Target="http://www.phosphosite.org/proteinAction.do?id=1482&amp;showAllSites=true" TargetMode="External"/><Relationship Id="rId348" Type="http://schemas.openxmlformats.org/officeDocument/2006/relationships/hyperlink" Target="http://www.phosphosite.org/proteinAction.do?id=4488&amp;showAllSites=true" TargetMode="External"/><Relationship Id="rId555" Type="http://schemas.openxmlformats.org/officeDocument/2006/relationships/hyperlink" Target="http://www.cellsignal.com/products/2592.html" TargetMode="External"/><Relationship Id="rId762" Type="http://schemas.openxmlformats.org/officeDocument/2006/relationships/hyperlink" Target="http://www.cellsignal.com/products/9044.html" TargetMode="External"/><Relationship Id="rId1185" Type="http://schemas.openxmlformats.org/officeDocument/2006/relationships/hyperlink" Target="http://www.phosphosite.org/proteinAction.do?id=8079&amp;showAllSites=true" TargetMode="External"/><Relationship Id="rId1392" Type="http://schemas.openxmlformats.org/officeDocument/2006/relationships/hyperlink" Target="http://www.cellsignal.com/products/8945.html" TargetMode="External"/><Relationship Id="rId1406" Type="http://schemas.openxmlformats.org/officeDocument/2006/relationships/hyperlink" Target="http://www.phosphosite.org/proteinAction.do?id=6794&amp;showAllSites=true" TargetMode="External"/><Relationship Id="rId1613" Type="http://schemas.openxmlformats.org/officeDocument/2006/relationships/hyperlink" Target="http://www.phosphosite.org/proteinAction.do?id=9165&amp;showAllSites=true" TargetMode="External"/><Relationship Id="rId194" Type="http://schemas.openxmlformats.org/officeDocument/2006/relationships/hyperlink" Target="http://www.cellsignal.com/products/9099.html" TargetMode="External"/><Relationship Id="rId208" Type="http://schemas.openxmlformats.org/officeDocument/2006/relationships/hyperlink" Target="http://www.cellsignal.com/products/5059.html" TargetMode="External"/><Relationship Id="rId415" Type="http://schemas.openxmlformats.org/officeDocument/2006/relationships/hyperlink" Target="http://www.phosphosite.org/proteinAction.do?id=2730&amp;showAllSites=true" TargetMode="External"/><Relationship Id="rId622" Type="http://schemas.openxmlformats.org/officeDocument/2006/relationships/hyperlink" Target="http://www.cellsignal.com/products/2594.html" TargetMode="External"/><Relationship Id="rId1045" Type="http://schemas.openxmlformats.org/officeDocument/2006/relationships/hyperlink" Target="http://www.cellsignal.com/products/4567.html" TargetMode="External"/><Relationship Id="rId1252" Type="http://schemas.openxmlformats.org/officeDocument/2006/relationships/hyperlink" Target="http://www.cellsignal.com/products/8443.html" TargetMode="External"/><Relationship Id="rId1697" Type="http://schemas.openxmlformats.org/officeDocument/2006/relationships/hyperlink" Target="http://www.phosphosite.org/proteinAction.do?id=5145077&amp;showAllSites=true" TargetMode="External"/><Relationship Id="rId261" Type="http://schemas.openxmlformats.org/officeDocument/2006/relationships/hyperlink" Target="http://www.cellsignal.com/products/4454.html" TargetMode="External"/><Relationship Id="rId499" Type="http://schemas.openxmlformats.org/officeDocument/2006/relationships/hyperlink" Target="http://www.cellsignal.com/products/8135.html" TargetMode="External"/><Relationship Id="rId927" Type="http://schemas.openxmlformats.org/officeDocument/2006/relationships/hyperlink" Target="http://www.phosphosite.org/proteinAction.do?id=9215&amp;showAllSites=true" TargetMode="External"/><Relationship Id="rId1112" Type="http://schemas.openxmlformats.org/officeDocument/2006/relationships/hyperlink" Target="http://www.phosphosite.org/proteinAction.do?id=9668&amp;showAllSites=true" TargetMode="External"/><Relationship Id="rId1557" Type="http://schemas.openxmlformats.org/officeDocument/2006/relationships/hyperlink" Target="http://www.phosphosite.org/proteinAction.do?id=11421&amp;showAllSites=true" TargetMode="External"/><Relationship Id="rId1764" Type="http://schemas.openxmlformats.org/officeDocument/2006/relationships/hyperlink" Target="http://www.phosphosite.org/proteinAction.do?id=11487&amp;showAllSites=true" TargetMode="External"/><Relationship Id="rId56" Type="http://schemas.openxmlformats.org/officeDocument/2006/relationships/hyperlink" Target="http://www.phosphosite.org/proteinAction.do?id=3577&amp;showAllSites=true" TargetMode="External"/><Relationship Id="rId359" Type="http://schemas.openxmlformats.org/officeDocument/2006/relationships/hyperlink" Target="http://www.phosphosite.org/proteinAction.do?id=11269&amp;showAllSites=true" TargetMode="External"/><Relationship Id="rId566" Type="http://schemas.openxmlformats.org/officeDocument/2006/relationships/hyperlink" Target="http://www.cellsignal.com/products/2592.html" TargetMode="External"/><Relationship Id="rId773" Type="http://schemas.openxmlformats.org/officeDocument/2006/relationships/hyperlink" Target="http://www.phosphosite.org/proteinAction.do?id=2157&amp;showAllSites=true" TargetMode="External"/><Relationship Id="rId1196" Type="http://schemas.openxmlformats.org/officeDocument/2006/relationships/hyperlink" Target="http://www.cellsignal.com/products/12353.html" TargetMode="External"/><Relationship Id="rId1417" Type="http://schemas.openxmlformats.org/officeDocument/2006/relationships/hyperlink" Target="http://www.phosphosite.org/proteinAction.do?id=16483&amp;showAllSites=true" TargetMode="External"/><Relationship Id="rId1624" Type="http://schemas.openxmlformats.org/officeDocument/2006/relationships/hyperlink" Target="http://www.cellsignal.com/products/2765.html" TargetMode="External"/><Relationship Id="rId121" Type="http://schemas.openxmlformats.org/officeDocument/2006/relationships/hyperlink" Target="http://www.phosphosite.org/proteinAction.do?id=4396&amp;showAllSites=true" TargetMode="External"/><Relationship Id="rId219" Type="http://schemas.openxmlformats.org/officeDocument/2006/relationships/hyperlink" Target="http://www.phosphosite.org/proteinAction.do?id=5635&amp;showAllSites=true" TargetMode="External"/><Relationship Id="rId426" Type="http://schemas.openxmlformats.org/officeDocument/2006/relationships/hyperlink" Target="http://www.phosphosite.org/proteinAction.do?id=9917204&amp;showAllSites=true" TargetMode="External"/><Relationship Id="rId633" Type="http://schemas.openxmlformats.org/officeDocument/2006/relationships/hyperlink" Target="http://www.cellsignal.com/products/2592.html" TargetMode="External"/><Relationship Id="rId980" Type="http://schemas.openxmlformats.org/officeDocument/2006/relationships/hyperlink" Target="http://www.phosphosite.org/proteinAction.do?id=16348&amp;showAllSites=true" TargetMode="External"/><Relationship Id="rId1056" Type="http://schemas.openxmlformats.org/officeDocument/2006/relationships/hyperlink" Target="http://www.phosphosite.org/proteinAction.do?id=9550&amp;showAllSites=true" TargetMode="External"/><Relationship Id="rId1263" Type="http://schemas.openxmlformats.org/officeDocument/2006/relationships/hyperlink" Target="http://www.ncbi.nlm.nih.gov/entrez/query.fcgi?db=protein&amp;cmd=search&amp;term=NP_620086" TargetMode="External"/><Relationship Id="rId840" Type="http://schemas.openxmlformats.org/officeDocument/2006/relationships/hyperlink" Target="http://www.cellsignal.com/products/8841.html" TargetMode="External"/><Relationship Id="rId938" Type="http://schemas.openxmlformats.org/officeDocument/2006/relationships/hyperlink" Target="http://www.phosphosite.org/proteinAction.do?id=10631&amp;showAllSites=true" TargetMode="External"/><Relationship Id="rId1470" Type="http://schemas.openxmlformats.org/officeDocument/2006/relationships/hyperlink" Target="http://www.cellsignal.com/products/4661.html" TargetMode="External"/><Relationship Id="rId1568" Type="http://schemas.openxmlformats.org/officeDocument/2006/relationships/hyperlink" Target="http://www.phosphosite.org/proteinAction.do?id=11394&amp;showAllSites=true" TargetMode="External"/><Relationship Id="rId1775" Type="http://schemas.openxmlformats.org/officeDocument/2006/relationships/hyperlink" Target="http://www.phosphosite.org/proteinAction.do?id=12701&amp;showAllSites=true" TargetMode="External"/><Relationship Id="rId67" Type="http://schemas.openxmlformats.org/officeDocument/2006/relationships/hyperlink" Target="http://www.cellsignal.com/products/8312.html" TargetMode="External"/><Relationship Id="rId272" Type="http://schemas.openxmlformats.org/officeDocument/2006/relationships/hyperlink" Target="http://www.phosphosite.org/proteinAction.do?id=2788&amp;showAllSites=true" TargetMode="External"/><Relationship Id="rId577" Type="http://schemas.openxmlformats.org/officeDocument/2006/relationships/hyperlink" Target="http://www.phosphosite.org/proteinAction.do?id=1878&amp;showAllSites=true" TargetMode="External"/><Relationship Id="rId700" Type="http://schemas.openxmlformats.org/officeDocument/2006/relationships/hyperlink" Target="http://www.phosphosite.org/proteinAction.do?id=5143208&amp;showAllSites=true" TargetMode="External"/><Relationship Id="rId1123" Type="http://schemas.openxmlformats.org/officeDocument/2006/relationships/hyperlink" Target="http://www.phosphosite.org/proteinAction.do?id=7485&amp;showAllSites=true" TargetMode="External"/><Relationship Id="rId1330" Type="http://schemas.openxmlformats.org/officeDocument/2006/relationships/hyperlink" Target="http://www.phosphosite.org/proteinAction.do?id=6895&amp;showAllSites=true" TargetMode="External"/><Relationship Id="rId1428" Type="http://schemas.openxmlformats.org/officeDocument/2006/relationships/hyperlink" Target="http://www.phosphosite.org/proteinAction.do?id=3396010&amp;showAllSites=true" TargetMode="External"/><Relationship Id="rId1635" Type="http://schemas.openxmlformats.org/officeDocument/2006/relationships/hyperlink" Target="http://www.phosphosite.org/proteinAction.do?id=23252&amp;showAllSites=true" TargetMode="External"/><Relationship Id="rId132" Type="http://schemas.openxmlformats.org/officeDocument/2006/relationships/hyperlink" Target="http://www.phosphosite.org/proteinAction.do?id=1161&amp;showAllSites=true" TargetMode="External"/><Relationship Id="rId784" Type="http://schemas.openxmlformats.org/officeDocument/2006/relationships/hyperlink" Target="http://www.phosphosite.org/proteinAction.do?id=1501&amp;showAllSites=true" TargetMode="External"/><Relationship Id="rId991" Type="http://schemas.openxmlformats.org/officeDocument/2006/relationships/hyperlink" Target="http://www.phosphosite.org/proteinAction.do?id=10575&amp;showAllSites=true" TargetMode="External"/><Relationship Id="rId1067" Type="http://schemas.openxmlformats.org/officeDocument/2006/relationships/hyperlink" Target="http://www.cellsignal.com/products/9828.html" TargetMode="External"/><Relationship Id="rId437" Type="http://schemas.openxmlformats.org/officeDocument/2006/relationships/hyperlink" Target="http://www.phosphosite.org/proteinAction.do?id=12274&amp;showAllSites=true" TargetMode="External"/><Relationship Id="rId644" Type="http://schemas.openxmlformats.org/officeDocument/2006/relationships/hyperlink" Target="http://www.phosphosite.org/proteinAction.do?id=1878&amp;showAllSites=true" TargetMode="External"/><Relationship Id="rId851" Type="http://schemas.openxmlformats.org/officeDocument/2006/relationships/hyperlink" Target="http://www.phosphosite.org/proteinAction.do?id=10613&amp;showAllSites=true" TargetMode="External"/><Relationship Id="rId1274" Type="http://schemas.openxmlformats.org/officeDocument/2006/relationships/hyperlink" Target="http://www.phosphosite.org/proteinAction.do?id=1394&amp;showAllSites=true" TargetMode="External"/><Relationship Id="rId1481" Type="http://schemas.openxmlformats.org/officeDocument/2006/relationships/hyperlink" Target="http://www.phosphosite.org/proteinAction.do?id=4345&amp;showAllSites=true" TargetMode="External"/><Relationship Id="rId1579" Type="http://schemas.openxmlformats.org/officeDocument/2006/relationships/hyperlink" Target="http://www.phosphosite.org/proteinAction.do?id=11361&amp;showAllSites=true" TargetMode="External"/><Relationship Id="rId1702" Type="http://schemas.openxmlformats.org/officeDocument/2006/relationships/hyperlink" Target="http://www.cellsignal.com/products/9675.html" TargetMode="External"/><Relationship Id="rId283" Type="http://schemas.openxmlformats.org/officeDocument/2006/relationships/hyperlink" Target="http://www.cellsignal.com/products/3971.html" TargetMode="External"/><Relationship Id="rId490" Type="http://schemas.openxmlformats.org/officeDocument/2006/relationships/hyperlink" Target="http://www.cellsignal.com/products/12364.html" TargetMode="External"/><Relationship Id="rId504" Type="http://schemas.openxmlformats.org/officeDocument/2006/relationships/hyperlink" Target="http://www.phosphosite.org/proteinAction.do?id=8393&amp;showAllSites=true" TargetMode="External"/><Relationship Id="rId711" Type="http://schemas.openxmlformats.org/officeDocument/2006/relationships/hyperlink" Target="http://www.cellsignal.com/products/8135.html" TargetMode="External"/><Relationship Id="rId949" Type="http://schemas.openxmlformats.org/officeDocument/2006/relationships/hyperlink" Target="http://www.phosphosite.org/proteinAction.do?id=12251&amp;showAllSites=true" TargetMode="External"/><Relationship Id="rId1134" Type="http://schemas.openxmlformats.org/officeDocument/2006/relationships/hyperlink" Target="http://www.phosphosite.org/proteinAction.do?id=1784&amp;showAllSites=true" TargetMode="External"/><Relationship Id="rId1341" Type="http://schemas.openxmlformats.org/officeDocument/2006/relationships/hyperlink" Target="http://www.phosphosite.org/proteinAction.do?id=8575&amp;showAllSites=true" TargetMode="External"/><Relationship Id="rId78" Type="http://schemas.openxmlformats.org/officeDocument/2006/relationships/hyperlink" Target="http://www.cellsignal.com/products/4738.html" TargetMode="External"/><Relationship Id="rId143" Type="http://schemas.openxmlformats.org/officeDocument/2006/relationships/hyperlink" Target="http://www.cellsignal.com/products/7425.html" TargetMode="External"/><Relationship Id="rId350" Type="http://schemas.openxmlformats.org/officeDocument/2006/relationships/hyperlink" Target="http://www.phosphosite.org/proteinAction.do?id=14622&amp;showAllSites=true" TargetMode="External"/><Relationship Id="rId588" Type="http://schemas.openxmlformats.org/officeDocument/2006/relationships/hyperlink" Target="http://www.cellsignal.com/products/2591.html" TargetMode="External"/><Relationship Id="rId795" Type="http://schemas.openxmlformats.org/officeDocument/2006/relationships/hyperlink" Target="http://www.cellsignal.com/products/4265.html" TargetMode="External"/><Relationship Id="rId809" Type="http://schemas.openxmlformats.org/officeDocument/2006/relationships/hyperlink" Target="http://www.phosphosite.org/proteinAction.do?id=19277&amp;showAllSites=true" TargetMode="External"/><Relationship Id="rId1201" Type="http://schemas.openxmlformats.org/officeDocument/2006/relationships/hyperlink" Target="http://www.phosphosite.org/proteinAction.do?id=9334&amp;showAllSites=true" TargetMode="External"/><Relationship Id="rId1439" Type="http://schemas.openxmlformats.org/officeDocument/2006/relationships/hyperlink" Target="http://www.phosphosite.org/proteinAction.do?id=8105&amp;showAllSites=true" TargetMode="External"/><Relationship Id="rId1646" Type="http://schemas.openxmlformats.org/officeDocument/2006/relationships/hyperlink" Target="http://www.phosphosite.org/proteinAction.do?id=13422201&amp;showAllSites=true" TargetMode="External"/><Relationship Id="rId9" Type="http://schemas.openxmlformats.org/officeDocument/2006/relationships/hyperlink" Target="http://www.phosphosite.org/proteinAction.do?id=5154642&amp;showAllSites=true" TargetMode="External"/><Relationship Id="rId210" Type="http://schemas.openxmlformats.org/officeDocument/2006/relationships/hyperlink" Target="http://www.cellsignal.com/products/5059.html" TargetMode="External"/><Relationship Id="rId448" Type="http://schemas.openxmlformats.org/officeDocument/2006/relationships/hyperlink" Target="http://www.phosphosite.org/proteinAction.do?id=15481&amp;showAllSites=true" TargetMode="External"/><Relationship Id="rId655" Type="http://schemas.openxmlformats.org/officeDocument/2006/relationships/hyperlink" Target="http://www.cellsignal.com/products/2594.html" TargetMode="External"/><Relationship Id="rId862" Type="http://schemas.openxmlformats.org/officeDocument/2006/relationships/hyperlink" Target="http://www.phosphosite.org/proteinAction.do?id=21502&amp;showAllSites=true" TargetMode="External"/><Relationship Id="rId1078" Type="http://schemas.openxmlformats.org/officeDocument/2006/relationships/hyperlink" Target="http://www.phosphosite.org/proteinAction.do?id=9550&amp;showAllSites=true" TargetMode="External"/><Relationship Id="rId1285" Type="http://schemas.openxmlformats.org/officeDocument/2006/relationships/hyperlink" Target="http://www.cellsignal.com/products/3542.html" TargetMode="External"/><Relationship Id="rId1492" Type="http://schemas.openxmlformats.org/officeDocument/2006/relationships/hyperlink" Target="http://www.phosphosite.org/proteinAction.do?id=3502&amp;showAllSites=true" TargetMode="External"/><Relationship Id="rId1506" Type="http://schemas.openxmlformats.org/officeDocument/2006/relationships/hyperlink" Target="http://www.cellsignal.com/products/3810.html" TargetMode="External"/><Relationship Id="rId1713" Type="http://schemas.openxmlformats.org/officeDocument/2006/relationships/hyperlink" Target="http://www.phosphosite.org/proteinAction.do?id=5145077&amp;showAllSites=true" TargetMode="External"/><Relationship Id="rId294" Type="http://schemas.openxmlformats.org/officeDocument/2006/relationships/hyperlink" Target="http://www.cellsignal.com/products/9099.html" TargetMode="External"/><Relationship Id="rId308" Type="http://schemas.openxmlformats.org/officeDocument/2006/relationships/hyperlink" Target="http://www.phosphosite.org/proteinAction.do?id=4852&amp;showAllSites=true" TargetMode="External"/><Relationship Id="rId515" Type="http://schemas.openxmlformats.org/officeDocument/2006/relationships/hyperlink" Target="http://www.cellsignal.com/products/5435.html" TargetMode="External"/><Relationship Id="rId722" Type="http://schemas.openxmlformats.org/officeDocument/2006/relationships/hyperlink" Target="http://www.phosphosite.org/proteinAction.do?id=5179&amp;showAllSites=true" TargetMode="External"/><Relationship Id="rId1145" Type="http://schemas.openxmlformats.org/officeDocument/2006/relationships/hyperlink" Target="http://www.cellsignal.com/products/3205.html" TargetMode="External"/><Relationship Id="rId1352" Type="http://schemas.openxmlformats.org/officeDocument/2006/relationships/hyperlink" Target="http://www.phosphosite.org/proteinAction.do?id=9526&amp;showAllSites=true" TargetMode="External"/><Relationship Id="rId89" Type="http://schemas.openxmlformats.org/officeDocument/2006/relationships/hyperlink" Target="http://www.phosphosite.org/proteinAction.do?id=5735&amp;showAllSites=true" TargetMode="External"/><Relationship Id="rId154" Type="http://schemas.openxmlformats.org/officeDocument/2006/relationships/hyperlink" Target="http://www.phosphosite.org/proteinAction.do?id=1161&amp;showAllSites=true" TargetMode="External"/><Relationship Id="rId361" Type="http://schemas.openxmlformats.org/officeDocument/2006/relationships/hyperlink" Target="http://www.phosphosite.org/proteinAction.do?id=8840&amp;showAllSites=true" TargetMode="External"/><Relationship Id="rId599" Type="http://schemas.openxmlformats.org/officeDocument/2006/relationships/hyperlink" Target="http://www.cellsignal.com/products/2592.html" TargetMode="External"/><Relationship Id="rId1005" Type="http://schemas.openxmlformats.org/officeDocument/2006/relationships/hyperlink" Target="http://www.phosphosite.org/proteinAction.do?id=15789&amp;showAllSites=true" TargetMode="External"/><Relationship Id="rId1212" Type="http://schemas.openxmlformats.org/officeDocument/2006/relationships/hyperlink" Target="http://www.cellsignal.com/products/3357.html" TargetMode="External"/><Relationship Id="rId1657" Type="http://schemas.openxmlformats.org/officeDocument/2006/relationships/hyperlink" Target="http://www.phosphosite.org/proteinAction.do?id=18873&amp;showAllSites=true" TargetMode="External"/><Relationship Id="rId459" Type="http://schemas.openxmlformats.org/officeDocument/2006/relationships/hyperlink" Target="http://www.phosphosite.org/proteinAction.do?id=8395&amp;showAllSites=true" TargetMode="External"/><Relationship Id="rId666" Type="http://schemas.openxmlformats.org/officeDocument/2006/relationships/hyperlink" Target="http://www.cellsignal.com/products/8135.html" TargetMode="External"/><Relationship Id="rId873" Type="http://schemas.openxmlformats.org/officeDocument/2006/relationships/hyperlink" Target="http://www.cellsignal.com/products/3180.html" TargetMode="External"/><Relationship Id="rId1089" Type="http://schemas.openxmlformats.org/officeDocument/2006/relationships/hyperlink" Target="http://www.phosphosite.org/proteinAction.do?id=10223&amp;showAllSites=true" TargetMode="External"/><Relationship Id="rId1296" Type="http://schemas.openxmlformats.org/officeDocument/2006/relationships/hyperlink" Target="http://www.phosphosite.org/proteinAction.do?id=5140324&amp;showAllSites=true" TargetMode="External"/><Relationship Id="rId1517" Type="http://schemas.openxmlformats.org/officeDocument/2006/relationships/hyperlink" Target="http://www.phosphosite.org/proteinAction.do?id=2613075&amp;showAllSites=true" TargetMode="External"/><Relationship Id="rId1724" Type="http://schemas.openxmlformats.org/officeDocument/2006/relationships/hyperlink" Target="http://www.phosphosite.org/proteinAction.do?id=18411405&amp;showAllSites=true" TargetMode="External"/><Relationship Id="rId16" Type="http://schemas.openxmlformats.org/officeDocument/2006/relationships/hyperlink" Target="http://www.phosphosite.org/proteinAction.do?id=4379&amp;showAllSites=true" TargetMode="External"/><Relationship Id="rId221" Type="http://schemas.openxmlformats.org/officeDocument/2006/relationships/hyperlink" Target="http://www.phosphosite.org/proteinAction.do?id=3340&amp;showAllSites=true" TargetMode="External"/><Relationship Id="rId319" Type="http://schemas.openxmlformats.org/officeDocument/2006/relationships/hyperlink" Target="http://www.phosphosite.org/proteinAction.do?id=15250804&amp;showAllSites=true" TargetMode="External"/><Relationship Id="rId526" Type="http://schemas.openxmlformats.org/officeDocument/2006/relationships/hyperlink" Target="http://www.cellsignal.com/products/12364.html" TargetMode="External"/><Relationship Id="rId1156" Type="http://schemas.openxmlformats.org/officeDocument/2006/relationships/hyperlink" Target="http://www.phosphosite.org/proteinAction.do?id=10557&amp;showAllSites=true" TargetMode="External"/><Relationship Id="rId1363" Type="http://schemas.openxmlformats.org/officeDocument/2006/relationships/hyperlink" Target="http://www.phosphosite.org/proteinAction.do?id=24752&amp;showAllSites=true" TargetMode="External"/><Relationship Id="rId733" Type="http://schemas.openxmlformats.org/officeDocument/2006/relationships/hyperlink" Target="http://www.phosphosite.org/proteinAction.do?id=6935&amp;showAllSites=true" TargetMode="External"/><Relationship Id="rId940" Type="http://schemas.openxmlformats.org/officeDocument/2006/relationships/hyperlink" Target="http://www.phosphosite.org/proteinAction.do?id=14289&amp;showAllSites=true" TargetMode="External"/><Relationship Id="rId1016" Type="http://schemas.openxmlformats.org/officeDocument/2006/relationships/hyperlink" Target="http://www.cellsignal.com/products/3188.html" TargetMode="External"/><Relationship Id="rId1570" Type="http://schemas.openxmlformats.org/officeDocument/2006/relationships/hyperlink" Target="http://www.phosphosite.org/proteinAction.do?id=11394&amp;showAllSites=true" TargetMode="External"/><Relationship Id="rId1668" Type="http://schemas.openxmlformats.org/officeDocument/2006/relationships/hyperlink" Target="http://www.phosphosite.org/proteinAction.do?id=9193&amp;showAllSites=true" TargetMode="External"/><Relationship Id="rId165" Type="http://schemas.openxmlformats.org/officeDocument/2006/relationships/hyperlink" Target="http://www.phosphosite.org/proteinAction.do?id=7506&amp;showAllSites=true" TargetMode="External"/><Relationship Id="rId372" Type="http://schemas.openxmlformats.org/officeDocument/2006/relationships/hyperlink" Target="http://www.cellsignal.com/products/5696.html" TargetMode="External"/><Relationship Id="rId677" Type="http://schemas.openxmlformats.org/officeDocument/2006/relationships/hyperlink" Target="http://www.cellsignal.com/products/8135.html" TargetMode="External"/><Relationship Id="rId800" Type="http://schemas.openxmlformats.org/officeDocument/2006/relationships/hyperlink" Target="http://www.cellsignal.com/products/2838.html" TargetMode="External"/><Relationship Id="rId1223" Type="http://schemas.openxmlformats.org/officeDocument/2006/relationships/hyperlink" Target="http://www.cellsignal.com/products/3302.html" TargetMode="External"/><Relationship Id="rId1430" Type="http://schemas.openxmlformats.org/officeDocument/2006/relationships/hyperlink" Target="http://www.phosphosite.org/proteinAction.do?id=15732&amp;showAllSites=true" TargetMode="External"/><Relationship Id="rId1528" Type="http://schemas.openxmlformats.org/officeDocument/2006/relationships/hyperlink" Target="http://www.phosphosite.org/proteinAction.do?id=10980&amp;showAllSites=true" TargetMode="External"/><Relationship Id="rId232" Type="http://schemas.openxmlformats.org/officeDocument/2006/relationships/hyperlink" Target="http://www.phosphosite.org/proteinAction.do?id=7651&amp;showAllSites=true" TargetMode="External"/><Relationship Id="rId884" Type="http://schemas.openxmlformats.org/officeDocument/2006/relationships/hyperlink" Target="http://www.cellsignal.com/products/12588.html" TargetMode="External"/><Relationship Id="rId1735" Type="http://schemas.openxmlformats.org/officeDocument/2006/relationships/hyperlink" Target="http://www.phosphosite.org/proteinAction.do?id=26351410&amp;showAllSites=true" TargetMode="External"/><Relationship Id="rId27" Type="http://schemas.openxmlformats.org/officeDocument/2006/relationships/hyperlink" Target="http://www.cellsignal.com/products/8312.html" TargetMode="External"/><Relationship Id="rId537" Type="http://schemas.openxmlformats.org/officeDocument/2006/relationships/hyperlink" Target="http://www.phosphosite.org/proteinAction.do?id=8393&amp;showAllSites=true" TargetMode="External"/><Relationship Id="rId744" Type="http://schemas.openxmlformats.org/officeDocument/2006/relationships/hyperlink" Target="http://www.phosphosite.org/proteinAction.do?id=12265&amp;showAllSites=true" TargetMode="External"/><Relationship Id="rId951" Type="http://schemas.openxmlformats.org/officeDocument/2006/relationships/hyperlink" Target="http://www.phosphosite.org/proteinAction.do?id=4323&amp;showAllSites=true" TargetMode="External"/><Relationship Id="rId1167" Type="http://schemas.openxmlformats.org/officeDocument/2006/relationships/hyperlink" Target="http://www.cellsignal.com/products/12098.html" TargetMode="External"/><Relationship Id="rId1374" Type="http://schemas.openxmlformats.org/officeDocument/2006/relationships/hyperlink" Target="http://www.cellsignal.com/products/5307.html" TargetMode="External"/><Relationship Id="rId1581" Type="http://schemas.openxmlformats.org/officeDocument/2006/relationships/hyperlink" Target="http://www.phosphosite.org/proteinAction.do?id=17039&amp;showAllSites=true" TargetMode="External"/><Relationship Id="rId1679" Type="http://schemas.openxmlformats.org/officeDocument/2006/relationships/hyperlink" Target="http://www.phosphosite.org/proteinAction.do?id=11553&amp;showAllSites=true" TargetMode="External"/><Relationship Id="rId80" Type="http://schemas.openxmlformats.org/officeDocument/2006/relationships/hyperlink" Target="http://www.cellsignal.com/products/8235.html" TargetMode="External"/><Relationship Id="rId176" Type="http://schemas.openxmlformats.org/officeDocument/2006/relationships/hyperlink" Target="http://www.cellsignal.com/products/9269.html" TargetMode="External"/><Relationship Id="rId383" Type="http://schemas.openxmlformats.org/officeDocument/2006/relationships/hyperlink" Target="http://www.cellsignal.com/products/8444.html" TargetMode="External"/><Relationship Id="rId590" Type="http://schemas.openxmlformats.org/officeDocument/2006/relationships/hyperlink" Target="http://www.cellsignal.com/products/2592.html" TargetMode="External"/><Relationship Id="rId604" Type="http://schemas.openxmlformats.org/officeDocument/2006/relationships/hyperlink" Target="http://www.phosphosite.org/proteinAction.do?id=1878&amp;showAllSites=true" TargetMode="External"/><Relationship Id="rId811" Type="http://schemas.openxmlformats.org/officeDocument/2006/relationships/hyperlink" Target="http://www.phosphosite.org/proteinAction.do?id=9173&amp;showAllSites=true" TargetMode="External"/><Relationship Id="rId1027" Type="http://schemas.openxmlformats.org/officeDocument/2006/relationships/hyperlink" Target="http://www.phosphosite.org/proteinAction.do?id=19741&amp;showAllSites=true" TargetMode="External"/><Relationship Id="rId1234" Type="http://schemas.openxmlformats.org/officeDocument/2006/relationships/hyperlink" Target="http://www.phosphosite.org/proteinAction.do?id=1813&amp;showAllSites=true" TargetMode="External"/><Relationship Id="rId1441" Type="http://schemas.openxmlformats.org/officeDocument/2006/relationships/hyperlink" Target="http://www.phosphosite.org/proteinAction.do?id=8105&amp;showAllSites=true" TargetMode="External"/><Relationship Id="rId243" Type="http://schemas.openxmlformats.org/officeDocument/2006/relationships/hyperlink" Target="http://www.cellsignal.com/products/4462.html" TargetMode="External"/><Relationship Id="rId450" Type="http://schemas.openxmlformats.org/officeDocument/2006/relationships/hyperlink" Target="http://www.phosphosite.org/proteinAction.do?id=15481&amp;showAllSites=true" TargetMode="External"/><Relationship Id="rId688" Type="http://schemas.openxmlformats.org/officeDocument/2006/relationships/hyperlink" Target="http://www.phosphosite.org/proteinAction.do?id=11535&amp;showAllSites=true" TargetMode="External"/><Relationship Id="rId895" Type="http://schemas.openxmlformats.org/officeDocument/2006/relationships/hyperlink" Target="http://www.phosphosite.org/proteinAction.do?id=7967&amp;showAllSites=true" TargetMode="External"/><Relationship Id="rId909" Type="http://schemas.openxmlformats.org/officeDocument/2006/relationships/hyperlink" Target="http://www.cellsignal.com/products/5174.html" TargetMode="External"/><Relationship Id="rId1080" Type="http://schemas.openxmlformats.org/officeDocument/2006/relationships/hyperlink" Target="http://www.phosphosite.org/proteinAction.do?id=9550&amp;showAllSites=true" TargetMode="External"/><Relationship Id="rId1301" Type="http://schemas.openxmlformats.org/officeDocument/2006/relationships/hyperlink" Target="http://www.phosphosite.org/proteinAction.do?id=9983021&amp;showAllSites=true" TargetMode="External"/><Relationship Id="rId1539" Type="http://schemas.openxmlformats.org/officeDocument/2006/relationships/hyperlink" Target="http://www.phosphosite.org/proteinAction.do?id=2819044&amp;showAllSites=true" TargetMode="External"/><Relationship Id="rId1746" Type="http://schemas.openxmlformats.org/officeDocument/2006/relationships/hyperlink" Target="http://www.phosphosite.org/proteinAction.do?id=9670&amp;showAllSites=true" TargetMode="External"/><Relationship Id="rId38" Type="http://schemas.openxmlformats.org/officeDocument/2006/relationships/hyperlink" Target="http://www.phosphosite.org/proteinAction.do?id=6878&amp;showAllSites=true" TargetMode="External"/><Relationship Id="rId103" Type="http://schemas.openxmlformats.org/officeDocument/2006/relationships/hyperlink" Target="http://www.cellsignal.com/products/3312.html" TargetMode="External"/><Relationship Id="rId310" Type="http://schemas.openxmlformats.org/officeDocument/2006/relationships/hyperlink" Target="http://www.phosphosite.org/proteinAction.do?id=4852&amp;showAllSites=true" TargetMode="External"/><Relationship Id="rId548" Type="http://schemas.openxmlformats.org/officeDocument/2006/relationships/hyperlink" Target="http://www.phosphosite.org/proteinAction.do?id=8425&amp;showAllSites=true" TargetMode="External"/><Relationship Id="rId755" Type="http://schemas.openxmlformats.org/officeDocument/2006/relationships/hyperlink" Target="http://www.phosphosite.org/proteinAction.do?id=12045&amp;showAllSites=true" TargetMode="External"/><Relationship Id="rId962" Type="http://schemas.openxmlformats.org/officeDocument/2006/relationships/hyperlink" Target="http://www.phosphosite.org/proteinAction.do?id=8934&amp;showAllSites=true" TargetMode="External"/><Relationship Id="rId1178" Type="http://schemas.openxmlformats.org/officeDocument/2006/relationships/hyperlink" Target="http://www.phosphosite.org/proteinAction.do?id=10194&amp;showAllSites=true" TargetMode="External"/><Relationship Id="rId1385" Type="http://schemas.openxmlformats.org/officeDocument/2006/relationships/hyperlink" Target="http://www.phosphosite.org/proteinAction.do?id=2143&amp;showAllSites=true" TargetMode="External"/><Relationship Id="rId1592" Type="http://schemas.openxmlformats.org/officeDocument/2006/relationships/hyperlink" Target="http://www.phosphosite.org/proteinAction.do?id=5140189&amp;showAllSites=true" TargetMode="External"/><Relationship Id="rId1606" Type="http://schemas.openxmlformats.org/officeDocument/2006/relationships/hyperlink" Target="http://www.phosphosite.org/proteinAction.do?id=3354&amp;showAllSites=true" TargetMode="External"/><Relationship Id="rId91" Type="http://schemas.openxmlformats.org/officeDocument/2006/relationships/hyperlink" Target="http://www.phosphosite.org/proteinAction.do?id=4311&amp;showAllSites=true" TargetMode="External"/><Relationship Id="rId187" Type="http://schemas.openxmlformats.org/officeDocument/2006/relationships/hyperlink" Target="http://www.phosphosite.org/proteinAction.do?id=25230&amp;showAllSites=true" TargetMode="External"/><Relationship Id="rId394" Type="http://schemas.openxmlformats.org/officeDocument/2006/relationships/hyperlink" Target="http://www.phosphosite.org/proteinAction.do?id=9558&amp;showAllSites=true" TargetMode="External"/><Relationship Id="rId408" Type="http://schemas.openxmlformats.org/officeDocument/2006/relationships/hyperlink" Target="http://www.phosphosite.org/proteinAction.do?id=4249&amp;showAllSites=true" TargetMode="External"/><Relationship Id="rId615" Type="http://schemas.openxmlformats.org/officeDocument/2006/relationships/hyperlink" Target="http://www.cellsignal.com/products/2592.html" TargetMode="External"/><Relationship Id="rId822" Type="http://schemas.openxmlformats.org/officeDocument/2006/relationships/hyperlink" Target="http://www.cellsignal.com/products/11814.html" TargetMode="External"/><Relationship Id="rId1038" Type="http://schemas.openxmlformats.org/officeDocument/2006/relationships/hyperlink" Target="http://www.phosphosite.org/proteinAction.do?id=7201&amp;showAllSites=true" TargetMode="External"/><Relationship Id="rId1245" Type="http://schemas.openxmlformats.org/officeDocument/2006/relationships/hyperlink" Target="http://www.cellsignal.com/products/7668.html" TargetMode="External"/><Relationship Id="rId1452" Type="http://schemas.openxmlformats.org/officeDocument/2006/relationships/hyperlink" Target="http://www.phosphosite.org/proteinAction.do?id=14806&amp;showAllSites=true" TargetMode="External"/><Relationship Id="rId254" Type="http://schemas.openxmlformats.org/officeDocument/2006/relationships/hyperlink" Target="http://www.phosphosite.org/proteinAction.do?id=5047&amp;showAllSites=true" TargetMode="External"/><Relationship Id="rId699" Type="http://schemas.openxmlformats.org/officeDocument/2006/relationships/hyperlink" Target="http://www.cellsignal.com/products/8135.html" TargetMode="External"/><Relationship Id="rId1091" Type="http://schemas.openxmlformats.org/officeDocument/2006/relationships/hyperlink" Target="http://www.phosphosite.org/proteinAction.do?id=10223&amp;showAllSites=true" TargetMode="External"/><Relationship Id="rId1105" Type="http://schemas.openxmlformats.org/officeDocument/2006/relationships/hyperlink" Target="http://www.cellsignal.com/products/2024.html" TargetMode="External"/><Relationship Id="rId1312" Type="http://schemas.openxmlformats.org/officeDocument/2006/relationships/hyperlink" Target="http://www.phosphosite.org/proteinAction.do?id=5608&amp;showAllSites=true" TargetMode="External"/><Relationship Id="rId1757" Type="http://schemas.openxmlformats.org/officeDocument/2006/relationships/hyperlink" Target="http://www.phosphosite.org/proteinAction.do?id=9656&amp;showAllSites=true" TargetMode="External"/><Relationship Id="rId49" Type="http://schemas.openxmlformats.org/officeDocument/2006/relationships/hyperlink" Target="http://www.cellsignal.com/products/5521.html" TargetMode="External"/><Relationship Id="rId114" Type="http://schemas.openxmlformats.org/officeDocument/2006/relationships/hyperlink" Target="http://www.cellsignal.com/products/6267.html" TargetMode="External"/><Relationship Id="rId461" Type="http://schemas.openxmlformats.org/officeDocument/2006/relationships/hyperlink" Target="http://www.cellsignal.com/products/5435.html" TargetMode="External"/><Relationship Id="rId559" Type="http://schemas.openxmlformats.org/officeDocument/2006/relationships/hyperlink" Target="http://www.phosphosite.org/proteinAction.do?id=1878&amp;showAllSites=true" TargetMode="External"/><Relationship Id="rId766" Type="http://schemas.openxmlformats.org/officeDocument/2006/relationships/hyperlink" Target="http://www.phosphosite.org/proteinAction.do?id=10166367&amp;showAllSites=true" TargetMode="External"/><Relationship Id="rId1189" Type="http://schemas.openxmlformats.org/officeDocument/2006/relationships/hyperlink" Target="http://www.phosphosite.org/proteinAction.do?id=8079&amp;showAllSites=true" TargetMode="External"/><Relationship Id="rId1396" Type="http://schemas.openxmlformats.org/officeDocument/2006/relationships/hyperlink" Target="http://www.phosphosite.org/proteinAction.do?id=7790&amp;showAllSites=true" TargetMode="External"/><Relationship Id="rId1617" Type="http://schemas.openxmlformats.org/officeDocument/2006/relationships/hyperlink" Target="http://www.cellsignal.com/products/2332.html" TargetMode="External"/><Relationship Id="rId198" Type="http://schemas.openxmlformats.org/officeDocument/2006/relationships/hyperlink" Target="http://www.cellsignal.com/products/9099.html" TargetMode="External"/><Relationship Id="rId321" Type="http://schemas.openxmlformats.org/officeDocument/2006/relationships/hyperlink" Target="http://www.phosphosite.org/proteinAction.do?id=9696&amp;showAllSites=true" TargetMode="External"/><Relationship Id="rId419" Type="http://schemas.openxmlformats.org/officeDocument/2006/relationships/hyperlink" Target="http://www.phosphosite.org/proteinAction.do?id=8646&amp;showAllSites=true" TargetMode="External"/><Relationship Id="rId626" Type="http://schemas.openxmlformats.org/officeDocument/2006/relationships/hyperlink" Target="http://www.phosphosite.org/proteinAction.do?id=1878&amp;showAllSites=true" TargetMode="External"/><Relationship Id="rId973" Type="http://schemas.openxmlformats.org/officeDocument/2006/relationships/hyperlink" Target="http://www.phosphosite.org/proteinAction.do?id=23358&amp;showAllSites=true" TargetMode="External"/><Relationship Id="rId1049" Type="http://schemas.openxmlformats.org/officeDocument/2006/relationships/hyperlink" Target="http://www.phosphosite.org/proteinAction.do?id=3248118&amp;showAllSites=true" TargetMode="External"/><Relationship Id="rId1256" Type="http://schemas.openxmlformats.org/officeDocument/2006/relationships/hyperlink" Target="http://www.phosphosite.org/proteinAction.do?id=8886&amp;showAllSites=true" TargetMode="External"/><Relationship Id="rId833" Type="http://schemas.openxmlformats.org/officeDocument/2006/relationships/hyperlink" Target="http://www.phosphosite.org/proteinAction.do?id=18139&amp;showAllSites=true" TargetMode="External"/><Relationship Id="rId1116" Type="http://schemas.openxmlformats.org/officeDocument/2006/relationships/hyperlink" Target="http://www.phosphosite.org/proteinAction.do?id=4264&amp;showAllSites=true" TargetMode="External"/><Relationship Id="rId1463" Type="http://schemas.openxmlformats.org/officeDocument/2006/relationships/hyperlink" Target="http://www.phosphosite.org/proteinAction.do?id=4806&amp;showAllSites=true" TargetMode="External"/><Relationship Id="rId1670" Type="http://schemas.openxmlformats.org/officeDocument/2006/relationships/hyperlink" Target="http://www.phosphosite.org/proteinAction.do?id=3641390&amp;showAllSites=true" TargetMode="External"/><Relationship Id="rId1768" Type="http://schemas.openxmlformats.org/officeDocument/2006/relationships/hyperlink" Target="http://www.phosphosite.org/proteinAction.do?id=23640&amp;showAllSites=true" TargetMode="External"/><Relationship Id="rId265" Type="http://schemas.openxmlformats.org/officeDocument/2006/relationships/hyperlink" Target="http://www.phosphosite.org/proteinAction.do?id=7707705&amp;showAllSites=true" TargetMode="External"/><Relationship Id="rId472" Type="http://schemas.openxmlformats.org/officeDocument/2006/relationships/hyperlink" Target="http://www.cellsignal.com/products/8135.html" TargetMode="External"/><Relationship Id="rId900" Type="http://schemas.openxmlformats.org/officeDocument/2006/relationships/hyperlink" Target="http://www.phosphosite.org/proteinAction.do?id=4368&amp;showAllSites=true" TargetMode="External"/><Relationship Id="rId1323" Type="http://schemas.openxmlformats.org/officeDocument/2006/relationships/hyperlink" Target="http://www.phosphosite.org/proteinAction.do?id=6883&amp;showAllSites=true" TargetMode="External"/><Relationship Id="rId1530" Type="http://schemas.openxmlformats.org/officeDocument/2006/relationships/hyperlink" Target="http://www.phosphosite.org/proteinAction.do?id=10980&amp;showAllSites=true" TargetMode="External"/><Relationship Id="rId1628" Type="http://schemas.openxmlformats.org/officeDocument/2006/relationships/hyperlink" Target="http://www.phosphosite.org/proteinAction.do?id=9227&amp;showAllSites=true" TargetMode="External"/><Relationship Id="rId125" Type="http://schemas.openxmlformats.org/officeDocument/2006/relationships/hyperlink" Target="http://www.phosphosite.org/proteinAction.do?id=4396&amp;showAllSites=true" TargetMode="External"/><Relationship Id="rId332" Type="http://schemas.openxmlformats.org/officeDocument/2006/relationships/hyperlink" Target="http://www.phosphosite.org/proteinAction.do?id=4238&amp;showAllSites=true" TargetMode="External"/><Relationship Id="rId777" Type="http://schemas.openxmlformats.org/officeDocument/2006/relationships/hyperlink" Target="http://www.phosphosite.org/proteinAction.do?id=2157&amp;showAllSites=true" TargetMode="External"/><Relationship Id="rId984" Type="http://schemas.openxmlformats.org/officeDocument/2006/relationships/hyperlink" Target="http://www.phosphosite.org/proteinAction.do?id=1578&amp;showAllSites=true" TargetMode="External"/><Relationship Id="rId637" Type="http://schemas.openxmlformats.org/officeDocument/2006/relationships/hyperlink" Target="http://www.cellsignal.com/products/2591.html" TargetMode="External"/><Relationship Id="rId844" Type="http://schemas.openxmlformats.org/officeDocument/2006/relationships/hyperlink" Target="http://www.phosphosite.org/proteinAction.do?id=2464747&amp;showAllSites=true" TargetMode="External"/><Relationship Id="rId1267" Type="http://schemas.openxmlformats.org/officeDocument/2006/relationships/hyperlink" Target="http://www.cellsignal.com/products/3542.html" TargetMode="External"/><Relationship Id="rId1474" Type="http://schemas.openxmlformats.org/officeDocument/2006/relationships/hyperlink" Target="http://www.cellsignal.com/products/9412.html" TargetMode="External"/><Relationship Id="rId1681" Type="http://schemas.openxmlformats.org/officeDocument/2006/relationships/hyperlink" Target="http://www.phosphosite.org/proteinAction.do?id=25516004&amp;showAllSites=true" TargetMode="External"/><Relationship Id="rId276" Type="http://schemas.openxmlformats.org/officeDocument/2006/relationships/hyperlink" Target="http://www.phosphosite.org/proteinAction.do?id=2788&amp;showAllSites=true" TargetMode="External"/><Relationship Id="rId483" Type="http://schemas.openxmlformats.org/officeDocument/2006/relationships/hyperlink" Target="http://www.cellsignal.com/products/8135.html" TargetMode="External"/><Relationship Id="rId690" Type="http://schemas.openxmlformats.org/officeDocument/2006/relationships/hyperlink" Target="http://www.phosphosite.org/proteinAction.do?id=5143208&amp;showAllSites=true" TargetMode="External"/><Relationship Id="rId704" Type="http://schemas.openxmlformats.org/officeDocument/2006/relationships/hyperlink" Target="http://www.phosphosite.org/proteinAction.do?id=5143208&amp;showAllSites=true" TargetMode="External"/><Relationship Id="rId911" Type="http://schemas.openxmlformats.org/officeDocument/2006/relationships/hyperlink" Target="http://www.cellsignal.com/products/5174.html" TargetMode="External"/><Relationship Id="rId1127" Type="http://schemas.openxmlformats.org/officeDocument/2006/relationships/hyperlink" Target="http://www.phosphosite.org/proteinAction.do?id=13897&amp;showAllSites=true" TargetMode="External"/><Relationship Id="rId1334" Type="http://schemas.openxmlformats.org/officeDocument/2006/relationships/hyperlink" Target="http://www.phosphosite.org/proteinAction.do?id=6895&amp;showAllSites=true" TargetMode="External"/><Relationship Id="rId1541" Type="http://schemas.openxmlformats.org/officeDocument/2006/relationships/hyperlink" Target="http://www.phosphosite.org/proteinAction.do?id=2819044&amp;showAllSites=true" TargetMode="External"/><Relationship Id="rId1779" Type="http://schemas.openxmlformats.org/officeDocument/2006/relationships/hyperlink" Target="http://www.phosphosite.org/proteinAction.do?id=4289&amp;showAllSites=true" TargetMode="External"/><Relationship Id="rId40" Type="http://schemas.openxmlformats.org/officeDocument/2006/relationships/hyperlink" Target="http://www.phosphosite.org/proteinAction.do?id=6878&amp;showAllSites=true" TargetMode="External"/><Relationship Id="rId136" Type="http://schemas.openxmlformats.org/officeDocument/2006/relationships/hyperlink" Target="http://www.phosphosite.org/proteinAction.do?id=1161&amp;showAllSites=true" TargetMode="External"/><Relationship Id="rId343" Type="http://schemas.openxmlformats.org/officeDocument/2006/relationships/hyperlink" Target="http://www.cellsignal.com/products/4830.html" TargetMode="External"/><Relationship Id="rId550" Type="http://schemas.openxmlformats.org/officeDocument/2006/relationships/hyperlink" Target="http://www.cellsignal.com/products/2591.html" TargetMode="External"/><Relationship Id="rId788" Type="http://schemas.openxmlformats.org/officeDocument/2006/relationships/hyperlink" Target="http://www.phosphosite.org/proteinAction.do?id=8692&amp;showAllSites=true" TargetMode="External"/><Relationship Id="rId995" Type="http://schemas.openxmlformats.org/officeDocument/2006/relationships/hyperlink" Target="http://www.phosphosite.org/proteinAction.do?id=9181&amp;showAllSites=true" TargetMode="External"/><Relationship Id="rId1180" Type="http://schemas.openxmlformats.org/officeDocument/2006/relationships/hyperlink" Target="http://www.phosphosite.org/proteinAction.do?id=23850&amp;showAllSites=true" TargetMode="External"/><Relationship Id="rId1401" Type="http://schemas.openxmlformats.org/officeDocument/2006/relationships/hyperlink" Target="http://www.phosphosite.org/proteinAction.do?id=6584&amp;showAllSites=true" TargetMode="External"/><Relationship Id="rId1639" Type="http://schemas.openxmlformats.org/officeDocument/2006/relationships/hyperlink" Target="http://www.phosphosite.org/proteinAction.do?id=24075&amp;showAllSites=true" TargetMode="External"/><Relationship Id="rId203" Type="http://schemas.openxmlformats.org/officeDocument/2006/relationships/hyperlink" Target="http://www.phosphosite.org/proteinAction.do?id=25230&amp;showAllSites=true" TargetMode="External"/><Relationship Id="rId648" Type="http://schemas.openxmlformats.org/officeDocument/2006/relationships/hyperlink" Target="http://www.cellsignal.com/products/2592.html" TargetMode="External"/><Relationship Id="rId855" Type="http://schemas.openxmlformats.org/officeDocument/2006/relationships/hyperlink" Target="http://www.phosphosite.org/proteinAction.do?id=21096&amp;showAllSites=true" TargetMode="External"/><Relationship Id="rId1040" Type="http://schemas.openxmlformats.org/officeDocument/2006/relationships/hyperlink" Target="http://www.phosphosite.org/proteinAction.do?id=7201&amp;showAllSites=true" TargetMode="External"/><Relationship Id="rId1278" Type="http://schemas.openxmlformats.org/officeDocument/2006/relationships/hyperlink" Target="http://www.phosphosite.org/proteinAction.do?id=1394&amp;showAllSites=true" TargetMode="External"/><Relationship Id="rId1485" Type="http://schemas.openxmlformats.org/officeDocument/2006/relationships/hyperlink" Target="http://www.phosphosite.org/proteinAction.do?id=12658&amp;showAllSites=true" TargetMode="External"/><Relationship Id="rId1692" Type="http://schemas.openxmlformats.org/officeDocument/2006/relationships/hyperlink" Target="http://www.phosphosite.org/proteinAction.do?id=18611204&amp;showAllSites=true" TargetMode="External"/><Relationship Id="rId1706" Type="http://schemas.openxmlformats.org/officeDocument/2006/relationships/hyperlink" Target="http://www.phosphosite.org/proteinAction.do?id=5145077&amp;showAllSites=true" TargetMode="External"/><Relationship Id="rId287" Type="http://schemas.openxmlformats.org/officeDocument/2006/relationships/hyperlink" Target="http://www.phosphosite.org/proteinAction.do?id=2788&amp;showAllSites=true" TargetMode="External"/><Relationship Id="rId410" Type="http://schemas.openxmlformats.org/officeDocument/2006/relationships/hyperlink" Target="http://www.phosphosite.org/proteinAction.do?id=4249&amp;showAllSites=true" TargetMode="External"/><Relationship Id="rId494" Type="http://schemas.openxmlformats.org/officeDocument/2006/relationships/hyperlink" Target="http://www.cellsignal.com/products/9072.html" TargetMode="External"/><Relationship Id="rId508" Type="http://schemas.openxmlformats.org/officeDocument/2006/relationships/hyperlink" Target="http://www.cellsignal.com/products/8135.html" TargetMode="External"/><Relationship Id="rId715" Type="http://schemas.openxmlformats.org/officeDocument/2006/relationships/hyperlink" Target="http://www.cellsignal.com/products/8135.html" TargetMode="External"/><Relationship Id="rId922" Type="http://schemas.openxmlformats.org/officeDocument/2006/relationships/hyperlink" Target="http://www.phosphosite.org/proteinAction.do?id=4368&amp;showAllSites=true" TargetMode="External"/><Relationship Id="rId1138" Type="http://schemas.openxmlformats.org/officeDocument/2006/relationships/hyperlink" Target="http://www.phosphosite.org/proteinAction.do?id=1784&amp;showAllSites=true" TargetMode="External"/><Relationship Id="rId1345" Type="http://schemas.openxmlformats.org/officeDocument/2006/relationships/hyperlink" Target="http://www.phosphosite.org/proteinAction.do?id=8575&amp;showAllSites=true" TargetMode="External"/><Relationship Id="rId1552" Type="http://schemas.openxmlformats.org/officeDocument/2006/relationships/hyperlink" Target="http://www.cellsignal.com/products/12247.html" TargetMode="External"/><Relationship Id="rId147" Type="http://schemas.openxmlformats.org/officeDocument/2006/relationships/hyperlink" Target="http://www.cellsignal.com/products/7425.html" TargetMode="External"/><Relationship Id="rId354" Type="http://schemas.openxmlformats.org/officeDocument/2006/relationships/hyperlink" Target="http://www.phosphosite.org/proteinAction.do?id=12596&amp;showAllSites=true" TargetMode="External"/><Relationship Id="rId799" Type="http://schemas.openxmlformats.org/officeDocument/2006/relationships/hyperlink" Target="http://www.phosphosite.org/proteinAction.do?id=2399&amp;showAllSites=true" TargetMode="External"/><Relationship Id="rId1191" Type="http://schemas.openxmlformats.org/officeDocument/2006/relationships/hyperlink" Target="http://www.phosphosite.org/proteinAction.do?id=8085&amp;showAllSites=true" TargetMode="External"/><Relationship Id="rId1205" Type="http://schemas.openxmlformats.org/officeDocument/2006/relationships/hyperlink" Target="http://www.cellsignal.com/products/12353.html" TargetMode="External"/><Relationship Id="rId51" Type="http://schemas.openxmlformats.org/officeDocument/2006/relationships/hyperlink" Target="http://www.cellsignal.com/products/5521.html" TargetMode="External"/><Relationship Id="rId561" Type="http://schemas.openxmlformats.org/officeDocument/2006/relationships/hyperlink" Target="http://www.cellsignal.com/products/2591.html" TargetMode="External"/><Relationship Id="rId659" Type="http://schemas.openxmlformats.org/officeDocument/2006/relationships/hyperlink" Target="http://www.phosphosite.org/proteinAction.do?id=1878&amp;showAllSites=true" TargetMode="External"/><Relationship Id="rId866" Type="http://schemas.openxmlformats.org/officeDocument/2006/relationships/hyperlink" Target="http://www.phosphosite.org/proteinAction.do?id=22956&amp;showAllSites=true" TargetMode="External"/><Relationship Id="rId1289" Type="http://schemas.openxmlformats.org/officeDocument/2006/relationships/hyperlink" Target="http://www.phosphosite.org/proteinAction.do?id=5140324&amp;showAllSites=true" TargetMode="External"/><Relationship Id="rId1412" Type="http://schemas.openxmlformats.org/officeDocument/2006/relationships/hyperlink" Target="http://www.phosphosite.org/proteinAction.do?id=10981&amp;showAllSites=true" TargetMode="External"/><Relationship Id="rId1496" Type="http://schemas.openxmlformats.org/officeDocument/2006/relationships/hyperlink" Target="http://www.cellsignal.com/products/8676.html" TargetMode="External"/><Relationship Id="rId1717" Type="http://schemas.openxmlformats.org/officeDocument/2006/relationships/hyperlink" Target="http://www.phosphosite.org/proteinAction.do?id=7229004&amp;showAllSites=true" TargetMode="External"/><Relationship Id="rId214" Type="http://schemas.openxmlformats.org/officeDocument/2006/relationships/hyperlink" Target="http://www.cellsignal.com/products/12255.html" TargetMode="External"/><Relationship Id="rId298" Type="http://schemas.openxmlformats.org/officeDocument/2006/relationships/hyperlink" Target="http://www.cellsignal.com/products/3971.html" TargetMode="External"/><Relationship Id="rId421" Type="http://schemas.openxmlformats.org/officeDocument/2006/relationships/hyperlink" Target="http://www.phosphosite.org/proteinAction.do?id=9917204&amp;showAllSites=true" TargetMode="External"/><Relationship Id="rId519" Type="http://schemas.openxmlformats.org/officeDocument/2006/relationships/hyperlink" Target="http://www.phosphosite.org/proteinAction.do?id=8393&amp;showAllSites=true" TargetMode="External"/><Relationship Id="rId1051" Type="http://schemas.openxmlformats.org/officeDocument/2006/relationships/hyperlink" Target="http://www.cellsignal.com/products/9828.html" TargetMode="External"/><Relationship Id="rId1149" Type="http://schemas.openxmlformats.org/officeDocument/2006/relationships/hyperlink" Target="http://www.phosphosite.org/proteinAction.do?id=10623&amp;showAllSites=true" TargetMode="External"/><Relationship Id="rId1356" Type="http://schemas.openxmlformats.org/officeDocument/2006/relationships/hyperlink" Target="http://www.phosphosite.org/proteinAction.do?id=15764&amp;showAllSites=true" TargetMode="External"/><Relationship Id="rId158" Type="http://schemas.openxmlformats.org/officeDocument/2006/relationships/hyperlink" Target="http://www.phosphosite.org/proteinAction.do?id=13197&amp;showAllSites=true" TargetMode="External"/><Relationship Id="rId726" Type="http://schemas.openxmlformats.org/officeDocument/2006/relationships/hyperlink" Target="http://www.phosphosite.org/proteinAction.do?id=5179&amp;showAllSites=true" TargetMode="External"/><Relationship Id="rId933" Type="http://schemas.openxmlformats.org/officeDocument/2006/relationships/hyperlink" Target="http://www.cellsignal.com/products/3997.html" TargetMode="External"/><Relationship Id="rId1009" Type="http://schemas.openxmlformats.org/officeDocument/2006/relationships/hyperlink" Target="http://www.cellsignal.com/products/8966.html" TargetMode="External"/><Relationship Id="rId1563" Type="http://schemas.openxmlformats.org/officeDocument/2006/relationships/hyperlink" Target="http://www.phosphosite.org/proteinAction.do?id=5667&amp;showAllSites=true" TargetMode="External"/><Relationship Id="rId1770" Type="http://schemas.openxmlformats.org/officeDocument/2006/relationships/hyperlink" Target="http://www.phosphosite.org/proteinAction.do?id=12701&amp;showAllSites=true" TargetMode="External"/><Relationship Id="rId62" Type="http://schemas.openxmlformats.org/officeDocument/2006/relationships/hyperlink" Target="http://www.phosphosite.org/proteinAction.do?id=3579&amp;showAllSites=true" TargetMode="External"/><Relationship Id="rId365" Type="http://schemas.openxmlformats.org/officeDocument/2006/relationships/hyperlink" Target="http://www.phosphosite.org/proteinAction.do?id=8840&amp;showAllSites=true" TargetMode="External"/><Relationship Id="rId572" Type="http://schemas.openxmlformats.org/officeDocument/2006/relationships/hyperlink" Target="http://www.cellsignal.com/products/2592.html" TargetMode="External"/><Relationship Id="rId1216" Type="http://schemas.openxmlformats.org/officeDocument/2006/relationships/hyperlink" Target="http://www.cellsignal.com/products/3362.html" TargetMode="External"/><Relationship Id="rId1423" Type="http://schemas.openxmlformats.org/officeDocument/2006/relationships/hyperlink" Target="http://www.phosphosite.org/proteinAction.do?id=18995001&amp;showAllSites=true" TargetMode="External"/><Relationship Id="rId1630" Type="http://schemas.openxmlformats.org/officeDocument/2006/relationships/hyperlink" Target="http://www.cellsignal.com/products/5400.html" TargetMode="External"/><Relationship Id="rId225" Type="http://schemas.openxmlformats.org/officeDocument/2006/relationships/hyperlink" Target="http://www.phosphosite.org/proteinAction.do?id=6509&amp;showAllSites=true" TargetMode="External"/><Relationship Id="rId432" Type="http://schemas.openxmlformats.org/officeDocument/2006/relationships/hyperlink" Target="http://www.phosphosite.org/proteinAction.do?id=17985&amp;showAllSites=true" TargetMode="External"/><Relationship Id="rId877" Type="http://schemas.openxmlformats.org/officeDocument/2006/relationships/hyperlink" Target="http://www.phosphosite.org/proteinAction.do?id=7967&amp;showAllSites=true" TargetMode="External"/><Relationship Id="rId1062" Type="http://schemas.openxmlformats.org/officeDocument/2006/relationships/hyperlink" Target="http://www.phosphosite.org/proteinAction.do?id=9550&amp;showAllSites=true" TargetMode="External"/><Relationship Id="rId1728" Type="http://schemas.openxmlformats.org/officeDocument/2006/relationships/hyperlink" Target="http://www.phosphosite.org/proteinAction.do?id=18411405&amp;showAllSites=true" TargetMode="External"/><Relationship Id="rId737" Type="http://schemas.openxmlformats.org/officeDocument/2006/relationships/hyperlink" Target="http://www.cellsignal.com/products/5692.html" TargetMode="External"/><Relationship Id="rId944" Type="http://schemas.openxmlformats.org/officeDocument/2006/relationships/hyperlink" Target="http://www.cellsignal.com/products/9046.html" TargetMode="External"/><Relationship Id="rId1367" Type="http://schemas.openxmlformats.org/officeDocument/2006/relationships/hyperlink" Target="http://www.phosphosite.org/proteinAction.do?id=2143&amp;showAllSites=true" TargetMode="External"/><Relationship Id="rId1574" Type="http://schemas.openxmlformats.org/officeDocument/2006/relationships/hyperlink" Target="http://www.phosphosite.org/proteinAction.do?id=11674&amp;showAllSites=true" TargetMode="External"/><Relationship Id="rId73" Type="http://schemas.openxmlformats.org/officeDocument/2006/relationships/hyperlink" Target="http://www.cellsignal.com/products/8456.html" TargetMode="External"/><Relationship Id="rId169" Type="http://schemas.openxmlformats.org/officeDocument/2006/relationships/hyperlink" Target="http://www.phosphosite.org/proteinAction.do?id=3870&amp;showAllSites=true" TargetMode="External"/><Relationship Id="rId376" Type="http://schemas.openxmlformats.org/officeDocument/2006/relationships/hyperlink" Target="http://www.phosphosite.org/proteinAction.do?id=9388&amp;showAllSites=true" TargetMode="External"/><Relationship Id="rId583" Type="http://schemas.openxmlformats.org/officeDocument/2006/relationships/hyperlink" Target="http://www.phosphosite.org/proteinAction.do?id=1878&amp;showAllSites=true" TargetMode="External"/><Relationship Id="rId790" Type="http://schemas.openxmlformats.org/officeDocument/2006/relationships/hyperlink" Target="http://www.phosphosite.org/proteinAction.do?id=8692&amp;showAllSites=true" TargetMode="External"/><Relationship Id="rId804" Type="http://schemas.openxmlformats.org/officeDocument/2006/relationships/hyperlink" Target="http://www.cellsignal.com/products/3352.html" TargetMode="External"/><Relationship Id="rId1227" Type="http://schemas.openxmlformats.org/officeDocument/2006/relationships/hyperlink" Target="http://www.cellsignal.com/products/4993.html" TargetMode="External"/><Relationship Id="rId1434" Type="http://schemas.openxmlformats.org/officeDocument/2006/relationships/hyperlink" Target="http://www.phosphosite.org/proteinAction.do?id=9523&amp;showAllSites=true" TargetMode="External"/><Relationship Id="rId1641" Type="http://schemas.openxmlformats.org/officeDocument/2006/relationships/hyperlink" Target="http://www.phosphosite.org/proteinAction.do?id=8547&amp;showAllSites=true" TargetMode="External"/><Relationship Id="rId4" Type="http://schemas.openxmlformats.org/officeDocument/2006/relationships/hyperlink" Target="http://www.phosphosite.org/proteinAction.do?id=11190&amp;showAllSites=true" TargetMode="External"/><Relationship Id="rId236" Type="http://schemas.openxmlformats.org/officeDocument/2006/relationships/hyperlink" Target="http://www.phosphosite.org/proteinAction.do?id=8331&amp;showAllSites=true" TargetMode="External"/><Relationship Id="rId443" Type="http://schemas.openxmlformats.org/officeDocument/2006/relationships/hyperlink" Target="http://www.phosphosite.org/proteinAction.do?id=5384&amp;showAllSites=true" TargetMode="External"/><Relationship Id="rId650" Type="http://schemas.openxmlformats.org/officeDocument/2006/relationships/hyperlink" Target="http://www.phosphosite.org/proteinAction.do?id=1878&amp;showAllSites=true" TargetMode="External"/><Relationship Id="rId888" Type="http://schemas.openxmlformats.org/officeDocument/2006/relationships/hyperlink" Target="http://www.cellsignal.com/products/3180.html" TargetMode="External"/><Relationship Id="rId1073" Type="http://schemas.openxmlformats.org/officeDocument/2006/relationships/hyperlink" Target="http://www.cellsignal.com/products/9828.html" TargetMode="External"/><Relationship Id="rId1280" Type="http://schemas.openxmlformats.org/officeDocument/2006/relationships/hyperlink" Target="http://www.phosphosite.org/proteinAction.do?id=1394&amp;showAllSites=true" TargetMode="External"/><Relationship Id="rId1501" Type="http://schemas.openxmlformats.org/officeDocument/2006/relationships/hyperlink" Target="http://www.phosphosite.org/proteinAction.do?id=4486&amp;showAllSites=true" TargetMode="External"/><Relationship Id="rId1739" Type="http://schemas.openxmlformats.org/officeDocument/2006/relationships/hyperlink" Target="http://www.phosphosite.org/proteinAction.do?id=20278&amp;showAllSites=true" TargetMode="External"/><Relationship Id="rId303" Type="http://schemas.openxmlformats.org/officeDocument/2006/relationships/hyperlink" Target="http://www.phosphosite.org/proteinAction.do?id=2137703&amp;showAllSites=true" TargetMode="External"/><Relationship Id="rId748" Type="http://schemas.openxmlformats.org/officeDocument/2006/relationships/hyperlink" Target="http://www.phosphosite.org/proteinAction.do?id=12265&amp;showAllSites=true" TargetMode="External"/><Relationship Id="rId955" Type="http://schemas.openxmlformats.org/officeDocument/2006/relationships/hyperlink" Target="http://www.phosphosite.org/proteinAction.do?id=4323&amp;showAllSites=true" TargetMode="External"/><Relationship Id="rId1140" Type="http://schemas.openxmlformats.org/officeDocument/2006/relationships/hyperlink" Target="http://www.phosphosite.org/proteinAction.do?id=1784&amp;showAllSites=true" TargetMode="External"/><Relationship Id="rId1378" Type="http://schemas.openxmlformats.org/officeDocument/2006/relationships/hyperlink" Target="http://www.cellsignal.com/products/5307.html" TargetMode="External"/><Relationship Id="rId1585" Type="http://schemas.openxmlformats.org/officeDocument/2006/relationships/hyperlink" Target="http://www.phosphosite.org/proteinAction.do?id=8693&amp;showAllSites=true" TargetMode="External"/><Relationship Id="rId84" Type="http://schemas.openxmlformats.org/officeDocument/2006/relationships/hyperlink" Target="http://www.cellsignal.com/products/8235.html" TargetMode="External"/><Relationship Id="rId387" Type="http://schemas.openxmlformats.org/officeDocument/2006/relationships/hyperlink" Target="http://www.cellsignal.com/products/8444.html" TargetMode="External"/><Relationship Id="rId510" Type="http://schemas.openxmlformats.org/officeDocument/2006/relationships/hyperlink" Target="http://www.phosphosite.org/proteinAction.do?id=8393&amp;showAllSites=true" TargetMode="External"/><Relationship Id="rId594" Type="http://schemas.openxmlformats.org/officeDocument/2006/relationships/hyperlink" Target="http://www.cellsignal.com/products/2591.html" TargetMode="External"/><Relationship Id="rId608" Type="http://schemas.openxmlformats.org/officeDocument/2006/relationships/hyperlink" Target="http://www.cellsignal.com/products/2592.html" TargetMode="External"/><Relationship Id="rId815" Type="http://schemas.openxmlformats.org/officeDocument/2006/relationships/hyperlink" Target="http://www.phosphosite.org/proteinAction.do?id=9173&amp;showAllSites=true" TargetMode="External"/><Relationship Id="rId1238" Type="http://schemas.openxmlformats.org/officeDocument/2006/relationships/hyperlink" Target="http://www.phosphosite.org/proteinAction.do?id=7672&amp;showAllSites=true" TargetMode="External"/><Relationship Id="rId1445" Type="http://schemas.openxmlformats.org/officeDocument/2006/relationships/hyperlink" Target="http://www.phosphosite.org/proteinAction.do?id=2386&amp;showAllSites=true" TargetMode="External"/><Relationship Id="rId1652" Type="http://schemas.openxmlformats.org/officeDocument/2006/relationships/hyperlink" Target="http://www.phosphosite.org/proteinAction.do?id=7429401&amp;showAllSites=true" TargetMode="External"/><Relationship Id="rId247" Type="http://schemas.openxmlformats.org/officeDocument/2006/relationships/hyperlink" Target="http://www.phosphosite.org/proteinAction.do?id=6765&amp;showAllSites=true" TargetMode="External"/><Relationship Id="rId899" Type="http://schemas.openxmlformats.org/officeDocument/2006/relationships/hyperlink" Target="http://www.cellsignal.com/products/5174.html" TargetMode="External"/><Relationship Id="rId1000" Type="http://schemas.openxmlformats.org/officeDocument/2006/relationships/hyperlink" Target="http://www.phosphosite.org/proteinAction.do?id=25516000&amp;showAllSites=true" TargetMode="External"/><Relationship Id="rId1084" Type="http://schemas.openxmlformats.org/officeDocument/2006/relationships/hyperlink" Target="http://www.phosphosite.org/proteinAction.do?id=9550&amp;showAllSites=true" TargetMode="External"/><Relationship Id="rId1305" Type="http://schemas.openxmlformats.org/officeDocument/2006/relationships/hyperlink" Target="http://www.phosphosite.org/proteinAction.do?id=11665&amp;showAllSites=true" TargetMode="External"/><Relationship Id="rId107" Type="http://schemas.openxmlformats.org/officeDocument/2006/relationships/hyperlink" Target="http://www.phosphosite.org/proteinAction.do?id=1482&amp;showAllSites=true" TargetMode="External"/><Relationship Id="rId454" Type="http://schemas.openxmlformats.org/officeDocument/2006/relationships/hyperlink" Target="http://www.cellsignal.com/products/12364.html" TargetMode="External"/><Relationship Id="rId661" Type="http://schemas.openxmlformats.org/officeDocument/2006/relationships/hyperlink" Target="http://www.cellsignal.com/products/9072.html" TargetMode="External"/><Relationship Id="rId759" Type="http://schemas.openxmlformats.org/officeDocument/2006/relationships/hyperlink" Target="http://www.cellsignal.com/products/3529.html" TargetMode="External"/><Relationship Id="rId966" Type="http://schemas.openxmlformats.org/officeDocument/2006/relationships/hyperlink" Target="http://www.phosphosite.org/proteinAction.do?id=7284&amp;showAllSites=true" TargetMode="External"/><Relationship Id="rId1291" Type="http://schemas.openxmlformats.org/officeDocument/2006/relationships/hyperlink" Target="http://www.phosphosite.org/proteinAction.do?id=5140324&amp;showAllSites=true" TargetMode="External"/><Relationship Id="rId1389" Type="http://schemas.openxmlformats.org/officeDocument/2006/relationships/hyperlink" Target="http://www.phosphosite.org/proteinAction.do?id=2143&amp;showAllSites=true" TargetMode="External"/><Relationship Id="rId1512" Type="http://schemas.openxmlformats.org/officeDocument/2006/relationships/hyperlink" Target="http://www.phosphosite.org/proteinAction.do?id=23300603&amp;showAllSites=true" TargetMode="External"/><Relationship Id="rId1596" Type="http://schemas.openxmlformats.org/officeDocument/2006/relationships/hyperlink" Target="http://www.phosphosite.org/proteinAction.do?id=11177&amp;showAllSites=true" TargetMode="External"/><Relationship Id="rId11" Type="http://schemas.openxmlformats.org/officeDocument/2006/relationships/hyperlink" Target="http://www.phosphosite.org/proteinAction.do?id=5154642&amp;showAllSites=true" TargetMode="External"/><Relationship Id="rId314" Type="http://schemas.openxmlformats.org/officeDocument/2006/relationships/hyperlink" Target="http://www.phosphosite.org/proteinAction.do?id=2786&amp;showAllSites=true" TargetMode="External"/><Relationship Id="rId398" Type="http://schemas.openxmlformats.org/officeDocument/2006/relationships/hyperlink" Target="http://www.phosphosite.org/proteinAction.do?id=4249&amp;showAllSites=true" TargetMode="External"/><Relationship Id="rId521" Type="http://schemas.openxmlformats.org/officeDocument/2006/relationships/hyperlink" Target="http://www.cellsignal.com/products/2571.html" TargetMode="External"/><Relationship Id="rId619" Type="http://schemas.openxmlformats.org/officeDocument/2006/relationships/hyperlink" Target="http://www.cellsignal.com/products/2594.html" TargetMode="External"/><Relationship Id="rId1151" Type="http://schemas.openxmlformats.org/officeDocument/2006/relationships/hyperlink" Target="http://www.cellsignal.com/products/5839.html" TargetMode="External"/><Relationship Id="rId1249" Type="http://schemas.openxmlformats.org/officeDocument/2006/relationships/hyperlink" Target="http://www.cellsignal.com/products/8443.html" TargetMode="External"/><Relationship Id="rId95" Type="http://schemas.openxmlformats.org/officeDocument/2006/relationships/hyperlink" Target="http://www.phosphosite.org/proteinAction.do?id=1482&amp;showAllSites=true" TargetMode="External"/><Relationship Id="rId160" Type="http://schemas.openxmlformats.org/officeDocument/2006/relationships/hyperlink" Target="http://www.cellsignal.com/products/4565.html" TargetMode="External"/><Relationship Id="rId826" Type="http://schemas.openxmlformats.org/officeDocument/2006/relationships/hyperlink" Target="http://www.phosphosite.org/proteinAction.do?id=5407&amp;showAllSites=true" TargetMode="External"/><Relationship Id="rId1011" Type="http://schemas.openxmlformats.org/officeDocument/2006/relationships/hyperlink" Target="http://www.phosphosite.org/proteinAction.do?id=4240&amp;showAllSites=true" TargetMode="External"/><Relationship Id="rId1109" Type="http://schemas.openxmlformats.org/officeDocument/2006/relationships/hyperlink" Target="http://www.phosphosite.org/proteinAction.do?id=9668&amp;showAllSites=true" TargetMode="External"/><Relationship Id="rId1456" Type="http://schemas.openxmlformats.org/officeDocument/2006/relationships/hyperlink" Target="http://www.cellsignal.com/products/4866.html" TargetMode="External"/><Relationship Id="rId1663" Type="http://schemas.openxmlformats.org/officeDocument/2006/relationships/hyperlink" Target="http://www.phosphosite.org/proteinAction.do?id=2777&amp;showAllSites=true" TargetMode="External"/><Relationship Id="rId258" Type="http://schemas.openxmlformats.org/officeDocument/2006/relationships/hyperlink" Target="http://www.phosphosite.org/proteinAction.do?id=8014&amp;showAllSites=true" TargetMode="External"/><Relationship Id="rId465" Type="http://schemas.openxmlformats.org/officeDocument/2006/relationships/hyperlink" Target="http://www.phosphosite.org/proteinAction.do?id=8395&amp;showAllSites=true" TargetMode="External"/><Relationship Id="rId672" Type="http://schemas.openxmlformats.org/officeDocument/2006/relationships/hyperlink" Target="http://www.cellsignal.com/products/8135.html" TargetMode="External"/><Relationship Id="rId1095" Type="http://schemas.openxmlformats.org/officeDocument/2006/relationships/hyperlink" Target="http://www.phosphosite.org/proteinAction.do?id=10223&amp;showAllSites=true" TargetMode="External"/><Relationship Id="rId1316" Type="http://schemas.openxmlformats.org/officeDocument/2006/relationships/hyperlink" Target="http://www.phosphosite.org/proteinAction.do?id=17762&amp;showAllSites=true" TargetMode="External"/><Relationship Id="rId1523" Type="http://schemas.openxmlformats.org/officeDocument/2006/relationships/hyperlink" Target="http://www.phosphosite.org/proteinAction.do?id=5634&amp;showAllSites=true" TargetMode="External"/><Relationship Id="rId1730" Type="http://schemas.openxmlformats.org/officeDocument/2006/relationships/hyperlink" Target="http://www.phosphosite.org/proteinAction.do?id=7219&amp;showAllSites=true" TargetMode="External"/><Relationship Id="rId22" Type="http://schemas.openxmlformats.org/officeDocument/2006/relationships/hyperlink" Target="http://www.phosphosite.org/proteinAction.do?id=9911&amp;showAllSites=true" TargetMode="External"/><Relationship Id="rId118" Type="http://schemas.openxmlformats.org/officeDocument/2006/relationships/hyperlink" Target="http://www.cellsignal.com/products/4796.html" TargetMode="External"/><Relationship Id="rId325" Type="http://schemas.openxmlformats.org/officeDocument/2006/relationships/hyperlink" Target="http://www.cellsignal.com/products/3558.html" TargetMode="External"/><Relationship Id="rId532" Type="http://schemas.openxmlformats.org/officeDocument/2006/relationships/hyperlink" Target="http://www.cellsignal.com/products/12364.html" TargetMode="External"/><Relationship Id="rId977" Type="http://schemas.openxmlformats.org/officeDocument/2006/relationships/hyperlink" Target="http://www.phosphosite.org/proteinAction.do?id=5359&amp;showAllSites=true" TargetMode="External"/><Relationship Id="rId1162" Type="http://schemas.openxmlformats.org/officeDocument/2006/relationships/hyperlink" Target="http://www.phosphosite.org/proteinAction.do?id=9612&amp;showAllSites=true" TargetMode="External"/><Relationship Id="rId171" Type="http://schemas.openxmlformats.org/officeDocument/2006/relationships/hyperlink" Target="http://www.phosphosite.org/proteinAction.do?id=3870&amp;showAllSites=true" TargetMode="External"/><Relationship Id="rId837" Type="http://schemas.openxmlformats.org/officeDocument/2006/relationships/hyperlink" Target="http://www.phosphosite.org/proteinAction.do?id=9664&amp;showAllSites=true" TargetMode="External"/><Relationship Id="rId1022" Type="http://schemas.openxmlformats.org/officeDocument/2006/relationships/hyperlink" Target="http://www.cellsignal.com/products/3188.html" TargetMode="External"/><Relationship Id="rId1467" Type="http://schemas.openxmlformats.org/officeDocument/2006/relationships/hyperlink" Target="http://www.phosphosite.org/proteinAction.do?id=4806&amp;showAllSites=true" TargetMode="External"/><Relationship Id="rId1674" Type="http://schemas.openxmlformats.org/officeDocument/2006/relationships/hyperlink" Target="http://www.phosphosite.org/proteinAction.do?id=8345&amp;showAllSites=true" TargetMode="External"/><Relationship Id="rId269" Type="http://schemas.openxmlformats.org/officeDocument/2006/relationships/hyperlink" Target="http://www.phosphosite.org/proteinAction.do?id=7745&amp;showAllSites=true" TargetMode="External"/><Relationship Id="rId476" Type="http://schemas.openxmlformats.org/officeDocument/2006/relationships/hyperlink" Target="http://www.cellsignal.com/products/9072.html" TargetMode="External"/><Relationship Id="rId683" Type="http://schemas.openxmlformats.org/officeDocument/2006/relationships/hyperlink" Target="http://www.cellsignal.com/products/8135.html" TargetMode="External"/><Relationship Id="rId890" Type="http://schemas.openxmlformats.org/officeDocument/2006/relationships/hyperlink" Target="http://www.cellsignal.com/products/12588.html" TargetMode="External"/><Relationship Id="rId904" Type="http://schemas.openxmlformats.org/officeDocument/2006/relationships/hyperlink" Target="http://www.phosphosite.org/proteinAction.do?id=4368&amp;showAllSites=true" TargetMode="External"/><Relationship Id="rId1327" Type="http://schemas.openxmlformats.org/officeDocument/2006/relationships/hyperlink" Target="http://www.phosphosite.org/proteinAction.do?id=11847&amp;showAllSites=true" TargetMode="External"/><Relationship Id="rId1534" Type="http://schemas.openxmlformats.org/officeDocument/2006/relationships/hyperlink" Target="http://www.phosphosite.org/proteinAction.do?id=10980&amp;showAllSites=true" TargetMode="External"/><Relationship Id="rId1741" Type="http://schemas.openxmlformats.org/officeDocument/2006/relationships/hyperlink" Target="http://www.phosphosite.org/proteinAction.do?id=4331&amp;showAllSites=true" TargetMode="External"/><Relationship Id="rId33" Type="http://schemas.openxmlformats.org/officeDocument/2006/relationships/hyperlink" Target="http://www.cellsignal.com/products/5522.html" TargetMode="External"/><Relationship Id="rId129" Type="http://schemas.openxmlformats.org/officeDocument/2006/relationships/hyperlink" Target="http://www.cellsignal.com/products/7425.html" TargetMode="External"/><Relationship Id="rId336" Type="http://schemas.openxmlformats.org/officeDocument/2006/relationships/hyperlink" Target="http://www.phosphosite.org/proteinAction.do?id=2070&amp;showAllSites=true" TargetMode="External"/><Relationship Id="rId543" Type="http://schemas.openxmlformats.org/officeDocument/2006/relationships/hyperlink" Target="http://www.phosphosite.org/proteinAction.do?id=8393&amp;showAllSites=true" TargetMode="External"/><Relationship Id="rId988" Type="http://schemas.openxmlformats.org/officeDocument/2006/relationships/hyperlink" Target="http://www.phosphosite.org/proteinAction.do?id=15703&amp;showAllSites=true" TargetMode="External"/><Relationship Id="rId1173" Type="http://schemas.openxmlformats.org/officeDocument/2006/relationships/hyperlink" Target="http://www.phosphosite.org/proteinAction.do?id=13789&amp;showAllSites=true" TargetMode="External"/><Relationship Id="rId1380" Type="http://schemas.openxmlformats.org/officeDocument/2006/relationships/hyperlink" Target="http://www.cellsignal.com/products/5307.html" TargetMode="External"/><Relationship Id="rId1601" Type="http://schemas.openxmlformats.org/officeDocument/2006/relationships/hyperlink" Target="http://www.ncbi.nlm.nih.gov/entrez/query.fcgi?db=protein&amp;cmd=search&amp;term=NP_663459" TargetMode="External"/><Relationship Id="rId182" Type="http://schemas.openxmlformats.org/officeDocument/2006/relationships/hyperlink" Target="http://www.cellsignal.com/products/9099.html" TargetMode="External"/><Relationship Id="rId403" Type="http://schemas.openxmlformats.org/officeDocument/2006/relationships/hyperlink" Target="http://www.cellsignal.com/products/4869.html" TargetMode="External"/><Relationship Id="rId750" Type="http://schemas.openxmlformats.org/officeDocument/2006/relationships/hyperlink" Target="http://www.phosphosite.org/proteinAction.do?id=12265&amp;showAllSites=true" TargetMode="External"/><Relationship Id="rId848" Type="http://schemas.openxmlformats.org/officeDocument/2006/relationships/hyperlink" Target="http://www.phosphosite.org/proteinAction.do?id=10613&amp;showAllSites=true" TargetMode="External"/><Relationship Id="rId1033" Type="http://schemas.openxmlformats.org/officeDocument/2006/relationships/hyperlink" Target="http://www.phosphosite.org/proteinAction.do?id=9221&amp;showAllSites=true" TargetMode="External"/><Relationship Id="rId1478" Type="http://schemas.openxmlformats.org/officeDocument/2006/relationships/hyperlink" Target="http://www.phosphosite.org/proteinAction.do?id=4345&amp;showAllSites=true" TargetMode="External"/><Relationship Id="rId1685" Type="http://schemas.openxmlformats.org/officeDocument/2006/relationships/hyperlink" Target="http://www.phosphosite.org/proteinAction.do?id=25516004&amp;showAllSites=true" TargetMode="External"/><Relationship Id="rId487" Type="http://schemas.openxmlformats.org/officeDocument/2006/relationships/hyperlink" Target="http://www.cellsignal.com/products/12364.html" TargetMode="External"/><Relationship Id="rId610" Type="http://schemas.openxmlformats.org/officeDocument/2006/relationships/hyperlink" Target="http://www.phosphosite.org/proteinAction.do?id=1878&amp;showAllSites=true" TargetMode="External"/><Relationship Id="rId694" Type="http://schemas.openxmlformats.org/officeDocument/2006/relationships/hyperlink" Target="http://www.phosphosite.org/proteinAction.do?id=5143208&amp;showAllSites=true" TargetMode="External"/><Relationship Id="rId708" Type="http://schemas.openxmlformats.org/officeDocument/2006/relationships/hyperlink" Target="http://www.phosphosite.org/proteinAction.do?id=5143208&amp;showAllSites=true" TargetMode="External"/><Relationship Id="rId915" Type="http://schemas.openxmlformats.org/officeDocument/2006/relationships/hyperlink" Target="http://www.cellsignal.com/products/5174.html" TargetMode="External"/><Relationship Id="rId1240" Type="http://schemas.openxmlformats.org/officeDocument/2006/relationships/hyperlink" Target="http://www.cellsignal.com/products/2425.html" TargetMode="External"/><Relationship Id="rId1338" Type="http://schemas.openxmlformats.org/officeDocument/2006/relationships/hyperlink" Target="http://www.phosphosite.org/proteinAction.do?id=15751&amp;showAllSites=true" TargetMode="External"/><Relationship Id="rId1545" Type="http://schemas.openxmlformats.org/officeDocument/2006/relationships/hyperlink" Target="http://www.cellsignal.com/products/12141.html" TargetMode="External"/><Relationship Id="rId347" Type="http://schemas.openxmlformats.org/officeDocument/2006/relationships/hyperlink" Target="http://www.cellsignal.com/products/2759.html" TargetMode="External"/><Relationship Id="rId999" Type="http://schemas.openxmlformats.org/officeDocument/2006/relationships/hyperlink" Target="http://www.phosphosite.org/proteinAction.do?id=9181&amp;showAllSites=true" TargetMode="External"/><Relationship Id="rId1100" Type="http://schemas.openxmlformats.org/officeDocument/2006/relationships/hyperlink" Target="http://www.phosphosite.org/proteinAction.do?id=10223&amp;showAllSites=true" TargetMode="External"/><Relationship Id="rId1184" Type="http://schemas.openxmlformats.org/officeDocument/2006/relationships/hyperlink" Target="http://www.cellsignal.com/products/2459.html" TargetMode="External"/><Relationship Id="rId1405" Type="http://schemas.openxmlformats.org/officeDocument/2006/relationships/hyperlink" Target="http://www.phosphosite.org/proteinAction.do?id=9205&amp;showAllSites=true" TargetMode="External"/><Relationship Id="rId1752" Type="http://schemas.openxmlformats.org/officeDocument/2006/relationships/hyperlink" Target="http://www.ncbi.nlm.nih.gov/entrez/query.fcgi?db=protein&amp;cmd=search&amp;term=NP_808276" TargetMode="External"/><Relationship Id="rId44" Type="http://schemas.openxmlformats.org/officeDocument/2006/relationships/hyperlink" Target="http://www.phosphosite.org/proteinAction.do?id=3577&amp;showAllSites=true" TargetMode="External"/><Relationship Id="rId554" Type="http://schemas.openxmlformats.org/officeDocument/2006/relationships/hyperlink" Target="http://www.phosphosite.org/proteinAction.do?id=1878&amp;showAllSites=true" TargetMode="External"/><Relationship Id="rId761" Type="http://schemas.openxmlformats.org/officeDocument/2006/relationships/hyperlink" Target="http://www.cellsignal.com/products/12335.html" TargetMode="External"/><Relationship Id="rId859" Type="http://schemas.openxmlformats.org/officeDocument/2006/relationships/hyperlink" Target="http://www.phosphosite.org/proteinAction.do?id=21502&amp;showAllSites=true" TargetMode="External"/><Relationship Id="rId1391" Type="http://schemas.openxmlformats.org/officeDocument/2006/relationships/hyperlink" Target="http://www.phosphosite.org/proteinAction.do?id=2143&amp;showAllSites=true" TargetMode="External"/><Relationship Id="rId1489" Type="http://schemas.openxmlformats.org/officeDocument/2006/relationships/hyperlink" Target="http://www.phosphosite.org/proteinAction.do?id=6197637&amp;showAllSites=true" TargetMode="External"/><Relationship Id="rId1612" Type="http://schemas.openxmlformats.org/officeDocument/2006/relationships/hyperlink" Target="http://www.phosphosite.org/proteinAction.do?id=3354&amp;showAllSites=true" TargetMode="External"/><Relationship Id="rId1696" Type="http://schemas.openxmlformats.org/officeDocument/2006/relationships/hyperlink" Target="http://www.cellsignal.com/products/9683.html" TargetMode="External"/><Relationship Id="rId193" Type="http://schemas.openxmlformats.org/officeDocument/2006/relationships/hyperlink" Target="http://www.phosphosite.org/proteinAction.do?id=25230&amp;showAllSites=true" TargetMode="External"/><Relationship Id="rId207" Type="http://schemas.openxmlformats.org/officeDocument/2006/relationships/hyperlink" Target="http://www.phosphosite.org/proteinAction.do?id=25230&amp;showAllSites=true" TargetMode="External"/><Relationship Id="rId414" Type="http://schemas.openxmlformats.org/officeDocument/2006/relationships/hyperlink" Target="http://www.cellsignal.com/products/5670.html" TargetMode="External"/><Relationship Id="rId498" Type="http://schemas.openxmlformats.org/officeDocument/2006/relationships/hyperlink" Target="http://www.phosphosite.org/proteinAction.do?id=8393&amp;showAllSites=true" TargetMode="External"/><Relationship Id="rId621" Type="http://schemas.openxmlformats.org/officeDocument/2006/relationships/hyperlink" Target="http://www.cellsignal.com/products/2592.html" TargetMode="External"/><Relationship Id="rId1044" Type="http://schemas.openxmlformats.org/officeDocument/2006/relationships/hyperlink" Target="http://www.phosphosite.org/proteinAction.do?id=7201&amp;showAllSites=true" TargetMode="External"/><Relationship Id="rId1251" Type="http://schemas.openxmlformats.org/officeDocument/2006/relationships/hyperlink" Target="http://www.cellsignal.com/products/7668.html" TargetMode="External"/><Relationship Id="rId1349" Type="http://schemas.openxmlformats.org/officeDocument/2006/relationships/hyperlink" Target="http://www.phosphosite.org/proteinAction.do?id=9526&amp;showAllSites=true" TargetMode="External"/><Relationship Id="rId260" Type="http://schemas.openxmlformats.org/officeDocument/2006/relationships/hyperlink" Target="http://www.phosphosite.org/proteinAction.do?id=8014&amp;showAllSites=true" TargetMode="External"/><Relationship Id="rId719" Type="http://schemas.openxmlformats.org/officeDocument/2006/relationships/hyperlink" Target="http://www.cellsignal.com/products/7777.html" TargetMode="External"/><Relationship Id="rId926" Type="http://schemas.openxmlformats.org/officeDocument/2006/relationships/hyperlink" Target="http://www.phosphosite.org/proteinAction.do?id=9215&amp;showAllSites=true" TargetMode="External"/><Relationship Id="rId1111" Type="http://schemas.openxmlformats.org/officeDocument/2006/relationships/hyperlink" Target="http://www.phosphosite.org/proteinAction.do?id=9668&amp;showAllSites=true" TargetMode="External"/><Relationship Id="rId1556" Type="http://schemas.openxmlformats.org/officeDocument/2006/relationships/hyperlink" Target="http://www.phosphosite.org/proteinAction.do?id=11421&amp;showAllSites=true" TargetMode="External"/><Relationship Id="rId1763" Type="http://schemas.openxmlformats.org/officeDocument/2006/relationships/hyperlink" Target="http://www.phosphosite.org/proteinAction.do?id=11487&amp;showAllSites=true" TargetMode="External"/><Relationship Id="rId55" Type="http://schemas.openxmlformats.org/officeDocument/2006/relationships/hyperlink" Target="http://www.cellsignal.com/products/5521.html" TargetMode="External"/><Relationship Id="rId120" Type="http://schemas.openxmlformats.org/officeDocument/2006/relationships/hyperlink" Target="http://www.cellsignal.com/products/4796.html" TargetMode="External"/><Relationship Id="rId358" Type="http://schemas.openxmlformats.org/officeDocument/2006/relationships/hyperlink" Target="http://www.phosphosite.org/proteinAction.do?id=11269&amp;showAllSites=true" TargetMode="External"/><Relationship Id="rId565" Type="http://schemas.openxmlformats.org/officeDocument/2006/relationships/hyperlink" Target="http://www.phosphosite.org/proteinAction.do?id=1878&amp;showAllSites=true" TargetMode="External"/><Relationship Id="rId772" Type="http://schemas.openxmlformats.org/officeDocument/2006/relationships/hyperlink" Target="http://www.cellsignal.com/products/9087.html" TargetMode="External"/><Relationship Id="rId1195" Type="http://schemas.openxmlformats.org/officeDocument/2006/relationships/hyperlink" Target="http://www.phosphosite.org/proteinAction.do?id=9334&amp;showAllSites=true" TargetMode="External"/><Relationship Id="rId1209" Type="http://schemas.openxmlformats.org/officeDocument/2006/relationships/hyperlink" Target="http://www.phosphosite.org/proteinAction.do?id=9233&amp;showAllSites=true" TargetMode="External"/><Relationship Id="rId1416" Type="http://schemas.openxmlformats.org/officeDocument/2006/relationships/hyperlink" Target="http://www.ncbi.nlm.nih.gov/entrez/query.fcgi?db=protein&amp;cmd=search&amp;term=NP_667235" TargetMode="External"/><Relationship Id="rId1623" Type="http://schemas.openxmlformats.org/officeDocument/2006/relationships/hyperlink" Target="http://www.phosphosite.org/proteinAction.do?id=10485&amp;showAllSites=true" TargetMode="External"/><Relationship Id="rId218" Type="http://schemas.openxmlformats.org/officeDocument/2006/relationships/hyperlink" Target="http://www.cellsignal.com/products/3852.html" TargetMode="External"/><Relationship Id="rId425" Type="http://schemas.openxmlformats.org/officeDocument/2006/relationships/hyperlink" Target="http://www.phosphosite.org/proteinAction.do?id=9917204&amp;showAllSites=true" TargetMode="External"/><Relationship Id="rId632" Type="http://schemas.openxmlformats.org/officeDocument/2006/relationships/hyperlink" Target="http://www.phosphosite.org/proteinAction.do?id=1878&amp;showAllSites=true" TargetMode="External"/><Relationship Id="rId1055" Type="http://schemas.openxmlformats.org/officeDocument/2006/relationships/hyperlink" Target="http://www.cellsignal.com/products/9828.html" TargetMode="External"/><Relationship Id="rId1262" Type="http://schemas.openxmlformats.org/officeDocument/2006/relationships/hyperlink" Target="http://www.phosphosite.org/proteinAction.do?id=8696&amp;showAllSites=true" TargetMode="External"/><Relationship Id="rId271" Type="http://schemas.openxmlformats.org/officeDocument/2006/relationships/hyperlink" Target="http://www.cellsignal.com/products/9099.html" TargetMode="External"/><Relationship Id="rId937" Type="http://schemas.openxmlformats.org/officeDocument/2006/relationships/hyperlink" Target="http://www.cellsignal.com/products/3997.html" TargetMode="External"/><Relationship Id="rId1122" Type="http://schemas.openxmlformats.org/officeDocument/2006/relationships/hyperlink" Target="http://www.phosphosite.org/proteinAction.do?id=4264&amp;showAllSites=true" TargetMode="External"/><Relationship Id="rId1567" Type="http://schemas.openxmlformats.org/officeDocument/2006/relationships/hyperlink" Target="http://www.phosphosite.org/proteinAction.do?id=11394&amp;showAllSites=true" TargetMode="External"/><Relationship Id="rId1774" Type="http://schemas.openxmlformats.org/officeDocument/2006/relationships/hyperlink" Target="http://www.phosphosite.org/proteinAction.do?id=12701&amp;showAllSites=true" TargetMode="External"/><Relationship Id="rId66" Type="http://schemas.openxmlformats.org/officeDocument/2006/relationships/hyperlink" Target="http://www.phosphosite.org/proteinAction.do?id=3579&amp;showAllSites=true" TargetMode="External"/><Relationship Id="rId131" Type="http://schemas.openxmlformats.org/officeDocument/2006/relationships/hyperlink" Target="http://www.cellsignal.com/products/7425.html" TargetMode="External"/><Relationship Id="rId369" Type="http://schemas.openxmlformats.org/officeDocument/2006/relationships/hyperlink" Target="http://www.phosphosite.org/proteinAction.do?id=8840&amp;showAllSites=true" TargetMode="External"/><Relationship Id="rId576" Type="http://schemas.openxmlformats.org/officeDocument/2006/relationships/hyperlink" Target="http://www.cellsignal.com/products/2591.html" TargetMode="External"/><Relationship Id="rId783" Type="http://schemas.openxmlformats.org/officeDocument/2006/relationships/hyperlink" Target="http://www.cellsignal.com/products/4019.html" TargetMode="External"/><Relationship Id="rId990" Type="http://schemas.openxmlformats.org/officeDocument/2006/relationships/hyperlink" Target="http://www.phosphosite.org/proteinAction.do?id=10575&amp;showAllSites=true" TargetMode="External"/><Relationship Id="rId1427" Type="http://schemas.openxmlformats.org/officeDocument/2006/relationships/hyperlink" Target="http://www.phosphosite.org/proteinAction.do?id=3642637&amp;showAllSites=true" TargetMode="External"/><Relationship Id="rId1634" Type="http://schemas.openxmlformats.org/officeDocument/2006/relationships/hyperlink" Target="http://www.phosphosite.org/proteinAction.do?id=18097&amp;showAllSites=true" TargetMode="External"/><Relationship Id="rId229" Type="http://schemas.openxmlformats.org/officeDocument/2006/relationships/hyperlink" Target="http://www.phosphosite.org/proteinAction.do?id=6509&amp;showAllSites=true" TargetMode="External"/><Relationship Id="rId436" Type="http://schemas.openxmlformats.org/officeDocument/2006/relationships/hyperlink" Target="http://www.cellsignal.com/products/2718.html" TargetMode="External"/><Relationship Id="rId643" Type="http://schemas.openxmlformats.org/officeDocument/2006/relationships/hyperlink" Target="http://www.cellsignal.com/products/8804.html" TargetMode="External"/><Relationship Id="rId1066" Type="http://schemas.openxmlformats.org/officeDocument/2006/relationships/hyperlink" Target="http://www.phosphosite.org/proteinAction.do?id=9550&amp;showAllSites=true" TargetMode="External"/><Relationship Id="rId1273" Type="http://schemas.openxmlformats.org/officeDocument/2006/relationships/hyperlink" Target="http://www.cellsignal.com/products/3542.html" TargetMode="External"/><Relationship Id="rId1480" Type="http://schemas.openxmlformats.org/officeDocument/2006/relationships/hyperlink" Target="http://www.phosphosite.org/proteinAction.do?id=4345&amp;showAllSites=true" TargetMode="External"/><Relationship Id="rId850" Type="http://schemas.openxmlformats.org/officeDocument/2006/relationships/hyperlink" Target="http://www.phosphosite.org/proteinAction.do?id=10613&amp;showAllSites=true" TargetMode="External"/><Relationship Id="rId948" Type="http://schemas.openxmlformats.org/officeDocument/2006/relationships/hyperlink" Target="http://www.phosphosite.org/proteinAction.do?id=5117611&amp;showAllSites=true" TargetMode="External"/><Relationship Id="rId1133" Type="http://schemas.openxmlformats.org/officeDocument/2006/relationships/hyperlink" Target="http://www.cellsignal.com/products/2784.html" TargetMode="External"/><Relationship Id="rId1578" Type="http://schemas.openxmlformats.org/officeDocument/2006/relationships/hyperlink" Target="http://www.phosphosite.org/proteinAction.do?id=8502&amp;showAllSites=true" TargetMode="External"/><Relationship Id="rId1701" Type="http://schemas.openxmlformats.org/officeDocument/2006/relationships/hyperlink" Target="http://www.cellsignal.com/products/4499.html" TargetMode="External"/><Relationship Id="rId77" Type="http://schemas.openxmlformats.org/officeDocument/2006/relationships/hyperlink" Target="http://www.phosphosite.org/proteinAction.do?id=3488&amp;showAllSites=true" TargetMode="External"/><Relationship Id="rId282" Type="http://schemas.openxmlformats.org/officeDocument/2006/relationships/hyperlink" Target="http://www.cellsignal.com/products/9099.html" TargetMode="External"/><Relationship Id="rId503" Type="http://schemas.openxmlformats.org/officeDocument/2006/relationships/hyperlink" Target="http://www.cellsignal.com/products/9083.html" TargetMode="External"/><Relationship Id="rId587" Type="http://schemas.openxmlformats.org/officeDocument/2006/relationships/hyperlink" Target="http://www.cellsignal.com/products/2592.html" TargetMode="External"/><Relationship Id="rId710" Type="http://schemas.openxmlformats.org/officeDocument/2006/relationships/hyperlink" Target="http://www.phosphosite.org/proteinAction.do?id=5143208&amp;showAllSites=true" TargetMode="External"/><Relationship Id="rId808" Type="http://schemas.openxmlformats.org/officeDocument/2006/relationships/hyperlink" Target="http://www.phosphosite.org/proteinAction.do?id=19277&amp;showAllSites=true" TargetMode="External"/><Relationship Id="rId1340" Type="http://schemas.openxmlformats.org/officeDocument/2006/relationships/hyperlink" Target="http://www.phosphosite.org/proteinAction.do?id=15751&amp;showAllSites=true" TargetMode="External"/><Relationship Id="rId1438" Type="http://schemas.openxmlformats.org/officeDocument/2006/relationships/hyperlink" Target="http://www.phosphosite.org/proteinAction.do?id=9523&amp;showAllSites=true" TargetMode="External"/><Relationship Id="rId1645" Type="http://schemas.openxmlformats.org/officeDocument/2006/relationships/hyperlink" Target="http://www.phosphosite.org/proteinAction.do?id=13422201&amp;showAllSites=true" TargetMode="External"/><Relationship Id="rId8" Type="http://schemas.openxmlformats.org/officeDocument/2006/relationships/hyperlink" Target="http://www.cellsignal.com/products/4728.html" TargetMode="External"/><Relationship Id="rId142" Type="http://schemas.openxmlformats.org/officeDocument/2006/relationships/hyperlink" Target="http://www.phosphosite.org/proteinAction.do?id=1161&amp;showAllSites=true" TargetMode="External"/><Relationship Id="rId447" Type="http://schemas.openxmlformats.org/officeDocument/2006/relationships/hyperlink" Target="http://www.cellsignal.com/products/8135.html" TargetMode="External"/><Relationship Id="rId794" Type="http://schemas.openxmlformats.org/officeDocument/2006/relationships/hyperlink" Target="http://www.phosphosite.org/proteinAction.do?id=8692&amp;showAllSites=true" TargetMode="External"/><Relationship Id="rId1077" Type="http://schemas.openxmlformats.org/officeDocument/2006/relationships/hyperlink" Target="http://www.cellsignal.com/products/9828.html" TargetMode="External"/><Relationship Id="rId1200" Type="http://schemas.openxmlformats.org/officeDocument/2006/relationships/hyperlink" Target="http://www.cellsignal.com/products/11896.html" TargetMode="External"/><Relationship Id="rId654" Type="http://schemas.openxmlformats.org/officeDocument/2006/relationships/hyperlink" Target="http://www.cellsignal.com/products/2592.html" TargetMode="External"/><Relationship Id="rId861" Type="http://schemas.openxmlformats.org/officeDocument/2006/relationships/hyperlink" Target="http://www.phosphosite.org/proteinAction.do?id=21502&amp;showAllSites=true" TargetMode="External"/><Relationship Id="rId959" Type="http://schemas.openxmlformats.org/officeDocument/2006/relationships/hyperlink" Target="http://www.phosphosite.org/proteinAction.do?id=4323&amp;showAllSites=true" TargetMode="External"/><Relationship Id="rId1284" Type="http://schemas.openxmlformats.org/officeDocument/2006/relationships/hyperlink" Target="http://www.phosphosite.org/proteinAction.do?id=1394&amp;showAllSites=true" TargetMode="External"/><Relationship Id="rId1491" Type="http://schemas.openxmlformats.org/officeDocument/2006/relationships/hyperlink" Target="http://www.phosphosite.org/proteinAction.do?id=23624&amp;showAllSites=true" TargetMode="External"/><Relationship Id="rId1505" Type="http://schemas.openxmlformats.org/officeDocument/2006/relationships/hyperlink" Target="http://www.phosphosite.org/proteinAction.do?id=2760&amp;showAllSites=true" TargetMode="External"/><Relationship Id="rId1589" Type="http://schemas.openxmlformats.org/officeDocument/2006/relationships/hyperlink" Target="http://www.phosphosite.org/proteinAction.do?id=8693&amp;showAllSites=true" TargetMode="External"/><Relationship Id="rId1712" Type="http://schemas.openxmlformats.org/officeDocument/2006/relationships/hyperlink" Target="http://www.cellsignal.com/products/4499.html" TargetMode="External"/><Relationship Id="rId293" Type="http://schemas.openxmlformats.org/officeDocument/2006/relationships/hyperlink" Target="http://www.phosphosite.org/proteinAction.do?id=2788&amp;showAllSites=true" TargetMode="External"/><Relationship Id="rId307" Type="http://schemas.openxmlformats.org/officeDocument/2006/relationships/hyperlink" Target="http://www.cellsignal.com/products/5666.html" TargetMode="External"/><Relationship Id="rId514" Type="http://schemas.openxmlformats.org/officeDocument/2006/relationships/hyperlink" Target="http://www.cellsignal.com/products/8135.html" TargetMode="External"/><Relationship Id="rId721" Type="http://schemas.openxmlformats.org/officeDocument/2006/relationships/hyperlink" Target="http://www.cellsignal.com/products/7777.html" TargetMode="External"/><Relationship Id="rId1144" Type="http://schemas.openxmlformats.org/officeDocument/2006/relationships/hyperlink" Target="http://www.phosphosite.org/proteinAction.do?id=1784&amp;showAllSites=true" TargetMode="External"/><Relationship Id="rId1351" Type="http://schemas.openxmlformats.org/officeDocument/2006/relationships/hyperlink" Target="http://www.phosphosite.org/proteinAction.do?id=9526&amp;showAllSites=true" TargetMode="External"/><Relationship Id="rId1449" Type="http://schemas.openxmlformats.org/officeDocument/2006/relationships/hyperlink" Target="http://www.cellsignal.com/products/11886.html" TargetMode="External"/><Relationship Id="rId88" Type="http://schemas.openxmlformats.org/officeDocument/2006/relationships/hyperlink" Target="http://www.cellsignal.com/products/2564.html" TargetMode="External"/><Relationship Id="rId153" Type="http://schemas.openxmlformats.org/officeDocument/2006/relationships/hyperlink" Target="http://www.cellsignal.com/products/7389.html" TargetMode="External"/><Relationship Id="rId360" Type="http://schemas.openxmlformats.org/officeDocument/2006/relationships/hyperlink" Target="http://www.cellsignal.com/products/5696.html" TargetMode="External"/><Relationship Id="rId598" Type="http://schemas.openxmlformats.org/officeDocument/2006/relationships/hyperlink" Target="http://www.phosphosite.org/proteinAction.do?id=1878&amp;showAllSites=true" TargetMode="External"/><Relationship Id="rId819" Type="http://schemas.openxmlformats.org/officeDocument/2006/relationships/hyperlink" Target="http://www.phosphosite.org/proteinAction.do?id=9173&amp;showAllSites=true" TargetMode="External"/><Relationship Id="rId1004" Type="http://schemas.openxmlformats.org/officeDocument/2006/relationships/hyperlink" Target="http://www.phosphosite.org/proteinAction.do?id=15789&amp;showAllSites=true" TargetMode="External"/><Relationship Id="rId1211" Type="http://schemas.openxmlformats.org/officeDocument/2006/relationships/hyperlink" Target="http://www.phosphosite.org/proteinAction.do?id=5142397&amp;showAllSites=true" TargetMode="External"/><Relationship Id="rId1656" Type="http://schemas.openxmlformats.org/officeDocument/2006/relationships/hyperlink" Target="http://www.phosphosite.org/proteinAction.do?id=16402&amp;showAllSites=true" TargetMode="External"/><Relationship Id="rId220" Type="http://schemas.openxmlformats.org/officeDocument/2006/relationships/hyperlink" Target="http://www.phosphosite.org/proteinAction.do?id=3340&amp;showAllSites=true" TargetMode="External"/><Relationship Id="rId458" Type="http://schemas.openxmlformats.org/officeDocument/2006/relationships/hyperlink" Target="http://www.cellsignal.com/products/5435.html" TargetMode="External"/><Relationship Id="rId665" Type="http://schemas.openxmlformats.org/officeDocument/2006/relationships/hyperlink" Target="http://www.phosphosite.org/proteinAction.do?id=8391&amp;showAllSites=true" TargetMode="External"/><Relationship Id="rId872" Type="http://schemas.openxmlformats.org/officeDocument/2006/relationships/hyperlink" Target="http://www.cellsignal.com/products/12588.html" TargetMode="External"/><Relationship Id="rId1088" Type="http://schemas.openxmlformats.org/officeDocument/2006/relationships/hyperlink" Target="http://www.phosphosite.org/proteinAction.do?id=9550&amp;showAllSites=true" TargetMode="External"/><Relationship Id="rId1295" Type="http://schemas.openxmlformats.org/officeDocument/2006/relationships/hyperlink" Target="http://www.phosphosite.org/proteinAction.do?id=5140324&amp;showAllSites=true" TargetMode="External"/><Relationship Id="rId1309" Type="http://schemas.openxmlformats.org/officeDocument/2006/relationships/hyperlink" Target="http://www.phosphosite.org/proteinAction.do?id=5140307&amp;showAllSites=true" TargetMode="External"/><Relationship Id="rId1516" Type="http://schemas.openxmlformats.org/officeDocument/2006/relationships/hyperlink" Target="http://www.phosphosite.org/proteinAction.do?id=2613075&amp;showAllSites=true" TargetMode="External"/><Relationship Id="rId1723" Type="http://schemas.openxmlformats.org/officeDocument/2006/relationships/hyperlink" Target="http://www.cellsignal.com/products/2175.html" TargetMode="External"/><Relationship Id="rId15" Type="http://schemas.openxmlformats.org/officeDocument/2006/relationships/hyperlink" Target="http://www.phosphosite.org/proteinAction.do?id=12141&amp;showAllSites=true" TargetMode="External"/><Relationship Id="rId318" Type="http://schemas.openxmlformats.org/officeDocument/2006/relationships/hyperlink" Target="http://www.phosphosite.org/proteinAction.do?id=10609&amp;showAllSites=true" TargetMode="External"/><Relationship Id="rId525" Type="http://schemas.openxmlformats.org/officeDocument/2006/relationships/hyperlink" Target="http://www.phosphosite.org/proteinAction.do?id=8393&amp;showAllSites=true" TargetMode="External"/><Relationship Id="rId732" Type="http://schemas.openxmlformats.org/officeDocument/2006/relationships/hyperlink" Target="http://www.phosphosite.org/proteinAction.do?id=6935&amp;showAllSites=true" TargetMode="External"/><Relationship Id="rId1155" Type="http://schemas.openxmlformats.org/officeDocument/2006/relationships/hyperlink" Target="http://www.cellsignal.com/products/5839.html" TargetMode="External"/><Relationship Id="rId1362" Type="http://schemas.openxmlformats.org/officeDocument/2006/relationships/hyperlink" Target="http://www.phosphosite.org/proteinAction.do?id=13225&amp;showAllSites=true" TargetMode="External"/><Relationship Id="rId99" Type="http://schemas.openxmlformats.org/officeDocument/2006/relationships/hyperlink" Target="http://www.cellsignal.com/products/6267.html" TargetMode="External"/><Relationship Id="rId164" Type="http://schemas.openxmlformats.org/officeDocument/2006/relationships/hyperlink" Target="http://www.phosphosite.org/proteinAction.do?id=7506&amp;showAllSites=true" TargetMode="External"/><Relationship Id="rId371" Type="http://schemas.openxmlformats.org/officeDocument/2006/relationships/hyperlink" Target="http://www.phosphosite.org/proteinAction.do?id=8840&amp;showAllSites=true" TargetMode="External"/><Relationship Id="rId1015" Type="http://schemas.openxmlformats.org/officeDocument/2006/relationships/hyperlink" Target="http://www.cellsignal.com/products/8966.html" TargetMode="External"/><Relationship Id="rId1222" Type="http://schemas.openxmlformats.org/officeDocument/2006/relationships/hyperlink" Target="http://www.phosphosite.org/proteinAction.do?id=1453&amp;showAllSites=true" TargetMode="External"/><Relationship Id="rId1667" Type="http://schemas.openxmlformats.org/officeDocument/2006/relationships/hyperlink" Target="http://www.phosphosite.org/proteinAction.do?id=9193&amp;showAllSites=true" TargetMode="External"/><Relationship Id="rId469" Type="http://schemas.openxmlformats.org/officeDocument/2006/relationships/hyperlink" Target="http://www.cellsignal.com/products/8135.html" TargetMode="External"/><Relationship Id="rId676" Type="http://schemas.openxmlformats.org/officeDocument/2006/relationships/hyperlink" Target="http://www.phosphosite.org/proteinAction.do?id=8391&amp;showAllSites=true" TargetMode="External"/><Relationship Id="rId883" Type="http://schemas.openxmlformats.org/officeDocument/2006/relationships/hyperlink" Target="http://www.phosphosite.org/proteinAction.do?id=7967&amp;showAllSites=true" TargetMode="External"/><Relationship Id="rId1099" Type="http://schemas.openxmlformats.org/officeDocument/2006/relationships/hyperlink" Target="http://www.phosphosite.org/proteinAction.do?id=10223&amp;showAllSites=true" TargetMode="External"/><Relationship Id="rId1527" Type="http://schemas.openxmlformats.org/officeDocument/2006/relationships/hyperlink" Target="http://www.phosphosite.org/proteinAction.do?id=10980&amp;showAllSites=true" TargetMode="External"/><Relationship Id="rId1734" Type="http://schemas.openxmlformats.org/officeDocument/2006/relationships/hyperlink" Target="http://www.phosphosite.org/proteinAction.do?id=14810&amp;showAllSites=true" TargetMode="External"/><Relationship Id="rId26" Type="http://schemas.openxmlformats.org/officeDocument/2006/relationships/hyperlink" Target="http://www.phosphosite.org/proteinAction.do?id=9697&amp;showAllSites=true" TargetMode="External"/><Relationship Id="rId231" Type="http://schemas.openxmlformats.org/officeDocument/2006/relationships/hyperlink" Target="http://www.phosphosite.org/proteinAction.do?id=6509&amp;showAllSites=true" TargetMode="External"/><Relationship Id="rId329" Type="http://schemas.openxmlformats.org/officeDocument/2006/relationships/hyperlink" Target="http://www.cellsignal.com/products/3558.html" TargetMode="External"/><Relationship Id="rId536" Type="http://schemas.openxmlformats.org/officeDocument/2006/relationships/hyperlink" Target="http://www.cellsignal.com/products/9072.html" TargetMode="External"/><Relationship Id="rId1166" Type="http://schemas.openxmlformats.org/officeDocument/2006/relationships/hyperlink" Target="http://www.phosphosite.org/proteinAction.do?id=4427&amp;showAllSites=true" TargetMode="External"/><Relationship Id="rId1373" Type="http://schemas.openxmlformats.org/officeDocument/2006/relationships/hyperlink" Target="http://www.phosphosite.org/proteinAction.do?id=2143&amp;showAllSites=true" TargetMode="External"/><Relationship Id="rId175" Type="http://schemas.openxmlformats.org/officeDocument/2006/relationships/hyperlink" Target="http://www.phosphosite.org/proteinAction.do?id=10183&amp;showAllSites=true" TargetMode="External"/><Relationship Id="rId743" Type="http://schemas.openxmlformats.org/officeDocument/2006/relationships/hyperlink" Target="http://www.cellsignal.com/products/9437.html" TargetMode="External"/><Relationship Id="rId950" Type="http://schemas.openxmlformats.org/officeDocument/2006/relationships/hyperlink" Target="http://www.phosphosite.org/proteinAction.do?id=12251&amp;showAllSites=true" TargetMode="External"/><Relationship Id="rId1026" Type="http://schemas.openxmlformats.org/officeDocument/2006/relationships/hyperlink" Target="http://www.phosphosite.org/proteinAction.do?id=15701&amp;showAllSites=true" TargetMode="External"/><Relationship Id="rId1580" Type="http://schemas.openxmlformats.org/officeDocument/2006/relationships/hyperlink" Target="http://www.phosphosite.org/proteinAction.do?id=25705975&amp;showAllSites=true" TargetMode="External"/><Relationship Id="rId1678" Type="http://schemas.openxmlformats.org/officeDocument/2006/relationships/hyperlink" Target="http://www.phosphosite.org/proteinAction.do?id=3664415&amp;showAllSites=true" TargetMode="External"/><Relationship Id="rId382" Type="http://schemas.openxmlformats.org/officeDocument/2006/relationships/hyperlink" Target="http://www.phosphosite.org/proteinAction.do?id=4250&amp;showAllSites=true" TargetMode="External"/><Relationship Id="rId603" Type="http://schemas.openxmlformats.org/officeDocument/2006/relationships/hyperlink" Target="http://www.cellsignal.com/products/2591.html" TargetMode="External"/><Relationship Id="rId687" Type="http://schemas.openxmlformats.org/officeDocument/2006/relationships/hyperlink" Target="http://www.cellsignal.com/products/8135.html" TargetMode="External"/><Relationship Id="rId810" Type="http://schemas.openxmlformats.org/officeDocument/2006/relationships/hyperlink" Target="http://www.phosphosite.org/proteinAction.do?id=19277&amp;showAllSites=true" TargetMode="External"/><Relationship Id="rId908" Type="http://schemas.openxmlformats.org/officeDocument/2006/relationships/hyperlink" Target="http://www.phosphosite.org/proteinAction.do?id=4368&amp;showAllSites=true" TargetMode="External"/><Relationship Id="rId1233" Type="http://schemas.openxmlformats.org/officeDocument/2006/relationships/hyperlink" Target="http://www.phosphosite.org/proteinAction.do?id=1639&amp;showAllSites=true" TargetMode="External"/><Relationship Id="rId1440" Type="http://schemas.openxmlformats.org/officeDocument/2006/relationships/hyperlink" Target="http://www.phosphosite.org/proteinAction.do?id=8105&amp;showAllSites=true" TargetMode="External"/><Relationship Id="rId1538" Type="http://schemas.openxmlformats.org/officeDocument/2006/relationships/hyperlink" Target="http://www.phosphosite.org/proteinAction.do?id=10980&amp;showAllSites=true" TargetMode="External"/><Relationship Id="rId242" Type="http://schemas.openxmlformats.org/officeDocument/2006/relationships/hyperlink" Target="http://www.phosphosite.org/proteinAction.do?id=11799&amp;showAllSites=true" TargetMode="External"/><Relationship Id="rId894" Type="http://schemas.openxmlformats.org/officeDocument/2006/relationships/hyperlink" Target="http://www.cellsignal.com/products/3180.html" TargetMode="External"/><Relationship Id="rId1177" Type="http://schemas.openxmlformats.org/officeDocument/2006/relationships/hyperlink" Target="http://www.phosphosite.org/proteinAction.do?id=10157&amp;showAllSites=true" TargetMode="External"/><Relationship Id="rId1300" Type="http://schemas.openxmlformats.org/officeDocument/2006/relationships/hyperlink" Target="http://www.phosphosite.org/proteinAction.do?id=26413817&amp;showAllSites=true" TargetMode="External"/><Relationship Id="rId1745" Type="http://schemas.openxmlformats.org/officeDocument/2006/relationships/hyperlink" Target="http://www.phosphosite.org/proteinAction.do?id=9670&amp;showAllSites=true" TargetMode="External"/><Relationship Id="rId37" Type="http://schemas.openxmlformats.org/officeDocument/2006/relationships/hyperlink" Target="http://www.cellsignal.com/products/5522.html" TargetMode="External"/><Relationship Id="rId102" Type="http://schemas.openxmlformats.org/officeDocument/2006/relationships/hyperlink" Target="http://www.cellsignal.com/products/6267.html" TargetMode="External"/><Relationship Id="rId547" Type="http://schemas.openxmlformats.org/officeDocument/2006/relationships/hyperlink" Target="http://www.cellsignal.com/products/12364.html" TargetMode="External"/><Relationship Id="rId754" Type="http://schemas.openxmlformats.org/officeDocument/2006/relationships/hyperlink" Target="http://www.phosphosite.org/proteinAction.do?id=12045&amp;showAllSites=true" TargetMode="External"/><Relationship Id="rId961" Type="http://schemas.openxmlformats.org/officeDocument/2006/relationships/hyperlink" Target="http://www.cellsignal.com/products/11961.html" TargetMode="External"/><Relationship Id="rId1384" Type="http://schemas.openxmlformats.org/officeDocument/2006/relationships/hyperlink" Target="http://www.cellsignal.com/products/8945.html" TargetMode="External"/><Relationship Id="rId1591" Type="http://schemas.openxmlformats.org/officeDocument/2006/relationships/hyperlink" Target="http://www.phosphosite.org/proteinAction.do?id=8693&amp;showAllSites=true" TargetMode="External"/><Relationship Id="rId1605" Type="http://schemas.openxmlformats.org/officeDocument/2006/relationships/hyperlink" Target="http://www.cellsignal.com/products/3586.html" TargetMode="External"/><Relationship Id="rId1689" Type="http://schemas.openxmlformats.org/officeDocument/2006/relationships/hyperlink" Target="http://www.phosphosite.org/proteinAction.do?id=10958&amp;showAllSites=true" TargetMode="External"/><Relationship Id="rId90" Type="http://schemas.openxmlformats.org/officeDocument/2006/relationships/hyperlink" Target="http://www.phosphosite.org/proteinAction.do?id=4432&amp;showAllSites=true" TargetMode="External"/><Relationship Id="rId186" Type="http://schemas.openxmlformats.org/officeDocument/2006/relationships/hyperlink" Target="http://www.cellsignal.com/products/9099.html" TargetMode="External"/><Relationship Id="rId393" Type="http://schemas.openxmlformats.org/officeDocument/2006/relationships/hyperlink" Target="http://www.cellsignal.com/products/3593.html" TargetMode="External"/><Relationship Id="rId407" Type="http://schemas.openxmlformats.org/officeDocument/2006/relationships/hyperlink" Target="http://www.cellsignal.com/products/4869.html" TargetMode="External"/><Relationship Id="rId614" Type="http://schemas.openxmlformats.org/officeDocument/2006/relationships/hyperlink" Target="http://www.phosphosite.org/proteinAction.do?id=1878&amp;showAllSites=true" TargetMode="External"/><Relationship Id="rId821" Type="http://schemas.openxmlformats.org/officeDocument/2006/relationships/hyperlink" Target="http://www.phosphosite.org/proteinAction.do?id=9173&amp;showAllSites=true" TargetMode="External"/><Relationship Id="rId1037" Type="http://schemas.openxmlformats.org/officeDocument/2006/relationships/hyperlink" Target="http://www.cellsignal.com/products/4567.html" TargetMode="External"/><Relationship Id="rId1244" Type="http://schemas.openxmlformats.org/officeDocument/2006/relationships/hyperlink" Target="http://www.phosphosite.org/proteinAction.do?id=16909&amp;showAllSites=true" TargetMode="External"/><Relationship Id="rId1451" Type="http://schemas.openxmlformats.org/officeDocument/2006/relationships/hyperlink" Target="http://www.phosphosite.org/proteinAction.do?id=20945&amp;showAllSites=true" TargetMode="External"/><Relationship Id="rId253" Type="http://schemas.openxmlformats.org/officeDocument/2006/relationships/hyperlink" Target="http://www.phosphosite.org/proteinAction.do?id=5047&amp;showAllSites=true" TargetMode="External"/><Relationship Id="rId460" Type="http://schemas.openxmlformats.org/officeDocument/2006/relationships/hyperlink" Target="http://www.cellsignal.com/products/12364.html" TargetMode="External"/><Relationship Id="rId698" Type="http://schemas.openxmlformats.org/officeDocument/2006/relationships/hyperlink" Target="http://www.phosphosite.org/proteinAction.do?id=5143208&amp;showAllSites=true" TargetMode="External"/><Relationship Id="rId919" Type="http://schemas.openxmlformats.org/officeDocument/2006/relationships/hyperlink" Target="http://www.cellsignal.com/products/5174.html" TargetMode="External"/><Relationship Id="rId1090" Type="http://schemas.openxmlformats.org/officeDocument/2006/relationships/hyperlink" Target="http://www.phosphosite.org/proteinAction.do?id=10223&amp;showAllSites=true" TargetMode="External"/><Relationship Id="rId1104" Type="http://schemas.openxmlformats.org/officeDocument/2006/relationships/hyperlink" Target="http://www.phosphosite.org/proteinAction.do?id=10477&amp;showAllSites=true" TargetMode="External"/><Relationship Id="rId1311" Type="http://schemas.openxmlformats.org/officeDocument/2006/relationships/hyperlink" Target="http://www.cellsignal.com/products/8241.html" TargetMode="External"/><Relationship Id="rId1549" Type="http://schemas.openxmlformats.org/officeDocument/2006/relationships/hyperlink" Target="http://www.phosphosite.org/proteinAction.do?id=8195&amp;showAllSites=true" TargetMode="External"/><Relationship Id="rId1756" Type="http://schemas.openxmlformats.org/officeDocument/2006/relationships/hyperlink" Target="http://www.phosphosite.org/proteinAction.do?id=21738&amp;showAllSites=true" TargetMode="External"/><Relationship Id="rId48" Type="http://schemas.openxmlformats.org/officeDocument/2006/relationships/hyperlink" Target="http://www.phosphosite.org/proteinAction.do?id=3577&amp;showAllSites=true" TargetMode="External"/><Relationship Id="rId113" Type="http://schemas.openxmlformats.org/officeDocument/2006/relationships/hyperlink" Target="http://www.phosphosite.org/proteinAction.do?id=1482&amp;showAllSites=true" TargetMode="External"/><Relationship Id="rId320" Type="http://schemas.openxmlformats.org/officeDocument/2006/relationships/hyperlink" Target="http://www.phosphosite.org/proteinAction.do?id=9696&amp;showAllSites=true" TargetMode="External"/><Relationship Id="rId558" Type="http://schemas.openxmlformats.org/officeDocument/2006/relationships/hyperlink" Target="http://www.cellsignal.com/products/2592.html" TargetMode="External"/><Relationship Id="rId765" Type="http://schemas.openxmlformats.org/officeDocument/2006/relationships/hyperlink" Target="http://www.phosphosite.org/proteinAction.do?id=10166367&amp;showAllSites=true" TargetMode="External"/><Relationship Id="rId972" Type="http://schemas.openxmlformats.org/officeDocument/2006/relationships/hyperlink" Target="http://www.phosphosite.org/proteinAction.do?id=1175190&amp;showAllSites=true" TargetMode="External"/><Relationship Id="rId1188" Type="http://schemas.openxmlformats.org/officeDocument/2006/relationships/hyperlink" Target="http://www.cellsignal.com/products/2459.html" TargetMode="External"/><Relationship Id="rId1395" Type="http://schemas.openxmlformats.org/officeDocument/2006/relationships/hyperlink" Target="http://www.phosphosite.org/proteinAction.do?id=8510&amp;showAllSites=true" TargetMode="External"/><Relationship Id="rId1409" Type="http://schemas.openxmlformats.org/officeDocument/2006/relationships/hyperlink" Target="http://www.phosphosite.org/proteinAction.do?id=6794&amp;showAllSites=true" TargetMode="External"/><Relationship Id="rId1616" Type="http://schemas.openxmlformats.org/officeDocument/2006/relationships/hyperlink" Target="http://www.phosphosite.org/proteinAction.do?id=1537&amp;showAllSites=true" TargetMode="External"/><Relationship Id="rId197" Type="http://schemas.openxmlformats.org/officeDocument/2006/relationships/hyperlink" Target="http://www.phosphosite.org/proteinAction.do?id=25230&amp;showAllSites=true" TargetMode="External"/><Relationship Id="rId418" Type="http://schemas.openxmlformats.org/officeDocument/2006/relationships/hyperlink" Target="http://www.cellsignal.com/products/2619.html" TargetMode="External"/><Relationship Id="rId625" Type="http://schemas.openxmlformats.org/officeDocument/2006/relationships/hyperlink" Target="http://www.cellsignal.com/products/2594.html" TargetMode="External"/><Relationship Id="rId832" Type="http://schemas.openxmlformats.org/officeDocument/2006/relationships/hyperlink" Target="http://www.phosphosite.org/proteinAction.do?id=15720&amp;showAllSites=true" TargetMode="External"/><Relationship Id="rId1048" Type="http://schemas.openxmlformats.org/officeDocument/2006/relationships/hyperlink" Target="http://www.phosphosite.org/proteinAction.do?id=7201&amp;showAllSites=true" TargetMode="External"/><Relationship Id="rId1255" Type="http://schemas.openxmlformats.org/officeDocument/2006/relationships/hyperlink" Target="http://www.phosphosite.org/proteinAction.do?id=3375&amp;showAllSites=true" TargetMode="External"/><Relationship Id="rId1462" Type="http://schemas.openxmlformats.org/officeDocument/2006/relationships/hyperlink" Target="http://www.cellsignal.com/products/4866.html" TargetMode="External"/><Relationship Id="rId264" Type="http://schemas.openxmlformats.org/officeDocument/2006/relationships/hyperlink" Target="http://www.phosphosite.org/proteinAction.do?id=7707705&amp;showAllSites=true" TargetMode="External"/><Relationship Id="rId471" Type="http://schemas.openxmlformats.org/officeDocument/2006/relationships/hyperlink" Target="http://www.phosphosite.org/proteinAction.do?id=8395&amp;showAllSites=true" TargetMode="External"/><Relationship Id="rId1115" Type="http://schemas.openxmlformats.org/officeDocument/2006/relationships/hyperlink" Target="http://www.cellsignal.com/products/11908.html" TargetMode="External"/><Relationship Id="rId1322" Type="http://schemas.openxmlformats.org/officeDocument/2006/relationships/hyperlink" Target="http://www.cellsignal.com/products/4929.html" TargetMode="External"/><Relationship Id="rId1767" Type="http://schemas.openxmlformats.org/officeDocument/2006/relationships/hyperlink" Target="http://www.phosphosite.org/proteinAction.do?id=11487&amp;showAllSites=true" TargetMode="External"/><Relationship Id="rId59" Type="http://schemas.openxmlformats.org/officeDocument/2006/relationships/hyperlink" Target="http://www.cellsignal.com/products/7413.html" TargetMode="External"/><Relationship Id="rId124" Type="http://schemas.openxmlformats.org/officeDocument/2006/relationships/hyperlink" Target="http://www.cellsignal.com/products/4796.html" TargetMode="External"/><Relationship Id="rId569" Type="http://schemas.openxmlformats.org/officeDocument/2006/relationships/hyperlink" Target="http://www.cellsignal.com/products/2592.html" TargetMode="External"/><Relationship Id="rId776" Type="http://schemas.openxmlformats.org/officeDocument/2006/relationships/hyperlink" Target="http://www.cellsignal.com/products/9087.html" TargetMode="External"/><Relationship Id="rId983" Type="http://schemas.openxmlformats.org/officeDocument/2006/relationships/hyperlink" Target="http://www.phosphosite.org/proteinAction.do?id=2390&amp;showAllSites=true" TargetMode="External"/><Relationship Id="rId1199" Type="http://schemas.openxmlformats.org/officeDocument/2006/relationships/hyperlink" Target="http://www.cellsignal.com/products/12353.html" TargetMode="External"/><Relationship Id="rId1627" Type="http://schemas.openxmlformats.org/officeDocument/2006/relationships/hyperlink" Target="http://www.phosphosite.org/proteinAction.do?id=9227&amp;showAllSites=true" TargetMode="External"/><Relationship Id="rId331" Type="http://schemas.openxmlformats.org/officeDocument/2006/relationships/hyperlink" Target="http://www.cellsignal.com/products/3558.html" TargetMode="External"/><Relationship Id="rId429" Type="http://schemas.openxmlformats.org/officeDocument/2006/relationships/hyperlink" Target="http://www.phosphosite.org/proteinAction.do?id=9917204&amp;showAllSites=true" TargetMode="External"/><Relationship Id="rId636" Type="http://schemas.openxmlformats.org/officeDocument/2006/relationships/hyperlink" Target="http://www.cellsignal.com/products/2592.html" TargetMode="External"/><Relationship Id="rId1059" Type="http://schemas.openxmlformats.org/officeDocument/2006/relationships/hyperlink" Target="http://www.cellsignal.com/products/9828.html" TargetMode="External"/><Relationship Id="rId1266" Type="http://schemas.openxmlformats.org/officeDocument/2006/relationships/hyperlink" Target="http://www.phosphosite.org/proteinAction.do?id=1394&amp;showAllSites=true" TargetMode="External"/><Relationship Id="rId1473" Type="http://schemas.openxmlformats.org/officeDocument/2006/relationships/hyperlink" Target="http://www.phosphosite.org/proteinAction.do?id=9588&amp;showAllSites=true" TargetMode="External"/><Relationship Id="rId843" Type="http://schemas.openxmlformats.org/officeDocument/2006/relationships/hyperlink" Target="http://www.phosphosite.org/proteinAction.do?id=4045&amp;showAllSites=true" TargetMode="External"/><Relationship Id="rId1126" Type="http://schemas.openxmlformats.org/officeDocument/2006/relationships/hyperlink" Target="http://www.phosphosite.org/proteinAction.do?id=13223&amp;showAllSites=true" TargetMode="External"/><Relationship Id="rId1680" Type="http://schemas.openxmlformats.org/officeDocument/2006/relationships/hyperlink" Target="http://www.phosphosite.org/proteinAction.do?id=25516004&amp;showAllSites=true" TargetMode="External"/><Relationship Id="rId1778" Type="http://schemas.openxmlformats.org/officeDocument/2006/relationships/hyperlink" Target="http://www.phosphosite.org/proteinAction.do?id=4289&amp;showAllSites=true" TargetMode="External"/><Relationship Id="rId275" Type="http://schemas.openxmlformats.org/officeDocument/2006/relationships/hyperlink" Target="http://www.cellsignal.com/products/9099.html" TargetMode="External"/><Relationship Id="rId482" Type="http://schemas.openxmlformats.org/officeDocument/2006/relationships/hyperlink" Target="http://www.phosphosite.org/proteinAction.do?id=8395&amp;showAllSites=true" TargetMode="External"/><Relationship Id="rId703" Type="http://schemas.openxmlformats.org/officeDocument/2006/relationships/hyperlink" Target="http://www.cellsignal.com/products/8135.html" TargetMode="External"/><Relationship Id="rId910" Type="http://schemas.openxmlformats.org/officeDocument/2006/relationships/hyperlink" Target="http://www.phosphosite.org/proteinAction.do?id=4368&amp;showAllSites=true" TargetMode="External"/><Relationship Id="rId1333" Type="http://schemas.openxmlformats.org/officeDocument/2006/relationships/hyperlink" Target="http://www.phosphosite.org/proteinAction.do?id=6895&amp;showAllSites=true" TargetMode="External"/><Relationship Id="rId1540" Type="http://schemas.openxmlformats.org/officeDocument/2006/relationships/hyperlink" Target="http://www.phosphosite.org/proteinAction.do?id=2819044&amp;showAllSites=true" TargetMode="External"/><Relationship Id="rId1638" Type="http://schemas.openxmlformats.org/officeDocument/2006/relationships/hyperlink" Target="http://www.ncbi.nlm.nih.gov/entrez/query.fcgi?db=protein&amp;cmd=search&amp;term=NP_001157417" TargetMode="External"/><Relationship Id="rId135" Type="http://schemas.openxmlformats.org/officeDocument/2006/relationships/hyperlink" Target="http://www.cellsignal.com/products/7389.html" TargetMode="External"/><Relationship Id="rId342" Type="http://schemas.openxmlformats.org/officeDocument/2006/relationships/hyperlink" Target="http://www.phosphosite.org/proteinAction.do?id=2070&amp;showAllSites=true" TargetMode="External"/><Relationship Id="rId787" Type="http://schemas.openxmlformats.org/officeDocument/2006/relationships/hyperlink" Target="http://www.cellsignal.com/products/4265.html" TargetMode="External"/><Relationship Id="rId994" Type="http://schemas.openxmlformats.org/officeDocument/2006/relationships/hyperlink" Target="http://www.cellsignal.com/products/6922.html" TargetMode="External"/><Relationship Id="rId1400" Type="http://schemas.openxmlformats.org/officeDocument/2006/relationships/hyperlink" Target="http://www.phosphosite.org/proteinAction.do?id=6584&amp;showAllSites=true" TargetMode="External"/><Relationship Id="rId202" Type="http://schemas.openxmlformats.org/officeDocument/2006/relationships/hyperlink" Target="http://www.cellsignal.com/products/9099.html" TargetMode="External"/><Relationship Id="rId647" Type="http://schemas.openxmlformats.org/officeDocument/2006/relationships/hyperlink" Target="http://www.phosphosite.org/proteinAction.do?id=1878&amp;showAllSites=true" TargetMode="External"/><Relationship Id="rId854" Type="http://schemas.openxmlformats.org/officeDocument/2006/relationships/hyperlink" Target="http://www.phosphosite.org/proteinAction.do?id=16592&amp;showAllSites=true" TargetMode="External"/><Relationship Id="rId1277" Type="http://schemas.openxmlformats.org/officeDocument/2006/relationships/hyperlink" Target="http://www.cellsignal.com/products/3542.html" TargetMode="External"/><Relationship Id="rId1484" Type="http://schemas.openxmlformats.org/officeDocument/2006/relationships/hyperlink" Target="http://www.phosphosite.org/proteinAction.do?id=4345&amp;showAllSites=true" TargetMode="External"/><Relationship Id="rId1691" Type="http://schemas.openxmlformats.org/officeDocument/2006/relationships/hyperlink" Target="http://www.phosphosite.org/proteinAction.do?id=3250302&amp;showAllSites=true" TargetMode="External"/><Relationship Id="rId1705" Type="http://schemas.openxmlformats.org/officeDocument/2006/relationships/hyperlink" Target="http://www.cellsignal.com/products/8848.html" TargetMode="External"/><Relationship Id="rId286" Type="http://schemas.openxmlformats.org/officeDocument/2006/relationships/hyperlink" Target="http://www.cellsignal.com/products/3971.html" TargetMode="External"/><Relationship Id="rId493" Type="http://schemas.openxmlformats.org/officeDocument/2006/relationships/hyperlink" Target="http://www.cellsignal.com/products/8135.html" TargetMode="External"/><Relationship Id="rId507" Type="http://schemas.openxmlformats.org/officeDocument/2006/relationships/hyperlink" Target="http://www.phosphosite.org/proteinAction.do?id=8393&amp;showAllSites=true" TargetMode="External"/><Relationship Id="rId714" Type="http://schemas.openxmlformats.org/officeDocument/2006/relationships/hyperlink" Target="http://www.phosphosite.org/proteinAction.do?id=5143208&amp;showAllSites=true" TargetMode="External"/><Relationship Id="rId921" Type="http://schemas.openxmlformats.org/officeDocument/2006/relationships/hyperlink" Target="http://www.cellsignal.com/products/5174.html" TargetMode="External"/><Relationship Id="rId1137" Type="http://schemas.openxmlformats.org/officeDocument/2006/relationships/hyperlink" Target="http://www.cellsignal.com/products/2784.html" TargetMode="External"/><Relationship Id="rId1344" Type="http://schemas.openxmlformats.org/officeDocument/2006/relationships/hyperlink" Target="http://www.phosphosite.org/proteinAction.do?id=8575&amp;showAllSites=true" TargetMode="External"/><Relationship Id="rId1551" Type="http://schemas.openxmlformats.org/officeDocument/2006/relationships/hyperlink" Target="http://www.phosphosite.org/proteinAction.do?id=3053&amp;showAllSites=true" TargetMode="External"/><Relationship Id="rId50" Type="http://schemas.openxmlformats.org/officeDocument/2006/relationships/hyperlink" Target="http://www.phosphosite.org/proteinAction.do?id=3577&amp;showAllSites=true" TargetMode="External"/><Relationship Id="rId146" Type="http://schemas.openxmlformats.org/officeDocument/2006/relationships/hyperlink" Target="http://www.phosphosite.org/proteinAction.do?id=1161&amp;showAllSites=true" TargetMode="External"/><Relationship Id="rId353" Type="http://schemas.openxmlformats.org/officeDocument/2006/relationships/hyperlink" Target="http://www.phosphosite.org/proteinAction.do?id=16584&amp;showAllSites=true" TargetMode="External"/><Relationship Id="rId560" Type="http://schemas.openxmlformats.org/officeDocument/2006/relationships/hyperlink" Target="http://www.cellsignal.com/products/2592.html" TargetMode="External"/><Relationship Id="rId798" Type="http://schemas.openxmlformats.org/officeDocument/2006/relationships/hyperlink" Target="http://www.cellsignal.com/products/2838.html" TargetMode="External"/><Relationship Id="rId1190" Type="http://schemas.openxmlformats.org/officeDocument/2006/relationships/hyperlink" Target="http://www.phosphosite.org/proteinAction.do?id=8085&amp;showAllSites=true" TargetMode="External"/><Relationship Id="rId1204" Type="http://schemas.openxmlformats.org/officeDocument/2006/relationships/hyperlink" Target="http://www.phosphosite.org/proteinAction.do?id=9334&amp;showAllSites=true" TargetMode="External"/><Relationship Id="rId1411" Type="http://schemas.openxmlformats.org/officeDocument/2006/relationships/hyperlink" Target="http://www.phosphosite.org/proteinAction.do?id=3748437&amp;showAllSites=true" TargetMode="External"/><Relationship Id="rId1649" Type="http://schemas.openxmlformats.org/officeDocument/2006/relationships/hyperlink" Target="http://www.cellsignal.com/products/2217.html" TargetMode="External"/><Relationship Id="rId213" Type="http://schemas.openxmlformats.org/officeDocument/2006/relationships/hyperlink" Target="http://www.phosphosite.org/proteinAction.do?id=25230&amp;showAllSites=true" TargetMode="External"/><Relationship Id="rId420" Type="http://schemas.openxmlformats.org/officeDocument/2006/relationships/hyperlink" Target="http://www.cellsignal.com/products/2718.html" TargetMode="External"/><Relationship Id="rId658" Type="http://schemas.openxmlformats.org/officeDocument/2006/relationships/hyperlink" Target="http://www.cellsignal.com/products/8804.html" TargetMode="External"/><Relationship Id="rId865" Type="http://schemas.openxmlformats.org/officeDocument/2006/relationships/hyperlink" Target="http://www.phosphosite.org/proteinAction.do?id=21243&amp;showAllSites=true" TargetMode="External"/><Relationship Id="rId1050" Type="http://schemas.openxmlformats.org/officeDocument/2006/relationships/hyperlink" Target="http://www.phosphosite.org/proteinAction.do?id=1169906&amp;showAllSites=true" TargetMode="External"/><Relationship Id="rId1288" Type="http://schemas.openxmlformats.org/officeDocument/2006/relationships/hyperlink" Target="http://www.phosphosite.org/proteinAction.do?id=1394&amp;showAllSites=true" TargetMode="External"/><Relationship Id="rId1495" Type="http://schemas.openxmlformats.org/officeDocument/2006/relationships/hyperlink" Target="http://www.phosphosite.org/proteinAction.do?id=7088&amp;showAllSites=true" TargetMode="External"/><Relationship Id="rId1509" Type="http://schemas.openxmlformats.org/officeDocument/2006/relationships/hyperlink" Target="http://www.phosphosite.org/proteinAction.do?id=4985&amp;showAllSites=true" TargetMode="External"/><Relationship Id="rId1716" Type="http://schemas.openxmlformats.org/officeDocument/2006/relationships/hyperlink" Target="http://www.phosphosite.org/proteinAction.do?id=15516300&amp;showAllSites=true" TargetMode="External"/><Relationship Id="rId297" Type="http://schemas.openxmlformats.org/officeDocument/2006/relationships/hyperlink" Target="http://www.cellsignal.com/products/5059.html" TargetMode="External"/><Relationship Id="rId518" Type="http://schemas.openxmlformats.org/officeDocument/2006/relationships/hyperlink" Target="http://www.cellsignal.com/products/2571.html" TargetMode="External"/><Relationship Id="rId725" Type="http://schemas.openxmlformats.org/officeDocument/2006/relationships/hyperlink" Target="http://www.cellsignal.com/products/7777.html" TargetMode="External"/><Relationship Id="rId932" Type="http://schemas.openxmlformats.org/officeDocument/2006/relationships/hyperlink" Target="http://www.phosphosite.org/proteinAction.do?id=10631&amp;showAllSites=true" TargetMode="External"/><Relationship Id="rId1148" Type="http://schemas.openxmlformats.org/officeDocument/2006/relationships/hyperlink" Target="http://www.phosphosite.org/proteinAction.do?id=1784&amp;showAllSites=true" TargetMode="External"/><Relationship Id="rId1355" Type="http://schemas.openxmlformats.org/officeDocument/2006/relationships/hyperlink" Target="http://www.phosphosite.org/proteinAction.do?id=15764&amp;showAllSites=true" TargetMode="External"/><Relationship Id="rId1562" Type="http://schemas.openxmlformats.org/officeDocument/2006/relationships/hyperlink" Target="http://www.phosphosite.org/proteinAction.do?id=5667&amp;showAllSites=true" TargetMode="External"/><Relationship Id="rId157" Type="http://schemas.openxmlformats.org/officeDocument/2006/relationships/hyperlink" Target="http://www.phosphosite.org/proteinAction.do?id=8496&amp;showAllSites=true" TargetMode="External"/><Relationship Id="rId364" Type="http://schemas.openxmlformats.org/officeDocument/2006/relationships/hyperlink" Target="http://www.cellsignal.com/products/5696.html" TargetMode="External"/><Relationship Id="rId1008" Type="http://schemas.openxmlformats.org/officeDocument/2006/relationships/hyperlink" Target="http://www.phosphosite.org/proteinAction.do?id=10569&amp;showAllSites=true" TargetMode="External"/><Relationship Id="rId1215" Type="http://schemas.openxmlformats.org/officeDocument/2006/relationships/hyperlink" Target="http://www.phosphosite.org/proteinAction.do?id=5321&amp;showAllSites=true" TargetMode="External"/><Relationship Id="rId1422" Type="http://schemas.openxmlformats.org/officeDocument/2006/relationships/hyperlink" Target="http://www.phosphosite.org/proteinAction.do?id=18995001&amp;showAllSites=true" TargetMode="External"/><Relationship Id="rId61" Type="http://schemas.openxmlformats.org/officeDocument/2006/relationships/hyperlink" Target="http://www.cellsignal.com/products/7413.html" TargetMode="External"/><Relationship Id="rId571" Type="http://schemas.openxmlformats.org/officeDocument/2006/relationships/hyperlink" Target="http://www.phosphosite.org/proteinAction.do?id=1878&amp;showAllSites=true" TargetMode="External"/><Relationship Id="rId669" Type="http://schemas.openxmlformats.org/officeDocument/2006/relationships/hyperlink" Target="http://www.cellsignal.com/products/8135.html" TargetMode="External"/><Relationship Id="rId876" Type="http://schemas.openxmlformats.org/officeDocument/2006/relationships/hyperlink" Target="http://www.cellsignal.com/products/3180.html" TargetMode="External"/><Relationship Id="rId1299" Type="http://schemas.openxmlformats.org/officeDocument/2006/relationships/hyperlink" Target="http://www.phosphosite.org/proteinAction.do?id=5140324&amp;showAllSites=true" TargetMode="External"/><Relationship Id="rId1727" Type="http://schemas.openxmlformats.org/officeDocument/2006/relationships/hyperlink" Target="http://www.cellsignal.com/products/2175.html" TargetMode="External"/><Relationship Id="rId19" Type="http://schemas.openxmlformats.org/officeDocument/2006/relationships/hyperlink" Target="http://www.phosphosite.org/proteinAction.do?id=3309&amp;showAllSites=true" TargetMode="External"/><Relationship Id="rId224" Type="http://schemas.openxmlformats.org/officeDocument/2006/relationships/hyperlink" Target="http://www.cellsignal.com/products/3576.html" TargetMode="External"/><Relationship Id="rId431" Type="http://schemas.openxmlformats.org/officeDocument/2006/relationships/hyperlink" Target="http://www.phosphosite.org/proteinAction.do?id=17985&amp;showAllSites=true" TargetMode="External"/><Relationship Id="rId529" Type="http://schemas.openxmlformats.org/officeDocument/2006/relationships/hyperlink" Target="http://www.cellsignal.com/products/12364.html" TargetMode="External"/><Relationship Id="rId736" Type="http://schemas.openxmlformats.org/officeDocument/2006/relationships/hyperlink" Target="http://www.phosphosite.org/proteinAction.do?id=9556&amp;showAllSites=true" TargetMode="External"/><Relationship Id="rId1061" Type="http://schemas.openxmlformats.org/officeDocument/2006/relationships/hyperlink" Target="http://www.cellsignal.com/products/9828.html" TargetMode="External"/><Relationship Id="rId1159" Type="http://schemas.openxmlformats.org/officeDocument/2006/relationships/hyperlink" Target="http://www.phosphosite.org/proteinAction.do?id=4333&amp;showAllSites=true" TargetMode="External"/><Relationship Id="rId1366" Type="http://schemas.openxmlformats.org/officeDocument/2006/relationships/hyperlink" Target="http://www.cellsignal.com/products/5307.html" TargetMode="External"/><Relationship Id="rId168" Type="http://schemas.openxmlformats.org/officeDocument/2006/relationships/hyperlink" Target="http://www.phosphosite.org/proteinAction.do?id=3870&amp;showAllSites=true" TargetMode="External"/><Relationship Id="rId943" Type="http://schemas.openxmlformats.org/officeDocument/2006/relationships/hyperlink" Target="http://www.phosphosite.org/proteinAction.do?id=22836&amp;showAllSites=true" TargetMode="External"/><Relationship Id="rId1019" Type="http://schemas.openxmlformats.org/officeDocument/2006/relationships/hyperlink" Target="http://www.cellsignal.com/products/3188.html" TargetMode="External"/><Relationship Id="rId1573" Type="http://schemas.openxmlformats.org/officeDocument/2006/relationships/hyperlink" Target="http://www.phosphosite.org/proteinAction.do?id=11394&amp;showAllSites=true" TargetMode="External"/><Relationship Id="rId1780" Type="http://schemas.openxmlformats.org/officeDocument/2006/relationships/hyperlink" Target="http://www.phosphosite.org/proteinAction.do?id=4289&amp;showAllSites=true" TargetMode="External"/><Relationship Id="rId72" Type="http://schemas.openxmlformats.org/officeDocument/2006/relationships/hyperlink" Target="http://www.phosphosite.org/proteinAction.do?id=4802&amp;showAllSites=true" TargetMode="External"/><Relationship Id="rId375" Type="http://schemas.openxmlformats.org/officeDocument/2006/relationships/hyperlink" Target="http://www.phosphosite.org/proteinAction.do?id=9388&amp;showAllSites=true" TargetMode="External"/><Relationship Id="rId582" Type="http://schemas.openxmlformats.org/officeDocument/2006/relationships/hyperlink" Target="http://www.cellsignal.com/products/8647.html" TargetMode="External"/><Relationship Id="rId803" Type="http://schemas.openxmlformats.org/officeDocument/2006/relationships/hyperlink" Target="http://www.phosphosite.org/proteinAction.do?id=1533&amp;showAllSites=true" TargetMode="External"/><Relationship Id="rId1226" Type="http://schemas.openxmlformats.org/officeDocument/2006/relationships/hyperlink" Target="http://www.phosphosite.org/proteinAction.do?id=3512&amp;showAllSites=true" TargetMode="External"/><Relationship Id="rId1433" Type="http://schemas.openxmlformats.org/officeDocument/2006/relationships/hyperlink" Target="http://www.phosphosite.org/proteinAction.do?id=15732&amp;showAllSites=true" TargetMode="External"/><Relationship Id="rId1640" Type="http://schemas.openxmlformats.org/officeDocument/2006/relationships/hyperlink" Target="http://www.phosphosite.org/proteinAction.do?id=6600&amp;showAllSites=true" TargetMode="External"/><Relationship Id="rId1738" Type="http://schemas.openxmlformats.org/officeDocument/2006/relationships/hyperlink" Target="http://www.phosphosite.org/proteinAction.do?id=16054&amp;showAllSites=true" TargetMode="External"/><Relationship Id="rId3" Type="http://schemas.openxmlformats.org/officeDocument/2006/relationships/hyperlink" Target="http://www.phosphosite.org/proteinAction.do?id=24583&amp;showAllSites=true" TargetMode="External"/><Relationship Id="rId235" Type="http://schemas.openxmlformats.org/officeDocument/2006/relationships/hyperlink" Target="http://www.phosphosite.org/proteinAction.do?id=3454&amp;showAllSites=true" TargetMode="External"/><Relationship Id="rId442" Type="http://schemas.openxmlformats.org/officeDocument/2006/relationships/hyperlink" Target="http://www.phosphosite.org/proteinAction.do?id=8660&amp;showAllSites=true" TargetMode="External"/><Relationship Id="rId887" Type="http://schemas.openxmlformats.org/officeDocument/2006/relationships/hyperlink" Target="http://www.cellsignal.com/products/12588.html" TargetMode="External"/><Relationship Id="rId1072" Type="http://schemas.openxmlformats.org/officeDocument/2006/relationships/hyperlink" Target="http://www.phosphosite.org/proteinAction.do?id=9550&amp;showAllSites=true" TargetMode="External"/><Relationship Id="rId1500" Type="http://schemas.openxmlformats.org/officeDocument/2006/relationships/hyperlink" Target="http://www.phosphosite.org/proteinAction.do?id=16532&amp;showAllSites=true" TargetMode="External"/><Relationship Id="rId302" Type="http://schemas.openxmlformats.org/officeDocument/2006/relationships/hyperlink" Target="http://www.phosphosite.org/proteinAction.do?id=2788&amp;showAllSites=true" TargetMode="External"/><Relationship Id="rId747" Type="http://schemas.openxmlformats.org/officeDocument/2006/relationships/hyperlink" Target="http://www.cellsignal.com/products/9437.html" TargetMode="External"/><Relationship Id="rId954" Type="http://schemas.openxmlformats.org/officeDocument/2006/relationships/hyperlink" Target="http://www.phosphosite.org/proteinAction.do?id=4323&amp;showAllSites=true" TargetMode="External"/><Relationship Id="rId1377" Type="http://schemas.openxmlformats.org/officeDocument/2006/relationships/hyperlink" Target="http://www.phosphosite.org/proteinAction.do?id=2143&amp;showAllSites=true" TargetMode="External"/><Relationship Id="rId1584" Type="http://schemas.openxmlformats.org/officeDocument/2006/relationships/hyperlink" Target="http://www.phosphosite.org/proteinAction.do?id=3838400&amp;showAllSites=true" TargetMode="External"/><Relationship Id="rId83" Type="http://schemas.openxmlformats.org/officeDocument/2006/relationships/hyperlink" Target="http://www.phosphosite.org/proteinAction.do?id=3332&amp;showAllSites=true" TargetMode="External"/><Relationship Id="rId179" Type="http://schemas.openxmlformats.org/officeDocument/2006/relationships/hyperlink" Target="http://www.phosphosite.org/proteinAction.do?id=25230&amp;showAllSites=true" TargetMode="External"/><Relationship Id="rId386" Type="http://schemas.openxmlformats.org/officeDocument/2006/relationships/hyperlink" Target="http://www.phosphosite.org/proteinAction.do?id=4250&amp;showAllSites=true" TargetMode="External"/><Relationship Id="rId593" Type="http://schemas.openxmlformats.org/officeDocument/2006/relationships/hyperlink" Target="http://www.cellsignal.com/products/2592.html" TargetMode="External"/><Relationship Id="rId607" Type="http://schemas.openxmlformats.org/officeDocument/2006/relationships/hyperlink" Target="http://www.phosphosite.org/proteinAction.do?id=1878&amp;showAllSites=true" TargetMode="External"/><Relationship Id="rId814" Type="http://schemas.openxmlformats.org/officeDocument/2006/relationships/hyperlink" Target="http://www.phosphosite.org/proteinAction.do?id=9173&amp;showAllSites=true" TargetMode="External"/><Relationship Id="rId1237" Type="http://schemas.openxmlformats.org/officeDocument/2006/relationships/hyperlink" Target="http://www.phosphosite.org/proteinAction.do?id=16078&amp;showAllSites=true" TargetMode="External"/><Relationship Id="rId1444" Type="http://schemas.openxmlformats.org/officeDocument/2006/relationships/hyperlink" Target="http://www.cellsignal.com/products/5297.html" TargetMode="External"/><Relationship Id="rId1651" Type="http://schemas.openxmlformats.org/officeDocument/2006/relationships/hyperlink" Target="http://www.phosphosite.org/proteinAction.do?id=9171&amp;showAllSites=true" TargetMode="External"/><Relationship Id="rId246" Type="http://schemas.openxmlformats.org/officeDocument/2006/relationships/hyperlink" Target="http://www.phosphosite.org/proteinAction.do?id=6765&amp;showAllSites=true" TargetMode="External"/><Relationship Id="rId453" Type="http://schemas.openxmlformats.org/officeDocument/2006/relationships/hyperlink" Target="http://www.phosphosite.org/proteinAction.do?id=8395&amp;showAllSites=true" TargetMode="External"/><Relationship Id="rId660" Type="http://schemas.openxmlformats.org/officeDocument/2006/relationships/hyperlink" Target="http://www.cellsignal.com/products/8135.html" TargetMode="External"/><Relationship Id="rId898" Type="http://schemas.openxmlformats.org/officeDocument/2006/relationships/hyperlink" Target="http://www.phosphosite.org/proteinAction.do?id=4378&amp;showAllSites=true" TargetMode="External"/><Relationship Id="rId1083" Type="http://schemas.openxmlformats.org/officeDocument/2006/relationships/hyperlink" Target="http://www.cellsignal.com/products/9828.html" TargetMode="External"/><Relationship Id="rId1290" Type="http://schemas.openxmlformats.org/officeDocument/2006/relationships/hyperlink" Target="http://www.phosphosite.org/proteinAction.do?id=5140324&amp;showAllSites=true" TargetMode="External"/><Relationship Id="rId1304" Type="http://schemas.openxmlformats.org/officeDocument/2006/relationships/hyperlink" Target="http://www.phosphosite.org/proteinAction.do?id=11665&amp;showAllSites=true" TargetMode="External"/><Relationship Id="rId1511" Type="http://schemas.openxmlformats.org/officeDocument/2006/relationships/hyperlink" Target="http://www.phosphosite.org/proteinAction.do?id=16084&amp;showAllSites=true" TargetMode="External"/><Relationship Id="rId1749" Type="http://schemas.openxmlformats.org/officeDocument/2006/relationships/hyperlink" Target="http://www.phosphosite.org/proteinAction.do?id=12203&amp;showAllSites=true" TargetMode="External"/><Relationship Id="rId106" Type="http://schemas.openxmlformats.org/officeDocument/2006/relationships/hyperlink" Target="http://www.cellsignal.com/products/3318.html" TargetMode="External"/><Relationship Id="rId313" Type="http://schemas.openxmlformats.org/officeDocument/2006/relationships/hyperlink" Target="http://www.cellsignal.com/products/2128.html" TargetMode="External"/><Relationship Id="rId758" Type="http://schemas.openxmlformats.org/officeDocument/2006/relationships/hyperlink" Target="http://www.phosphosite.org/proteinAction.do?id=17419&amp;showAllSites=true" TargetMode="External"/><Relationship Id="rId965" Type="http://schemas.openxmlformats.org/officeDocument/2006/relationships/hyperlink" Target="http://www.cellsignal.com/products/2175.html" TargetMode="External"/><Relationship Id="rId1150" Type="http://schemas.openxmlformats.org/officeDocument/2006/relationships/hyperlink" Target="http://www.phosphosite.org/proteinAction.do?id=10623&amp;showAllSites=true" TargetMode="External"/><Relationship Id="rId1388" Type="http://schemas.openxmlformats.org/officeDocument/2006/relationships/hyperlink" Target="http://www.cellsignal.com/products/5307.html" TargetMode="External"/><Relationship Id="rId1595" Type="http://schemas.openxmlformats.org/officeDocument/2006/relationships/hyperlink" Target="http://www.phosphosite.org/proteinAction.do?id=11177&amp;showAllSites=true" TargetMode="External"/><Relationship Id="rId1609" Type="http://schemas.openxmlformats.org/officeDocument/2006/relationships/hyperlink" Target="http://www.cellsignal.com/products/3586.html" TargetMode="External"/><Relationship Id="rId10" Type="http://schemas.openxmlformats.org/officeDocument/2006/relationships/hyperlink" Target="http://www.cellsignal.com/products/4728.html" TargetMode="External"/><Relationship Id="rId94" Type="http://schemas.openxmlformats.org/officeDocument/2006/relationships/hyperlink" Target="http://www.cellsignal.com/products/3318.html" TargetMode="External"/><Relationship Id="rId397" Type="http://schemas.openxmlformats.org/officeDocument/2006/relationships/hyperlink" Target="http://www.cellsignal.com/products/12165.html" TargetMode="External"/><Relationship Id="rId520" Type="http://schemas.openxmlformats.org/officeDocument/2006/relationships/hyperlink" Target="http://www.cellsignal.com/products/8135.html" TargetMode="External"/><Relationship Id="rId618" Type="http://schemas.openxmlformats.org/officeDocument/2006/relationships/hyperlink" Target="http://www.cellsignal.com/products/2592.html" TargetMode="External"/><Relationship Id="rId825" Type="http://schemas.openxmlformats.org/officeDocument/2006/relationships/hyperlink" Target="http://www.phosphosite.org/proteinAction.do?id=5407&amp;showAllSites=true" TargetMode="External"/><Relationship Id="rId1248" Type="http://schemas.openxmlformats.org/officeDocument/2006/relationships/hyperlink" Target="http://www.cellsignal.com/products/7668.html" TargetMode="External"/><Relationship Id="rId1455" Type="http://schemas.openxmlformats.org/officeDocument/2006/relationships/hyperlink" Target="http://www.phosphosite.org/proteinAction.do?id=11186&amp;showAllSites=true" TargetMode="External"/><Relationship Id="rId1662" Type="http://schemas.openxmlformats.org/officeDocument/2006/relationships/hyperlink" Target="http://www.cellsignal.com/products/4890.html" TargetMode="External"/><Relationship Id="rId257" Type="http://schemas.openxmlformats.org/officeDocument/2006/relationships/hyperlink" Target="http://www.cellsignal.com/products/4454.html" TargetMode="External"/><Relationship Id="rId464" Type="http://schemas.openxmlformats.org/officeDocument/2006/relationships/hyperlink" Target="http://www.cellsignal.com/products/9072.html" TargetMode="External"/><Relationship Id="rId1010" Type="http://schemas.openxmlformats.org/officeDocument/2006/relationships/hyperlink" Target="http://www.cellsignal.com/products/3188.html" TargetMode="External"/><Relationship Id="rId1094" Type="http://schemas.openxmlformats.org/officeDocument/2006/relationships/hyperlink" Target="http://www.phosphosite.org/proteinAction.do?id=10223&amp;showAllSites=true" TargetMode="External"/><Relationship Id="rId1108" Type="http://schemas.openxmlformats.org/officeDocument/2006/relationships/hyperlink" Target="http://www.phosphosite.org/proteinAction.do?id=9560&amp;showAllSites=true" TargetMode="External"/><Relationship Id="rId1315" Type="http://schemas.openxmlformats.org/officeDocument/2006/relationships/hyperlink" Target="http://www.phosphosite.org/proteinAction.do?id=17762&amp;showAllSites=true" TargetMode="External"/><Relationship Id="rId117" Type="http://schemas.openxmlformats.org/officeDocument/2006/relationships/hyperlink" Target="http://www.phosphosite.org/proteinAction.do?id=6744&amp;showAllSites=true" TargetMode="External"/><Relationship Id="rId671" Type="http://schemas.openxmlformats.org/officeDocument/2006/relationships/hyperlink" Target="http://www.phosphosite.org/proteinAction.do?id=8391&amp;showAllSites=true" TargetMode="External"/><Relationship Id="rId769" Type="http://schemas.openxmlformats.org/officeDocument/2006/relationships/hyperlink" Target="http://www.phosphosite.org/proteinAction.do?id=23611&amp;showAllSites=true" TargetMode="External"/><Relationship Id="rId976" Type="http://schemas.openxmlformats.org/officeDocument/2006/relationships/hyperlink" Target="http://www.cellsignal.com/products/2167.html" TargetMode="External"/><Relationship Id="rId1399" Type="http://schemas.openxmlformats.org/officeDocument/2006/relationships/hyperlink" Target="http://www.phosphosite.org/proteinAction.do?id=6584&amp;showAllSites=true" TargetMode="External"/><Relationship Id="rId324" Type="http://schemas.openxmlformats.org/officeDocument/2006/relationships/hyperlink" Target="http://www.phosphosite.org/proteinAction.do?id=7319&amp;showAllSites=true" TargetMode="External"/><Relationship Id="rId531" Type="http://schemas.openxmlformats.org/officeDocument/2006/relationships/hyperlink" Target="http://www.phosphosite.org/proteinAction.do?id=8393&amp;showAllSites=true" TargetMode="External"/><Relationship Id="rId629" Type="http://schemas.openxmlformats.org/officeDocument/2006/relationships/hyperlink" Target="http://www.phosphosite.org/proteinAction.do?id=1878&amp;showAllSites=true" TargetMode="External"/><Relationship Id="rId1161" Type="http://schemas.openxmlformats.org/officeDocument/2006/relationships/hyperlink" Target="http://www.phosphosite.org/proteinAction.do?id=15763&amp;showAllSites=true" TargetMode="External"/><Relationship Id="rId1259" Type="http://schemas.openxmlformats.org/officeDocument/2006/relationships/hyperlink" Target="http://www.phosphosite.org/proteinAction.do?id=7779&amp;showAllSites=true" TargetMode="External"/><Relationship Id="rId1466" Type="http://schemas.openxmlformats.org/officeDocument/2006/relationships/hyperlink" Target="http://www.cellsignal.com/products/4661.html" TargetMode="External"/><Relationship Id="rId836" Type="http://schemas.openxmlformats.org/officeDocument/2006/relationships/hyperlink" Target="http://www.phosphosite.org/proteinAction.do?id=9664&amp;showAllSites=true" TargetMode="External"/><Relationship Id="rId1021" Type="http://schemas.openxmlformats.org/officeDocument/2006/relationships/hyperlink" Target="http://www.cellsignal.com/products/8966.html" TargetMode="External"/><Relationship Id="rId1119" Type="http://schemas.openxmlformats.org/officeDocument/2006/relationships/hyperlink" Target="http://www.cellsignal.com/products/11908.html" TargetMode="External"/><Relationship Id="rId1673" Type="http://schemas.openxmlformats.org/officeDocument/2006/relationships/hyperlink" Target="http://www.phosphosite.org/proteinAction.do?id=8345&amp;showAllSites=true" TargetMode="External"/><Relationship Id="rId903" Type="http://schemas.openxmlformats.org/officeDocument/2006/relationships/hyperlink" Target="http://www.cellsignal.com/products/5174.html" TargetMode="External"/><Relationship Id="rId1326" Type="http://schemas.openxmlformats.org/officeDocument/2006/relationships/hyperlink" Target="http://www.phosphosite.org/proteinAction.do?id=1171414&amp;showAllSites=true" TargetMode="External"/><Relationship Id="rId1533" Type="http://schemas.openxmlformats.org/officeDocument/2006/relationships/hyperlink" Target="http://www.phosphosite.org/proteinAction.do?id=10980&amp;showAllSites=true" TargetMode="External"/><Relationship Id="rId1740" Type="http://schemas.openxmlformats.org/officeDocument/2006/relationships/hyperlink" Target="http://www.ncbi.nlm.nih.gov/entrez/query.fcgi?db=protein&amp;cmd=search&amp;term=NP_579931" TargetMode="External"/><Relationship Id="rId32" Type="http://schemas.openxmlformats.org/officeDocument/2006/relationships/hyperlink" Target="http://www.phosphosite.org/proteinAction.do?id=6878&amp;showAllSites=true" TargetMode="External"/><Relationship Id="rId1600" Type="http://schemas.openxmlformats.org/officeDocument/2006/relationships/hyperlink" Target="http://www.phosphosite.org/proteinAction.do?id=1180001&amp;showAllSites=true" TargetMode="External"/><Relationship Id="rId181" Type="http://schemas.openxmlformats.org/officeDocument/2006/relationships/hyperlink" Target="http://www.phosphosite.org/proteinAction.do?id=25230&amp;showAllSites=true" TargetMode="External"/><Relationship Id="rId279" Type="http://schemas.openxmlformats.org/officeDocument/2006/relationships/hyperlink" Target="http://www.cellsignal.com/products/9099.html" TargetMode="External"/><Relationship Id="rId486" Type="http://schemas.openxmlformats.org/officeDocument/2006/relationships/hyperlink" Target="http://www.phosphosite.org/proteinAction.do?id=8395&amp;showAllSites=true" TargetMode="External"/><Relationship Id="rId693" Type="http://schemas.openxmlformats.org/officeDocument/2006/relationships/hyperlink" Target="http://www.cellsignal.com/products/12364.html" TargetMode="External"/><Relationship Id="rId139" Type="http://schemas.openxmlformats.org/officeDocument/2006/relationships/hyperlink" Target="http://www.cellsignal.com/products/7425.html" TargetMode="External"/><Relationship Id="rId346" Type="http://schemas.openxmlformats.org/officeDocument/2006/relationships/hyperlink" Target="http://www.phosphosite.org/proteinAction.do?id=6058&amp;showAllSites=true" TargetMode="External"/><Relationship Id="rId553" Type="http://schemas.openxmlformats.org/officeDocument/2006/relationships/hyperlink" Target="http://www.cellsignal.com/products/8804.html" TargetMode="External"/><Relationship Id="rId760" Type="http://schemas.openxmlformats.org/officeDocument/2006/relationships/hyperlink" Target="http://www.phosphosite.org/proteinAction.do?id=1486&amp;showAllSites=true" TargetMode="External"/><Relationship Id="rId998" Type="http://schemas.openxmlformats.org/officeDocument/2006/relationships/hyperlink" Target="http://www.cellsignal.com/products/6571.html" TargetMode="External"/><Relationship Id="rId1183" Type="http://schemas.openxmlformats.org/officeDocument/2006/relationships/hyperlink" Target="http://www.phosphosite.org/proteinAction.do?id=11024&amp;showAllSites=true" TargetMode="External"/><Relationship Id="rId1390" Type="http://schemas.openxmlformats.org/officeDocument/2006/relationships/hyperlink" Target="http://www.cellsignal.com/products/8945.html" TargetMode="External"/><Relationship Id="rId206" Type="http://schemas.openxmlformats.org/officeDocument/2006/relationships/hyperlink" Target="http://www.cellsignal.com/products/9099.html" TargetMode="External"/><Relationship Id="rId413" Type="http://schemas.openxmlformats.org/officeDocument/2006/relationships/hyperlink" Target="http://www.phosphosite.org/proteinAction.do?id=4822&amp;showAllSites=true" TargetMode="External"/><Relationship Id="rId858" Type="http://schemas.openxmlformats.org/officeDocument/2006/relationships/hyperlink" Target="http://www.phosphosite.org/proteinAction.do?id=21502&amp;showAllSites=true" TargetMode="External"/><Relationship Id="rId1043" Type="http://schemas.openxmlformats.org/officeDocument/2006/relationships/hyperlink" Target="http://www.cellsignal.com/products/4567.html" TargetMode="External"/><Relationship Id="rId1488" Type="http://schemas.openxmlformats.org/officeDocument/2006/relationships/hyperlink" Target="http://www.cellsignal.com/products/2391.html" TargetMode="External"/><Relationship Id="rId1695" Type="http://schemas.openxmlformats.org/officeDocument/2006/relationships/hyperlink" Target="http://www.cellsignal.com/products/4499.html" TargetMode="External"/><Relationship Id="rId620" Type="http://schemas.openxmlformats.org/officeDocument/2006/relationships/hyperlink" Target="http://www.phosphosite.org/proteinAction.do?id=1878&amp;showAllSites=true" TargetMode="External"/><Relationship Id="rId718" Type="http://schemas.openxmlformats.org/officeDocument/2006/relationships/hyperlink" Target="http://www.phosphosite.org/proteinAction.do?id=5143208&amp;showAllSites=true" TargetMode="External"/><Relationship Id="rId925" Type="http://schemas.openxmlformats.org/officeDocument/2006/relationships/hyperlink" Target="http://www.phosphosite.org/proteinAction.do?id=19791&amp;showAllSites=true" TargetMode="External"/><Relationship Id="rId1250" Type="http://schemas.openxmlformats.org/officeDocument/2006/relationships/hyperlink" Target="http://www.phosphosite.org/proteinAction.do?id=2809&amp;showAllSites=true" TargetMode="External"/><Relationship Id="rId1348" Type="http://schemas.openxmlformats.org/officeDocument/2006/relationships/hyperlink" Target="http://www.phosphosite.org/proteinAction.do?id=9526&amp;showAllSites=true" TargetMode="External"/><Relationship Id="rId1555" Type="http://schemas.openxmlformats.org/officeDocument/2006/relationships/hyperlink" Target="http://www.phosphosite.org/proteinAction.do?id=6876&amp;showAllSites=true" TargetMode="External"/><Relationship Id="rId1762" Type="http://schemas.openxmlformats.org/officeDocument/2006/relationships/hyperlink" Target="http://www.phosphosite.org/proteinAction.do?id=5617&amp;showAllSites=true" TargetMode="External"/><Relationship Id="rId1110" Type="http://schemas.openxmlformats.org/officeDocument/2006/relationships/hyperlink" Target="http://www.phosphosite.org/proteinAction.do?id=9668&amp;showAllSites=true" TargetMode="External"/><Relationship Id="rId1208" Type="http://schemas.openxmlformats.org/officeDocument/2006/relationships/hyperlink" Target="http://www.phosphosite.org/proteinAction.do?id=9233&amp;showAllSites=true" TargetMode="External"/><Relationship Id="rId1415" Type="http://schemas.openxmlformats.org/officeDocument/2006/relationships/hyperlink" Target="http://www.phosphosite.org/proteinAction.do?id=9037&amp;showAllSites=true" TargetMode="External"/><Relationship Id="rId54" Type="http://schemas.openxmlformats.org/officeDocument/2006/relationships/hyperlink" Target="http://www.phosphosite.org/proteinAction.do?id=3577&amp;showAllSites=true" TargetMode="External"/><Relationship Id="rId1622" Type="http://schemas.openxmlformats.org/officeDocument/2006/relationships/hyperlink" Target="http://www.ncbi.nlm.nih.gov/entrez/query.fcgi?db=protein&amp;cmd=search&amp;term=XP_890230" TargetMode="External"/><Relationship Id="rId270" Type="http://schemas.openxmlformats.org/officeDocument/2006/relationships/hyperlink" Target="http://www.phosphosite.org/proteinAction.do?id=7745&amp;showAllSites=true" TargetMode="External"/><Relationship Id="rId130" Type="http://schemas.openxmlformats.org/officeDocument/2006/relationships/hyperlink" Target="http://www.phosphosite.org/proteinAction.do?id=1161&amp;showAllSites=true" TargetMode="External"/><Relationship Id="rId368" Type="http://schemas.openxmlformats.org/officeDocument/2006/relationships/hyperlink" Target="http://www.cellsignal.com/products/5696.html" TargetMode="External"/><Relationship Id="rId575" Type="http://schemas.openxmlformats.org/officeDocument/2006/relationships/hyperlink" Target="http://www.cellsignal.com/products/2592.html" TargetMode="External"/><Relationship Id="rId782" Type="http://schemas.openxmlformats.org/officeDocument/2006/relationships/hyperlink" Target="http://www.phosphosite.org/proteinAction.do?id=1501&amp;showAllSites=true" TargetMode="External"/><Relationship Id="rId228" Type="http://schemas.openxmlformats.org/officeDocument/2006/relationships/hyperlink" Target="http://www.cellsignal.com/products/3576.html" TargetMode="External"/><Relationship Id="rId435" Type="http://schemas.openxmlformats.org/officeDocument/2006/relationships/hyperlink" Target="http://www.phosphosite.org/proteinAction.do?id=17985&amp;showAllSites=true" TargetMode="External"/><Relationship Id="rId642" Type="http://schemas.openxmlformats.org/officeDocument/2006/relationships/hyperlink" Target="http://www.cellsignal.com/products/2592.html" TargetMode="External"/><Relationship Id="rId1065" Type="http://schemas.openxmlformats.org/officeDocument/2006/relationships/hyperlink" Target="http://www.cellsignal.com/products/9828.html" TargetMode="External"/><Relationship Id="rId1272" Type="http://schemas.openxmlformats.org/officeDocument/2006/relationships/hyperlink" Target="http://www.phosphosite.org/proteinAction.do?id=1394&amp;showAllSites=true" TargetMode="External"/><Relationship Id="rId502" Type="http://schemas.openxmlformats.org/officeDocument/2006/relationships/hyperlink" Target="http://www.cellsignal.com/products/8135.html" TargetMode="External"/><Relationship Id="rId947" Type="http://schemas.openxmlformats.org/officeDocument/2006/relationships/hyperlink" Target="http://www.phosphosite.org/proteinAction.do?id=7998&amp;showAllSites=true" TargetMode="External"/><Relationship Id="rId1132" Type="http://schemas.openxmlformats.org/officeDocument/2006/relationships/hyperlink" Target="http://www.phosphosite.org/proteinAction.do?id=9436&amp;showAllSites=true" TargetMode="External"/><Relationship Id="rId1577" Type="http://schemas.openxmlformats.org/officeDocument/2006/relationships/hyperlink" Target="http://www.phosphosite.org/proteinAction.do?id=11056&amp;showAllSites=true" TargetMode="External"/><Relationship Id="rId76" Type="http://schemas.openxmlformats.org/officeDocument/2006/relationships/hyperlink" Target="http://www.phosphosite.org/proteinAction.do?id=4802&amp;showAllSites=true" TargetMode="External"/><Relationship Id="rId807" Type="http://schemas.openxmlformats.org/officeDocument/2006/relationships/hyperlink" Target="http://www.phosphosite.org/proteinAction.do?id=1533&amp;showAllSites=true" TargetMode="External"/><Relationship Id="rId1437" Type="http://schemas.openxmlformats.org/officeDocument/2006/relationships/hyperlink" Target="http://www.phosphosite.org/proteinAction.do?id=9523&amp;showAllSites=true" TargetMode="External"/><Relationship Id="rId1644" Type="http://schemas.openxmlformats.org/officeDocument/2006/relationships/hyperlink" Target="http://www.phosphosite.org/proteinAction.do?id=12125&amp;showAllSites=true" TargetMode="External"/><Relationship Id="rId1504" Type="http://schemas.openxmlformats.org/officeDocument/2006/relationships/hyperlink" Target="http://www.cellsignal.com/products/3810.html" TargetMode="External"/><Relationship Id="rId1711" Type="http://schemas.openxmlformats.org/officeDocument/2006/relationships/hyperlink" Target="http://www.phosphosite.org/proteinAction.do?id=5145077&amp;showAllSites=true" TargetMode="External"/><Relationship Id="rId292" Type="http://schemas.openxmlformats.org/officeDocument/2006/relationships/hyperlink" Target="http://www.cellsignal.com/products/3971.html" TargetMode="External"/><Relationship Id="rId597" Type="http://schemas.openxmlformats.org/officeDocument/2006/relationships/hyperlink" Target="http://www.cellsignal.com/products/2591.html" TargetMode="External"/><Relationship Id="rId152" Type="http://schemas.openxmlformats.org/officeDocument/2006/relationships/hyperlink" Target="http://www.phosphosite.org/proteinAction.do?id=1161&amp;showAllSites=true" TargetMode="External"/><Relationship Id="rId457" Type="http://schemas.openxmlformats.org/officeDocument/2006/relationships/hyperlink" Target="http://www.cellsignal.com/products/12364.html" TargetMode="External"/><Relationship Id="rId1087" Type="http://schemas.openxmlformats.org/officeDocument/2006/relationships/hyperlink" Target="http://www.cellsignal.com/products/9828.html" TargetMode="External"/><Relationship Id="rId1294" Type="http://schemas.openxmlformats.org/officeDocument/2006/relationships/hyperlink" Target="http://www.phosphosite.org/proteinAction.do?id=5140324&amp;showAllSites=true" TargetMode="External"/><Relationship Id="rId664" Type="http://schemas.openxmlformats.org/officeDocument/2006/relationships/hyperlink" Target="http://www.cellsignal.com/products/9072.html" TargetMode="External"/><Relationship Id="rId871" Type="http://schemas.openxmlformats.org/officeDocument/2006/relationships/hyperlink" Target="http://www.phosphosite.org/proteinAction.do?id=11127&amp;showAllSites=true" TargetMode="External"/><Relationship Id="rId969" Type="http://schemas.openxmlformats.org/officeDocument/2006/relationships/hyperlink" Target="http://www.phosphosite.org/proteinAction.do?id=9223&amp;showAllSites=true" TargetMode="External"/><Relationship Id="rId1599" Type="http://schemas.openxmlformats.org/officeDocument/2006/relationships/hyperlink" Target="http://www.phosphosite.org/proteinAction.do?id=1236692&amp;showAllSites=true" TargetMode="External"/><Relationship Id="rId317" Type="http://schemas.openxmlformats.org/officeDocument/2006/relationships/hyperlink" Target="http://www.phosphosite.org/proteinAction.do?id=14097&amp;showAllSites=true" TargetMode="External"/><Relationship Id="rId524" Type="http://schemas.openxmlformats.org/officeDocument/2006/relationships/hyperlink" Target="http://www.cellsignal.com/products/2571.html" TargetMode="External"/><Relationship Id="rId731" Type="http://schemas.openxmlformats.org/officeDocument/2006/relationships/hyperlink" Target="http://www.phosphosite.org/proteinAction.do?id=6935&amp;showAllSites=true" TargetMode="External"/><Relationship Id="rId1154" Type="http://schemas.openxmlformats.org/officeDocument/2006/relationships/hyperlink" Target="http://www.phosphosite.org/proteinAction.do?id=10557&amp;showAllSites=true" TargetMode="External"/><Relationship Id="rId1361" Type="http://schemas.openxmlformats.org/officeDocument/2006/relationships/hyperlink" Target="http://www.cellsignal.com/products/4850.html" TargetMode="External"/><Relationship Id="rId1459" Type="http://schemas.openxmlformats.org/officeDocument/2006/relationships/hyperlink" Target="http://www.phosphosite.org/proteinAction.do?id=4806&amp;showAllSites=true" TargetMode="External"/><Relationship Id="rId98" Type="http://schemas.openxmlformats.org/officeDocument/2006/relationships/hyperlink" Target="http://www.phosphosite.org/proteinAction.do?id=1482&amp;showAllSites=true" TargetMode="External"/><Relationship Id="rId829" Type="http://schemas.openxmlformats.org/officeDocument/2006/relationships/hyperlink" Target="http://www.cellsignal.com/products/11954.html" TargetMode="External"/><Relationship Id="rId1014" Type="http://schemas.openxmlformats.org/officeDocument/2006/relationships/hyperlink" Target="http://www.phosphosite.org/proteinAction.do?id=4240&amp;showAllSites=true" TargetMode="External"/><Relationship Id="rId1221" Type="http://schemas.openxmlformats.org/officeDocument/2006/relationships/hyperlink" Target="http://www.cellsignal.com/products/12134.html" TargetMode="External"/><Relationship Id="rId1666" Type="http://schemas.openxmlformats.org/officeDocument/2006/relationships/hyperlink" Target="http://www.phosphosite.org/proteinAction.do?id=16260&amp;showAllSites=true" TargetMode="External"/><Relationship Id="rId1319" Type="http://schemas.openxmlformats.org/officeDocument/2006/relationships/hyperlink" Target="http://www.phosphosite.org/proteinAction.do?id=9509&amp;showAllSites=true" TargetMode="External"/><Relationship Id="rId1526" Type="http://schemas.openxmlformats.org/officeDocument/2006/relationships/hyperlink" Target="http://www.phosphosite.org/proteinAction.do?id=14575&amp;showAllSites=true" TargetMode="External"/><Relationship Id="rId1733" Type="http://schemas.openxmlformats.org/officeDocument/2006/relationships/hyperlink" Target="http://www.phosphosite.org/proteinAction.do?id=1303940&amp;showAllSites=true" TargetMode="External"/><Relationship Id="rId25" Type="http://schemas.openxmlformats.org/officeDocument/2006/relationships/hyperlink" Target="http://www.cellsignal.com/products/8312.html" TargetMode="External"/><Relationship Id="rId174" Type="http://schemas.openxmlformats.org/officeDocument/2006/relationships/hyperlink" Target="http://www.phosphosite.org/proteinAction.do?id=10611&amp;showAllSites=true" TargetMode="External"/><Relationship Id="rId381" Type="http://schemas.openxmlformats.org/officeDocument/2006/relationships/hyperlink" Target="http://www.cellsignal.com/products/8444.html" TargetMode="External"/><Relationship Id="rId241" Type="http://schemas.openxmlformats.org/officeDocument/2006/relationships/hyperlink" Target="http://www.cellsignal.com/products/9693.html" TargetMode="External"/><Relationship Id="rId479" Type="http://schemas.openxmlformats.org/officeDocument/2006/relationships/hyperlink" Target="http://www.cellsignal.com/products/9072.html" TargetMode="External"/><Relationship Id="rId686" Type="http://schemas.openxmlformats.org/officeDocument/2006/relationships/hyperlink" Target="http://www.phosphosite.org/proteinAction.do?id=8391&amp;showAllSites=true" TargetMode="External"/><Relationship Id="rId893" Type="http://schemas.openxmlformats.org/officeDocument/2006/relationships/hyperlink" Target="http://www.cellsignal.com/products/12588.html" TargetMode="External"/><Relationship Id="rId339" Type="http://schemas.openxmlformats.org/officeDocument/2006/relationships/hyperlink" Target="http://www.cellsignal.com/products/4830.html" TargetMode="External"/><Relationship Id="rId546" Type="http://schemas.openxmlformats.org/officeDocument/2006/relationships/hyperlink" Target="http://www.phosphosite.org/proteinAction.do?id=22837&amp;showAllSites=true" TargetMode="External"/><Relationship Id="rId753" Type="http://schemas.openxmlformats.org/officeDocument/2006/relationships/hyperlink" Target="http://www.phosphosite.org/proteinAction.do?id=13141&amp;showAllSites=true" TargetMode="External"/><Relationship Id="rId1176" Type="http://schemas.openxmlformats.org/officeDocument/2006/relationships/hyperlink" Target="http://www.phosphosite.org/proteinAction.do?id=5141684&amp;showAllSites=true" TargetMode="External"/><Relationship Id="rId1383" Type="http://schemas.openxmlformats.org/officeDocument/2006/relationships/hyperlink" Target="http://www.phosphosite.org/proteinAction.do?id=2143&amp;showAllSites=true" TargetMode="External"/><Relationship Id="rId101" Type="http://schemas.openxmlformats.org/officeDocument/2006/relationships/hyperlink" Target="http://www.phosphosite.org/proteinAction.do?id=1482&amp;showAllSites=true" TargetMode="External"/><Relationship Id="rId406" Type="http://schemas.openxmlformats.org/officeDocument/2006/relationships/hyperlink" Target="http://www.phosphosite.org/proteinAction.do?id=4249&amp;showAllSites=true" TargetMode="External"/><Relationship Id="rId960" Type="http://schemas.openxmlformats.org/officeDocument/2006/relationships/hyperlink" Target="http://www.phosphosite.org/proteinAction.do?id=4323&amp;showAllSites=true" TargetMode="External"/><Relationship Id="rId1036" Type="http://schemas.openxmlformats.org/officeDocument/2006/relationships/hyperlink" Target="http://www.phosphosite.org/proteinAction.do?id=19767&amp;showAllSites=true" TargetMode="External"/><Relationship Id="rId1243" Type="http://schemas.openxmlformats.org/officeDocument/2006/relationships/hyperlink" Target="http://www.phosphosite.org/proteinAction.do?id=12263&amp;showAllSites=true" TargetMode="External"/><Relationship Id="rId1590" Type="http://schemas.openxmlformats.org/officeDocument/2006/relationships/hyperlink" Target="http://www.phosphosite.org/proteinAction.do?id=8693&amp;showAllSites=true" TargetMode="External"/><Relationship Id="rId1688" Type="http://schemas.openxmlformats.org/officeDocument/2006/relationships/hyperlink" Target="http://www.phosphosite.org/proteinAction.do?id=2453040&amp;showAllSites=true" TargetMode="External"/><Relationship Id="rId613" Type="http://schemas.openxmlformats.org/officeDocument/2006/relationships/hyperlink" Target="http://www.cellsignal.com/products/2592.html" TargetMode="External"/><Relationship Id="rId820" Type="http://schemas.openxmlformats.org/officeDocument/2006/relationships/hyperlink" Target="http://www.phosphosite.org/proteinAction.do?id=9173&amp;showAllSites=true" TargetMode="External"/><Relationship Id="rId918" Type="http://schemas.openxmlformats.org/officeDocument/2006/relationships/hyperlink" Target="http://www.phosphosite.org/proteinAction.do?id=4368&amp;showAllSites=true" TargetMode="External"/><Relationship Id="rId1450" Type="http://schemas.openxmlformats.org/officeDocument/2006/relationships/hyperlink" Target="http://www.phosphosite.org/proteinAction.do?id=951501&amp;showAllSites=true" TargetMode="External"/><Relationship Id="rId1548" Type="http://schemas.openxmlformats.org/officeDocument/2006/relationships/hyperlink" Target="http://www.phosphosite.org/proteinAction.do?id=8195&amp;showAllSites=true" TargetMode="External"/><Relationship Id="rId1755" Type="http://schemas.openxmlformats.org/officeDocument/2006/relationships/hyperlink" Target="http://www.phosphosite.org/proteinAction.do?id=5626&amp;showAllSites=true" TargetMode="External"/><Relationship Id="rId1103" Type="http://schemas.openxmlformats.org/officeDocument/2006/relationships/hyperlink" Target="http://www.phosphosite.org/proteinAction.do?id=10223&amp;showAllSites=true" TargetMode="External"/><Relationship Id="rId1310" Type="http://schemas.openxmlformats.org/officeDocument/2006/relationships/hyperlink" Target="http://www.phosphosite.org/proteinAction.do?id=2129402&amp;showAllSites=true" TargetMode="External"/><Relationship Id="rId1408" Type="http://schemas.openxmlformats.org/officeDocument/2006/relationships/hyperlink" Target="http://www.phosphosite.org/proteinAction.do?id=6794&amp;showAllSites=true" TargetMode="External"/><Relationship Id="rId47" Type="http://schemas.openxmlformats.org/officeDocument/2006/relationships/hyperlink" Target="http://www.cellsignal.com/products/5521.html" TargetMode="External"/><Relationship Id="rId1615" Type="http://schemas.openxmlformats.org/officeDocument/2006/relationships/hyperlink" Target="http://www.cellsignal.com/products/2332.html" TargetMode="External"/><Relationship Id="rId196" Type="http://schemas.openxmlformats.org/officeDocument/2006/relationships/hyperlink" Target="http://www.cellsignal.com/products/9099.html" TargetMode="External"/><Relationship Id="rId263" Type="http://schemas.openxmlformats.org/officeDocument/2006/relationships/hyperlink" Target="http://www.phosphosite.org/proteinAction.do?id=7707705&amp;showAllSites=true" TargetMode="External"/><Relationship Id="rId470" Type="http://schemas.openxmlformats.org/officeDocument/2006/relationships/hyperlink" Target="http://www.cellsignal.com/products/9083.html" TargetMode="External"/><Relationship Id="rId123" Type="http://schemas.openxmlformats.org/officeDocument/2006/relationships/hyperlink" Target="http://www.phosphosite.org/proteinAction.do?id=4396&amp;showAllSites=true" TargetMode="External"/><Relationship Id="rId330" Type="http://schemas.openxmlformats.org/officeDocument/2006/relationships/hyperlink" Target="http://www.phosphosite.org/proteinAction.do?id=4238&amp;showAllSites=true" TargetMode="External"/><Relationship Id="rId568" Type="http://schemas.openxmlformats.org/officeDocument/2006/relationships/hyperlink" Target="http://www.phosphosite.org/proteinAction.do?id=1878&amp;showAllSites=true" TargetMode="External"/><Relationship Id="rId775" Type="http://schemas.openxmlformats.org/officeDocument/2006/relationships/hyperlink" Target="http://www.phosphosite.org/proteinAction.do?id=2157&amp;showAllSites=true" TargetMode="External"/><Relationship Id="rId982" Type="http://schemas.openxmlformats.org/officeDocument/2006/relationships/hyperlink" Target="http://www.cellsignal.com/products/4742.html" TargetMode="External"/><Relationship Id="rId1198" Type="http://schemas.openxmlformats.org/officeDocument/2006/relationships/hyperlink" Target="http://www.phosphosite.org/proteinAction.do?id=9334&amp;showAllSites=true" TargetMode="External"/><Relationship Id="rId428" Type="http://schemas.openxmlformats.org/officeDocument/2006/relationships/hyperlink" Target="http://www.cellsignal.com/products/2718.html" TargetMode="External"/><Relationship Id="rId635" Type="http://schemas.openxmlformats.org/officeDocument/2006/relationships/hyperlink" Target="http://www.phosphosite.org/proteinAction.do?id=1878&amp;showAllSites=true" TargetMode="External"/><Relationship Id="rId842" Type="http://schemas.openxmlformats.org/officeDocument/2006/relationships/hyperlink" Target="http://www.cellsignal.com/products/8841.html" TargetMode="External"/><Relationship Id="rId1058" Type="http://schemas.openxmlformats.org/officeDocument/2006/relationships/hyperlink" Target="http://www.phosphosite.org/proteinAction.do?id=9550&amp;showAllSites=true" TargetMode="External"/><Relationship Id="rId1265" Type="http://schemas.openxmlformats.org/officeDocument/2006/relationships/hyperlink" Target="http://www.cellsignal.com/products/3542.html" TargetMode="External"/><Relationship Id="rId1472" Type="http://schemas.openxmlformats.org/officeDocument/2006/relationships/hyperlink" Target="http://www.cellsignal.com/products/9412.html" TargetMode="External"/><Relationship Id="rId702" Type="http://schemas.openxmlformats.org/officeDocument/2006/relationships/hyperlink" Target="http://www.phosphosite.org/proteinAction.do?id=5143208&amp;showAllSites=true" TargetMode="External"/><Relationship Id="rId1125" Type="http://schemas.openxmlformats.org/officeDocument/2006/relationships/hyperlink" Target="http://www.phosphosite.org/proteinAction.do?id=7913&amp;showAllSites=true" TargetMode="External"/><Relationship Id="rId1332" Type="http://schemas.openxmlformats.org/officeDocument/2006/relationships/hyperlink" Target="http://www.phosphosite.org/proteinAction.do?id=6895&amp;showAllSites=true" TargetMode="External"/><Relationship Id="rId1777" Type="http://schemas.openxmlformats.org/officeDocument/2006/relationships/hyperlink" Target="http://www.phosphosite.org/proteinAction.do?id=4289&amp;showAllSites=true" TargetMode="External"/><Relationship Id="rId69" Type="http://schemas.openxmlformats.org/officeDocument/2006/relationships/hyperlink" Target="http://www.cellsignal.com/products/8456.html" TargetMode="External"/><Relationship Id="rId1637" Type="http://schemas.openxmlformats.org/officeDocument/2006/relationships/hyperlink" Target="http://www.phosphosite.org/proteinAction.do?id=4859007&amp;showAllSites=true" TargetMode="External"/><Relationship Id="rId1704" Type="http://schemas.openxmlformats.org/officeDocument/2006/relationships/hyperlink" Target="http://www.cellsignal.com/products/4499.html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phosphosite.org/proteinAction.do?id=3870&amp;showAllSites=true" TargetMode="External"/><Relationship Id="rId671" Type="http://schemas.openxmlformats.org/officeDocument/2006/relationships/hyperlink" Target="http://www.phosphosite.org/proteinAction.do?id=19739&amp;showAllSites=true" TargetMode="External"/><Relationship Id="rId769" Type="http://schemas.openxmlformats.org/officeDocument/2006/relationships/hyperlink" Target="http://www.phosphosite.org/proteinAction.do?id=8696&amp;showAllSites=true" TargetMode="External"/><Relationship Id="rId976" Type="http://schemas.openxmlformats.org/officeDocument/2006/relationships/hyperlink" Target="http://www.cellsignal.com/products/3514.html" TargetMode="External"/><Relationship Id="rId21" Type="http://schemas.openxmlformats.org/officeDocument/2006/relationships/hyperlink" Target="http://www.phosphosite.org/proteinAction.do?id=9697&amp;showAllSites=true" TargetMode="External"/><Relationship Id="rId324" Type="http://schemas.openxmlformats.org/officeDocument/2006/relationships/hyperlink" Target="http://www.phosphosite.org/proteinAction.do?id=8393&amp;showAllSites=true" TargetMode="External"/><Relationship Id="rId531" Type="http://schemas.openxmlformats.org/officeDocument/2006/relationships/hyperlink" Target="http://www.phosphosite.org/proteinAction.do?id=9215&amp;showAllSites=true" TargetMode="External"/><Relationship Id="rId629" Type="http://schemas.openxmlformats.org/officeDocument/2006/relationships/hyperlink" Target="http://www.cellsignal.com/products/9828.html" TargetMode="External"/><Relationship Id="rId170" Type="http://schemas.openxmlformats.org/officeDocument/2006/relationships/hyperlink" Target="http://www.cellsignal.com/products/9099.html" TargetMode="External"/><Relationship Id="rId836" Type="http://schemas.openxmlformats.org/officeDocument/2006/relationships/hyperlink" Target="http://www.phosphosite.org/proteinAction.do?id=2143&amp;showAllSites=true" TargetMode="External"/><Relationship Id="rId1021" Type="http://schemas.openxmlformats.org/officeDocument/2006/relationships/hyperlink" Target="http://www.phosphosite.org/proteinAction.do?id=24075&amp;showAllSites=true" TargetMode="External"/><Relationship Id="rId1119" Type="http://schemas.openxmlformats.org/officeDocument/2006/relationships/hyperlink" Target="http://www.phosphosite.org/proteinAction.do?id=5617&amp;showAllSites=true" TargetMode="External"/><Relationship Id="rId268" Type="http://schemas.openxmlformats.org/officeDocument/2006/relationships/hyperlink" Target="http://www.phosphosite.org/proteinAction.do?id=15481&amp;showAllSites=true" TargetMode="External"/><Relationship Id="rId475" Type="http://schemas.openxmlformats.org/officeDocument/2006/relationships/hyperlink" Target="http://www.phosphosite.org/proteinAction.do?id=1169911&amp;showAllSites=true" TargetMode="External"/><Relationship Id="rId682" Type="http://schemas.openxmlformats.org/officeDocument/2006/relationships/hyperlink" Target="http://www.phosphosite.org/proteinAction.do?id=1784&amp;showAllSites=true" TargetMode="External"/><Relationship Id="rId903" Type="http://schemas.openxmlformats.org/officeDocument/2006/relationships/hyperlink" Target="http://www.phosphosite.org/proteinAction.do?id=4345&amp;showAllSites=true" TargetMode="External"/><Relationship Id="rId32" Type="http://schemas.openxmlformats.org/officeDocument/2006/relationships/hyperlink" Target="http://www.cellsignal.com/products/5521.html" TargetMode="External"/><Relationship Id="rId128" Type="http://schemas.openxmlformats.org/officeDocument/2006/relationships/hyperlink" Target="http://www.cellsignal.com/products/5059.html" TargetMode="External"/><Relationship Id="rId335" Type="http://schemas.openxmlformats.org/officeDocument/2006/relationships/hyperlink" Target="http://www.phosphosite.org/proteinAction.do?id=1878&amp;showAllSites=true" TargetMode="External"/><Relationship Id="rId542" Type="http://schemas.openxmlformats.org/officeDocument/2006/relationships/hyperlink" Target="http://www.phosphosite.org/proteinAction.do?id=14289&amp;showAllSites=true" TargetMode="External"/><Relationship Id="rId987" Type="http://schemas.openxmlformats.org/officeDocument/2006/relationships/hyperlink" Target="http://www.phosphosite.org/proteinAction.do?id=11177&amp;showAllSites=true" TargetMode="External"/><Relationship Id="rId181" Type="http://schemas.openxmlformats.org/officeDocument/2006/relationships/hyperlink" Target="http://www.cellsignal.com/products/2128.html" TargetMode="External"/><Relationship Id="rId402" Type="http://schemas.openxmlformats.org/officeDocument/2006/relationships/hyperlink" Target="http://www.phosphosite.org/proteinAction.do?id=9556&amp;showAllSites=true" TargetMode="External"/><Relationship Id="rId847" Type="http://schemas.openxmlformats.org/officeDocument/2006/relationships/hyperlink" Target="http://www.phosphosite.org/proteinAction.do?id=4630&amp;showAllSites=true" TargetMode="External"/><Relationship Id="rId1032" Type="http://schemas.openxmlformats.org/officeDocument/2006/relationships/hyperlink" Target="http://www.phosphosite.org/proteinAction.do?id=7429401&amp;showAllSites=true" TargetMode="External"/><Relationship Id="rId279" Type="http://schemas.openxmlformats.org/officeDocument/2006/relationships/hyperlink" Target="http://www.cellsignal.com/products/12364.html" TargetMode="External"/><Relationship Id="rId486" Type="http://schemas.openxmlformats.org/officeDocument/2006/relationships/hyperlink" Target="http://www.phosphosite.org/proteinAction.do?id=12602&amp;showAllSites=true" TargetMode="External"/><Relationship Id="rId693" Type="http://schemas.openxmlformats.org/officeDocument/2006/relationships/hyperlink" Target="http://www.phosphosite.org/proteinAction.do?id=4333&amp;showAllSites=true" TargetMode="External"/><Relationship Id="rId707" Type="http://schemas.openxmlformats.org/officeDocument/2006/relationships/hyperlink" Target="http://www.phosphosite.org/proteinAction.do?id=10157&amp;showAllSites=true" TargetMode="External"/><Relationship Id="rId914" Type="http://schemas.openxmlformats.org/officeDocument/2006/relationships/hyperlink" Target="http://www.phosphosite.org/proteinAction.do?id=23624&amp;showAllSites=true" TargetMode="External"/><Relationship Id="rId43" Type="http://schemas.openxmlformats.org/officeDocument/2006/relationships/hyperlink" Target="http://www.phosphosite.org/proteinAction.do?id=3579&amp;showAllSites=true" TargetMode="External"/><Relationship Id="rId139" Type="http://schemas.openxmlformats.org/officeDocument/2006/relationships/hyperlink" Target="http://www.phosphosite.org/proteinAction.do?id=11903&amp;showAllSites=true" TargetMode="External"/><Relationship Id="rId346" Type="http://schemas.openxmlformats.org/officeDocument/2006/relationships/hyperlink" Target="http://www.phosphosite.org/proteinAction.do?id=1878&amp;showAllSites=true" TargetMode="External"/><Relationship Id="rId553" Type="http://schemas.openxmlformats.org/officeDocument/2006/relationships/hyperlink" Target="http://www.phosphosite.org/proteinAction.do?id=4323&amp;showAllSites=true" TargetMode="External"/><Relationship Id="rId760" Type="http://schemas.openxmlformats.org/officeDocument/2006/relationships/hyperlink" Target="http://www.cellsignal.com/products/8443.html" TargetMode="External"/><Relationship Id="rId998" Type="http://schemas.openxmlformats.org/officeDocument/2006/relationships/hyperlink" Target="http://www.phosphosite.org/proteinAction.do?id=9165&amp;showAllSites=true" TargetMode="External"/><Relationship Id="rId192" Type="http://schemas.openxmlformats.org/officeDocument/2006/relationships/hyperlink" Target="http://www.cellsignal.com/products/3558.html" TargetMode="External"/><Relationship Id="rId206" Type="http://schemas.openxmlformats.org/officeDocument/2006/relationships/hyperlink" Target="http://www.phosphosite.org/proteinAction.do?id=10996&amp;showAllSites=true" TargetMode="External"/><Relationship Id="rId413" Type="http://schemas.openxmlformats.org/officeDocument/2006/relationships/hyperlink" Target="http://www.phosphosite.org/proteinAction.do?id=12045&amp;showAllSites=true" TargetMode="External"/><Relationship Id="rId858" Type="http://schemas.openxmlformats.org/officeDocument/2006/relationships/hyperlink" Target="http://www.phosphosite.org/proteinAction.do?id=10981&amp;showAllSites=true" TargetMode="External"/><Relationship Id="rId1043" Type="http://schemas.openxmlformats.org/officeDocument/2006/relationships/hyperlink" Target="http://www.phosphosite.org/proteinAction.do?id=18332&amp;showAllSites=true" TargetMode="External"/><Relationship Id="rId497" Type="http://schemas.openxmlformats.org/officeDocument/2006/relationships/hyperlink" Target="http://www.phosphosite.org/proteinAction.do?id=18997&amp;showAllSites=true" TargetMode="External"/><Relationship Id="rId620" Type="http://schemas.openxmlformats.org/officeDocument/2006/relationships/hyperlink" Target="http://www.phosphosite.org/proteinAction.do?id=7201&amp;showAllSites=true" TargetMode="External"/><Relationship Id="rId718" Type="http://schemas.openxmlformats.org/officeDocument/2006/relationships/hyperlink" Target="http://www.phosphosite.org/proteinAction.do?id=14892&amp;showAllSites=true" TargetMode="External"/><Relationship Id="rId925" Type="http://schemas.openxmlformats.org/officeDocument/2006/relationships/hyperlink" Target="http://www.phosphosite.org/proteinAction.do?id=2760&amp;showAllSites=true" TargetMode="External"/><Relationship Id="rId357" Type="http://schemas.openxmlformats.org/officeDocument/2006/relationships/hyperlink" Target="http://www.phosphosite.org/proteinAction.do?id=1878&amp;showAllSites=true" TargetMode="External"/><Relationship Id="rId1110" Type="http://schemas.openxmlformats.org/officeDocument/2006/relationships/hyperlink" Target="http://www.phosphosite.org/proteinAction.do?id=19382&amp;showAllSites=true" TargetMode="External"/><Relationship Id="rId54" Type="http://schemas.openxmlformats.org/officeDocument/2006/relationships/hyperlink" Target="http://www.phosphosite.org/proteinAction.do?id=3332&amp;showAllSites=true" TargetMode="External"/><Relationship Id="rId217" Type="http://schemas.openxmlformats.org/officeDocument/2006/relationships/hyperlink" Target="http://www.cellsignal.com/products/4877.html" TargetMode="External"/><Relationship Id="rId564" Type="http://schemas.openxmlformats.org/officeDocument/2006/relationships/hyperlink" Target="http://www.phosphosite.org/proteinAction.do?id=7583499&amp;showAllSites=true" TargetMode="External"/><Relationship Id="rId771" Type="http://schemas.openxmlformats.org/officeDocument/2006/relationships/hyperlink" Target="http://www.phosphosite.org/proteinAction.do?id=6142608&amp;showAllSites=true" TargetMode="External"/><Relationship Id="rId869" Type="http://schemas.openxmlformats.org/officeDocument/2006/relationships/hyperlink" Target="http://www.phosphosite.org/proteinAction.do?id=15732&amp;showAllSites=true" TargetMode="External"/><Relationship Id="rId424" Type="http://schemas.openxmlformats.org/officeDocument/2006/relationships/hyperlink" Target="http://www.phosphosite.org/proteinAction.do?id=10166367&amp;showAllSites=true" TargetMode="External"/><Relationship Id="rId631" Type="http://schemas.openxmlformats.org/officeDocument/2006/relationships/hyperlink" Target="http://www.cellsignal.com/products/9828.html" TargetMode="External"/><Relationship Id="rId729" Type="http://schemas.openxmlformats.org/officeDocument/2006/relationships/hyperlink" Target="http://www.phosphosite.org/proteinAction.do?id=1433&amp;showAllSites=true" TargetMode="External"/><Relationship Id="rId1054" Type="http://schemas.openxmlformats.org/officeDocument/2006/relationships/hyperlink" Target="http://www.phosphosite.org/proteinAction.do?id=11553&amp;showAllSites=true" TargetMode="External"/><Relationship Id="rId270" Type="http://schemas.openxmlformats.org/officeDocument/2006/relationships/hyperlink" Target="http://www.phosphosite.org/proteinAction.do?id=15481&amp;showAllSites=true" TargetMode="External"/><Relationship Id="rId936" Type="http://schemas.openxmlformats.org/officeDocument/2006/relationships/hyperlink" Target="http://www.ncbi.nlm.nih.gov/entrez/query.fcgi?db=protein&amp;cmd=search&amp;term=NP_778249" TargetMode="External"/><Relationship Id="rId1121" Type="http://schemas.openxmlformats.org/officeDocument/2006/relationships/hyperlink" Target="http://www.phosphosite.org/proteinAction.do?id=11487&amp;showAllSites=true" TargetMode="External"/><Relationship Id="rId65" Type="http://schemas.openxmlformats.org/officeDocument/2006/relationships/hyperlink" Target="http://www.phosphosite.org/proteinAction.do?id=1482&amp;showAllSites=true" TargetMode="External"/><Relationship Id="rId130" Type="http://schemas.openxmlformats.org/officeDocument/2006/relationships/hyperlink" Target="http://www.cellsignal.com/products/12255.html" TargetMode="External"/><Relationship Id="rId368" Type="http://schemas.openxmlformats.org/officeDocument/2006/relationships/hyperlink" Target="http://www.cellsignal.com/products/5435.html" TargetMode="External"/><Relationship Id="rId575" Type="http://schemas.openxmlformats.org/officeDocument/2006/relationships/hyperlink" Target="http://www.phosphosite.org/proteinAction.do?id=2390&amp;showAllSites=true" TargetMode="External"/><Relationship Id="rId782" Type="http://schemas.openxmlformats.org/officeDocument/2006/relationships/hyperlink" Target="http://www.phosphosite.org/proteinAction.do?id=5140324&amp;showAllSites=true" TargetMode="External"/><Relationship Id="rId228" Type="http://schemas.openxmlformats.org/officeDocument/2006/relationships/hyperlink" Target="http://www.phosphosite.org/proteinAction.do?id=9558&amp;showAllSites=true" TargetMode="External"/><Relationship Id="rId435" Type="http://schemas.openxmlformats.org/officeDocument/2006/relationships/hyperlink" Target="http://www.phosphosite.org/proteinAction.do?id=2157&amp;showAllSites=true" TargetMode="External"/><Relationship Id="rId642" Type="http://schemas.openxmlformats.org/officeDocument/2006/relationships/hyperlink" Target="http://www.phosphosite.org/proteinAction.do?id=10223&amp;showAllSites=true" TargetMode="External"/><Relationship Id="rId1065" Type="http://schemas.openxmlformats.org/officeDocument/2006/relationships/hyperlink" Target="http://www.cellsignal.com/products/4499.html" TargetMode="External"/><Relationship Id="rId281" Type="http://schemas.openxmlformats.org/officeDocument/2006/relationships/hyperlink" Target="http://www.phosphosite.org/proteinAction.do?id=8395&amp;showAllSites=true" TargetMode="External"/><Relationship Id="rId502" Type="http://schemas.openxmlformats.org/officeDocument/2006/relationships/hyperlink" Target="http://www.cellsignal.com/products/12588.html" TargetMode="External"/><Relationship Id="rId947" Type="http://schemas.openxmlformats.org/officeDocument/2006/relationships/hyperlink" Target="http://www.phosphosite.org/proteinAction.do?id=10980&amp;showAllSites=true" TargetMode="External"/><Relationship Id="rId76" Type="http://schemas.openxmlformats.org/officeDocument/2006/relationships/hyperlink" Target="http://www.cellsignal.com/products/4796.html" TargetMode="External"/><Relationship Id="rId141" Type="http://schemas.openxmlformats.org/officeDocument/2006/relationships/hyperlink" Target="http://www.phosphosite.org/proteinAction.do?id=6509&amp;showAllSites=true" TargetMode="External"/><Relationship Id="rId379" Type="http://schemas.openxmlformats.org/officeDocument/2006/relationships/hyperlink" Target="http://www.phosphosite.org/proteinAction.do?id=5143208&amp;showAllSites=true" TargetMode="External"/><Relationship Id="rId586" Type="http://schemas.openxmlformats.org/officeDocument/2006/relationships/hyperlink" Target="http://www.phosphosite.org/proteinAction.do?id=9181&amp;showAllSites=true" TargetMode="External"/><Relationship Id="rId793" Type="http://schemas.openxmlformats.org/officeDocument/2006/relationships/hyperlink" Target="http://www.phosphosite.org/proteinAction.do?id=20398&amp;showAllSites=true" TargetMode="External"/><Relationship Id="rId807" Type="http://schemas.openxmlformats.org/officeDocument/2006/relationships/hyperlink" Target="http://www.phosphosite.org/proteinAction.do?id=6895&amp;showAllSites=true" TargetMode="External"/><Relationship Id="rId7" Type="http://schemas.openxmlformats.org/officeDocument/2006/relationships/hyperlink" Target="http://www.cellsignal.com/products/4728.html" TargetMode="External"/><Relationship Id="rId239" Type="http://schemas.openxmlformats.org/officeDocument/2006/relationships/hyperlink" Target="http://www.cellsignal.com/products/4869.html" TargetMode="External"/><Relationship Id="rId446" Type="http://schemas.openxmlformats.org/officeDocument/2006/relationships/hyperlink" Target="http://www.cellsignal.com/products/2838.html" TargetMode="External"/><Relationship Id="rId653" Type="http://schemas.openxmlformats.org/officeDocument/2006/relationships/hyperlink" Target="http://www.phosphosite.org/proteinAction.do?id=9668&amp;showAllSites=true" TargetMode="External"/><Relationship Id="rId1076" Type="http://schemas.openxmlformats.org/officeDocument/2006/relationships/hyperlink" Target="http://www.phosphosite.org/proteinAction.do?id=5145077&amp;showAllSites=true" TargetMode="External"/><Relationship Id="rId292" Type="http://schemas.openxmlformats.org/officeDocument/2006/relationships/hyperlink" Target="http://www.cellsignal.com/products/12364.html" TargetMode="External"/><Relationship Id="rId306" Type="http://schemas.openxmlformats.org/officeDocument/2006/relationships/hyperlink" Target="http://www.phosphosite.org/proteinAction.do?id=8393&amp;showAllSites=true" TargetMode="External"/><Relationship Id="rId860" Type="http://schemas.openxmlformats.org/officeDocument/2006/relationships/hyperlink" Target="http://www.phosphosite.org/proteinAction.do?id=1236853&amp;showAllSites=true" TargetMode="External"/><Relationship Id="rId958" Type="http://schemas.openxmlformats.org/officeDocument/2006/relationships/hyperlink" Target="http://www.phosphosite.org/proteinAction.do?id=8195&amp;showAllSites=true" TargetMode="External"/><Relationship Id="rId87" Type="http://schemas.openxmlformats.org/officeDocument/2006/relationships/hyperlink" Target="http://www.cellsignal.com/products/7389.html" TargetMode="External"/><Relationship Id="rId513" Type="http://schemas.openxmlformats.org/officeDocument/2006/relationships/hyperlink" Target="http://www.phosphosite.org/proteinAction.do?id=7967&amp;showAllSites=true" TargetMode="External"/><Relationship Id="rId597" Type="http://schemas.openxmlformats.org/officeDocument/2006/relationships/hyperlink" Target="http://www.phosphosite.org/proteinAction.do?id=4240&amp;showAllSites=true" TargetMode="External"/><Relationship Id="rId720" Type="http://schemas.openxmlformats.org/officeDocument/2006/relationships/hyperlink" Target="http://www.cellsignal.com/products/11896.html" TargetMode="External"/><Relationship Id="rId818" Type="http://schemas.openxmlformats.org/officeDocument/2006/relationships/hyperlink" Target="http://www.phosphosite.org/proteinAction.do?id=8575&amp;showAllSites=true" TargetMode="External"/><Relationship Id="rId152" Type="http://schemas.openxmlformats.org/officeDocument/2006/relationships/hyperlink" Target="http://www.phosphosite.org/proteinAction.do?id=11799&amp;showAllSites=true" TargetMode="External"/><Relationship Id="rId457" Type="http://schemas.openxmlformats.org/officeDocument/2006/relationships/hyperlink" Target="http://www.phosphosite.org/proteinAction.do?id=9173&amp;showAllSites=true" TargetMode="External"/><Relationship Id="rId1003" Type="http://schemas.openxmlformats.org/officeDocument/2006/relationships/hyperlink" Target="http://www.phosphosite.org/proteinAction.do?id=17304&amp;showAllSites=true" TargetMode="External"/><Relationship Id="rId1087" Type="http://schemas.openxmlformats.org/officeDocument/2006/relationships/hyperlink" Target="http://www.phosphosite.org/proteinAction.do?id=12571405&amp;showAllSites=true" TargetMode="External"/><Relationship Id="rId664" Type="http://schemas.openxmlformats.org/officeDocument/2006/relationships/hyperlink" Target="http://www.phosphosite.org/proteinAction.do?id=7485&amp;showAllSites=true" TargetMode="External"/><Relationship Id="rId871" Type="http://schemas.openxmlformats.org/officeDocument/2006/relationships/hyperlink" Target="http://www.phosphosite.org/proteinAction.do?id=15732&amp;showAllSites=true" TargetMode="External"/><Relationship Id="rId969" Type="http://schemas.openxmlformats.org/officeDocument/2006/relationships/hyperlink" Target="http://www.phosphosite.org/proteinAction.do?id=5667&amp;showAllSites=true" TargetMode="External"/><Relationship Id="rId14" Type="http://schemas.openxmlformats.org/officeDocument/2006/relationships/hyperlink" Target="http://www.phosphosite.org/proteinAction.do?id=1112&amp;showAllSites=true" TargetMode="External"/><Relationship Id="rId317" Type="http://schemas.openxmlformats.org/officeDocument/2006/relationships/hyperlink" Target="http://www.cellsignal.com/products/9072.html" TargetMode="External"/><Relationship Id="rId524" Type="http://schemas.openxmlformats.org/officeDocument/2006/relationships/hyperlink" Target="http://www.cellsignal.com/products/5174.html" TargetMode="External"/><Relationship Id="rId731" Type="http://schemas.openxmlformats.org/officeDocument/2006/relationships/hyperlink" Target="http://www.phosphosite.org/proteinAction.do?id=5321&amp;showAllSites=true" TargetMode="External"/><Relationship Id="rId98" Type="http://schemas.openxmlformats.org/officeDocument/2006/relationships/hyperlink" Target="http://www.phosphosite.org/proteinAction.do?id=1161&amp;showAllSites=true" TargetMode="External"/><Relationship Id="rId163" Type="http://schemas.openxmlformats.org/officeDocument/2006/relationships/hyperlink" Target="http://www.cellsignal.com/products/4454.html" TargetMode="External"/><Relationship Id="rId370" Type="http://schemas.openxmlformats.org/officeDocument/2006/relationships/hyperlink" Target="http://www.cellsignal.com/products/8135.html" TargetMode="External"/><Relationship Id="rId829" Type="http://schemas.openxmlformats.org/officeDocument/2006/relationships/hyperlink" Target="http://www.phosphosite.org/proteinAction.do?id=1288197&amp;showAllSites=true" TargetMode="External"/><Relationship Id="rId1014" Type="http://schemas.openxmlformats.org/officeDocument/2006/relationships/hyperlink" Target="http://www.cellsignal.com/products/5400.html" TargetMode="External"/><Relationship Id="rId230" Type="http://schemas.openxmlformats.org/officeDocument/2006/relationships/hyperlink" Target="http://www.phosphosite.org/proteinAction.do?id=4249&amp;showAllSites=true" TargetMode="External"/><Relationship Id="rId468" Type="http://schemas.openxmlformats.org/officeDocument/2006/relationships/hyperlink" Target="http://www.phosphosite.org/proteinAction.do?id=10968&amp;showAllSites=true" TargetMode="External"/><Relationship Id="rId675" Type="http://schemas.openxmlformats.org/officeDocument/2006/relationships/hyperlink" Target="http://www.cellsignal.com/products/3205.html" TargetMode="External"/><Relationship Id="rId882" Type="http://schemas.openxmlformats.org/officeDocument/2006/relationships/hyperlink" Target="http://www.phosphosite.org/proteinAction.do?id=2386&amp;showAllSites=true" TargetMode="External"/><Relationship Id="rId1098" Type="http://schemas.openxmlformats.org/officeDocument/2006/relationships/hyperlink" Target="http://www.phosphosite.org/proteinAction.do?id=6272105&amp;showAllSites=true" TargetMode="External"/><Relationship Id="rId25" Type="http://schemas.openxmlformats.org/officeDocument/2006/relationships/hyperlink" Target="http://www.phosphosite.org/proteinAction.do?id=9697&amp;showAllSites=true" TargetMode="External"/><Relationship Id="rId328" Type="http://schemas.openxmlformats.org/officeDocument/2006/relationships/hyperlink" Target="http://www.cellsignal.com/products/12364.html" TargetMode="External"/><Relationship Id="rId535" Type="http://schemas.openxmlformats.org/officeDocument/2006/relationships/hyperlink" Target="http://www.cellsignal.com/products/3997.html" TargetMode="External"/><Relationship Id="rId742" Type="http://schemas.openxmlformats.org/officeDocument/2006/relationships/hyperlink" Target="http://www.phosphosite.org/proteinAction.do?id=11243&amp;showAllSites=true" TargetMode="External"/><Relationship Id="rId174" Type="http://schemas.openxmlformats.org/officeDocument/2006/relationships/hyperlink" Target="http://www.cellsignal.com/products/9099.html" TargetMode="External"/><Relationship Id="rId381" Type="http://schemas.openxmlformats.org/officeDocument/2006/relationships/hyperlink" Target="http://www.phosphosite.org/proteinAction.do?id=5143208&amp;showAllSites=true" TargetMode="External"/><Relationship Id="rId602" Type="http://schemas.openxmlformats.org/officeDocument/2006/relationships/hyperlink" Target="http://www.cellsignal.com/products/3188.html" TargetMode="External"/><Relationship Id="rId1025" Type="http://schemas.openxmlformats.org/officeDocument/2006/relationships/hyperlink" Target="http://www.phosphosite.org/proteinAction.do?id=6594&amp;showAllSites=true" TargetMode="External"/><Relationship Id="rId241" Type="http://schemas.openxmlformats.org/officeDocument/2006/relationships/hyperlink" Target="http://www.cellsignal.com/products/4869.html" TargetMode="External"/><Relationship Id="rId479" Type="http://schemas.openxmlformats.org/officeDocument/2006/relationships/hyperlink" Target="http://www.phosphosite.org/proteinAction.do?id=4045&amp;showAllSites=true" TargetMode="External"/><Relationship Id="rId686" Type="http://schemas.openxmlformats.org/officeDocument/2006/relationships/hyperlink" Target="http://www.phosphosite.org/proteinAction.do?id=10623&amp;showAllSites=true" TargetMode="External"/><Relationship Id="rId893" Type="http://schemas.openxmlformats.org/officeDocument/2006/relationships/hyperlink" Target="http://www.phosphosite.org/proteinAction.do?id=4806&amp;showAllSites=true" TargetMode="External"/><Relationship Id="rId907" Type="http://schemas.openxmlformats.org/officeDocument/2006/relationships/hyperlink" Target="http://www.phosphosite.org/proteinAction.do?id=4345&amp;showAllSites=true" TargetMode="External"/><Relationship Id="rId36" Type="http://schemas.openxmlformats.org/officeDocument/2006/relationships/hyperlink" Target="http://www.cellsignal.com/products/7413.html" TargetMode="External"/><Relationship Id="rId339" Type="http://schemas.openxmlformats.org/officeDocument/2006/relationships/hyperlink" Target="http://www.cellsignal.com/products/2591.html" TargetMode="External"/><Relationship Id="rId546" Type="http://schemas.openxmlformats.org/officeDocument/2006/relationships/hyperlink" Target="http://www.cellsignal.com/products/9046.html" TargetMode="External"/><Relationship Id="rId753" Type="http://schemas.openxmlformats.org/officeDocument/2006/relationships/hyperlink" Target="http://www.phosphosite.org/proteinAction.do?id=10267&amp;showAllSites=true" TargetMode="External"/><Relationship Id="rId101" Type="http://schemas.openxmlformats.org/officeDocument/2006/relationships/hyperlink" Target="http://www.cellsignal.com/products/7389.html" TargetMode="External"/><Relationship Id="rId185" Type="http://schemas.openxmlformats.org/officeDocument/2006/relationships/hyperlink" Target="http://www.phosphosite.org/proteinAction.do?id=15250804&amp;showAllSites=true" TargetMode="External"/><Relationship Id="rId406" Type="http://schemas.openxmlformats.org/officeDocument/2006/relationships/hyperlink" Target="http://www.phosphosite.org/proteinAction.do?id=12265&amp;showAllSites=true" TargetMode="External"/><Relationship Id="rId960" Type="http://schemas.openxmlformats.org/officeDocument/2006/relationships/hyperlink" Target="http://www.phosphosite.org/proteinAction.do?id=3053&amp;showAllSites=true" TargetMode="External"/><Relationship Id="rId1036" Type="http://schemas.openxmlformats.org/officeDocument/2006/relationships/hyperlink" Target="http://www.phosphosite.org/proteinAction.do?id=18873&amp;showAllSites=true" TargetMode="External"/><Relationship Id="rId392" Type="http://schemas.openxmlformats.org/officeDocument/2006/relationships/hyperlink" Target="http://www.cellsignal.com/products/8135.html" TargetMode="External"/><Relationship Id="rId613" Type="http://schemas.openxmlformats.org/officeDocument/2006/relationships/hyperlink" Target="http://www.phosphosite.org/proteinAction.do?id=13877&amp;showAllSites=true" TargetMode="External"/><Relationship Id="rId697" Type="http://schemas.openxmlformats.org/officeDocument/2006/relationships/hyperlink" Target="http://www.phosphosite.org/proteinAction.do?id=7580526&amp;showAllSites=true" TargetMode="External"/><Relationship Id="rId820" Type="http://schemas.openxmlformats.org/officeDocument/2006/relationships/hyperlink" Target="http://www.phosphosite.org/proteinAction.do?id=8575&amp;showAllSites=true" TargetMode="External"/><Relationship Id="rId918" Type="http://schemas.openxmlformats.org/officeDocument/2006/relationships/hyperlink" Target="http://www.cellsignal.com/products/8676.html" TargetMode="External"/><Relationship Id="rId252" Type="http://schemas.openxmlformats.org/officeDocument/2006/relationships/hyperlink" Target="http://www.cellsignal.com/products/2718.html" TargetMode="External"/><Relationship Id="rId1103" Type="http://schemas.openxmlformats.org/officeDocument/2006/relationships/hyperlink" Target="http://www.phosphosite.org/proteinAction.do?id=9670&amp;showAllSites=true" TargetMode="External"/><Relationship Id="rId47" Type="http://schemas.openxmlformats.org/officeDocument/2006/relationships/hyperlink" Target="http://www.phosphosite.org/proteinAction.do?id=4802&amp;showAllSites=true" TargetMode="External"/><Relationship Id="rId112" Type="http://schemas.openxmlformats.org/officeDocument/2006/relationships/hyperlink" Target="http://www.phosphosite.org/proteinAction.do?id=7506&amp;showAllSites=true" TargetMode="External"/><Relationship Id="rId557" Type="http://schemas.openxmlformats.org/officeDocument/2006/relationships/hyperlink" Target="http://www.cellsignal.com/products/2482.html" TargetMode="External"/><Relationship Id="rId764" Type="http://schemas.openxmlformats.org/officeDocument/2006/relationships/hyperlink" Target="http://www.phosphosite.org/proteinAction.do?id=8886&amp;showAllSites=true" TargetMode="External"/><Relationship Id="rId971" Type="http://schemas.openxmlformats.org/officeDocument/2006/relationships/hyperlink" Target="http://www.phosphosite.org/proteinAction.do?id=6039&amp;showAllSites=true" TargetMode="External"/><Relationship Id="rId196" Type="http://schemas.openxmlformats.org/officeDocument/2006/relationships/hyperlink" Target="http://www.cellsignal.com/products/4830.html" TargetMode="External"/><Relationship Id="rId417" Type="http://schemas.openxmlformats.org/officeDocument/2006/relationships/hyperlink" Target="http://www.phosphosite.org/proteinAction.do?id=17419&amp;showAllSites=true" TargetMode="External"/><Relationship Id="rId624" Type="http://schemas.openxmlformats.org/officeDocument/2006/relationships/hyperlink" Target="http://www.phosphosite.org/proteinAction.do?id=1169906&amp;showAllSites=true" TargetMode="External"/><Relationship Id="rId831" Type="http://schemas.openxmlformats.org/officeDocument/2006/relationships/hyperlink" Target="http://www.phosphosite.org/proteinAction.do?id=13225&amp;showAllSites=true" TargetMode="External"/><Relationship Id="rId1047" Type="http://schemas.openxmlformats.org/officeDocument/2006/relationships/hyperlink" Target="http://www.phosphosite.org/proteinAction.do?id=3641390&amp;showAllSites=true" TargetMode="External"/><Relationship Id="rId263" Type="http://schemas.openxmlformats.org/officeDocument/2006/relationships/hyperlink" Target="http://www.phosphosite.org/proteinAction.do?id=12274&amp;showAllSites=true" TargetMode="External"/><Relationship Id="rId470" Type="http://schemas.openxmlformats.org/officeDocument/2006/relationships/hyperlink" Target="http://www.phosphosite.org/proteinAction.do?id=18139&amp;showAllSites=true" TargetMode="External"/><Relationship Id="rId929" Type="http://schemas.openxmlformats.org/officeDocument/2006/relationships/hyperlink" Target="http://www.phosphosite.org/proteinAction.do?id=2760&amp;showAllSites=true" TargetMode="External"/><Relationship Id="rId1114" Type="http://schemas.openxmlformats.org/officeDocument/2006/relationships/hyperlink" Target="http://www.phosphosite.org/proteinAction.do?id=9656&amp;showAllSites=true" TargetMode="External"/><Relationship Id="rId58" Type="http://schemas.openxmlformats.org/officeDocument/2006/relationships/hyperlink" Target="http://www.phosphosite.org/proteinAction.do?id=4311&amp;showAllSites=true" TargetMode="External"/><Relationship Id="rId123" Type="http://schemas.openxmlformats.org/officeDocument/2006/relationships/hyperlink" Target="http://www.phosphosite.org/proteinAction.do?id=25230&amp;showAllSites=true" TargetMode="External"/><Relationship Id="rId330" Type="http://schemas.openxmlformats.org/officeDocument/2006/relationships/hyperlink" Target="http://www.phosphosite.org/proteinAction.do?id=22837&amp;showAllSites=true" TargetMode="External"/><Relationship Id="rId568" Type="http://schemas.openxmlformats.org/officeDocument/2006/relationships/hyperlink" Target="http://www.cellsignal.com/products/2167.html" TargetMode="External"/><Relationship Id="rId775" Type="http://schemas.openxmlformats.org/officeDocument/2006/relationships/hyperlink" Target="http://www.phosphosite.org/proteinAction.do?id=1394&amp;showAllSites=true" TargetMode="External"/><Relationship Id="rId982" Type="http://schemas.openxmlformats.org/officeDocument/2006/relationships/hyperlink" Target="http://www.phosphosite.org/proteinAction.do?id=3838400&amp;showAllSites=true" TargetMode="External"/><Relationship Id="rId428" Type="http://schemas.openxmlformats.org/officeDocument/2006/relationships/hyperlink" Target="http://www.cellsignal.com/products/9087.html" TargetMode="External"/><Relationship Id="rId635" Type="http://schemas.openxmlformats.org/officeDocument/2006/relationships/hyperlink" Target="http://www.cellsignal.com/products/9828.html" TargetMode="External"/><Relationship Id="rId842" Type="http://schemas.openxmlformats.org/officeDocument/2006/relationships/hyperlink" Target="http://www.phosphosite.org/proteinAction.do?id=2143&amp;showAllSites=true" TargetMode="External"/><Relationship Id="rId1058" Type="http://schemas.openxmlformats.org/officeDocument/2006/relationships/hyperlink" Target="http://www.phosphosite.org/proteinAction.do?id=2453040&amp;showAllSites=true" TargetMode="External"/><Relationship Id="rId274" Type="http://schemas.openxmlformats.org/officeDocument/2006/relationships/hyperlink" Target="http://www.cellsignal.com/products/9072.html" TargetMode="External"/><Relationship Id="rId481" Type="http://schemas.openxmlformats.org/officeDocument/2006/relationships/hyperlink" Target="http://www.cellsignal.com/products/6224.html" TargetMode="External"/><Relationship Id="rId702" Type="http://schemas.openxmlformats.org/officeDocument/2006/relationships/hyperlink" Target="http://www.cellsignal.com/products/2289.html" TargetMode="External"/><Relationship Id="rId1125" Type="http://schemas.openxmlformats.org/officeDocument/2006/relationships/hyperlink" Target="http://www.phosphosite.org/proteinAction.do?id=12701&amp;showAllSites=true" TargetMode="External"/><Relationship Id="rId69" Type="http://schemas.openxmlformats.org/officeDocument/2006/relationships/hyperlink" Target="http://www.cellsignal.com/products/6267.html" TargetMode="External"/><Relationship Id="rId134" Type="http://schemas.openxmlformats.org/officeDocument/2006/relationships/hyperlink" Target="http://www.cellsignal.com/products/3852.html" TargetMode="External"/><Relationship Id="rId579" Type="http://schemas.openxmlformats.org/officeDocument/2006/relationships/hyperlink" Target="http://www.phosphosite.org/proteinAction.do?id=15703&amp;showAllSites=true" TargetMode="External"/><Relationship Id="rId786" Type="http://schemas.openxmlformats.org/officeDocument/2006/relationships/hyperlink" Target="http://www.phosphosite.org/proteinAction.do?id=6068&amp;showAllSites=true" TargetMode="External"/><Relationship Id="rId993" Type="http://schemas.openxmlformats.org/officeDocument/2006/relationships/hyperlink" Target="http://www.phosphosite.org/proteinAction.do?id=3354&amp;showAllSites=true" TargetMode="External"/><Relationship Id="rId341" Type="http://schemas.openxmlformats.org/officeDocument/2006/relationships/hyperlink" Target="http://www.cellsignal.com/products/2592.html" TargetMode="External"/><Relationship Id="rId439" Type="http://schemas.openxmlformats.org/officeDocument/2006/relationships/hyperlink" Target="http://www.cellsignal.com/products/4265.html" TargetMode="External"/><Relationship Id="rId646" Type="http://schemas.openxmlformats.org/officeDocument/2006/relationships/hyperlink" Target="http://www.phosphosite.org/proteinAction.do?id=10223&amp;showAllSites=true" TargetMode="External"/><Relationship Id="rId1069" Type="http://schemas.openxmlformats.org/officeDocument/2006/relationships/hyperlink" Target="http://www.cellsignal.com/products/4318.html" TargetMode="External"/><Relationship Id="rId201" Type="http://schemas.openxmlformats.org/officeDocument/2006/relationships/hyperlink" Target="http://www.phosphosite.org/proteinAction.do?id=6058&amp;showAllSites=true" TargetMode="External"/><Relationship Id="rId285" Type="http://schemas.openxmlformats.org/officeDocument/2006/relationships/hyperlink" Target="http://www.cellsignal.com/products/8135.html" TargetMode="External"/><Relationship Id="rId506" Type="http://schemas.openxmlformats.org/officeDocument/2006/relationships/hyperlink" Target="http://www.cellsignal.com/products/3180.html" TargetMode="External"/><Relationship Id="rId853" Type="http://schemas.openxmlformats.org/officeDocument/2006/relationships/hyperlink" Target="http://www.phosphosite.org/proteinAction.do?id=9205&amp;showAllSites=true" TargetMode="External"/><Relationship Id="rId492" Type="http://schemas.openxmlformats.org/officeDocument/2006/relationships/hyperlink" Target="http://www.phosphosite.org/proteinAction.do?id=9538&amp;showAllSites=true" TargetMode="External"/><Relationship Id="rId713" Type="http://schemas.openxmlformats.org/officeDocument/2006/relationships/hyperlink" Target="http://www.cellsignal.com/products/2459.html" TargetMode="External"/><Relationship Id="rId797" Type="http://schemas.openxmlformats.org/officeDocument/2006/relationships/hyperlink" Target="http://www.phosphosite.org/proteinAction.do?id=15686&amp;showAllSites=true" TargetMode="External"/><Relationship Id="rId920" Type="http://schemas.openxmlformats.org/officeDocument/2006/relationships/hyperlink" Target="http://www.phosphosite.org/proteinAction.do?id=1288245&amp;showAllSites=true" TargetMode="External"/><Relationship Id="rId145" Type="http://schemas.openxmlformats.org/officeDocument/2006/relationships/hyperlink" Target="http://www.phosphosite.org/proteinAction.do?id=7651&amp;showAllSites=true" TargetMode="External"/><Relationship Id="rId352" Type="http://schemas.openxmlformats.org/officeDocument/2006/relationships/hyperlink" Target="http://www.cellsignal.com/products/2592.html" TargetMode="External"/><Relationship Id="rId212" Type="http://schemas.openxmlformats.org/officeDocument/2006/relationships/hyperlink" Target="http://www.phosphosite.org/proteinAction.do?id=8840&amp;showAllSites=true" TargetMode="External"/><Relationship Id="rId657" Type="http://schemas.openxmlformats.org/officeDocument/2006/relationships/hyperlink" Target="http://www.phosphosite.org/proteinAction.do?id=9668&amp;showAllSites=true" TargetMode="External"/><Relationship Id="rId864" Type="http://schemas.openxmlformats.org/officeDocument/2006/relationships/hyperlink" Target="http://www.phosphosite.org/proteinAction.do?id=18995001&amp;showAllSites=true" TargetMode="External"/><Relationship Id="rId296" Type="http://schemas.openxmlformats.org/officeDocument/2006/relationships/hyperlink" Target="http://www.cellsignal.com/products/9072.html" TargetMode="External"/><Relationship Id="rId517" Type="http://schemas.openxmlformats.org/officeDocument/2006/relationships/hyperlink" Target="http://www.phosphosite.org/proteinAction.do?id=19749&amp;showAllSites=true" TargetMode="External"/><Relationship Id="rId724" Type="http://schemas.openxmlformats.org/officeDocument/2006/relationships/hyperlink" Target="http://www.phosphosite.org/proteinAction.do?id=9334&amp;showAllSites=true" TargetMode="External"/><Relationship Id="rId931" Type="http://schemas.openxmlformats.org/officeDocument/2006/relationships/hyperlink" Target="http://www.phosphosite.org/proteinAction.do?id=4985&amp;showAllSites=true" TargetMode="External"/><Relationship Id="rId60" Type="http://schemas.openxmlformats.org/officeDocument/2006/relationships/hyperlink" Target="http://www.cellsignal.com/products/6267.html" TargetMode="External"/><Relationship Id="rId156" Type="http://schemas.openxmlformats.org/officeDocument/2006/relationships/hyperlink" Target="http://www.phosphosite.org/proteinAction.do?id=6765&amp;showAllSites=true" TargetMode="External"/><Relationship Id="rId363" Type="http://schemas.openxmlformats.org/officeDocument/2006/relationships/hyperlink" Target="http://www.phosphosite.org/proteinAction.do?id=8391&amp;showAllSites=true" TargetMode="External"/><Relationship Id="rId570" Type="http://schemas.openxmlformats.org/officeDocument/2006/relationships/hyperlink" Target="http://www.cellsignal.com/products/8780.html" TargetMode="External"/><Relationship Id="rId1007" Type="http://schemas.openxmlformats.org/officeDocument/2006/relationships/hyperlink" Target="http://www.cellsignal.com/products/2765.html" TargetMode="External"/><Relationship Id="rId223" Type="http://schemas.openxmlformats.org/officeDocument/2006/relationships/hyperlink" Target="http://www.cellsignal.com/products/8444.html" TargetMode="External"/><Relationship Id="rId430" Type="http://schemas.openxmlformats.org/officeDocument/2006/relationships/hyperlink" Target="http://www.cellsignal.com/products/9087.html" TargetMode="External"/><Relationship Id="rId668" Type="http://schemas.openxmlformats.org/officeDocument/2006/relationships/hyperlink" Target="http://www.phosphosite.org/proteinAction.do?id=13897&amp;showAllSites=true" TargetMode="External"/><Relationship Id="rId875" Type="http://schemas.openxmlformats.org/officeDocument/2006/relationships/hyperlink" Target="http://www.phosphosite.org/proteinAction.do?id=9523&amp;showAllSites=true" TargetMode="External"/><Relationship Id="rId1060" Type="http://schemas.openxmlformats.org/officeDocument/2006/relationships/hyperlink" Target="http://www.phosphosite.org/proteinAction.do?id=8967&amp;showAllSites=true" TargetMode="External"/><Relationship Id="rId18" Type="http://schemas.openxmlformats.org/officeDocument/2006/relationships/hyperlink" Target="http://www.phosphosite.org/proteinAction.do?id=9911&amp;showAllSites=true" TargetMode="External"/><Relationship Id="rId528" Type="http://schemas.openxmlformats.org/officeDocument/2006/relationships/hyperlink" Target="http://www.cellsignal.com/products/5174.html" TargetMode="External"/><Relationship Id="rId735" Type="http://schemas.openxmlformats.org/officeDocument/2006/relationships/hyperlink" Target="http://www.cellsignal.com/products/12134.html" TargetMode="External"/><Relationship Id="rId942" Type="http://schemas.openxmlformats.org/officeDocument/2006/relationships/hyperlink" Target="http://www.phosphosite.org/proteinAction.do?id=10980&amp;showAllSites=true" TargetMode="External"/><Relationship Id="rId167" Type="http://schemas.openxmlformats.org/officeDocument/2006/relationships/hyperlink" Target="http://www.phosphosite.org/proteinAction.do?id=7745&amp;showAllSites=true" TargetMode="External"/><Relationship Id="rId374" Type="http://schemas.openxmlformats.org/officeDocument/2006/relationships/hyperlink" Target="http://www.cellsignal.com/products/8135.html" TargetMode="External"/><Relationship Id="rId581" Type="http://schemas.openxmlformats.org/officeDocument/2006/relationships/hyperlink" Target="http://www.cellsignal.com/products/6922.html" TargetMode="External"/><Relationship Id="rId1018" Type="http://schemas.openxmlformats.org/officeDocument/2006/relationships/hyperlink" Target="http://www.phosphosite.org/proteinAction.do?id=23252&amp;showAllSites=true" TargetMode="External"/><Relationship Id="rId71" Type="http://schemas.openxmlformats.org/officeDocument/2006/relationships/hyperlink" Target="http://www.phosphosite.org/proteinAction.do?id=1482&amp;showAllSites=true" TargetMode="External"/><Relationship Id="rId234" Type="http://schemas.openxmlformats.org/officeDocument/2006/relationships/hyperlink" Target="http://www.phosphosite.org/proteinAction.do?id=4249&amp;showAllSites=true" TargetMode="External"/><Relationship Id="rId679" Type="http://schemas.openxmlformats.org/officeDocument/2006/relationships/hyperlink" Target="http://www.cellsignal.com/products/2784.html" TargetMode="External"/><Relationship Id="rId802" Type="http://schemas.openxmlformats.org/officeDocument/2006/relationships/hyperlink" Target="http://www.phosphosite.org/proteinAction.do?id=6883&amp;showAllSites=true" TargetMode="External"/><Relationship Id="rId886" Type="http://schemas.openxmlformats.org/officeDocument/2006/relationships/hyperlink" Target="http://www.phosphosite.org/proteinAction.do?id=20945&amp;showAllSites=true" TargetMode="External"/><Relationship Id="rId2" Type="http://schemas.openxmlformats.org/officeDocument/2006/relationships/hyperlink" Target="http://www.phosphosite.org/proteinAction.do?id=4359&amp;showAllSites=true" TargetMode="External"/><Relationship Id="rId29" Type="http://schemas.openxmlformats.org/officeDocument/2006/relationships/hyperlink" Target="http://www.phosphosite.org/proteinAction.do?id=6878&amp;showAllSites=true" TargetMode="External"/><Relationship Id="rId441" Type="http://schemas.openxmlformats.org/officeDocument/2006/relationships/hyperlink" Target="http://www.cellsignal.com/products/4265.html" TargetMode="External"/><Relationship Id="rId539" Type="http://schemas.openxmlformats.org/officeDocument/2006/relationships/hyperlink" Target="http://www.cellsignal.com/products/3997.html" TargetMode="External"/><Relationship Id="rId746" Type="http://schemas.openxmlformats.org/officeDocument/2006/relationships/hyperlink" Target="http://www.cellsignal.com/products/3230.html" TargetMode="External"/><Relationship Id="rId1071" Type="http://schemas.openxmlformats.org/officeDocument/2006/relationships/hyperlink" Target="http://www.cellsignal.com/products/4499.html" TargetMode="External"/><Relationship Id="rId178" Type="http://schemas.openxmlformats.org/officeDocument/2006/relationships/hyperlink" Target="http://www.phosphosite.org/proteinAction.do?id=2137703&amp;showAllSites=true" TargetMode="External"/><Relationship Id="rId301" Type="http://schemas.openxmlformats.org/officeDocument/2006/relationships/hyperlink" Target="http://www.cellsignal.com/products/8135.html" TargetMode="External"/><Relationship Id="rId953" Type="http://schemas.openxmlformats.org/officeDocument/2006/relationships/hyperlink" Target="http://www.phosphosite.org/proteinAction.do?id=11652&amp;showAllSites=true" TargetMode="External"/><Relationship Id="rId1029" Type="http://schemas.openxmlformats.org/officeDocument/2006/relationships/hyperlink" Target="http://www.cellsignal.com/products/2217.html" TargetMode="External"/><Relationship Id="rId82" Type="http://schemas.openxmlformats.org/officeDocument/2006/relationships/hyperlink" Target="http://www.phosphosite.org/proteinAction.do?id=18095&amp;showAllSites=true" TargetMode="External"/><Relationship Id="rId385" Type="http://schemas.openxmlformats.org/officeDocument/2006/relationships/hyperlink" Target="http://www.phosphosite.org/proteinAction.do?id=5143208&amp;showAllSites=true" TargetMode="External"/><Relationship Id="rId592" Type="http://schemas.openxmlformats.org/officeDocument/2006/relationships/hyperlink" Target="http://www.phosphosite.org/proteinAction.do?id=15789&amp;showAllSites=true" TargetMode="External"/><Relationship Id="rId606" Type="http://schemas.openxmlformats.org/officeDocument/2006/relationships/hyperlink" Target="http://www.phosphosite.org/proteinAction.do?id=4240&amp;showAllSites=true" TargetMode="External"/><Relationship Id="rId813" Type="http://schemas.openxmlformats.org/officeDocument/2006/relationships/hyperlink" Target="http://www.phosphosite.org/proteinAction.do?id=15751&amp;showAllSites=true" TargetMode="External"/><Relationship Id="rId245" Type="http://schemas.openxmlformats.org/officeDocument/2006/relationships/hyperlink" Target="http://www.phosphosite.org/proteinAction.do?id=2730&amp;showAllSites=true" TargetMode="External"/><Relationship Id="rId452" Type="http://schemas.openxmlformats.org/officeDocument/2006/relationships/hyperlink" Target="http://www.phosphosite.org/proteinAction.do?id=19277&amp;showAllSites=true" TargetMode="External"/><Relationship Id="rId897" Type="http://schemas.openxmlformats.org/officeDocument/2006/relationships/hyperlink" Target="http://www.phosphosite.org/proteinAction.do?id=4806&amp;showAllSites=true" TargetMode="External"/><Relationship Id="rId1082" Type="http://schemas.openxmlformats.org/officeDocument/2006/relationships/hyperlink" Target="http://www.phosphosite.org/proteinAction.do?id=7229004&amp;showAllSites=true" TargetMode="External"/><Relationship Id="rId105" Type="http://schemas.openxmlformats.org/officeDocument/2006/relationships/hyperlink" Target="http://www.phosphosite.org/proteinAction.do?id=8496&amp;showAllSites=true" TargetMode="External"/><Relationship Id="rId312" Type="http://schemas.openxmlformats.org/officeDocument/2006/relationships/hyperlink" Target="http://www.phosphosite.org/proteinAction.do?id=8393&amp;showAllSites=true" TargetMode="External"/><Relationship Id="rId757" Type="http://schemas.openxmlformats.org/officeDocument/2006/relationships/hyperlink" Target="http://www.phosphosite.org/proteinAction.do?id=12263&amp;showAllSites=true" TargetMode="External"/><Relationship Id="rId964" Type="http://schemas.openxmlformats.org/officeDocument/2006/relationships/hyperlink" Target="http://www.phosphosite.org/proteinAction.do?id=6876&amp;showAllSites=true" TargetMode="External"/><Relationship Id="rId93" Type="http://schemas.openxmlformats.org/officeDocument/2006/relationships/hyperlink" Target="http://www.cellsignal.com/products/7425.html" TargetMode="External"/><Relationship Id="rId189" Type="http://schemas.openxmlformats.org/officeDocument/2006/relationships/hyperlink" Target="http://www.phosphosite.org/proteinAction.do?id=4238&amp;showAllSites=true" TargetMode="External"/><Relationship Id="rId396" Type="http://schemas.openxmlformats.org/officeDocument/2006/relationships/hyperlink" Target="http://www.cellsignal.com/products/7777.html" TargetMode="External"/><Relationship Id="rId617" Type="http://schemas.openxmlformats.org/officeDocument/2006/relationships/hyperlink" Target="http://www.phosphosite.org/proteinAction.do?id=9221&amp;showAllSites=true" TargetMode="External"/><Relationship Id="rId824" Type="http://schemas.openxmlformats.org/officeDocument/2006/relationships/hyperlink" Target="http://www.phosphosite.org/proteinAction.do?id=9530&amp;showAllSites=true" TargetMode="External"/><Relationship Id="rId256" Type="http://schemas.openxmlformats.org/officeDocument/2006/relationships/hyperlink" Target="http://www.phosphosite.org/proteinAction.do?id=9917204&amp;showAllSites=true" TargetMode="External"/><Relationship Id="rId463" Type="http://schemas.openxmlformats.org/officeDocument/2006/relationships/hyperlink" Target="http://www.phosphosite.org/proteinAction.do?id=5407&amp;showAllSites=true" TargetMode="External"/><Relationship Id="rId670" Type="http://schemas.openxmlformats.org/officeDocument/2006/relationships/hyperlink" Target="http://www.phosphosite.org/proteinAction.do?id=19739&amp;showAllSites=true" TargetMode="External"/><Relationship Id="rId1093" Type="http://schemas.openxmlformats.org/officeDocument/2006/relationships/hyperlink" Target="http://www.phosphosite.org/proteinAction.do?id=7219&amp;showAllSites=true" TargetMode="External"/><Relationship Id="rId1107" Type="http://schemas.openxmlformats.org/officeDocument/2006/relationships/hyperlink" Target="http://www.phosphosite.org/proteinAction.do?id=12203&amp;showAllSites=true" TargetMode="External"/><Relationship Id="rId116" Type="http://schemas.openxmlformats.org/officeDocument/2006/relationships/hyperlink" Target="http://www.phosphosite.org/proteinAction.do?id=3870&amp;showAllSites=true" TargetMode="External"/><Relationship Id="rId323" Type="http://schemas.openxmlformats.org/officeDocument/2006/relationships/hyperlink" Target="http://www.cellsignal.com/products/9072.html" TargetMode="External"/><Relationship Id="rId530" Type="http://schemas.openxmlformats.org/officeDocument/2006/relationships/hyperlink" Target="http://www.phosphosite.org/proteinAction.do?id=19791&amp;showAllSites=true" TargetMode="External"/><Relationship Id="rId768" Type="http://schemas.openxmlformats.org/officeDocument/2006/relationships/hyperlink" Target="http://www.phosphosite.org/proteinAction.do?id=8696&amp;showAllSites=true" TargetMode="External"/><Relationship Id="rId975" Type="http://schemas.openxmlformats.org/officeDocument/2006/relationships/hyperlink" Target="http://www.phosphosite.org/proteinAction.do?id=7679&amp;showAllSites=true" TargetMode="External"/><Relationship Id="rId20" Type="http://schemas.openxmlformats.org/officeDocument/2006/relationships/hyperlink" Target="http://www.cellsignal.com/products/9635.html" TargetMode="External"/><Relationship Id="rId628" Type="http://schemas.openxmlformats.org/officeDocument/2006/relationships/hyperlink" Target="http://www.phosphosite.org/proteinAction.do?id=9550&amp;showAllSites=true" TargetMode="External"/><Relationship Id="rId835" Type="http://schemas.openxmlformats.org/officeDocument/2006/relationships/hyperlink" Target="http://www.cellsignal.com/products/5307.html" TargetMode="External"/><Relationship Id="rId267" Type="http://schemas.openxmlformats.org/officeDocument/2006/relationships/hyperlink" Target="http://www.cellsignal.com/products/12364.html" TargetMode="External"/><Relationship Id="rId474" Type="http://schemas.openxmlformats.org/officeDocument/2006/relationships/hyperlink" Target="http://www.phosphosite.org/proteinAction.do?id=9664&amp;showAllSites=true" TargetMode="External"/><Relationship Id="rId1020" Type="http://schemas.openxmlformats.org/officeDocument/2006/relationships/hyperlink" Target="http://www.ncbi.nlm.nih.gov/entrez/query.fcgi?db=protein&amp;cmd=search&amp;term=NP_001157417" TargetMode="External"/><Relationship Id="rId1118" Type="http://schemas.openxmlformats.org/officeDocument/2006/relationships/hyperlink" Target="http://www.phosphosite.org/proteinAction.do?id=4776&amp;showAllSites=true" TargetMode="External"/><Relationship Id="rId127" Type="http://schemas.openxmlformats.org/officeDocument/2006/relationships/hyperlink" Target="http://www.phosphosite.org/proteinAction.do?id=25230&amp;showAllSites=true" TargetMode="External"/><Relationship Id="rId681" Type="http://schemas.openxmlformats.org/officeDocument/2006/relationships/hyperlink" Target="http://www.cellsignal.com/products/3205.html" TargetMode="External"/><Relationship Id="rId737" Type="http://schemas.openxmlformats.org/officeDocument/2006/relationships/hyperlink" Target="http://www.cellsignal.com/products/3302.html" TargetMode="External"/><Relationship Id="rId779" Type="http://schemas.openxmlformats.org/officeDocument/2006/relationships/hyperlink" Target="http://www.phosphosite.org/proteinAction.do?id=1394&amp;showAllSites=true" TargetMode="External"/><Relationship Id="rId902" Type="http://schemas.openxmlformats.org/officeDocument/2006/relationships/hyperlink" Target="http://www.phosphosite.org/proteinAction.do?id=4345&amp;showAllSites=true" TargetMode="External"/><Relationship Id="rId944" Type="http://schemas.openxmlformats.org/officeDocument/2006/relationships/hyperlink" Target="http://www.phosphosite.org/proteinAction.do?id=5355605&amp;showAllSites=true" TargetMode="External"/><Relationship Id="rId986" Type="http://schemas.openxmlformats.org/officeDocument/2006/relationships/hyperlink" Target="http://www.phosphosite.org/proteinAction.do?id=5140189&amp;showAllSites=true" TargetMode="External"/><Relationship Id="rId31" Type="http://schemas.openxmlformats.org/officeDocument/2006/relationships/hyperlink" Target="http://www.phosphosite.org/proteinAction.do?id=6878&amp;showAllSites=true" TargetMode="External"/><Relationship Id="rId73" Type="http://schemas.openxmlformats.org/officeDocument/2006/relationships/hyperlink" Target="http://www.cellsignal.com/products/3318.html" TargetMode="External"/><Relationship Id="rId169" Type="http://schemas.openxmlformats.org/officeDocument/2006/relationships/hyperlink" Target="http://www.phosphosite.org/proteinAction.do?id=7745&amp;showAllSites=true" TargetMode="External"/><Relationship Id="rId334" Type="http://schemas.openxmlformats.org/officeDocument/2006/relationships/hyperlink" Target="http://www.cellsignal.com/products/8804.html" TargetMode="External"/><Relationship Id="rId376" Type="http://schemas.openxmlformats.org/officeDocument/2006/relationships/hyperlink" Target="http://www.cellsignal.com/products/8135.html" TargetMode="External"/><Relationship Id="rId541" Type="http://schemas.openxmlformats.org/officeDocument/2006/relationships/hyperlink" Target="http://www.phosphosite.org/proteinAction.do?id=2473669&amp;showAllSites=true" TargetMode="External"/><Relationship Id="rId583" Type="http://schemas.openxmlformats.org/officeDocument/2006/relationships/hyperlink" Target="http://www.cellsignal.com/products/6922.html" TargetMode="External"/><Relationship Id="rId639" Type="http://schemas.openxmlformats.org/officeDocument/2006/relationships/hyperlink" Target="http://www.cellsignal.com/products/9828.html" TargetMode="External"/><Relationship Id="rId790" Type="http://schemas.openxmlformats.org/officeDocument/2006/relationships/hyperlink" Target="http://www.cellsignal.com/products/8241.html" TargetMode="External"/><Relationship Id="rId804" Type="http://schemas.openxmlformats.org/officeDocument/2006/relationships/hyperlink" Target="http://www.phosphosite.org/proteinAction.do?id=11847&amp;showAllSites=true" TargetMode="External"/><Relationship Id="rId4" Type="http://schemas.openxmlformats.org/officeDocument/2006/relationships/hyperlink" Target="http://www.phosphosite.org/proteinAction.do?id=11190&amp;showAllSites=true" TargetMode="External"/><Relationship Id="rId180" Type="http://schemas.openxmlformats.org/officeDocument/2006/relationships/hyperlink" Target="http://www.phosphosite.org/proteinAction.do?id=4852&amp;showAllSites=true" TargetMode="External"/><Relationship Id="rId236" Type="http://schemas.openxmlformats.org/officeDocument/2006/relationships/hyperlink" Target="http://www.phosphosite.org/proteinAction.do?id=4249&amp;showAllSites=true" TargetMode="External"/><Relationship Id="rId278" Type="http://schemas.openxmlformats.org/officeDocument/2006/relationships/hyperlink" Target="http://www.phosphosite.org/proteinAction.do?id=8395&amp;showAllSites=true" TargetMode="External"/><Relationship Id="rId401" Type="http://schemas.openxmlformats.org/officeDocument/2006/relationships/hyperlink" Target="http://www.phosphosite.org/proteinAction.do?id=9556&amp;showAllSites=true" TargetMode="External"/><Relationship Id="rId443" Type="http://schemas.openxmlformats.org/officeDocument/2006/relationships/hyperlink" Target="http://www.cellsignal.com/products/4265.html" TargetMode="External"/><Relationship Id="rId650" Type="http://schemas.openxmlformats.org/officeDocument/2006/relationships/hyperlink" Target="http://www.phosphosite.org/proteinAction.do?id=10900&amp;showAllSites=true" TargetMode="External"/><Relationship Id="rId846" Type="http://schemas.openxmlformats.org/officeDocument/2006/relationships/hyperlink" Target="http://www.phosphosite.org/proteinAction.do?id=2143&amp;showAllSites=true" TargetMode="External"/><Relationship Id="rId888" Type="http://schemas.openxmlformats.org/officeDocument/2006/relationships/hyperlink" Target="http://www.phosphosite.org/proteinAction.do?id=3510501&amp;showAllSites=true" TargetMode="External"/><Relationship Id="rId1031" Type="http://schemas.openxmlformats.org/officeDocument/2006/relationships/hyperlink" Target="http://www.phosphosite.org/proteinAction.do?id=9171&amp;showAllSites=true" TargetMode="External"/><Relationship Id="rId1073" Type="http://schemas.openxmlformats.org/officeDocument/2006/relationships/hyperlink" Target="http://www.phosphosite.org/proteinAction.do?id=5145077&amp;showAllSites=true" TargetMode="External"/><Relationship Id="rId1129" Type="http://schemas.openxmlformats.org/officeDocument/2006/relationships/hyperlink" Target="http://www.phosphosite.org/proteinAction.do?id=4289&amp;showAllSites=true" TargetMode="External"/><Relationship Id="rId303" Type="http://schemas.openxmlformats.org/officeDocument/2006/relationships/hyperlink" Target="http://www.phosphosite.org/proteinAction.do?id=8393&amp;showAllSites=true" TargetMode="External"/><Relationship Id="rId485" Type="http://schemas.openxmlformats.org/officeDocument/2006/relationships/hyperlink" Target="http://www.phosphosite.org/proteinAction.do?id=10613&amp;showAllSites=true" TargetMode="External"/><Relationship Id="rId692" Type="http://schemas.openxmlformats.org/officeDocument/2006/relationships/hyperlink" Target="http://www.phosphosite.org/proteinAction.do?id=10597&amp;showAllSites=true" TargetMode="External"/><Relationship Id="rId706" Type="http://schemas.openxmlformats.org/officeDocument/2006/relationships/hyperlink" Target="http://www.phosphosite.org/proteinAction.do?id=5141684&amp;showAllSites=true" TargetMode="External"/><Relationship Id="rId748" Type="http://schemas.openxmlformats.org/officeDocument/2006/relationships/hyperlink" Target="http://www.phosphosite.org/proteinAction.do?id=1813&amp;showAllSites=true" TargetMode="External"/><Relationship Id="rId913" Type="http://schemas.openxmlformats.org/officeDocument/2006/relationships/hyperlink" Target="http://www.phosphosite.org/proteinAction.do?id=11222&amp;showAllSites=true" TargetMode="External"/><Relationship Id="rId955" Type="http://schemas.openxmlformats.org/officeDocument/2006/relationships/hyperlink" Target="http://www.phosphosite.org/proteinAction.do?id=17294&amp;showAllSites=true" TargetMode="External"/><Relationship Id="rId42" Type="http://schemas.openxmlformats.org/officeDocument/2006/relationships/hyperlink" Target="http://www.cellsignal.com/products/8312.html" TargetMode="External"/><Relationship Id="rId84" Type="http://schemas.openxmlformats.org/officeDocument/2006/relationships/hyperlink" Target="http://www.phosphosite.org/proteinAction.do?id=10305&amp;showAllSites=true" TargetMode="External"/><Relationship Id="rId138" Type="http://schemas.openxmlformats.org/officeDocument/2006/relationships/hyperlink" Target="http://www.phosphosite.org/proteinAction.do?id=3340&amp;showAllSites=true" TargetMode="External"/><Relationship Id="rId345" Type="http://schemas.openxmlformats.org/officeDocument/2006/relationships/hyperlink" Target="http://www.cellsignal.com/products/2591.html" TargetMode="External"/><Relationship Id="rId387" Type="http://schemas.openxmlformats.org/officeDocument/2006/relationships/hyperlink" Target="http://www.phosphosite.org/proteinAction.do?id=5143208&amp;showAllSites=true" TargetMode="External"/><Relationship Id="rId510" Type="http://schemas.openxmlformats.org/officeDocument/2006/relationships/hyperlink" Target="http://www.phosphosite.org/proteinAction.do?id=7967&amp;showAllSites=true" TargetMode="External"/><Relationship Id="rId552" Type="http://schemas.openxmlformats.org/officeDocument/2006/relationships/hyperlink" Target="http://www.phosphosite.org/proteinAction.do?id=4323&amp;showAllSites=true" TargetMode="External"/><Relationship Id="rId594" Type="http://schemas.openxmlformats.org/officeDocument/2006/relationships/hyperlink" Target="http://www.phosphosite.org/proteinAction.do?id=10569&amp;showAllSites=true" TargetMode="External"/><Relationship Id="rId608" Type="http://schemas.openxmlformats.org/officeDocument/2006/relationships/hyperlink" Target="http://www.phosphosite.org/proteinAction.do?id=15701&amp;showAllSites=true" TargetMode="External"/><Relationship Id="rId815" Type="http://schemas.openxmlformats.org/officeDocument/2006/relationships/hyperlink" Target="http://www.phosphosite.org/proteinAction.do?id=15751&amp;showAllSites=true" TargetMode="External"/><Relationship Id="rId997" Type="http://schemas.openxmlformats.org/officeDocument/2006/relationships/hyperlink" Target="http://www.phosphosite.org/proteinAction.do?id=3354&amp;showAllSites=true" TargetMode="External"/><Relationship Id="rId191" Type="http://schemas.openxmlformats.org/officeDocument/2006/relationships/hyperlink" Target="http://www.phosphosite.org/proteinAction.do?id=4238&amp;showAllSites=true" TargetMode="External"/><Relationship Id="rId205" Type="http://schemas.openxmlformats.org/officeDocument/2006/relationships/hyperlink" Target="http://www.phosphosite.org/proteinAction.do?id=14622&amp;showAllSites=true" TargetMode="External"/><Relationship Id="rId247" Type="http://schemas.openxmlformats.org/officeDocument/2006/relationships/hyperlink" Target="http://www.phosphosite.org/proteinAction.do?id=10451&amp;showAllSites=true" TargetMode="External"/><Relationship Id="rId412" Type="http://schemas.openxmlformats.org/officeDocument/2006/relationships/hyperlink" Target="http://www.phosphosite.org/proteinAction.do?id=13141&amp;showAllSites=true" TargetMode="External"/><Relationship Id="rId857" Type="http://schemas.openxmlformats.org/officeDocument/2006/relationships/hyperlink" Target="http://www.phosphosite.org/proteinAction.do?id=3748437&amp;showAllSites=true" TargetMode="External"/><Relationship Id="rId899" Type="http://schemas.openxmlformats.org/officeDocument/2006/relationships/hyperlink" Target="http://www.phosphosite.org/proteinAction.do?id=9588&amp;showAllSites=true" TargetMode="External"/><Relationship Id="rId1000" Type="http://schemas.openxmlformats.org/officeDocument/2006/relationships/hyperlink" Target="http://www.cellsignal.com/products/2332.html" TargetMode="External"/><Relationship Id="rId1042" Type="http://schemas.openxmlformats.org/officeDocument/2006/relationships/hyperlink" Target="http://www.phosphosite.org/proteinAction.do?id=2777&amp;showAllSites=true" TargetMode="External"/><Relationship Id="rId1084" Type="http://schemas.openxmlformats.org/officeDocument/2006/relationships/hyperlink" Target="http://www.ncbi.nlm.nih.gov/entrez/query.fcgi?db=protein&amp;cmd=search&amp;term=XP_926778" TargetMode="External"/><Relationship Id="rId107" Type="http://schemas.openxmlformats.org/officeDocument/2006/relationships/hyperlink" Target="http://www.phosphosite.org/proteinAction.do?id=5140609&amp;showAllSites=true" TargetMode="External"/><Relationship Id="rId289" Type="http://schemas.openxmlformats.org/officeDocument/2006/relationships/hyperlink" Target="http://www.phosphosite.org/proteinAction.do?id=8395&amp;showAllSites=true" TargetMode="External"/><Relationship Id="rId454" Type="http://schemas.openxmlformats.org/officeDocument/2006/relationships/hyperlink" Target="http://www.phosphosite.org/proteinAction.do?id=9173&amp;showAllSites=true" TargetMode="External"/><Relationship Id="rId496" Type="http://schemas.openxmlformats.org/officeDocument/2006/relationships/hyperlink" Target="http://www.phosphosite.org/proteinAction.do?id=6606&amp;showAllSites=true" TargetMode="External"/><Relationship Id="rId661" Type="http://schemas.openxmlformats.org/officeDocument/2006/relationships/hyperlink" Target="http://www.phosphosite.org/proteinAction.do?id=4264&amp;showAllSites=true" TargetMode="External"/><Relationship Id="rId717" Type="http://schemas.openxmlformats.org/officeDocument/2006/relationships/hyperlink" Target="http://www.phosphosite.org/proteinAction.do?id=8085&amp;showAllSites=true" TargetMode="External"/><Relationship Id="rId759" Type="http://schemas.openxmlformats.org/officeDocument/2006/relationships/hyperlink" Target="http://www.cellsignal.com/products/7668.html" TargetMode="External"/><Relationship Id="rId924" Type="http://schemas.openxmlformats.org/officeDocument/2006/relationships/hyperlink" Target="http://www.cellsignal.com/products/3810.html" TargetMode="External"/><Relationship Id="rId966" Type="http://schemas.openxmlformats.org/officeDocument/2006/relationships/hyperlink" Target="http://www.phosphosite.org/proteinAction.do?id=14511&amp;showAllSites=true" TargetMode="External"/><Relationship Id="rId11" Type="http://schemas.openxmlformats.org/officeDocument/2006/relationships/hyperlink" Target="http://www.cellsignal.com/products/2884.html" TargetMode="External"/><Relationship Id="rId53" Type="http://schemas.openxmlformats.org/officeDocument/2006/relationships/hyperlink" Target="http://www.cellsignal.com/products/8235.html" TargetMode="External"/><Relationship Id="rId149" Type="http://schemas.openxmlformats.org/officeDocument/2006/relationships/hyperlink" Target="http://www.cellsignal.com/products/4902.html" TargetMode="External"/><Relationship Id="rId314" Type="http://schemas.openxmlformats.org/officeDocument/2006/relationships/hyperlink" Target="http://www.cellsignal.com/products/2574.html" TargetMode="External"/><Relationship Id="rId356" Type="http://schemas.openxmlformats.org/officeDocument/2006/relationships/hyperlink" Target="http://www.cellsignal.com/products/2591.html" TargetMode="External"/><Relationship Id="rId398" Type="http://schemas.openxmlformats.org/officeDocument/2006/relationships/hyperlink" Target="http://www.cellsignal.com/products/11944.html" TargetMode="External"/><Relationship Id="rId521" Type="http://schemas.openxmlformats.org/officeDocument/2006/relationships/hyperlink" Target="http://www.phosphosite.org/proteinAction.do?id=4368&amp;showAllSites=true" TargetMode="External"/><Relationship Id="rId563" Type="http://schemas.openxmlformats.org/officeDocument/2006/relationships/hyperlink" Target="http://www.phosphosite.org/proteinAction.do?id=6475&amp;showAllSites=true" TargetMode="External"/><Relationship Id="rId619" Type="http://schemas.openxmlformats.org/officeDocument/2006/relationships/hyperlink" Target="http://www.cellsignal.com/products/4567.html" TargetMode="External"/><Relationship Id="rId770" Type="http://schemas.openxmlformats.org/officeDocument/2006/relationships/hyperlink" Target="http://www.ncbi.nlm.nih.gov/entrez/query.fcgi?db=protein&amp;cmd=search&amp;term=NP_620086" TargetMode="External"/><Relationship Id="rId95" Type="http://schemas.openxmlformats.org/officeDocument/2006/relationships/hyperlink" Target="http://www.cellsignal.com/products/7389.html" TargetMode="External"/><Relationship Id="rId160" Type="http://schemas.openxmlformats.org/officeDocument/2006/relationships/hyperlink" Target="http://www.phosphosite.org/proteinAction.do?id=5047&amp;showAllSites=true" TargetMode="External"/><Relationship Id="rId216" Type="http://schemas.openxmlformats.org/officeDocument/2006/relationships/hyperlink" Target="http://www.phosphosite.org/proteinAction.do?id=17406&amp;showAllSites=true" TargetMode="External"/><Relationship Id="rId423" Type="http://schemas.openxmlformats.org/officeDocument/2006/relationships/hyperlink" Target="http://www.phosphosite.org/proteinAction.do?id=12245&amp;showAllSites=true" TargetMode="External"/><Relationship Id="rId826" Type="http://schemas.openxmlformats.org/officeDocument/2006/relationships/hyperlink" Target="http://www.phosphosite.org/proteinAction.do?id=15764&amp;showAllSites=true" TargetMode="External"/><Relationship Id="rId868" Type="http://schemas.openxmlformats.org/officeDocument/2006/relationships/hyperlink" Target="http://www.phosphosite.org/proteinAction.do?id=3396010&amp;showAllSites=true" TargetMode="External"/><Relationship Id="rId1011" Type="http://schemas.openxmlformats.org/officeDocument/2006/relationships/hyperlink" Target="http://www.phosphosite.org/proteinAction.do?id=9207&amp;showAllSites=true" TargetMode="External"/><Relationship Id="rId1053" Type="http://schemas.openxmlformats.org/officeDocument/2006/relationships/hyperlink" Target="http://www.phosphosite.org/proteinAction.do?id=3664415&amp;showAllSites=true" TargetMode="External"/><Relationship Id="rId1109" Type="http://schemas.openxmlformats.org/officeDocument/2006/relationships/hyperlink" Target="http://www.ncbi.nlm.nih.gov/entrez/query.fcgi?db=protein&amp;cmd=search&amp;term=NP_808276" TargetMode="External"/><Relationship Id="rId258" Type="http://schemas.openxmlformats.org/officeDocument/2006/relationships/hyperlink" Target="http://www.phosphosite.org/proteinAction.do?id=17985&amp;showAllSites=true" TargetMode="External"/><Relationship Id="rId465" Type="http://schemas.openxmlformats.org/officeDocument/2006/relationships/hyperlink" Target="http://www.phosphosite.org/proteinAction.do?id=18685&amp;showAllSites=true" TargetMode="External"/><Relationship Id="rId630" Type="http://schemas.openxmlformats.org/officeDocument/2006/relationships/hyperlink" Target="http://www.phosphosite.org/proteinAction.do?id=9550&amp;showAllSites=true" TargetMode="External"/><Relationship Id="rId672" Type="http://schemas.openxmlformats.org/officeDocument/2006/relationships/hyperlink" Target="http://www.phosphosite.org/proteinAction.do?id=9436&amp;showAllSites=true" TargetMode="External"/><Relationship Id="rId728" Type="http://schemas.openxmlformats.org/officeDocument/2006/relationships/hyperlink" Target="http://www.cellsignal.com/products/3357.html" TargetMode="External"/><Relationship Id="rId935" Type="http://schemas.openxmlformats.org/officeDocument/2006/relationships/hyperlink" Target="http://www.phosphosite.org/proteinAction.do?id=2613075&amp;showAllSites=true" TargetMode="External"/><Relationship Id="rId1095" Type="http://schemas.openxmlformats.org/officeDocument/2006/relationships/hyperlink" Target="http://www.phosphosite.org/proteinAction.do?id=14810&amp;showAllSites=true" TargetMode="External"/><Relationship Id="rId22" Type="http://schemas.openxmlformats.org/officeDocument/2006/relationships/hyperlink" Target="http://www.cellsignal.com/products/8312.html" TargetMode="External"/><Relationship Id="rId64" Type="http://schemas.openxmlformats.org/officeDocument/2006/relationships/hyperlink" Target="http://www.cellsignal.com/products/3312.html" TargetMode="External"/><Relationship Id="rId118" Type="http://schemas.openxmlformats.org/officeDocument/2006/relationships/hyperlink" Target="http://www.phosphosite.org/proteinAction.do?id=10611&amp;showAllSites=true" TargetMode="External"/><Relationship Id="rId325" Type="http://schemas.openxmlformats.org/officeDocument/2006/relationships/hyperlink" Target="http://www.cellsignal.com/products/12364.html" TargetMode="External"/><Relationship Id="rId367" Type="http://schemas.openxmlformats.org/officeDocument/2006/relationships/hyperlink" Target="http://www.cellsignal.com/products/8135.html" TargetMode="External"/><Relationship Id="rId532" Type="http://schemas.openxmlformats.org/officeDocument/2006/relationships/hyperlink" Target="http://www.phosphosite.org/proteinAction.do?id=7579909&amp;showAllSites=true" TargetMode="External"/><Relationship Id="rId574" Type="http://schemas.openxmlformats.org/officeDocument/2006/relationships/hyperlink" Target="http://www.cellsignal.com/products/4742.html" TargetMode="External"/><Relationship Id="rId977" Type="http://schemas.openxmlformats.org/officeDocument/2006/relationships/hyperlink" Target="http://www.phosphosite.org/proteinAction.do?id=11056&amp;showAllSites=true" TargetMode="External"/><Relationship Id="rId1120" Type="http://schemas.openxmlformats.org/officeDocument/2006/relationships/hyperlink" Target="http://www.phosphosite.org/proteinAction.do?id=11487&amp;showAllSites=true" TargetMode="External"/><Relationship Id="rId171" Type="http://schemas.openxmlformats.org/officeDocument/2006/relationships/hyperlink" Target="http://www.phosphosite.org/proteinAction.do?id=2788&amp;showAllSites=true" TargetMode="External"/><Relationship Id="rId227" Type="http://schemas.openxmlformats.org/officeDocument/2006/relationships/hyperlink" Target="http://www.cellsignal.com/products/3593.html" TargetMode="External"/><Relationship Id="rId781" Type="http://schemas.openxmlformats.org/officeDocument/2006/relationships/hyperlink" Target="http://www.phosphosite.org/proteinAction.do?id=1394&amp;showAllSites=true" TargetMode="External"/><Relationship Id="rId837" Type="http://schemas.openxmlformats.org/officeDocument/2006/relationships/hyperlink" Target="http://www.cellsignal.com/products/5307.html" TargetMode="External"/><Relationship Id="rId879" Type="http://schemas.openxmlformats.org/officeDocument/2006/relationships/hyperlink" Target="http://www.cellsignal.com/products/11867.html" TargetMode="External"/><Relationship Id="rId1022" Type="http://schemas.openxmlformats.org/officeDocument/2006/relationships/hyperlink" Target="http://www.phosphosite.org/proteinAction.do?id=6600&amp;showAllSites=true" TargetMode="External"/><Relationship Id="rId269" Type="http://schemas.openxmlformats.org/officeDocument/2006/relationships/hyperlink" Target="http://www.cellsignal.com/products/8135.html" TargetMode="External"/><Relationship Id="rId434" Type="http://schemas.openxmlformats.org/officeDocument/2006/relationships/hyperlink" Target="http://www.cellsignal.com/products/9087.html" TargetMode="External"/><Relationship Id="rId476" Type="http://schemas.openxmlformats.org/officeDocument/2006/relationships/hyperlink" Target="http://www.cellsignal.com/products/8841.html" TargetMode="External"/><Relationship Id="rId641" Type="http://schemas.openxmlformats.org/officeDocument/2006/relationships/hyperlink" Target="http://www.phosphosite.org/proteinAction.do?id=10223&amp;showAllSites=true" TargetMode="External"/><Relationship Id="rId683" Type="http://schemas.openxmlformats.org/officeDocument/2006/relationships/hyperlink" Target="http://www.cellsignal.com/products/2784.html" TargetMode="External"/><Relationship Id="rId739" Type="http://schemas.openxmlformats.org/officeDocument/2006/relationships/hyperlink" Target="http://www.cellsignal.com/products/7421.html" TargetMode="External"/><Relationship Id="rId890" Type="http://schemas.openxmlformats.org/officeDocument/2006/relationships/hyperlink" Target="http://www.cellsignal.com/products/4866.html" TargetMode="External"/><Relationship Id="rId904" Type="http://schemas.openxmlformats.org/officeDocument/2006/relationships/hyperlink" Target="http://www.phosphosite.org/proteinAction.do?id=4345&amp;showAllSites=true" TargetMode="External"/><Relationship Id="rId1064" Type="http://schemas.openxmlformats.org/officeDocument/2006/relationships/hyperlink" Target="http://www.phosphosite.org/proteinAction.do?id=15000&amp;showAllSites=true" TargetMode="External"/><Relationship Id="rId33" Type="http://schemas.openxmlformats.org/officeDocument/2006/relationships/hyperlink" Target="http://www.phosphosite.org/proteinAction.do?id=3577&amp;showAllSites=true" TargetMode="External"/><Relationship Id="rId129" Type="http://schemas.openxmlformats.org/officeDocument/2006/relationships/hyperlink" Target="http://www.phosphosite.org/proteinAction.do?id=25230&amp;showAllSites=true" TargetMode="External"/><Relationship Id="rId280" Type="http://schemas.openxmlformats.org/officeDocument/2006/relationships/hyperlink" Target="http://www.cellsignal.com/products/9072.html" TargetMode="External"/><Relationship Id="rId336" Type="http://schemas.openxmlformats.org/officeDocument/2006/relationships/hyperlink" Target="http://www.cellsignal.com/products/2592.html" TargetMode="External"/><Relationship Id="rId501" Type="http://schemas.openxmlformats.org/officeDocument/2006/relationships/hyperlink" Target="http://www.phosphosite.org/proteinAction.do?id=7967&amp;showAllSites=true" TargetMode="External"/><Relationship Id="rId543" Type="http://schemas.openxmlformats.org/officeDocument/2006/relationships/hyperlink" Target="http://www.phosphosite.org/proteinAction.do?id=6710&amp;showAllSites=true" TargetMode="External"/><Relationship Id="rId946" Type="http://schemas.openxmlformats.org/officeDocument/2006/relationships/hyperlink" Target="http://www.phosphosite.org/proteinAction.do?id=10980&amp;showAllSites=true" TargetMode="External"/><Relationship Id="rId988" Type="http://schemas.openxmlformats.org/officeDocument/2006/relationships/hyperlink" Target="http://www.phosphosite.org/proteinAction.do?id=1236692&amp;showAllSites=true" TargetMode="External"/><Relationship Id="rId75" Type="http://schemas.openxmlformats.org/officeDocument/2006/relationships/hyperlink" Target="http://www.phosphosite.org/proteinAction.do?id=6744&amp;showAllSites=true" TargetMode="External"/><Relationship Id="rId140" Type="http://schemas.openxmlformats.org/officeDocument/2006/relationships/hyperlink" Target="http://www.cellsignal.com/products/3576.html" TargetMode="External"/><Relationship Id="rId182" Type="http://schemas.openxmlformats.org/officeDocument/2006/relationships/hyperlink" Target="http://www.phosphosite.org/proteinAction.do?id=2786&amp;showAllSites=true" TargetMode="External"/><Relationship Id="rId378" Type="http://schemas.openxmlformats.org/officeDocument/2006/relationships/hyperlink" Target="http://www.cellsignal.com/products/12364.html" TargetMode="External"/><Relationship Id="rId403" Type="http://schemas.openxmlformats.org/officeDocument/2006/relationships/hyperlink" Target="http://www.cellsignal.com/products/5692.html" TargetMode="External"/><Relationship Id="rId585" Type="http://schemas.openxmlformats.org/officeDocument/2006/relationships/hyperlink" Target="http://www.cellsignal.com/products/6571.html" TargetMode="External"/><Relationship Id="rId750" Type="http://schemas.openxmlformats.org/officeDocument/2006/relationships/hyperlink" Target="http://www.phosphosite.org/proteinAction.do?id=19769&amp;showAllSites=true" TargetMode="External"/><Relationship Id="rId792" Type="http://schemas.openxmlformats.org/officeDocument/2006/relationships/hyperlink" Target="http://www.phosphosite.org/proteinAction.do?id=9847&amp;showAllSites=true" TargetMode="External"/><Relationship Id="rId806" Type="http://schemas.openxmlformats.org/officeDocument/2006/relationships/hyperlink" Target="http://www.phosphosite.org/proteinAction.do?id=6895&amp;showAllSites=true" TargetMode="External"/><Relationship Id="rId848" Type="http://schemas.openxmlformats.org/officeDocument/2006/relationships/hyperlink" Target="http://www.phosphosite.org/proteinAction.do?id=8510&amp;showAllSites=true" TargetMode="External"/><Relationship Id="rId1033" Type="http://schemas.openxmlformats.org/officeDocument/2006/relationships/hyperlink" Target="http://www.cellsignal.com/products/3345.html" TargetMode="External"/><Relationship Id="rId6" Type="http://schemas.openxmlformats.org/officeDocument/2006/relationships/hyperlink" Target="http://www.phosphosite.org/proteinAction.do?id=15794&amp;showAllSites=true" TargetMode="External"/><Relationship Id="rId238" Type="http://schemas.openxmlformats.org/officeDocument/2006/relationships/hyperlink" Target="http://www.phosphosite.org/proteinAction.do?id=4249&amp;showAllSites=true" TargetMode="External"/><Relationship Id="rId445" Type="http://schemas.openxmlformats.org/officeDocument/2006/relationships/hyperlink" Target="http://www.phosphosite.org/proteinAction.do?id=5140289&amp;showAllSites=true" TargetMode="External"/><Relationship Id="rId487" Type="http://schemas.openxmlformats.org/officeDocument/2006/relationships/hyperlink" Target="http://www.phosphosite.org/proteinAction.do?id=16592&amp;showAllSites=true" TargetMode="External"/><Relationship Id="rId610" Type="http://schemas.openxmlformats.org/officeDocument/2006/relationships/hyperlink" Target="http://www.cellsignal.com/products/8528.html" TargetMode="External"/><Relationship Id="rId652" Type="http://schemas.openxmlformats.org/officeDocument/2006/relationships/hyperlink" Target="http://www.phosphosite.org/proteinAction.do?id=9560&amp;showAllSites=true" TargetMode="External"/><Relationship Id="rId694" Type="http://schemas.openxmlformats.org/officeDocument/2006/relationships/hyperlink" Target="http://www.phosphosite.org/proteinAction.do?id=15763&amp;showAllSites=true" TargetMode="External"/><Relationship Id="rId708" Type="http://schemas.openxmlformats.org/officeDocument/2006/relationships/hyperlink" Target="http://www.phosphosite.org/proteinAction.do?id=10194&amp;showAllSites=true" TargetMode="External"/><Relationship Id="rId915" Type="http://schemas.openxmlformats.org/officeDocument/2006/relationships/hyperlink" Target="http://www.phosphosite.org/proteinAction.do?id=3502&amp;showAllSites=true" TargetMode="External"/><Relationship Id="rId1075" Type="http://schemas.openxmlformats.org/officeDocument/2006/relationships/hyperlink" Target="http://www.cellsignal.com/products/8848.html" TargetMode="External"/><Relationship Id="rId291" Type="http://schemas.openxmlformats.org/officeDocument/2006/relationships/hyperlink" Target="http://www.phosphosite.org/proteinAction.do?id=8395&amp;showAllSites=true" TargetMode="External"/><Relationship Id="rId305" Type="http://schemas.openxmlformats.org/officeDocument/2006/relationships/hyperlink" Target="http://www.cellsignal.com/products/5435.html" TargetMode="External"/><Relationship Id="rId347" Type="http://schemas.openxmlformats.org/officeDocument/2006/relationships/hyperlink" Target="http://www.cellsignal.com/products/2592.html" TargetMode="External"/><Relationship Id="rId512" Type="http://schemas.openxmlformats.org/officeDocument/2006/relationships/hyperlink" Target="http://www.cellsignal.com/products/3180.html" TargetMode="External"/><Relationship Id="rId957" Type="http://schemas.openxmlformats.org/officeDocument/2006/relationships/hyperlink" Target="http://www.phosphosite.org/proteinAction.do?id=8195&amp;showAllSites=true" TargetMode="External"/><Relationship Id="rId999" Type="http://schemas.openxmlformats.org/officeDocument/2006/relationships/hyperlink" Target="http://www.phosphosite.org/proteinAction.do?id=9165&amp;showAllSites=true" TargetMode="External"/><Relationship Id="rId1100" Type="http://schemas.openxmlformats.org/officeDocument/2006/relationships/hyperlink" Target="http://www.phosphosite.org/proteinAction.do?id=20278&amp;showAllSites=true" TargetMode="External"/><Relationship Id="rId44" Type="http://schemas.openxmlformats.org/officeDocument/2006/relationships/hyperlink" Target="http://www.cellsignal.com/products/8456.html" TargetMode="External"/><Relationship Id="rId86" Type="http://schemas.openxmlformats.org/officeDocument/2006/relationships/hyperlink" Target="http://www.phosphosite.org/proteinAction.do?id=1161&amp;showAllSites=true" TargetMode="External"/><Relationship Id="rId151" Type="http://schemas.openxmlformats.org/officeDocument/2006/relationships/hyperlink" Target="http://www.cellsignal.com/products/9693.html" TargetMode="External"/><Relationship Id="rId389" Type="http://schemas.openxmlformats.org/officeDocument/2006/relationships/hyperlink" Target="http://www.phosphosite.org/proteinAction.do?id=5143208&amp;showAllSites=true" TargetMode="External"/><Relationship Id="rId554" Type="http://schemas.openxmlformats.org/officeDocument/2006/relationships/hyperlink" Target="http://www.phosphosite.org/proteinAction.do?id=4323&amp;showAllSites=true" TargetMode="External"/><Relationship Id="rId596" Type="http://schemas.openxmlformats.org/officeDocument/2006/relationships/hyperlink" Target="http://www.cellsignal.com/products/3188.html" TargetMode="External"/><Relationship Id="rId761" Type="http://schemas.openxmlformats.org/officeDocument/2006/relationships/hyperlink" Target="http://www.phosphosite.org/proteinAction.do?id=2809&amp;showAllSites=true" TargetMode="External"/><Relationship Id="rId817" Type="http://schemas.openxmlformats.org/officeDocument/2006/relationships/hyperlink" Target="http://www.phosphosite.org/proteinAction.do?id=8575&amp;showAllSites=true" TargetMode="External"/><Relationship Id="rId859" Type="http://schemas.openxmlformats.org/officeDocument/2006/relationships/hyperlink" Target="http://www.phosphosite.org/proteinAction.do?id=7749&amp;showAllSites=true" TargetMode="External"/><Relationship Id="rId1002" Type="http://schemas.openxmlformats.org/officeDocument/2006/relationships/hyperlink" Target="http://www.cellsignal.com/products/3413.html" TargetMode="External"/><Relationship Id="rId193" Type="http://schemas.openxmlformats.org/officeDocument/2006/relationships/hyperlink" Target="http://www.phosphosite.org/proteinAction.do?id=4238&amp;showAllSites=true" TargetMode="External"/><Relationship Id="rId207" Type="http://schemas.openxmlformats.org/officeDocument/2006/relationships/hyperlink" Target="http://www.phosphosite.org/proteinAction.do?id=16584&amp;showAllSites=true" TargetMode="External"/><Relationship Id="rId249" Type="http://schemas.openxmlformats.org/officeDocument/2006/relationships/hyperlink" Target="http://www.phosphosite.org/proteinAction.do?id=8646&amp;showAllSites=true" TargetMode="External"/><Relationship Id="rId414" Type="http://schemas.openxmlformats.org/officeDocument/2006/relationships/hyperlink" Target="http://www.phosphosite.org/proteinAction.do?id=12045&amp;showAllSites=true" TargetMode="External"/><Relationship Id="rId456" Type="http://schemas.openxmlformats.org/officeDocument/2006/relationships/hyperlink" Target="http://www.phosphosite.org/proteinAction.do?id=9173&amp;showAllSites=true" TargetMode="External"/><Relationship Id="rId498" Type="http://schemas.openxmlformats.org/officeDocument/2006/relationships/hyperlink" Target="http://www.phosphosite.org/proteinAction.do?id=11127&amp;showAllSites=true" TargetMode="External"/><Relationship Id="rId621" Type="http://schemas.openxmlformats.org/officeDocument/2006/relationships/hyperlink" Target="http://www.cellsignal.com/products/4567.html" TargetMode="External"/><Relationship Id="rId663" Type="http://schemas.openxmlformats.org/officeDocument/2006/relationships/hyperlink" Target="http://www.phosphosite.org/proteinAction.do?id=4264&amp;showAllSites=true" TargetMode="External"/><Relationship Id="rId870" Type="http://schemas.openxmlformats.org/officeDocument/2006/relationships/hyperlink" Target="http://www.phosphosite.org/proteinAction.do?id=15732&amp;showAllSites=true" TargetMode="External"/><Relationship Id="rId1044" Type="http://schemas.openxmlformats.org/officeDocument/2006/relationships/hyperlink" Target="http://www.phosphosite.org/proteinAction.do?id=13020&amp;showAllSites=true" TargetMode="External"/><Relationship Id="rId1086" Type="http://schemas.openxmlformats.org/officeDocument/2006/relationships/hyperlink" Target="http://www.cellsignal.com/products/9081.html" TargetMode="External"/><Relationship Id="rId13" Type="http://schemas.openxmlformats.org/officeDocument/2006/relationships/hyperlink" Target="http://www.phosphosite.org/proteinAction.do?id=4379&amp;showAllSites=true" TargetMode="External"/><Relationship Id="rId109" Type="http://schemas.openxmlformats.org/officeDocument/2006/relationships/hyperlink" Target="http://www.phosphosite.org/proteinAction.do?id=1528&amp;showAllSites=true" TargetMode="External"/><Relationship Id="rId260" Type="http://schemas.openxmlformats.org/officeDocument/2006/relationships/hyperlink" Target="http://www.cellsignal.com/products/2718.html" TargetMode="External"/><Relationship Id="rId316" Type="http://schemas.openxmlformats.org/officeDocument/2006/relationships/hyperlink" Target="http://www.cellsignal.com/products/12364.html" TargetMode="External"/><Relationship Id="rId523" Type="http://schemas.openxmlformats.org/officeDocument/2006/relationships/hyperlink" Target="http://www.phosphosite.org/proteinAction.do?id=4368&amp;showAllSites=true" TargetMode="External"/><Relationship Id="rId719" Type="http://schemas.openxmlformats.org/officeDocument/2006/relationships/hyperlink" Target="http://www.cellsignal.com/products/12353.html" TargetMode="External"/><Relationship Id="rId926" Type="http://schemas.openxmlformats.org/officeDocument/2006/relationships/hyperlink" Target="http://www.cellsignal.com/products/3810.html" TargetMode="External"/><Relationship Id="rId968" Type="http://schemas.openxmlformats.org/officeDocument/2006/relationships/hyperlink" Target="http://www.phosphosite.org/proteinAction.do?id=3164&amp;showAllSites=true" TargetMode="External"/><Relationship Id="rId1111" Type="http://schemas.openxmlformats.org/officeDocument/2006/relationships/hyperlink" Target="http://www.phosphosite.org/proteinAction.do?id=22548&amp;showAllSites=true" TargetMode="External"/><Relationship Id="rId55" Type="http://schemas.openxmlformats.org/officeDocument/2006/relationships/hyperlink" Target="http://www.cellsignal.com/products/2564.html" TargetMode="External"/><Relationship Id="rId97" Type="http://schemas.openxmlformats.org/officeDocument/2006/relationships/hyperlink" Target="http://www.cellsignal.com/products/7425.html" TargetMode="External"/><Relationship Id="rId120" Type="http://schemas.openxmlformats.org/officeDocument/2006/relationships/hyperlink" Target="http://www.cellsignal.com/products/9269.html" TargetMode="External"/><Relationship Id="rId358" Type="http://schemas.openxmlformats.org/officeDocument/2006/relationships/hyperlink" Target="http://www.cellsignal.com/products/8135.html" TargetMode="External"/><Relationship Id="rId565" Type="http://schemas.openxmlformats.org/officeDocument/2006/relationships/hyperlink" Target="http://www.phosphosite.org/proteinAction.do?id=1175190&amp;showAllSites=true" TargetMode="External"/><Relationship Id="rId730" Type="http://schemas.openxmlformats.org/officeDocument/2006/relationships/hyperlink" Target="http://www.cellsignal.com/products/3362.html" TargetMode="External"/><Relationship Id="rId772" Type="http://schemas.openxmlformats.org/officeDocument/2006/relationships/hyperlink" Target="http://www.cellsignal.com/products/3542.html" TargetMode="External"/><Relationship Id="rId828" Type="http://schemas.openxmlformats.org/officeDocument/2006/relationships/hyperlink" Target="http://www.phosphosite.org/proteinAction.do?id=10227&amp;showAllSites=true" TargetMode="External"/><Relationship Id="rId1013" Type="http://schemas.openxmlformats.org/officeDocument/2006/relationships/hyperlink" Target="http://www.phosphosite.org/proteinAction.do?id=17694&amp;showAllSites=true" TargetMode="External"/><Relationship Id="rId162" Type="http://schemas.openxmlformats.org/officeDocument/2006/relationships/hyperlink" Target="http://www.phosphosite.org/proteinAction.do?id=10382&amp;showAllSites=true" TargetMode="External"/><Relationship Id="rId218" Type="http://schemas.openxmlformats.org/officeDocument/2006/relationships/hyperlink" Target="http://www.phosphosite.org/proteinAction.do?id=2030&amp;showAllSites=true" TargetMode="External"/><Relationship Id="rId425" Type="http://schemas.openxmlformats.org/officeDocument/2006/relationships/hyperlink" Target="http://www.phosphosite.org/proteinAction.do?id=13293&amp;showAllSites=true" TargetMode="External"/><Relationship Id="rId467" Type="http://schemas.openxmlformats.org/officeDocument/2006/relationships/hyperlink" Target="http://www.phosphosite.org/proteinAction.do?id=18685&amp;showAllSites=true" TargetMode="External"/><Relationship Id="rId632" Type="http://schemas.openxmlformats.org/officeDocument/2006/relationships/hyperlink" Target="http://www.phosphosite.org/proteinAction.do?id=9550&amp;showAllSites=true" TargetMode="External"/><Relationship Id="rId1055" Type="http://schemas.openxmlformats.org/officeDocument/2006/relationships/hyperlink" Target="http://www.phosphosite.org/proteinAction.do?id=25516004&amp;showAllSites=true" TargetMode="External"/><Relationship Id="rId1097" Type="http://schemas.openxmlformats.org/officeDocument/2006/relationships/hyperlink" Target="http://www.phosphosite.org/proteinAction.do?id=11375&amp;showAllSites=true" TargetMode="External"/><Relationship Id="rId271" Type="http://schemas.openxmlformats.org/officeDocument/2006/relationships/hyperlink" Target="http://www.cellsignal.com/products/8135.html" TargetMode="External"/><Relationship Id="rId674" Type="http://schemas.openxmlformats.org/officeDocument/2006/relationships/hyperlink" Target="http://www.phosphosite.org/proteinAction.do?id=1784&amp;showAllSites=true" TargetMode="External"/><Relationship Id="rId881" Type="http://schemas.openxmlformats.org/officeDocument/2006/relationships/hyperlink" Target="http://www.cellsignal.com/products/5297.html" TargetMode="External"/><Relationship Id="rId937" Type="http://schemas.openxmlformats.org/officeDocument/2006/relationships/hyperlink" Target="http://www.ncbi.nlm.nih.gov/entrez/query.fcgi?db=protein&amp;cmd=search&amp;term=NP_778249" TargetMode="External"/><Relationship Id="rId979" Type="http://schemas.openxmlformats.org/officeDocument/2006/relationships/hyperlink" Target="http://www.phosphosite.org/proteinAction.do?id=25705975&amp;showAllSites=true" TargetMode="External"/><Relationship Id="rId1122" Type="http://schemas.openxmlformats.org/officeDocument/2006/relationships/hyperlink" Target="http://www.phosphosite.org/proteinAction.do?id=23640&amp;showAllSites=true" TargetMode="External"/><Relationship Id="rId24" Type="http://schemas.openxmlformats.org/officeDocument/2006/relationships/hyperlink" Target="http://www.cellsignal.com/products/8312.html" TargetMode="External"/><Relationship Id="rId66" Type="http://schemas.openxmlformats.org/officeDocument/2006/relationships/hyperlink" Target="http://www.cellsignal.com/products/6267.html" TargetMode="External"/><Relationship Id="rId131" Type="http://schemas.openxmlformats.org/officeDocument/2006/relationships/hyperlink" Target="http://www.phosphosite.org/proteinAction.do?id=7445&amp;showAllSites=true" TargetMode="External"/><Relationship Id="rId327" Type="http://schemas.openxmlformats.org/officeDocument/2006/relationships/hyperlink" Target="http://www.phosphosite.org/proteinAction.do?id=8393&amp;showAllSites=true" TargetMode="External"/><Relationship Id="rId369" Type="http://schemas.openxmlformats.org/officeDocument/2006/relationships/hyperlink" Target="http://www.phosphosite.org/proteinAction.do?id=8391&amp;showAllSites=true" TargetMode="External"/><Relationship Id="rId534" Type="http://schemas.openxmlformats.org/officeDocument/2006/relationships/hyperlink" Target="http://www.phosphosite.org/proteinAction.do?id=10631&amp;showAllSites=true" TargetMode="External"/><Relationship Id="rId576" Type="http://schemas.openxmlformats.org/officeDocument/2006/relationships/hyperlink" Target="http://www.phosphosite.org/proteinAction.do?id=1578&amp;showAllSites=true" TargetMode="External"/><Relationship Id="rId741" Type="http://schemas.openxmlformats.org/officeDocument/2006/relationships/hyperlink" Target="http://www.cellsignal.com/products/4993.html" TargetMode="External"/><Relationship Id="rId783" Type="http://schemas.openxmlformats.org/officeDocument/2006/relationships/hyperlink" Target="http://www.phosphosite.org/proteinAction.do?id=26413817&amp;showAllSites=true" TargetMode="External"/><Relationship Id="rId839" Type="http://schemas.openxmlformats.org/officeDocument/2006/relationships/hyperlink" Target="http://www.cellsignal.com/products/5307.html" TargetMode="External"/><Relationship Id="rId990" Type="http://schemas.openxmlformats.org/officeDocument/2006/relationships/hyperlink" Target="http://www.ncbi.nlm.nih.gov/entrez/query.fcgi?db=protein&amp;cmd=search&amp;term=NP_663459" TargetMode="External"/><Relationship Id="rId173" Type="http://schemas.openxmlformats.org/officeDocument/2006/relationships/hyperlink" Target="http://www.phosphosite.org/proteinAction.do?id=2788&amp;showAllSites=true" TargetMode="External"/><Relationship Id="rId229" Type="http://schemas.openxmlformats.org/officeDocument/2006/relationships/hyperlink" Target="http://www.cellsignal.com/products/12165.html" TargetMode="External"/><Relationship Id="rId380" Type="http://schemas.openxmlformats.org/officeDocument/2006/relationships/hyperlink" Target="http://www.cellsignal.com/products/12364.html" TargetMode="External"/><Relationship Id="rId436" Type="http://schemas.openxmlformats.org/officeDocument/2006/relationships/hyperlink" Target="http://www.phosphosite.org/proteinAction.do?id=2773&amp;showAllSites=true" TargetMode="External"/><Relationship Id="rId601" Type="http://schemas.openxmlformats.org/officeDocument/2006/relationships/hyperlink" Target="http://www.cellsignal.com/products/8966.html" TargetMode="External"/><Relationship Id="rId643" Type="http://schemas.openxmlformats.org/officeDocument/2006/relationships/hyperlink" Target="http://www.phosphosite.org/proteinAction.do?id=10223&amp;showAllSites=true" TargetMode="External"/><Relationship Id="rId1024" Type="http://schemas.openxmlformats.org/officeDocument/2006/relationships/hyperlink" Target="http://www.phosphosite.org/proteinAction.do?id=8547&amp;showAllSites=true" TargetMode="External"/><Relationship Id="rId1066" Type="http://schemas.openxmlformats.org/officeDocument/2006/relationships/hyperlink" Target="http://www.cellsignal.com/products/9683.html" TargetMode="External"/><Relationship Id="rId240" Type="http://schemas.openxmlformats.org/officeDocument/2006/relationships/hyperlink" Target="http://www.phosphosite.org/proteinAction.do?id=4249&amp;showAllSites=true" TargetMode="External"/><Relationship Id="rId478" Type="http://schemas.openxmlformats.org/officeDocument/2006/relationships/hyperlink" Target="http://www.cellsignal.com/products/8841.html" TargetMode="External"/><Relationship Id="rId685" Type="http://schemas.openxmlformats.org/officeDocument/2006/relationships/hyperlink" Target="http://www.phosphosite.org/proteinAction.do?id=10623&amp;showAllSites=true" TargetMode="External"/><Relationship Id="rId850" Type="http://schemas.openxmlformats.org/officeDocument/2006/relationships/hyperlink" Target="http://www.phosphosite.org/proteinAction.do?id=9368&amp;showAllSites=true" TargetMode="External"/><Relationship Id="rId892" Type="http://schemas.openxmlformats.org/officeDocument/2006/relationships/hyperlink" Target="http://www.cellsignal.com/products/4661.html" TargetMode="External"/><Relationship Id="rId906" Type="http://schemas.openxmlformats.org/officeDocument/2006/relationships/hyperlink" Target="http://www.phosphosite.org/proteinAction.do?id=4345&amp;showAllSites=true" TargetMode="External"/><Relationship Id="rId948" Type="http://schemas.openxmlformats.org/officeDocument/2006/relationships/hyperlink" Target="http://www.phosphosite.org/proteinAction.do?id=10980&amp;showAllSites=true" TargetMode="External"/><Relationship Id="rId35" Type="http://schemas.openxmlformats.org/officeDocument/2006/relationships/hyperlink" Target="http://www.phosphosite.org/proteinAction.do?id=3577&amp;showAllSites=true" TargetMode="External"/><Relationship Id="rId77" Type="http://schemas.openxmlformats.org/officeDocument/2006/relationships/hyperlink" Target="http://www.phosphosite.org/proteinAction.do?id=4396&amp;showAllSites=true" TargetMode="External"/><Relationship Id="rId100" Type="http://schemas.openxmlformats.org/officeDocument/2006/relationships/hyperlink" Target="http://www.phosphosite.org/proteinAction.do?id=1161&amp;showAllSites=true" TargetMode="External"/><Relationship Id="rId282" Type="http://schemas.openxmlformats.org/officeDocument/2006/relationships/hyperlink" Target="http://www.cellsignal.com/products/8135.html" TargetMode="External"/><Relationship Id="rId338" Type="http://schemas.openxmlformats.org/officeDocument/2006/relationships/hyperlink" Target="http://www.cellsignal.com/products/2592.html" TargetMode="External"/><Relationship Id="rId503" Type="http://schemas.openxmlformats.org/officeDocument/2006/relationships/hyperlink" Target="http://www.cellsignal.com/products/3180.html" TargetMode="External"/><Relationship Id="rId545" Type="http://schemas.openxmlformats.org/officeDocument/2006/relationships/hyperlink" Target="http://www.phosphosite.org/proteinAction.do?id=22836&amp;showAllSites=true" TargetMode="External"/><Relationship Id="rId587" Type="http://schemas.openxmlformats.org/officeDocument/2006/relationships/hyperlink" Target="http://www.cellsignal.com/products/6571.html" TargetMode="External"/><Relationship Id="rId710" Type="http://schemas.openxmlformats.org/officeDocument/2006/relationships/hyperlink" Target="http://www.phosphosite.org/proteinAction.do?id=23850&amp;showAllSites=true" TargetMode="External"/><Relationship Id="rId752" Type="http://schemas.openxmlformats.org/officeDocument/2006/relationships/hyperlink" Target="http://www.phosphosite.org/proteinAction.do?id=7672&amp;showAllSites=true" TargetMode="External"/><Relationship Id="rId808" Type="http://schemas.openxmlformats.org/officeDocument/2006/relationships/hyperlink" Target="http://www.phosphosite.org/proteinAction.do?id=6895&amp;showAllSites=true" TargetMode="External"/><Relationship Id="rId8" Type="http://schemas.openxmlformats.org/officeDocument/2006/relationships/hyperlink" Target="http://www.phosphosite.org/proteinAction.do?id=5154642&amp;showAllSites=true" TargetMode="External"/><Relationship Id="rId142" Type="http://schemas.openxmlformats.org/officeDocument/2006/relationships/hyperlink" Target="http://www.cellsignal.com/products/3606.html" TargetMode="External"/><Relationship Id="rId184" Type="http://schemas.openxmlformats.org/officeDocument/2006/relationships/hyperlink" Target="http://www.phosphosite.org/proteinAction.do?id=10609&amp;showAllSites=true" TargetMode="External"/><Relationship Id="rId391" Type="http://schemas.openxmlformats.org/officeDocument/2006/relationships/hyperlink" Target="http://www.phosphosite.org/proteinAction.do?id=5143208&amp;showAllSites=true" TargetMode="External"/><Relationship Id="rId405" Type="http://schemas.openxmlformats.org/officeDocument/2006/relationships/hyperlink" Target="http://www.cellsignal.com/products/9437.html" TargetMode="External"/><Relationship Id="rId447" Type="http://schemas.openxmlformats.org/officeDocument/2006/relationships/hyperlink" Target="http://www.phosphosite.org/proteinAction.do?id=2399&amp;showAllSites=true" TargetMode="External"/><Relationship Id="rId612" Type="http://schemas.openxmlformats.org/officeDocument/2006/relationships/hyperlink" Target="http://www.phosphosite.org/proteinAction.do?id=9209&amp;showAllSites=true" TargetMode="External"/><Relationship Id="rId794" Type="http://schemas.openxmlformats.org/officeDocument/2006/relationships/hyperlink" Target="http://www.phosphosite.org/proteinAction.do?id=17762&amp;showAllSites=true" TargetMode="External"/><Relationship Id="rId1035" Type="http://schemas.openxmlformats.org/officeDocument/2006/relationships/hyperlink" Target="http://www.phosphosite.org/proteinAction.do?id=16402&amp;showAllSites=true" TargetMode="External"/><Relationship Id="rId1077" Type="http://schemas.openxmlformats.org/officeDocument/2006/relationships/hyperlink" Target="http://www.cellsignal.com/products/4499.html" TargetMode="External"/><Relationship Id="rId251" Type="http://schemas.openxmlformats.org/officeDocument/2006/relationships/hyperlink" Target="http://www.phosphosite.org/proteinAction.do?id=9917204&amp;showAllSites=true" TargetMode="External"/><Relationship Id="rId489" Type="http://schemas.openxmlformats.org/officeDocument/2006/relationships/hyperlink" Target="http://www.phosphosite.org/proteinAction.do?id=21502&amp;showAllSites=true" TargetMode="External"/><Relationship Id="rId654" Type="http://schemas.openxmlformats.org/officeDocument/2006/relationships/hyperlink" Target="http://www.phosphosite.org/proteinAction.do?id=9668&amp;showAllSites=true" TargetMode="External"/><Relationship Id="rId696" Type="http://schemas.openxmlformats.org/officeDocument/2006/relationships/hyperlink" Target="http://www.phosphosite.org/proteinAction.do?id=9612&amp;showAllSites=true" TargetMode="External"/><Relationship Id="rId861" Type="http://schemas.openxmlformats.org/officeDocument/2006/relationships/hyperlink" Target="http://www.phosphosite.org/proteinAction.do?id=9037&amp;showAllSites=true" TargetMode="External"/><Relationship Id="rId917" Type="http://schemas.openxmlformats.org/officeDocument/2006/relationships/hyperlink" Target="http://www.phosphosite.org/proteinAction.do?id=7088&amp;showAllSites=true" TargetMode="External"/><Relationship Id="rId959" Type="http://schemas.openxmlformats.org/officeDocument/2006/relationships/hyperlink" Target="http://www.cellsignal.com/products/12247.html" TargetMode="External"/><Relationship Id="rId1102" Type="http://schemas.openxmlformats.org/officeDocument/2006/relationships/hyperlink" Target="http://www.phosphosite.org/proteinAction.do?id=4331&amp;showAllSites=true" TargetMode="External"/><Relationship Id="rId46" Type="http://schemas.openxmlformats.org/officeDocument/2006/relationships/hyperlink" Target="http://www.cellsignal.com/products/8456.html" TargetMode="External"/><Relationship Id="rId293" Type="http://schemas.openxmlformats.org/officeDocument/2006/relationships/hyperlink" Target="http://www.cellsignal.com/products/9072.html" TargetMode="External"/><Relationship Id="rId307" Type="http://schemas.openxmlformats.org/officeDocument/2006/relationships/hyperlink" Target="http://www.cellsignal.com/products/8135.html" TargetMode="External"/><Relationship Id="rId349" Type="http://schemas.openxmlformats.org/officeDocument/2006/relationships/hyperlink" Target="http://www.phosphosite.org/proteinAction.do?id=1878&amp;showAllSites=true" TargetMode="External"/><Relationship Id="rId514" Type="http://schemas.openxmlformats.org/officeDocument/2006/relationships/hyperlink" Target="http://www.cellsignal.com/products/12588.html" TargetMode="External"/><Relationship Id="rId556" Type="http://schemas.openxmlformats.org/officeDocument/2006/relationships/hyperlink" Target="http://www.phosphosite.org/proteinAction.do?id=8934&amp;showAllSites=true" TargetMode="External"/><Relationship Id="rId721" Type="http://schemas.openxmlformats.org/officeDocument/2006/relationships/hyperlink" Target="http://www.phosphosite.org/proteinAction.do?id=9334&amp;showAllSites=true" TargetMode="External"/><Relationship Id="rId763" Type="http://schemas.openxmlformats.org/officeDocument/2006/relationships/hyperlink" Target="http://www.phosphosite.org/proteinAction.do?id=3375&amp;showAllSites=true" TargetMode="External"/><Relationship Id="rId88" Type="http://schemas.openxmlformats.org/officeDocument/2006/relationships/hyperlink" Target="http://www.phosphosite.org/proteinAction.do?id=1161&amp;showAllSites=true" TargetMode="External"/><Relationship Id="rId111" Type="http://schemas.openxmlformats.org/officeDocument/2006/relationships/hyperlink" Target="http://www.phosphosite.org/proteinAction.do?id=12240&amp;showAllSites=true" TargetMode="External"/><Relationship Id="rId153" Type="http://schemas.openxmlformats.org/officeDocument/2006/relationships/hyperlink" Target="http://www.cellsignal.com/products/4462.html" TargetMode="External"/><Relationship Id="rId195" Type="http://schemas.openxmlformats.org/officeDocument/2006/relationships/hyperlink" Target="http://www.phosphosite.org/proteinAction.do?id=3749688&amp;showAllSites=true" TargetMode="External"/><Relationship Id="rId209" Type="http://schemas.openxmlformats.org/officeDocument/2006/relationships/hyperlink" Target="http://www.phosphosite.org/proteinAction.do?id=11269&amp;showAllSites=true" TargetMode="External"/><Relationship Id="rId360" Type="http://schemas.openxmlformats.org/officeDocument/2006/relationships/hyperlink" Target="http://www.phosphosite.org/proteinAction.do?id=8391&amp;showAllSites=true" TargetMode="External"/><Relationship Id="rId416" Type="http://schemas.openxmlformats.org/officeDocument/2006/relationships/hyperlink" Target="http://www.phosphosite.org/proteinAction.do?id=5132&amp;showAllSites=true" TargetMode="External"/><Relationship Id="rId598" Type="http://schemas.openxmlformats.org/officeDocument/2006/relationships/hyperlink" Target="http://www.cellsignal.com/products/8966.html" TargetMode="External"/><Relationship Id="rId819" Type="http://schemas.openxmlformats.org/officeDocument/2006/relationships/hyperlink" Target="http://www.phosphosite.org/proteinAction.do?id=8575&amp;showAllSites=true" TargetMode="External"/><Relationship Id="rId970" Type="http://schemas.openxmlformats.org/officeDocument/2006/relationships/hyperlink" Target="http://www.phosphosite.org/proteinAction.do?id=5667&amp;showAllSites=true" TargetMode="External"/><Relationship Id="rId1004" Type="http://schemas.openxmlformats.org/officeDocument/2006/relationships/hyperlink" Target="http://www.phosphosite.org/proteinAction.do?id=9219&amp;showAllSites=true" TargetMode="External"/><Relationship Id="rId1046" Type="http://schemas.openxmlformats.org/officeDocument/2006/relationships/hyperlink" Target="http://www.phosphosite.org/proteinAction.do?id=9193&amp;showAllSites=true" TargetMode="External"/><Relationship Id="rId220" Type="http://schemas.openxmlformats.org/officeDocument/2006/relationships/hyperlink" Target="http://www.phosphosite.org/proteinAction.do?id=4250&amp;showAllSites=true" TargetMode="External"/><Relationship Id="rId458" Type="http://schemas.openxmlformats.org/officeDocument/2006/relationships/hyperlink" Target="http://www.phosphosite.org/proteinAction.do?id=9173&amp;showAllSites=true" TargetMode="External"/><Relationship Id="rId623" Type="http://schemas.openxmlformats.org/officeDocument/2006/relationships/hyperlink" Target="http://www.phosphosite.org/proteinAction.do?id=3248118&amp;showAllSites=true" TargetMode="External"/><Relationship Id="rId665" Type="http://schemas.openxmlformats.org/officeDocument/2006/relationships/hyperlink" Target="http://www.phosphosite.org/proteinAction.do?id=12681&amp;showAllSites=true" TargetMode="External"/><Relationship Id="rId830" Type="http://schemas.openxmlformats.org/officeDocument/2006/relationships/hyperlink" Target="http://www.cellsignal.com/products/4850.html" TargetMode="External"/><Relationship Id="rId872" Type="http://schemas.openxmlformats.org/officeDocument/2006/relationships/hyperlink" Target="http://www.phosphosite.org/proteinAction.do?id=9523&amp;showAllSites=true" TargetMode="External"/><Relationship Id="rId928" Type="http://schemas.openxmlformats.org/officeDocument/2006/relationships/hyperlink" Target="http://www.cellsignal.com/products/3810.html" TargetMode="External"/><Relationship Id="rId1088" Type="http://schemas.openxmlformats.org/officeDocument/2006/relationships/hyperlink" Target="http://www.cellsignal.com/products/2175.html" TargetMode="External"/><Relationship Id="rId15" Type="http://schemas.openxmlformats.org/officeDocument/2006/relationships/hyperlink" Target="http://www.cellsignal.com/products/2121.html" TargetMode="External"/><Relationship Id="rId57" Type="http://schemas.openxmlformats.org/officeDocument/2006/relationships/hyperlink" Target="http://www.phosphosite.org/proteinAction.do?id=4432&amp;showAllSites=true" TargetMode="External"/><Relationship Id="rId262" Type="http://schemas.openxmlformats.org/officeDocument/2006/relationships/hyperlink" Target="http://www.cellsignal.com/products/2718.html" TargetMode="External"/><Relationship Id="rId318" Type="http://schemas.openxmlformats.org/officeDocument/2006/relationships/hyperlink" Target="http://www.phosphosite.org/proteinAction.do?id=8393&amp;showAllSites=true" TargetMode="External"/><Relationship Id="rId525" Type="http://schemas.openxmlformats.org/officeDocument/2006/relationships/hyperlink" Target="http://www.phosphosite.org/proteinAction.do?id=4368&amp;showAllSites=true" TargetMode="External"/><Relationship Id="rId567" Type="http://schemas.openxmlformats.org/officeDocument/2006/relationships/hyperlink" Target="http://www.phosphosite.org/proteinAction.do?id=9893&amp;showAllSites=true" TargetMode="External"/><Relationship Id="rId732" Type="http://schemas.openxmlformats.org/officeDocument/2006/relationships/hyperlink" Target="http://www.cellsignal.com/products/3362.html" TargetMode="External"/><Relationship Id="rId1113" Type="http://schemas.openxmlformats.org/officeDocument/2006/relationships/hyperlink" Target="http://www.phosphosite.org/proteinAction.do?id=21738&amp;showAllSites=true" TargetMode="External"/><Relationship Id="rId99" Type="http://schemas.openxmlformats.org/officeDocument/2006/relationships/hyperlink" Target="http://www.cellsignal.com/products/7425.html" TargetMode="External"/><Relationship Id="rId122" Type="http://schemas.openxmlformats.org/officeDocument/2006/relationships/hyperlink" Target="http://www.cellsignal.com/products/9099.html" TargetMode="External"/><Relationship Id="rId164" Type="http://schemas.openxmlformats.org/officeDocument/2006/relationships/hyperlink" Target="http://www.phosphosite.org/proteinAction.do?id=8014&amp;showAllSites=true" TargetMode="External"/><Relationship Id="rId371" Type="http://schemas.openxmlformats.org/officeDocument/2006/relationships/hyperlink" Target="http://www.phosphosite.org/proteinAction.do?id=8391&amp;showAllSites=true" TargetMode="External"/><Relationship Id="rId774" Type="http://schemas.openxmlformats.org/officeDocument/2006/relationships/hyperlink" Target="http://www.cellsignal.com/products/3542.html" TargetMode="External"/><Relationship Id="rId981" Type="http://schemas.openxmlformats.org/officeDocument/2006/relationships/hyperlink" Target="http://www.phosphosite.org/proteinAction.do?id=3838400&amp;showAllSites=true" TargetMode="External"/><Relationship Id="rId1015" Type="http://schemas.openxmlformats.org/officeDocument/2006/relationships/hyperlink" Target="http://www.phosphosite.org/proteinAction.do?id=17694&amp;showAllSites=true" TargetMode="External"/><Relationship Id="rId1057" Type="http://schemas.openxmlformats.org/officeDocument/2006/relationships/hyperlink" Target="http://www.phosphosite.org/proteinAction.do?id=9400&amp;showAllSites=true" TargetMode="External"/><Relationship Id="rId427" Type="http://schemas.openxmlformats.org/officeDocument/2006/relationships/hyperlink" Target="http://www.phosphosite.org/proteinAction.do?id=23611&amp;showAllSites=true" TargetMode="External"/><Relationship Id="rId469" Type="http://schemas.openxmlformats.org/officeDocument/2006/relationships/hyperlink" Target="http://www.phosphosite.org/proteinAction.do?id=15720&amp;showAllSites=true" TargetMode="External"/><Relationship Id="rId634" Type="http://schemas.openxmlformats.org/officeDocument/2006/relationships/hyperlink" Target="http://www.phosphosite.org/proteinAction.do?id=9550&amp;showAllSites=true" TargetMode="External"/><Relationship Id="rId676" Type="http://schemas.openxmlformats.org/officeDocument/2006/relationships/hyperlink" Target="http://www.phosphosite.org/proteinAction.do?id=1784&amp;showAllSites=true" TargetMode="External"/><Relationship Id="rId841" Type="http://schemas.openxmlformats.org/officeDocument/2006/relationships/hyperlink" Target="http://www.cellsignal.com/products/5307.html" TargetMode="External"/><Relationship Id="rId883" Type="http://schemas.openxmlformats.org/officeDocument/2006/relationships/hyperlink" Target="http://www.phosphosite.org/proteinAction.do?id=15755&amp;showAllSites=true" TargetMode="External"/><Relationship Id="rId1099" Type="http://schemas.openxmlformats.org/officeDocument/2006/relationships/hyperlink" Target="http://www.phosphosite.org/proteinAction.do?id=16054&amp;showAllSites=true" TargetMode="External"/><Relationship Id="rId26" Type="http://schemas.openxmlformats.org/officeDocument/2006/relationships/hyperlink" Target="http://www.cellsignal.com/products/8312.html" TargetMode="External"/><Relationship Id="rId231" Type="http://schemas.openxmlformats.org/officeDocument/2006/relationships/hyperlink" Target="http://www.cellsignal.com/products/4869.html" TargetMode="External"/><Relationship Id="rId273" Type="http://schemas.openxmlformats.org/officeDocument/2006/relationships/hyperlink" Target="http://www.cellsignal.com/products/12364.html" TargetMode="External"/><Relationship Id="rId329" Type="http://schemas.openxmlformats.org/officeDocument/2006/relationships/hyperlink" Target="http://www.cellsignal.com/products/9072.html" TargetMode="External"/><Relationship Id="rId480" Type="http://schemas.openxmlformats.org/officeDocument/2006/relationships/hyperlink" Target="http://www.phosphosite.org/proteinAction.do?id=2464747&amp;showAllSites=true" TargetMode="External"/><Relationship Id="rId536" Type="http://schemas.openxmlformats.org/officeDocument/2006/relationships/hyperlink" Target="http://www.phosphosite.org/proteinAction.do?id=10631&amp;showAllSites=true" TargetMode="External"/><Relationship Id="rId701" Type="http://schemas.openxmlformats.org/officeDocument/2006/relationships/hyperlink" Target="http://www.phosphosite.org/proteinAction.do?id=1686&amp;showAllSites=true" TargetMode="External"/><Relationship Id="rId939" Type="http://schemas.openxmlformats.org/officeDocument/2006/relationships/hyperlink" Target="http://www.phosphosite.org/proteinAction.do?id=5634&amp;showAllSites=true" TargetMode="External"/><Relationship Id="rId1124" Type="http://schemas.openxmlformats.org/officeDocument/2006/relationships/hyperlink" Target="http://www.phosphosite.org/proteinAction.do?id=12701&amp;showAllSites=true" TargetMode="External"/><Relationship Id="rId68" Type="http://schemas.openxmlformats.org/officeDocument/2006/relationships/hyperlink" Target="http://www.phosphosite.org/proteinAction.do?id=1482&amp;showAllSites=true" TargetMode="External"/><Relationship Id="rId133" Type="http://schemas.openxmlformats.org/officeDocument/2006/relationships/hyperlink" Target="http://www.phosphosite.org/proteinAction.do?id=2758&amp;showAllSites=true" TargetMode="External"/><Relationship Id="rId175" Type="http://schemas.openxmlformats.org/officeDocument/2006/relationships/hyperlink" Target="http://www.cellsignal.com/products/3971.html" TargetMode="External"/><Relationship Id="rId340" Type="http://schemas.openxmlformats.org/officeDocument/2006/relationships/hyperlink" Target="http://www.phosphosite.org/proteinAction.do?id=1878&amp;showAllSites=true" TargetMode="External"/><Relationship Id="rId578" Type="http://schemas.openxmlformats.org/officeDocument/2006/relationships/hyperlink" Target="http://www.phosphosite.org/proteinAction.do?id=14297&amp;showAllSites=true" TargetMode="External"/><Relationship Id="rId743" Type="http://schemas.openxmlformats.org/officeDocument/2006/relationships/hyperlink" Target="http://www.cellsignal.com/products/3967.html" TargetMode="External"/><Relationship Id="rId785" Type="http://schemas.openxmlformats.org/officeDocument/2006/relationships/hyperlink" Target="http://www.phosphosite.org/proteinAction.do?id=8916&amp;showAllSites=true" TargetMode="External"/><Relationship Id="rId950" Type="http://schemas.openxmlformats.org/officeDocument/2006/relationships/hyperlink" Target="http://www.phosphosite.org/proteinAction.do?id=2819044&amp;showAllSites=true" TargetMode="External"/><Relationship Id="rId992" Type="http://schemas.openxmlformats.org/officeDocument/2006/relationships/hyperlink" Target="http://www.cellsignal.com/products/2551.html" TargetMode="External"/><Relationship Id="rId1026" Type="http://schemas.openxmlformats.org/officeDocument/2006/relationships/hyperlink" Target="http://www.phosphosite.org/proteinAction.do?id=12125&amp;showAllSites=true" TargetMode="External"/><Relationship Id="rId200" Type="http://schemas.openxmlformats.org/officeDocument/2006/relationships/hyperlink" Target="http://www.cellsignal.com/products/8195.html" TargetMode="External"/><Relationship Id="rId382" Type="http://schemas.openxmlformats.org/officeDocument/2006/relationships/hyperlink" Target="http://www.cellsignal.com/products/8135.html" TargetMode="External"/><Relationship Id="rId438" Type="http://schemas.openxmlformats.org/officeDocument/2006/relationships/hyperlink" Target="http://www.phosphosite.org/proteinAction.do?id=1501&amp;showAllSites=true" TargetMode="External"/><Relationship Id="rId603" Type="http://schemas.openxmlformats.org/officeDocument/2006/relationships/hyperlink" Target="http://www.phosphosite.org/proteinAction.do?id=4240&amp;showAllSites=true" TargetMode="External"/><Relationship Id="rId645" Type="http://schemas.openxmlformats.org/officeDocument/2006/relationships/hyperlink" Target="http://www.phosphosite.org/proteinAction.do?id=10223&amp;showAllSites=true" TargetMode="External"/><Relationship Id="rId687" Type="http://schemas.openxmlformats.org/officeDocument/2006/relationships/hyperlink" Target="http://www.cellsignal.com/products/5839.html" TargetMode="External"/><Relationship Id="rId810" Type="http://schemas.openxmlformats.org/officeDocument/2006/relationships/hyperlink" Target="http://www.phosphosite.org/proteinAction.do?id=6895&amp;showAllSites=true" TargetMode="External"/><Relationship Id="rId852" Type="http://schemas.openxmlformats.org/officeDocument/2006/relationships/hyperlink" Target="http://www.phosphosite.org/proteinAction.do?id=14465&amp;showAllSites=true" TargetMode="External"/><Relationship Id="rId908" Type="http://schemas.openxmlformats.org/officeDocument/2006/relationships/hyperlink" Target="http://www.phosphosite.org/proteinAction.do?id=12658&amp;showAllSites=true" TargetMode="External"/><Relationship Id="rId1068" Type="http://schemas.openxmlformats.org/officeDocument/2006/relationships/hyperlink" Target="http://www.cellsignal.com/products/4499.html" TargetMode="External"/><Relationship Id="rId242" Type="http://schemas.openxmlformats.org/officeDocument/2006/relationships/hyperlink" Target="http://www.phosphosite.org/proteinAction.do?id=4249&amp;showAllSites=true" TargetMode="External"/><Relationship Id="rId284" Type="http://schemas.openxmlformats.org/officeDocument/2006/relationships/hyperlink" Target="http://www.phosphosite.org/proteinAction.do?id=8395&amp;showAllSites=true" TargetMode="External"/><Relationship Id="rId491" Type="http://schemas.openxmlformats.org/officeDocument/2006/relationships/hyperlink" Target="http://www.phosphosite.org/proteinAction.do?id=9538&amp;showAllSites=true" TargetMode="External"/><Relationship Id="rId505" Type="http://schemas.openxmlformats.org/officeDocument/2006/relationships/hyperlink" Target="http://www.cellsignal.com/products/12588.html" TargetMode="External"/><Relationship Id="rId712" Type="http://schemas.openxmlformats.org/officeDocument/2006/relationships/hyperlink" Target="http://www.phosphosite.org/proteinAction.do?id=11024&amp;showAllSites=true" TargetMode="External"/><Relationship Id="rId894" Type="http://schemas.openxmlformats.org/officeDocument/2006/relationships/hyperlink" Target="http://www.cellsignal.com/products/4866.html" TargetMode="External"/><Relationship Id="rId37" Type="http://schemas.openxmlformats.org/officeDocument/2006/relationships/hyperlink" Target="http://www.phosphosite.org/proteinAction.do?id=3579&amp;showAllSites=true" TargetMode="External"/><Relationship Id="rId79" Type="http://schemas.openxmlformats.org/officeDocument/2006/relationships/hyperlink" Target="http://www.phosphosite.org/proteinAction.do?id=4396&amp;showAllSites=true" TargetMode="External"/><Relationship Id="rId102" Type="http://schemas.openxmlformats.org/officeDocument/2006/relationships/hyperlink" Target="http://www.phosphosite.org/proteinAction.do?id=1161&amp;showAllSites=true" TargetMode="External"/><Relationship Id="rId144" Type="http://schemas.openxmlformats.org/officeDocument/2006/relationships/hyperlink" Target="http://www.phosphosite.org/proteinAction.do?id=7651&amp;showAllSites=true" TargetMode="External"/><Relationship Id="rId547" Type="http://schemas.openxmlformats.org/officeDocument/2006/relationships/hyperlink" Target="http://www.phosphosite.org/proteinAction.do?id=7998&amp;showAllSites=true" TargetMode="External"/><Relationship Id="rId589" Type="http://schemas.openxmlformats.org/officeDocument/2006/relationships/hyperlink" Target="http://www.phosphosite.org/proteinAction.do?id=25516000&amp;showAllSites=true" TargetMode="External"/><Relationship Id="rId754" Type="http://schemas.openxmlformats.org/officeDocument/2006/relationships/hyperlink" Target="http://www.cellsignal.com/products/2425.html" TargetMode="External"/><Relationship Id="rId796" Type="http://schemas.openxmlformats.org/officeDocument/2006/relationships/hyperlink" Target="http://www.phosphosite.org/proteinAction.do?id=9509&amp;showAllSites=true" TargetMode="External"/><Relationship Id="rId961" Type="http://schemas.openxmlformats.org/officeDocument/2006/relationships/hyperlink" Target="http://www.cellsignal.com/products/12247.html" TargetMode="External"/><Relationship Id="rId90" Type="http://schemas.openxmlformats.org/officeDocument/2006/relationships/hyperlink" Target="http://www.phosphosite.org/proteinAction.do?id=1161&amp;showAllSites=true" TargetMode="External"/><Relationship Id="rId186" Type="http://schemas.openxmlformats.org/officeDocument/2006/relationships/hyperlink" Target="http://www.phosphosite.org/proteinAction.do?id=9696&amp;showAllSites=true" TargetMode="External"/><Relationship Id="rId351" Type="http://schemas.openxmlformats.org/officeDocument/2006/relationships/hyperlink" Target="http://www.phosphosite.org/proteinAction.do?id=1878&amp;showAllSites=true" TargetMode="External"/><Relationship Id="rId393" Type="http://schemas.openxmlformats.org/officeDocument/2006/relationships/hyperlink" Target="http://www.phosphosite.org/proteinAction.do?id=5143208&amp;showAllSites=true" TargetMode="External"/><Relationship Id="rId407" Type="http://schemas.openxmlformats.org/officeDocument/2006/relationships/hyperlink" Target="http://www.cellsignal.com/products/9437.html" TargetMode="External"/><Relationship Id="rId449" Type="http://schemas.openxmlformats.org/officeDocument/2006/relationships/hyperlink" Target="http://www.phosphosite.org/proteinAction.do?id=1533&amp;showAllSites=true" TargetMode="External"/><Relationship Id="rId614" Type="http://schemas.openxmlformats.org/officeDocument/2006/relationships/hyperlink" Target="http://www.phosphosite.org/proteinAction.do?id=1847200&amp;showAllSites=true" TargetMode="External"/><Relationship Id="rId656" Type="http://schemas.openxmlformats.org/officeDocument/2006/relationships/hyperlink" Target="http://www.phosphosite.org/proteinAction.do?id=9668&amp;showAllSites=true" TargetMode="External"/><Relationship Id="rId821" Type="http://schemas.openxmlformats.org/officeDocument/2006/relationships/hyperlink" Target="http://www.phosphosite.org/proteinAction.do?id=8575&amp;showAllSites=true" TargetMode="External"/><Relationship Id="rId863" Type="http://schemas.openxmlformats.org/officeDocument/2006/relationships/hyperlink" Target="http://www.phosphosite.org/proteinAction.do?id=16483&amp;showAllSites=true" TargetMode="External"/><Relationship Id="rId1037" Type="http://schemas.openxmlformats.org/officeDocument/2006/relationships/hyperlink" Target="http://www.cellsignal.com/products/5695.html" TargetMode="External"/><Relationship Id="rId1079" Type="http://schemas.openxmlformats.org/officeDocument/2006/relationships/hyperlink" Target="http://www.phosphosite.org/proteinAction.do?id=5251804&amp;showAllSites=true" TargetMode="External"/><Relationship Id="rId211" Type="http://schemas.openxmlformats.org/officeDocument/2006/relationships/hyperlink" Target="http://www.cellsignal.com/products/5696.html" TargetMode="External"/><Relationship Id="rId253" Type="http://schemas.openxmlformats.org/officeDocument/2006/relationships/hyperlink" Target="http://www.phosphosite.org/proteinAction.do?id=9917204&amp;showAllSites=true" TargetMode="External"/><Relationship Id="rId295" Type="http://schemas.openxmlformats.org/officeDocument/2006/relationships/hyperlink" Target="http://www.cellsignal.com/products/8135.html" TargetMode="External"/><Relationship Id="rId309" Type="http://schemas.openxmlformats.org/officeDocument/2006/relationships/hyperlink" Target="http://www.phosphosite.org/proteinAction.do?id=8393&amp;showAllSites=true" TargetMode="External"/><Relationship Id="rId460" Type="http://schemas.openxmlformats.org/officeDocument/2006/relationships/hyperlink" Target="http://www.phosphosite.org/proteinAction.do?id=2812809&amp;showAllSites=true" TargetMode="External"/><Relationship Id="rId516" Type="http://schemas.openxmlformats.org/officeDocument/2006/relationships/hyperlink" Target="http://www.phosphosite.org/proteinAction.do?id=7967&amp;showAllSites=true" TargetMode="External"/><Relationship Id="rId698" Type="http://schemas.openxmlformats.org/officeDocument/2006/relationships/hyperlink" Target="http://www.cellsignal.com/products/12098.html" TargetMode="External"/><Relationship Id="rId919" Type="http://schemas.openxmlformats.org/officeDocument/2006/relationships/hyperlink" Target="http://www.phosphosite.org/proteinAction.do?id=9534&amp;showAllSites=true" TargetMode="External"/><Relationship Id="rId1090" Type="http://schemas.openxmlformats.org/officeDocument/2006/relationships/hyperlink" Target="http://www.cellsignal.com/products/2175.html" TargetMode="External"/><Relationship Id="rId1104" Type="http://schemas.openxmlformats.org/officeDocument/2006/relationships/hyperlink" Target="http://www.phosphosite.org/proteinAction.do?id=23748&amp;showAllSites=true" TargetMode="External"/><Relationship Id="rId48" Type="http://schemas.openxmlformats.org/officeDocument/2006/relationships/hyperlink" Target="http://www.cellsignal.com/products/8456.html" TargetMode="External"/><Relationship Id="rId113" Type="http://schemas.openxmlformats.org/officeDocument/2006/relationships/hyperlink" Target="http://www.phosphosite.org/proteinAction.do?id=7506&amp;showAllSites=true" TargetMode="External"/><Relationship Id="rId320" Type="http://schemas.openxmlformats.org/officeDocument/2006/relationships/hyperlink" Target="http://www.cellsignal.com/products/9072.html" TargetMode="External"/><Relationship Id="rId558" Type="http://schemas.openxmlformats.org/officeDocument/2006/relationships/hyperlink" Target="http://www.phosphosite.org/proteinAction.do?id=5599&amp;showAllSites=true" TargetMode="External"/><Relationship Id="rId723" Type="http://schemas.openxmlformats.org/officeDocument/2006/relationships/hyperlink" Target="http://www.cellsignal.com/products/11896.html" TargetMode="External"/><Relationship Id="rId765" Type="http://schemas.openxmlformats.org/officeDocument/2006/relationships/hyperlink" Target="http://www.phosphosite.org/proteinAction.do?id=3643&amp;showAllSites=true" TargetMode="External"/><Relationship Id="rId930" Type="http://schemas.openxmlformats.org/officeDocument/2006/relationships/hyperlink" Target="http://www.cellsignal.com/products/7096.html" TargetMode="External"/><Relationship Id="rId972" Type="http://schemas.openxmlformats.org/officeDocument/2006/relationships/hyperlink" Target="http://www.phosphosite.org/proteinAction.do?id=11394&amp;showAllSites=true" TargetMode="External"/><Relationship Id="rId1006" Type="http://schemas.openxmlformats.org/officeDocument/2006/relationships/hyperlink" Target="http://www.phosphosite.org/proteinAction.do?id=10485&amp;showAllSites=true" TargetMode="External"/><Relationship Id="rId155" Type="http://schemas.openxmlformats.org/officeDocument/2006/relationships/hyperlink" Target="http://www.phosphosite.org/proteinAction.do?id=11296&amp;showAllSites=true" TargetMode="External"/><Relationship Id="rId197" Type="http://schemas.openxmlformats.org/officeDocument/2006/relationships/hyperlink" Target="http://www.phosphosite.org/proteinAction.do?id=2070&amp;showAllSites=true" TargetMode="External"/><Relationship Id="rId362" Type="http://schemas.openxmlformats.org/officeDocument/2006/relationships/hyperlink" Target="http://www.cellsignal.com/products/9083.html" TargetMode="External"/><Relationship Id="rId418" Type="http://schemas.openxmlformats.org/officeDocument/2006/relationships/hyperlink" Target="http://www.cellsignal.com/products/3529.html" TargetMode="External"/><Relationship Id="rId625" Type="http://schemas.openxmlformats.org/officeDocument/2006/relationships/hyperlink" Target="http://www.cellsignal.com/products/9828.html" TargetMode="External"/><Relationship Id="rId832" Type="http://schemas.openxmlformats.org/officeDocument/2006/relationships/hyperlink" Target="http://www.phosphosite.org/proteinAction.do?id=24752&amp;showAllSites=true" TargetMode="External"/><Relationship Id="rId1048" Type="http://schemas.openxmlformats.org/officeDocument/2006/relationships/hyperlink" Target="http://www.phosphosite.org/proteinAction.do?id=3641390&amp;showAllSites=true" TargetMode="External"/><Relationship Id="rId222" Type="http://schemas.openxmlformats.org/officeDocument/2006/relationships/hyperlink" Target="http://www.phosphosite.org/proteinAction.do?id=4250&amp;showAllSites=true" TargetMode="External"/><Relationship Id="rId264" Type="http://schemas.openxmlformats.org/officeDocument/2006/relationships/hyperlink" Target="http://www.phosphosite.org/proteinAction.do?id=8660&amp;showAllSites=true" TargetMode="External"/><Relationship Id="rId471" Type="http://schemas.openxmlformats.org/officeDocument/2006/relationships/hyperlink" Target="http://www.phosphosite.org/proteinAction.do?id=10555&amp;showAllSites=true" TargetMode="External"/><Relationship Id="rId667" Type="http://schemas.openxmlformats.org/officeDocument/2006/relationships/hyperlink" Target="http://www.phosphosite.org/proteinAction.do?id=13223&amp;showAllSites=true" TargetMode="External"/><Relationship Id="rId874" Type="http://schemas.openxmlformats.org/officeDocument/2006/relationships/hyperlink" Target="http://www.phosphosite.org/proteinAction.do?id=9523&amp;showAllSites=true" TargetMode="External"/><Relationship Id="rId1115" Type="http://schemas.openxmlformats.org/officeDocument/2006/relationships/hyperlink" Target="http://www.phosphosite.org/proteinAction.do?id=1657&amp;showAllSites=true" TargetMode="External"/><Relationship Id="rId17" Type="http://schemas.openxmlformats.org/officeDocument/2006/relationships/hyperlink" Target="http://www.phosphosite.org/proteinAction.do?id=4434&amp;showAllSites=true" TargetMode="External"/><Relationship Id="rId59" Type="http://schemas.openxmlformats.org/officeDocument/2006/relationships/hyperlink" Target="http://www.phosphosite.org/proteinAction.do?id=4270&amp;showAllSites=true" TargetMode="External"/><Relationship Id="rId124" Type="http://schemas.openxmlformats.org/officeDocument/2006/relationships/hyperlink" Target="http://www.cellsignal.com/products/9099.html" TargetMode="External"/><Relationship Id="rId527" Type="http://schemas.openxmlformats.org/officeDocument/2006/relationships/hyperlink" Target="http://www.phosphosite.org/proteinAction.do?id=4368&amp;showAllSites=true" TargetMode="External"/><Relationship Id="rId569" Type="http://schemas.openxmlformats.org/officeDocument/2006/relationships/hyperlink" Target="http://www.phosphosite.org/proteinAction.do?id=5359&amp;showAllSites=true" TargetMode="External"/><Relationship Id="rId734" Type="http://schemas.openxmlformats.org/officeDocument/2006/relationships/hyperlink" Target="http://www.cellsignal.com/products/6216.html" TargetMode="External"/><Relationship Id="rId776" Type="http://schemas.openxmlformats.org/officeDocument/2006/relationships/hyperlink" Target="http://www.cellsignal.com/products/3542.html" TargetMode="External"/><Relationship Id="rId941" Type="http://schemas.openxmlformats.org/officeDocument/2006/relationships/hyperlink" Target="http://www.phosphosite.org/proteinAction.do?id=14575&amp;showAllSites=true" TargetMode="External"/><Relationship Id="rId983" Type="http://schemas.openxmlformats.org/officeDocument/2006/relationships/hyperlink" Target="http://www.phosphosite.org/proteinAction.do?id=8693&amp;showAllSites=true" TargetMode="External"/><Relationship Id="rId70" Type="http://schemas.openxmlformats.org/officeDocument/2006/relationships/hyperlink" Target="http://www.cellsignal.com/products/3312.html" TargetMode="External"/><Relationship Id="rId166" Type="http://schemas.openxmlformats.org/officeDocument/2006/relationships/hyperlink" Target="http://www.phosphosite.org/proteinAction.do?id=7707705&amp;showAllSites=true" TargetMode="External"/><Relationship Id="rId331" Type="http://schemas.openxmlformats.org/officeDocument/2006/relationships/hyperlink" Target="http://www.cellsignal.com/products/12364.html" TargetMode="External"/><Relationship Id="rId373" Type="http://schemas.openxmlformats.org/officeDocument/2006/relationships/hyperlink" Target="http://www.phosphosite.org/proteinAction.do?id=8391&amp;showAllSites=true" TargetMode="External"/><Relationship Id="rId429" Type="http://schemas.openxmlformats.org/officeDocument/2006/relationships/hyperlink" Target="http://www.phosphosite.org/proteinAction.do?id=2157&amp;showAllSites=true" TargetMode="External"/><Relationship Id="rId580" Type="http://schemas.openxmlformats.org/officeDocument/2006/relationships/hyperlink" Target="http://www.phosphosite.org/proteinAction.do?id=10575&amp;showAllSites=true" TargetMode="External"/><Relationship Id="rId636" Type="http://schemas.openxmlformats.org/officeDocument/2006/relationships/hyperlink" Target="http://www.phosphosite.org/proteinAction.do?id=9550&amp;showAllSites=true" TargetMode="External"/><Relationship Id="rId801" Type="http://schemas.openxmlformats.org/officeDocument/2006/relationships/hyperlink" Target="http://www.cellsignal.com/products/4929.html" TargetMode="External"/><Relationship Id="rId1017" Type="http://schemas.openxmlformats.org/officeDocument/2006/relationships/hyperlink" Target="http://www.phosphosite.org/proteinAction.do?id=23252&amp;showAllSites=true" TargetMode="External"/><Relationship Id="rId1059" Type="http://schemas.openxmlformats.org/officeDocument/2006/relationships/hyperlink" Target="http://www.phosphosite.org/proteinAction.do?id=10958&amp;showAllSites=true" TargetMode="External"/><Relationship Id="rId1" Type="http://schemas.openxmlformats.org/officeDocument/2006/relationships/hyperlink" Target="http://www.phosphosite.org/proteinAction.do?id=4852966&amp;showAllSites=true" TargetMode="External"/><Relationship Id="rId233" Type="http://schemas.openxmlformats.org/officeDocument/2006/relationships/hyperlink" Target="http://www.cellsignal.com/products/12165.html" TargetMode="External"/><Relationship Id="rId440" Type="http://schemas.openxmlformats.org/officeDocument/2006/relationships/hyperlink" Target="http://www.phosphosite.org/proteinAction.do?id=8692&amp;showAllSites=true" TargetMode="External"/><Relationship Id="rId678" Type="http://schemas.openxmlformats.org/officeDocument/2006/relationships/hyperlink" Target="http://www.phosphosite.org/proteinAction.do?id=1784&amp;showAllSites=true" TargetMode="External"/><Relationship Id="rId843" Type="http://schemas.openxmlformats.org/officeDocument/2006/relationships/hyperlink" Target="http://www.cellsignal.com/products/5307.html" TargetMode="External"/><Relationship Id="rId885" Type="http://schemas.openxmlformats.org/officeDocument/2006/relationships/hyperlink" Target="http://www.phosphosite.org/proteinAction.do?id=951501&amp;showAllSites=true" TargetMode="External"/><Relationship Id="rId1070" Type="http://schemas.openxmlformats.org/officeDocument/2006/relationships/hyperlink" Target="http://www.phosphosite.org/proteinAction.do?id=5145077&amp;showAllSites=true" TargetMode="External"/><Relationship Id="rId1126" Type="http://schemas.openxmlformats.org/officeDocument/2006/relationships/hyperlink" Target="http://www.phosphosite.org/proteinAction.do?id=12701&amp;showAllSites=true" TargetMode="External"/><Relationship Id="rId28" Type="http://schemas.openxmlformats.org/officeDocument/2006/relationships/hyperlink" Target="http://www.cellsignal.com/products/5522.html" TargetMode="External"/><Relationship Id="rId275" Type="http://schemas.openxmlformats.org/officeDocument/2006/relationships/hyperlink" Target="http://www.phosphosite.org/proteinAction.do?id=8395&amp;showAllSites=true" TargetMode="External"/><Relationship Id="rId300" Type="http://schemas.openxmlformats.org/officeDocument/2006/relationships/hyperlink" Target="http://www.phosphosite.org/proteinAction.do?id=8393&amp;showAllSites=true" TargetMode="External"/><Relationship Id="rId482" Type="http://schemas.openxmlformats.org/officeDocument/2006/relationships/hyperlink" Target="http://www.cellsignal.com/products/3676.html" TargetMode="External"/><Relationship Id="rId538" Type="http://schemas.openxmlformats.org/officeDocument/2006/relationships/hyperlink" Target="http://www.phosphosite.org/proteinAction.do?id=10631&amp;showAllSites=true" TargetMode="External"/><Relationship Id="rId703" Type="http://schemas.openxmlformats.org/officeDocument/2006/relationships/hyperlink" Target="http://www.phosphosite.org/proteinAction.do?id=1378&amp;showAllSites=true" TargetMode="External"/><Relationship Id="rId745" Type="http://schemas.openxmlformats.org/officeDocument/2006/relationships/hyperlink" Target="http://www.cellsignal.com/products/6235.html" TargetMode="External"/><Relationship Id="rId910" Type="http://schemas.openxmlformats.org/officeDocument/2006/relationships/hyperlink" Target="http://www.phosphosite.org/proteinAction.do?id=2816400&amp;showAllSites=true" TargetMode="External"/><Relationship Id="rId952" Type="http://schemas.openxmlformats.org/officeDocument/2006/relationships/hyperlink" Target="http://www.phosphosite.org/proteinAction.do?id=11652&amp;showAllSites=true" TargetMode="External"/><Relationship Id="rId81" Type="http://schemas.openxmlformats.org/officeDocument/2006/relationships/hyperlink" Target="http://www.phosphosite.org/proteinAction.do?id=4396&amp;showAllSites=true" TargetMode="External"/><Relationship Id="rId135" Type="http://schemas.openxmlformats.org/officeDocument/2006/relationships/hyperlink" Target="http://www.phosphosite.org/proteinAction.do?id=5635&amp;showAllSites=true" TargetMode="External"/><Relationship Id="rId177" Type="http://schemas.openxmlformats.org/officeDocument/2006/relationships/hyperlink" Target="http://www.phosphosite.org/proteinAction.do?id=2137703&amp;showAllSites=true" TargetMode="External"/><Relationship Id="rId342" Type="http://schemas.openxmlformats.org/officeDocument/2006/relationships/hyperlink" Target="http://www.cellsignal.com/products/8647.html" TargetMode="External"/><Relationship Id="rId384" Type="http://schemas.openxmlformats.org/officeDocument/2006/relationships/hyperlink" Target="http://www.cellsignal.com/products/8135.html" TargetMode="External"/><Relationship Id="rId591" Type="http://schemas.openxmlformats.org/officeDocument/2006/relationships/hyperlink" Target="http://www.phosphosite.org/proteinAction.do?id=15789&amp;showAllSites=true" TargetMode="External"/><Relationship Id="rId605" Type="http://schemas.openxmlformats.org/officeDocument/2006/relationships/hyperlink" Target="http://www.cellsignal.com/products/3188.html" TargetMode="External"/><Relationship Id="rId787" Type="http://schemas.openxmlformats.org/officeDocument/2006/relationships/hyperlink" Target="http://www.phosphosite.org/proteinAction.do?id=11665&amp;showAllSites=true" TargetMode="External"/><Relationship Id="rId812" Type="http://schemas.openxmlformats.org/officeDocument/2006/relationships/hyperlink" Target="http://www.phosphosite.org/proteinAction.do?id=15751&amp;showAllSites=true" TargetMode="External"/><Relationship Id="rId994" Type="http://schemas.openxmlformats.org/officeDocument/2006/relationships/hyperlink" Target="http://www.cellsignal.com/products/3586.html" TargetMode="External"/><Relationship Id="rId1028" Type="http://schemas.openxmlformats.org/officeDocument/2006/relationships/hyperlink" Target="http://www.phosphosite.org/proteinAction.do?id=13422201&amp;showAllSites=true" TargetMode="External"/><Relationship Id="rId202" Type="http://schemas.openxmlformats.org/officeDocument/2006/relationships/hyperlink" Target="http://www.cellsignal.com/products/2759.html" TargetMode="External"/><Relationship Id="rId244" Type="http://schemas.openxmlformats.org/officeDocument/2006/relationships/hyperlink" Target="http://www.cellsignal.com/products/5670.html" TargetMode="External"/><Relationship Id="rId647" Type="http://schemas.openxmlformats.org/officeDocument/2006/relationships/hyperlink" Target="http://www.phosphosite.org/proteinAction.do?id=10223&amp;showAllSites=true" TargetMode="External"/><Relationship Id="rId689" Type="http://schemas.openxmlformats.org/officeDocument/2006/relationships/hyperlink" Target="http://www.cellsignal.com/products/5839.html" TargetMode="External"/><Relationship Id="rId854" Type="http://schemas.openxmlformats.org/officeDocument/2006/relationships/hyperlink" Target="http://www.phosphosite.org/proteinAction.do?id=6794&amp;showAllSites=true" TargetMode="External"/><Relationship Id="rId896" Type="http://schemas.openxmlformats.org/officeDocument/2006/relationships/hyperlink" Target="http://www.cellsignal.com/products/4661.html" TargetMode="External"/><Relationship Id="rId1081" Type="http://schemas.openxmlformats.org/officeDocument/2006/relationships/hyperlink" Target="http://www.phosphosite.org/proteinAction.do?id=15516300&amp;showAllSites=true" TargetMode="External"/><Relationship Id="rId39" Type="http://schemas.openxmlformats.org/officeDocument/2006/relationships/hyperlink" Target="http://www.phosphosite.org/proteinAction.do?id=3579&amp;showAllSites=true" TargetMode="External"/><Relationship Id="rId286" Type="http://schemas.openxmlformats.org/officeDocument/2006/relationships/hyperlink" Target="http://www.cellsignal.com/products/9072.html" TargetMode="External"/><Relationship Id="rId451" Type="http://schemas.openxmlformats.org/officeDocument/2006/relationships/hyperlink" Target="http://www.phosphosite.org/proteinAction.do?id=1533&amp;showAllSites=true" TargetMode="External"/><Relationship Id="rId493" Type="http://schemas.openxmlformats.org/officeDocument/2006/relationships/hyperlink" Target="http://www.phosphosite.org/proteinAction.do?id=21243&amp;showAllSites=true" TargetMode="External"/><Relationship Id="rId507" Type="http://schemas.openxmlformats.org/officeDocument/2006/relationships/hyperlink" Target="http://www.phosphosite.org/proteinAction.do?id=7967&amp;showAllSites=true" TargetMode="External"/><Relationship Id="rId549" Type="http://schemas.openxmlformats.org/officeDocument/2006/relationships/hyperlink" Target="http://www.phosphosite.org/proteinAction.do?id=7998&amp;showAllSites=true" TargetMode="External"/><Relationship Id="rId714" Type="http://schemas.openxmlformats.org/officeDocument/2006/relationships/hyperlink" Target="http://www.phosphosite.org/proteinAction.do?id=8079&amp;showAllSites=true" TargetMode="External"/><Relationship Id="rId756" Type="http://schemas.openxmlformats.org/officeDocument/2006/relationships/hyperlink" Target="http://www.cellsignal.com/products/2746.html" TargetMode="External"/><Relationship Id="rId921" Type="http://schemas.openxmlformats.org/officeDocument/2006/relationships/hyperlink" Target="http://www.cellsignal.com/products/8744.html" TargetMode="External"/><Relationship Id="rId50" Type="http://schemas.openxmlformats.org/officeDocument/2006/relationships/hyperlink" Target="http://www.phosphosite.org/proteinAction.do?id=3488&amp;showAllSites=true" TargetMode="External"/><Relationship Id="rId104" Type="http://schemas.openxmlformats.org/officeDocument/2006/relationships/hyperlink" Target="http://www.phosphosite.org/proteinAction.do?id=3088&amp;showAllSites=true" TargetMode="External"/><Relationship Id="rId146" Type="http://schemas.openxmlformats.org/officeDocument/2006/relationships/hyperlink" Target="http://www.cellsignal.com/products/8967.html" TargetMode="External"/><Relationship Id="rId188" Type="http://schemas.openxmlformats.org/officeDocument/2006/relationships/hyperlink" Target="http://www.cellsignal.com/products/3558.html" TargetMode="External"/><Relationship Id="rId311" Type="http://schemas.openxmlformats.org/officeDocument/2006/relationships/hyperlink" Target="http://www.cellsignal.com/products/2571.html" TargetMode="External"/><Relationship Id="rId353" Type="http://schemas.openxmlformats.org/officeDocument/2006/relationships/hyperlink" Target="http://www.cellsignal.com/products/2594.html" TargetMode="External"/><Relationship Id="rId395" Type="http://schemas.openxmlformats.org/officeDocument/2006/relationships/hyperlink" Target="http://www.phosphosite.org/proteinAction.do?id=5179&amp;showAllSites=true" TargetMode="External"/><Relationship Id="rId409" Type="http://schemas.openxmlformats.org/officeDocument/2006/relationships/hyperlink" Target="http://www.cellsignal.com/products/9437.html" TargetMode="External"/><Relationship Id="rId560" Type="http://schemas.openxmlformats.org/officeDocument/2006/relationships/hyperlink" Target="http://www.phosphosite.org/proteinAction.do?id=7284&amp;showAllSites=true" TargetMode="External"/><Relationship Id="rId798" Type="http://schemas.openxmlformats.org/officeDocument/2006/relationships/hyperlink" Target="http://www.phosphosite.org/proteinAction.do?id=15508&amp;showAllSites=true" TargetMode="External"/><Relationship Id="rId963" Type="http://schemas.openxmlformats.org/officeDocument/2006/relationships/hyperlink" Target="http://www.phosphosite.org/proteinAction.do?id=11254&amp;showAllSites=true" TargetMode="External"/><Relationship Id="rId1039" Type="http://schemas.openxmlformats.org/officeDocument/2006/relationships/hyperlink" Target="http://www.phosphosite.org/proteinAction.do?id=9602&amp;showAllSites=true" TargetMode="External"/><Relationship Id="rId92" Type="http://schemas.openxmlformats.org/officeDocument/2006/relationships/hyperlink" Target="http://www.phosphosite.org/proteinAction.do?id=1161&amp;showAllSites=true" TargetMode="External"/><Relationship Id="rId213" Type="http://schemas.openxmlformats.org/officeDocument/2006/relationships/hyperlink" Target="http://www.phosphosite.org/proteinAction.do?id=9388&amp;showAllSites=true" TargetMode="External"/><Relationship Id="rId420" Type="http://schemas.openxmlformats.org/officeDocument/2006/relationships/hyperlink" Target="http://www.cellsignal.com/products/12335.html" TargetMode="External"/><Relationship Id="rId616" Type="http://schemas.openxmlformats.org/officeDocument/2006/relationships/hyperlink" Target="http://www.phosphosite.org/proteinAction.do?id=9221&amp;showAllSites=true" TargetMode="External"/><Relationship Id="rId658" Type="http://schemas.openxmlformats.org/officeDocument/2006/relationships/hyperlink" Target="http://www.cellsignal.com/products/11908.html" TargetMode="External"/><Relationship Id="rId823" Type="http://schemas.openxmlformats.org/officeDocument/2006/relationships/hyperlink" Target="http://www.phosphosite.org/proteinAction.do?id=9526&amp;showAllSites=true" TargetMode="External"/><Relationship Id="rId865" Type="http://schemas.openxmlformats.org/officeDocument/2006/relationships/hyperlink" Target="http://www.phosphosite.org/proteinAction.do?id=15792&amp;showAllSites=true" TargetMode="External"/><Relationship Id="rId1050" Type="http://schemas.openxmlformats.org/officeDocument/2006/relationships/hyperlink" Target="http://www.phosphosite.org/proteinAction.do?id=944201&amp;showAllSites=true" TargetMode="External"/><Relationship Id="rId255" Type="http://schemas.openxmlformats.org/officeDocument/2006/relationships/hyperlink" Target="http://www.cellsignal.com/products/2718.html" TargetMode="External"/><Relationship Id="rId297" Type="http://schemas.openxmlformats.org/officeDocument/2006/relationships/hyperlink" Target="http://www.phosphosite.org/proteinAction.do?id=8393&amp;showAllSites=true" TargetMode="External"/><Relationship Id="rId462" Type="http://schemas.openxmlformats.org/officeDocument/2006/relationships/hyperlink" Target="http://www.phosphosite.org/proteinAction.do?id=5407&amp;showAllSites=true" TargetMode="External"/><Relationship Id="rId518" Type="http://schemas.openxmlformats.org/officeDocument/2006/relationships/hyperlink" Target="http://www.phosphosite.org/proteinAction.do?id=19749&amp;showAllSites=true" TargetMode="External"/><Relationship Id="rId725" Type="http://schemas.openxmlformats.org/officeDocument/2006/relationships/hyperlink" Target="http://www.phosphosite.org/proteinAction.do?id=9233&amp;showAllSites=true" TargetMode="External"/><Relationship Id="rId932" Type="http://schemas.openxmlformats.org/officeDocument/2006/relationships/hyperlink" Target="http://www.phosphosite.org/proteinAction.do?id=16084&amp;showAllSites=true" TargetMode="External"/><Relationship Id="rId1092" Type="http://schemas.openxmlformats.org/officeDocument/2006/relationships/hyperlink" Target="http://www.phosphosite.org/proteinAction.do?id=15074&amp;showAllSites=true" TargetMode="External"/><Relationship Id="rId1106" Type="http://schemas.openxmlformats.org/officeDocument/2006/relationships/hyperlink" Target="http://www.phosphosite.org/proteinAction.do?id=12203&amp;showAllSites=true" TargetMode="External"/><Relationship Id="rId115" Type="http://schemas.openxmlformats.org/officeDocument/2006/relationships/hyperlink" Target="http://www.phosphosite.org/proteinAction.do?id=3870&amp;showAllSites=true" TargetMode="External"/><Relationship Id="rId157" Type="http://schemas.openxmlformats.org/officeDocument/2006/relationships/hyperlink" Target="http://www.phosphosite.org/proteinAction.do?id=22530&amp;showAllSites=true" TargetMode="External"/><Relationship Id="rId322" Type="http://schemas.openxmlformats.org/officeDocument/2006/relationships/hyperlink" Target="http://www.cellsignal.com/products/12364.html" TargetMode="External"/><Relationship Id="rId364" Type="http://schemas.openxmlformats.org/officeDocument/2006/relationships/hyperlink" Target="http://www.cellsignal.com/products/8135.html" TargetMode="External"/><Relationship Id="rId767" Type="http://schemas.openxmlformats.org/officeDocument/2006/relationships/hyperlink" Target="http://www.phosphosite.org/proteinAction.do?id=8696&amp;showAllSites=true" TargetMode="External"/><Relationship Id="rId974" Type="http://schemas.openxmlformats.org/officeDocument/2006/relationships/hyperlink" Target="http://www.phosphosite.org/proteinAction.do?id=11674&amp;showAllSites=true" TargetMode="External"/><Relationship Id="rId1008" Type="http://schemas.openxmlformats.org/officeDocument/2006/relationships/hyperlink" Target="http://www.phosphosite.org/proteinAction.do?id=11037&amp;showAllSites=true" TargetMode="External"/><Relationship Id="rId61" Type="http://schemas.openxmlformats.org/officeDocument/2006/relationships/hyperlink" Target="http://www.cellsignal.com/products/3318.html" TargetMode="External"/><Relationship Id="rId199" Type="http://schemas.openxmlformats.org/officeDocument/2006/relationships/hyperlink" Target="http://www.phosphosite.org/proteinAction.do?id=2070&amp;showAllSites=true" TargetMode="External"/><Relationship Id="rId571" Type="http://schemas.openxmlformats.org/officeDocument/2006/relationships/hyperlink" Target="http://www.phosphosite.org/proteinAction.do?id=7697&amp;showAllSites=true" TargetMode="External"/><Relationship Id="rId627" Type="http://schemas.openxmlformats.org/officeDocument/2006/relationships/hyperlink" Target="http://www.cellsignal.com/products/9828.html" TargetMode="External"/><Relationship Id="rId669" Type="http://schemas.openxmlformats.org/officeDocument/2006/relationships/hyperlink" Target="http://www.phosphosite.org/proteinAction.do?id=19739&amp;showAllSites=true" TargetMode="External"/><Relationship Id="rId834" Type="http://schemas.openxmlformats.org/officeDocument/2006/relationships/hyperlink" Target="http://www.phosphosite.org/proteinAction.do?id=2143&amp;showAllSites=true" TargetMode="External"/><Relationship Id="rId876" Type="http://schemas.openxmlformats.org/officeDocument/2006/relationships/hyperlink" Target="http://www.phosphosite.org/proteinAction.do?id=8105&amp;showAllSites=true" TargetMode="External"/><Relationship Id="rId19" Type="http://schemas.openxmlformats.org/officeDocument/2006/relationships/hyperlink" Target="http://www.phosphosite.org/proteinAction.do?id=9911&amp;showAllSites=true" TargetMode="External"/><Relationship Id="rId224" Type="http://schemas.openxmlformats.org/officeDocument/2006/relationships/hyperlink" Target="http://www.phosphosite.org/proteinAction.do?id=4250&amp;showAllSites=true" TargetMode="External"/><Relationship Id="rId266" Type="http://schemas.openxmlformats.org/officeDocument/2006/relationships/hyperlink" Target="http://www.phosphosite.org/proteinAction.do?id=5384&amp;showAllSites=true" TargetMode="External"/><Relationship Id="rId431" Type="http://schemas.openxmlformats.org/officeDocument/2006/relationships/hyperlink" Target="http://www.phosphosite.org/proteinAction.do?id=2157&amp;showAllSites=true" TargetMode="External"/><Relationship Id="rId473" Type="http://schemas.openxmlformats.org/officeDocument/2006/relationships/hyperlink" Target="http://www.phosphosite.org/proteinAction.do?id=9664&amp;showAllSites=true" TargetMode="External"/><Relationship Id="rId529" Type="http://schemas.openxmlformats.org/officeDocument/2006/relationships/hyperlink" Target="http://www.phosphosite.org/proteinAction.do?id=4368&amp;showAllSites=true" TargetMode="External"/><Relationship Id="rId680" Type="http://schemas.openxmlformats.org/officeDocument/2006/relationships/hyperlink" Target="http://www.phosphosite.org/proteinAction.do?id=1784&amp;showAllSites=true" TargetMode="External"/><Relationship Id="rId736" Type="http://schemas.openxmlformats.org/officeDocument/2006/relationships/hyperlink" Target="http://www.phosphosite.org/proteinAction.do?id=1453&amp;showAllSites=true" TargetMode="External"/><Relationship Id="rId901" Type="http://schemas.openxmlformats.org/officeDocument/2006/relationships/hyperlink" Target="http://www.phosphosite.org/proteinAction.do?id=9588&amp;showAllSites=true" TargetMode="External"/><Relationship Id="rId1061" Type="http://schemas.openxmlformats.org/officeDocument/2006/relationships/hyperlink" Target="http://www.phosphosite.org/proteinAction.do?id=3250302&amp;showAllSites=true" TargetMode="External"/><Relationship Id="rId1117" Type="http://schemas.openxmlformats.org/officeDocument/2006/relationships/hyperlink" Target="http://www.cellsignal.com/products/3926.html" TargetMode="External"/><Relationship Id="rId30" Type="http://schemas.openxmlformats.org/officeDocument/2006/relationships/hyperlink" Target="http://www.cellsignal.com/products/5522.html" TargetMode="External"/><Relationship Id="rId126" Type="http://schemas.openxmlformats.org/officeDocument/2006/relationships/hyperlink" Target="http://www.cellsignal.com/products/9099.html" TargetMode="External"/><Relationship Id="rId168" Type="http://schemas.openxmlformats.org/officeDocument/2006/relationships/hyperlink" Target="http://www.phosphosite.org/proteinAction.do?id=7745&amp;showAllSites=true" TargetMode="External"/><Relationship Id="rId333" Type="http://schemas.openxmlformats.org/officeDocument/2006/relationships/hyperlink" Target="http://www.cellsignal.com/products/2592.html" TargetMode="External"/><Relationship Id="rId540" Type="http://schemas.openxmlformats.org/officeDocument/2006/relationships/hyperlink" Target="http://www.phosphosite.org/proteinAction.do?id=10631&amp;showAllSites=true" TargetMode="External"/><Relationship Id="rId778" Type="http://schemas.openxmlformats.org/officeDocument/2006/relationships/hyperlink" Target="http://www.cellsignal.com/products/3542.html" TargetMode="External"/><Relationship Id="rId943" Type="http://schemas.openxmlformats.org/officeDocument/2006/relationships/hyperlink" Target="http://www.phosphosite.org/proteinAction.do?id=10980&amp;showAllSites=true" TargetMode="External"/><Relationship Id="rId985" Type="http://schemas.openxmlformats.org/officeDocument/2006/relationships/hyperlink" Target="http://www.phosphosite.org/proteinAction.do?id=8693&amp;showAllSites=true" TargetMode="External"/><Relationship Id="rId1019" Type="http://schemas.openxmlformats.org/officeDocument/2006/relationships/hyperlink" Target="http://www.phosphosite.org/proteinAction.do?id=4859007&amp;showAllSites=true" TargetMode="External"/><Relationship Id="rId72" Type="http://schemas.openxmlformats.org/officeDocument/2006/relationships/hyperlink" Target="http://www.cellsignal.com/products/6267.html" TargetMode="External"/><Relationship Id="rId375" Type="http://schemas.openxmlformats.org/officeDocument/2006/relationships/hyperlink" Target="http://www.phosphosite.org/proteinAction.do?id=8391&amp;showAllSites=true" TargetMode="External"/><Relationship Id="rId582" Type="http://schemas.openxmlformats.org/officeDocument/2006/relationships/hyperlink" Target="http://www.phosphosite.org/proteinAction.do?id=9181&amp;showAllSites=true" TargetMode="External"/><Relationship Id="rId638" Type="http://schemas.openxmlformats.org/officeDocument/2006/relationships/hyperlink" Target="http://www.phosphosite.org/proteinAction.do?id=9550&amp;showAllSites=true" TargetMode="External"/><Relationship Id="rId803" Type="http://schemas.openxmlformats.org/officeDocument/2006/relationships/hyperlink" Target="http://www.phosphosite.org/proteinAction.do?id=1171414&amp;showAllSites=true" TargetMode="External"/><Relationship Id="rId845" Type="http://schemas.openxmlformats.org/officeDocument/2006/relationships/hyperlink" Target="http://www.cellsignal.com/products/5307.html" TargetMode="External"/><Relationship Id="rId1030" Type="http://schemas.openxmlformats.org/officeDocument/2006/relationships/hyperlink" Target="http://www.phosphosite.org/proteinAction.do?id=1574&amp;showAllSites=true" TargetMode="External"/><Relationship Id="rId3" Type="http://schemas.openxmlformats.org/officeDocument/2006/relationships/hyperlink" Target="http://www.phosphosite.org/proteinAction.do?id=24583&amp;showAllSites=true" TargetMode="External"/><Relationship Id="rId235" Type="http://schemas.openxmlformats.org/officeDocument/2006/relationships/hyperlink" Target="http://www.cellsignal.com/products/4869.html" TargetMode="External"/><Relationship Id="rId277" Type="http://schemas.openxmlformats.org/officeDocument/2006/relationships/hyperlink" Target="http://www.cellsignal.com/products/5435.html" TargetMode="External"/><Relationship Id="rId400" Type="http://schemas.openxmlformats.org/officeDocument/2006/relationships/hyperlink" Target="http://www.phosphosite.org/proteinAction.do?id=6935&amp;showAllSites=true" TargetMode="External"/><Relationship Id="rId442" Type="http://schemas.openxmlformats.org/officeDocument/2006/relationships/hyperlink" Target="http://www.phosphosite.org/proteinAction.do?id=8692&amp;showAllSites=true" TargetMode="External"/><Relationship Id="rId484" Type="http://schemas.openxmlformats.org/officeDocument/2006/relationships/hyperlink" Target="http://www.phosphosite.org/proteinAction.do?id=10613&amp;showAllSites=true" TargetMode="External"/><Relationship Id="rId705" Type="http://schemas.openxmlformats.org/officeDocument/2006/relationships/hyperlink" Target="http://www.phosphosite.org/proteinAction.do?id=7742&amp;showAllSites=true" TargetMode="External"/><Relationship Id="rId887" Type="http://schemas.openxmlformats.org/officeDocument/2006/relationships/hyperlink" Target="http://www.phosphosite.org/proteinAction.do?id=14806&amp;showAllSites=true" TargetMode="External"/><Relationship Id="rId1072" Type="http://schemas.openxmlformats.org/officeDocument/2006/relationships/hyperlink" Target="http://www.cellsignal.com/products/9675.html" TargetMode="External"/><Relationship Id="rId1128" Type="http://schemas.openxmlformats.org/officeDocument/2006/relationships/hyperlink" Target="http://www.phosphosite.org/proteinAction.do?id=4289&amp;showAllSites=true" TargetMode="External"/><Relationship Id="rId137" Type="http://schemas.openxmlformats.org/officeDocument/2006/relationships/hyperlink" Target="http://www.phosphosite.org/proteinAction.do?id=3340&amp;showAllSites=true" TargetMode="External"/><Relationship Id="rId302" Type="http://schemas.openxmlformats.org/officeDocument/2006/relationships/hyperlink" Target="http://www.cellsignal.com/products/9072.html" TargetMode="External"/><Relationship Id="rId344" Type="http://schemas.openxmlformats.org/officeDocument/2006/relationships/hyperlink" Target="http://www.cellsignal.com/products/2592.html" TargetMode="External"/><Relationship Id="rId691" Type="http://schemas.openxmlformats.org/officeDocument/2006/relationships/hyperlink" Target="http://www.phosphosite.org/proteinAction.do?id=10597&amp;showAllSites=true" TargetMode="External"/><Relationship Id="rId747" Type="http://schemas.openxmlformats.org/officeDocument/2006/relationships/hyperlink" Target="http://www.phosphosite.org/proteinAction.do?id=1639&amp;showAllSites=true" TargetMode="External"/><Relationship Id="rId789" Type="http://schemas.openxmlformats.org/officeDocument/2006/relationships/hyperlink" Target="http://www.phosphosite.org/proteinAction.do?id=2129402&amp;showAllSites=true" TargetMode="External"/><Relationship Id="rId912" Type="http://schemas.openxmlformats.org/officeDocument/2006/relationships/hyperlink" Target="http://www.phosphosite.org/proteinAction.do?id=6197637&amp;showAllSites=true" TargetMode="External"/><Relationship Id="rId954" Type="http://schemas.openxmlformats.org/officeDocument/2006/relationships/hyperlink" Target="http://www.cellsignal.com/products/12141.html" TargetMode="External"/><Relationship Id="rId996" Type="http://schemas.openxmlformats.org/officeDocument/2006/relationships/hyperlink" Target="http://www.cellsignal.com/products/3586.html" TargetMode="External"/><Relationship Id="rId41" Type="http://schemas.openxmlformats.org/officeDocument/2006/relationships/hyperlink" Target="http://www.phosphosite.org/proteinAction.do?id=3579&amp;showAllSites=true" TargetMode="External"/><Relationship Id="rId83" Type="http://schemas.openxmlformats.org/officeDocument/2006/relationships/hyperlink" Target="http://www.phosphosite.org/proteinAction.do?id=10305&amp;showAllSites=true" TargetMode="External"/><Relationship Id="rId179" Type="http://schemas.openxmlformats.org/officeDocument/2006/relationships/hyperlink" Target="http://www.cellsignal.com/products/5666.html" TargetMode="External"/><Relationship Id="rId386" Type="http://schemas.openxmlformats.org/officeDocument/2006/relationships/hyperlink" Target="http://www.cellsignal.com/products/8135.html" TargetMode="External"/><Relationship Id="rId551" Type="http://schemas.openxmlformats.org/officeDocument/2006/relationships/hyperlink" Target="http://www.phosphosite.org/proteinAction.do?id=12251&amp;showAllSites=true" TargetMode="External"/><Relationship Id="rId593" Type="http://schemas.openxmlformats.org/officeDocument/2006/relationships/hyperlink" Target="http://www.phosphosite.org/proteinAction.do?id=15730&amp;showAllSites=true" TargetMode="External"/><Relationship Id="rId607" Type="http://schemas.openxmlformats.org/officeDocument/2006/relationships/hyperlink" Target="http://www.phosphosite.org/proteinAction.do?id=15738&amp;showAllSites=true" TargetMode="External"/><Relationship Id="rId649" Type="http://schemas.openxmlformats.org/officeDocument/2006/relationships/hyperlink" Target="http://www.cellsignal.com/products/2024.html" TargetMode="External"/><Relationship Id="rId814" Type="http://schemas.openxmlformats.org/officeDocument/2006/relationships/hyperlink" Target="http://www.phosphosite.org/proteinAction.do?id=15751&amp;showAllSites=true" TargetMode="External"/><Relationship Id="rId856" Type="http://schemas.openxmlformats.org/officeDocument/2006/relationships/hyperlink" Target="http://www.phosphosite.org/proteinAction.do?id=9183&amp;showAllSites=true" TargetMode="External"/><Relationship Id="rId190" Type="http://schemas.openxmlformats.org/officeDocument/2006/relationships/hyperlink" Target="http://www.cellsignal.com/products/3582.html" TargetMode="External"/><Relationship Id="rId204" Type="http://schemas.openxmlformats.org/officeDocument/2006/relationships/hyperlink" Target="http://www.phosphosite.org/proteinAction.do?id=14622&amp;showAllSites=true" TargetMode="External"/><Relationship Id="rId246" Type="http://schemas.openxmlformats.org/officeDocument/2006/relationships/hyperlink" Target="http://www.phosphosite.org/proteinAction.do?id=9197&amp;showAllSites=true" TargetMode="External"/><Relationship Id="rId288" Type="http://schemas.openxmlformats.org/officeDocument/2006/relationships/hyperlink" Target="http://www.cellsignal.com/products/8135.html" TargetMode="External"/><Relationship Id="rId411" Type="http://schemas.openxmlformats.org/officeDocument/2006/relationships/hyperlink" Target="http://www.phosphosite.org/proteinAction.do?id=15928&amp;showAllSites=true" TargetMode="External"/><Relationship Id="rId453" Type="http://schemas.openxmlformats.org/officeDocument/2006/relationships/hyperlink" Target="http://www.phosphosite.org/proteinAction.do?id=9173&amp;showAllSites=true" TargetMode="External"/><Relationship Id="rId509" Type="http://schemas.openxmlformats.org/officeDocument/2006/relationships/hyperlink" Target="http://www.cellsignal.com/products/3180.html" TargetMode="External"/><Relationship Id="rId660" Type="http://schemas.openxmlformats.org/officeDocument/2006/relationships/hyperlink" Target="http://www.cellsignal.com/products/11908.html" TargetMode="External"/><Relationship Id="rId898" Type="http://schemas.openxmlformats.org/officeDocument/2006/relationships/hyperlink" Target="http://www.cellsignal.com/products/9412.html" TargetMode="External"/><Relationship Id="rId1041" Type="http://schemas.openxmlformats.org/officeDocument/2006/relationships/hyperlink" Target="http://www.cellsignal.com/products/4890.html" TargetMode="External"/><Relationship Id="rId1083" Type="http://schemas.openxmlformats.org/officeDocument/2006/relationships/hyperlink" Target="http://www.phosphosite.org/proteinAction.do?id=2322340&amp;showAllSites=true" TargetMode="External"/><Relationship Id="rId106" Type="http://schemas.openxmlformats.org/officeDocument/2006/relationships/hyperlink" Target="http://www.phosphosite.org/proteinAction.do?id=13197&amp;showAllSites=true" TargetMode="External"/><Relationship Id="rId313" Type="http://schemas.openxmlformats.org/officeDocument/2006/relationships/hyperlink" Target="http://www.cellsignal.com/products/12364.html" TargetMode="External"/><Relationship Id="rId495" Type="http://schemas.openxmlformats.org/officeDocument/2006/relationships/hyperlink" Target="http://www.phosphosite.org/proteinAction.do?id=22643&amp;showAllSites=true" TargetMode="External"/><Relationship Id="rId716" Type="http://schemas.openxmlformats.org/officeDocument/2006/relationships/hyperlink" Target="http://www.phosphosite.org/proteinAction.do?id=8079&amp;showAllSites=true" TargetMode="External"/><Relationship Id="rId758" Type="http://schemas.openxmlformats.org/officeDocument/2006/relationships/hyperlink" Target="http://www.phosphosite.org/proteinAction.do?id=16909&amp;showAllSites=true" TargetMode="External"/><Relationship Id="rId923" Type="http://schemas.openxmlformats.org/officeDocument/2006/relationships/hyperlink" Target="http://www.phosphosite.org/proteinAction.do?id=4486&amp;showAllSites=true" TargetMode="External"/><Relationship Id="rId965" Type="http://schemas.openxmlformats.org/officeDocument/2006/relationships/hyperlink" Target="http://www.phosphosite.org/proteinAction.do?id=11421&amp;showAllSites=true" TargetMode="External"/><Relationship Id="rId10" Type="http://schemas.openxmlformats.org/officeDocument/2006/relationships/hyperlink" Target="http://www.phosphosite.org/proteinAction.do?id=7968&amp;showAllSites=true" TargetMode="External"/><Relationship Id="rId52" Type="http://schemas.openxmlformats.org/officeDocument/2006/relationships/hyperlink" Target="http://www.phosphosite.org/proteinAction.do?id=4810&amp;showAllSites=true" TargetMode="External"/><Relationship Id="rId94" Type="http://schemas.openxmlformats.org/officeDocument/2006/relationships/hyperlink" Target="http://www.phosphosite.org/proteinAction.do?id=1161&amp;showAllSites=true" TargetMode="External"/><Relationship Id="rId148" Type="http://schemas.openxmlformats.org/officeDocument/2006/relationships/hyperlink" Target="http://www.phosphosite.org/proteinAction.do?id=8331&amp;showAllSites=true" TargetMode="External"/><Relationship Id="rId355" Type="http://schemas.openxmlformats.org/officeDocument/2006/relationships/hyperlink" Target="http://www.cellsignal.com/products/2592.html" TargetMode="External"/><Relationship Id="rId397" Type="http://schemas.openxmlformats.org/officeDocument/2006/relationships/hyperlink" Target="http://www.phosphosite.org/proteinAction.do?id=5179&amp;showAllSites=true" TargetMode="External"/><Relationship Id="rId520" Type="http://schemas.openxmlformats.org/officeDocument/2006/relationships/hyperlink" Target="http://www.cellsignal.com/products/5174.html" TargetMode="External"/><Relationship Id="rId562" Type="http://schemas.openxmlformats.org/officeDocument/2006/relationships/hyperlink" Target="http://www.phosphosite.org/proteinAction.do?id=9223&amp;showAllSites=true" TargetMode="External"/><Relationship Id="rId618" Type="http://schemas.openxmlformats.org/officeDocument/2006/relationships/hyperlink" Target="http://www.phosphosite.org/proteinAction.do?id=19767&amp;showAllSites=true" TargetMode="External"/><Relationship Id="rId825" Type="http://schemas.openxmlformats.org/officeDocument/2006/relationships/hyperlink" Target="http://www.phosphosite.org/proteinAction.do?id=15764&amp;showAllSites=true" TargetMode="External"/><Relationship Id="rId215" Type="http://schemas.openxmlformats.org/officeDocument/2006/relationships/hyperlink" Target="http://www.phosphosite.org/proteinAction.do?id=16140&amp;showAllSites=true" TargetMode="External"/><Relationship Id="rId257" Type="http://schemas.openxmlformats.org/officeDocument/2006/relationships/hyperlink" Target="http://www.phosphosite.org/proteinAction.do?id=9917204&amp;showAllSites=true" TargetMode="External"/><Relationship Id="rId422" Type="http://schemas.openxmlformats.org/officeDocument/2006/relationships/hyperlink" Target="http://www.phosphosite.org/proteinAction.do?id=19125&amp;showAllSites=true" TargetMode="External"/><Relationship Id="rId464" Type="http://schemas.openxmlformats.org/officeDocument/2006/relationships/hyperlink" Target="http://www.cellsignal.com/products/11954.html" TargetMode="External"/><Relationship Id="rId867" Type="http://schemas.openxmlformats.org/officeDocument/2006/relationships/hyperlink" Target="http://www.phosphosite.org/proteinAction.do?id=3642637&amp;showAllSites=true" TargetMode="External"/><Relationship Id="rId1010" Type="http://schemas.openxmlformats.org/officeDocument/2006/relationships/hyperlink" Target="http://www.phosphosite.org/proteinAction.do?id=9227&amp;showAllSites=true" TargetMode="External"/><Relationship Id="rId1052" Type="http://schemas.openxmlformats.org/officeDocument/2006/relationships/hyperlink" Target="http://www.phosphosite.org/proteinAction.do?id=22944&amp;showAllSites=true" TargetMode="External"/><Relationship Id="rId1094" Type="http://schemas.openxmlformats.org/officeDocument/2006/relationships/hyperlink" Target="http://www.phosphosite.org/proteinAction.do?id=1303940&amp;showAllSites=true" TargetMode="External"/><Relationship Id="rId1108" Type="http://schemas.openxmlformats.org/officeDocument/2006/relationships/hyperlink" Target="http://www.ncbi.nlm.nih.gov/entrez/query.fcgi?db=protein&amp;cmd=search&amp;term=NP_808276" TargetMode="External"/><Relationship Id="rId299" Type="http://schemas.openxmlformats.org/officeDocument/2006/relationships/hyperlink" Target="http://www.cellsignal.com/products/9083.html" TargetMode="External"/><Relationship Id="rId727" Type="http://schemas.openxmlformats.org/officeDocument/2006/relationships/hyperlink" Target="http://www.phosphosite.org/proteinAction.do?id=5142397&amp;showAllSites=true" TargetMode="External"/><Relationship Id="rId934" Type="http://schemas.openxmlformats.org/officeDocument/2006/relationships/hyperlink" Target="http://www.phosphosite.org/proteinAction.do?id=2613075&amp;showAllSites=true" TargetMode="External"/><Relationship Id="rId63" Type="http://schemas.openxmlformats.org/officeDocument/2006/relationships/hyperlink" Target="http://www.cellsignal.com/products/6267.html" TargetMode="External"/><Relationship Id="rId159" Type="http://schemas.openxmlformats.org/officeDocument/2006/relationships/hyperlink" Target="http://www.phosphosite.org/proteinAction.do?id=5047&amp;showAllSites=true" TargetMode="External"/><Relationship Id="rId366" Type="http://schemas.openxmlformats.org/officeDocument/2006/relationships/hyperlink" Target="http://www.phosphosite.org/proteinAction.do?id=8391&amp;showAllSites=true" TargetMode="External"/><Relationship Id="rId573" Type="http://schemas.openxmlformats.org/officeDocument/2006/relationships/hyperlink" Target="http://www.cellsignal.com/products/6296.html" TargetMode="External"/><Relationship Id="rId780" Type="http://schemas.openxmlformats.org/officeDocument/2006/relationships/hyperlink" Target="http://www.cellsignal.com/products/3542.html" TargetMode="External"/><Relationship Id="rId226" Type="http://schemas.openxmlformats.org/officeDocument/2006/relationships/hyperlink" Target="http://www.phosphosite.org/proteinAction.do?id=9558&amp;showAllSites=true" TargetMode="External"/><Relationship Id="rId433" Type="http://schemas.openxmlformats.org/officeDocument/2006/relationships/hyperlink" Target="http://www.phosphosite.org/proteinAction.do?id=2157&amp;showAllSites=true" TargetMode="External"/><Relationship Id="rId878" Type="http://schemas.openxmlformats.org/officeDocument/2006/relationships/hyperlink" Target="http://www.phosphosite.org/proteinAction.do?id=8105&amp;showAllSites=true" TargetMode="External"/><Relationship Id="rId1063" Type="http://schemas.openxmlformats.org/officeDocument/2006/relationships/hyperlink" Target="http://www.phosphosite.org/proteinAction.do?id=9394200&amp;showAllSites=true" TargetMode="External"/><Relationship Id="rId640" Type="http://schemas.openxmlformats.org/officeDocument/2006/relationships/hyperlink" Target="http://www.phosphosite.org/proteinAction.do?id=9550&amp;showAllSites=true" TargetMode="External"/><Relationship Id="rId738" Type="http://schemas.openxmlformats.org/officeDocument/2006/relationships/hyperlink" Target="http://www.phosphosite.org/proteinAction.do?id=979&amp;showAllSites=true" TargetMode="External"/><Relationship Id="rId945" Type="http://schemas.openxmlformats.org/officeDocument/2006/relationships/hyperlink" Target="http://www.phosphosite.org/proteinAction.do?id=10980&amp;showAllSites=true" TargetMode="External"/><Relationship Id="rId74" Type="http://schemas.openxmlformats.org/officeDocument/2006/relationships/hyperlink" Target="http://www.phosphosite.org/proteinAction.do?id=1482&amp;showAllSites=true" TargetMode="External"/><Relationship Id="rId377" Type="http://schemas.openxmlformats.org/officeDocument/2006/relationships/hyperlink" Target="http://www.phosphosite.org/proteinAction.do?id=11535&amp;showAllSites=true" TargetMode="External"/><Relationship Id="rId500" Type="http://schemas.openxmlformats.org/officeDocument/2006/relationships/hyperlink" Target="http://www.cellsignal.com/products/3180.html" TargetMode="External"/><Relationship Id="rId584" Type="http://schemas.openxmlformats.org/officeDocument/2006/relationships/hyperlink" Target="http://www.phosphosite.org/proteinAction.do?id=9181&amp;showAllSites=true" TargetMode="External"/><Relationship Id="rId805" Type="http://schemas.openxmlformats.org/officeDocument/2006/relationships/hyperlink" Target="http://www.phosphosite.org/proteinAction.do?id=6895&amp;showAllSites=true" TargetMode="External"/><Relationship Id="rId5" Type="http://schemas.openxmlformats.org/officeDocument/2006/relationships/hyperlink" Target="http://www.phosphosite.org/proteinAction.do?id=15794&amp;showAllSites=true" TargetMode="External"/><Relationship Id="rId237" Type="http://schemas.openxmlformats.org/officeDocument/2006/relationships/hyperlink" Target="http://www.cellsignal.com/products/4869.html" TargetMode="External"/><Relationship Id="rId791" Type="http://schemas.openxmlformats.org/officeDocument/2006/relationships/hyperlink" Target="http://www.phosphosite.org/proteinAction.do?id=5608&amp;showAllSites=true" TargetMode="External"/><Relationship Id="rId889" Type="http://schemas.openxmlformats.org/officeDocument/2006/relationships/hyperlink" Target="http://www.phosphosite.org/proteinAction.do?id=11186&amp;showAllSites=true" TargetMode="External"/><Relationship Id="rId1074" Type="http://schemas.openxmlformats.org/officeDocument/2006/relationships/hyperlink" Target="http://www.cellsignal.com/products/4499.html" TargetMode="External"/><Relationship Id="rId444" Type="http://schemas.openxmlformats.org/officeDocument/2006/relationships/hyperlink" Target="http://www.phosphosite.org/proteinAction.do?id=8692&amp;showAllSites=true" TargetMode="External"/><Relationship Id="rId651" Type="http://schemas.openxmlformats.org/officeDocument/2006/relationships/hyperlink" Target="http://www.phosphosite.org/proteinAction.do?id=9560&amp;showAllSites=true" TargetMode="External"/><Relationship Id="rId749" Type="http://schemas.openxmlformats.org/officeDocument/2006/relationships/hyperlink" Target="http://www.cellsignal.com/products/2940.html" TargetMode="External"/><Relationship Id="rId290" Type="http://schemas.openxmlformats.org/officeDocument/2006/relationships/hyperlink" Target="http://www.cellsignal.com/products/8135.html" TargetMode="External"/><Relationship Id="rId304" Type="http://schemas.openxmlformats.org/officeDocument/2006/relationships/hyperlink" Target="http://www.cellsignal.com/products/8135.html" TargetMode="External"/><Relationship Id="rId388" Type="http://schemas.openxmlformats.org/officeDocument/2006/relationships/hyperlink" Target="http://www.cellsignal.com/products/8135.html" TargetMode="External"/><Relationship Id="rId511" Type="http://schemas.openxmlformats.org/officeDocument/2006/relationships/hyperlink" Target="http://www.cellsignal.com/products/12588.html" TargetMode="External"/><Relationship Id="rId609" Type="http://schemas.openxmlformats.org/officeDocument/2006/relationships/hyperlink" Target="http://www.phosphosite.org/proteinAction.do?id=19741&amp;showAllSites=true" TargetMode="External"/><Relationship Id="rId956" Type="http://schemas.openxmlformats.org/officeDocument/2006/relationships/hyperlink" Target="http://www.phosphosite.org/proteinAction.do?id=18775&amp;showAllSites=true" TargetMode="External"/><Relationship Id="rId85" Type="http://schemas.openxmlformats.org/officeDocument/2006/relationships/hyperlink" Target="http://www.cellsignal.com/products/7425.html" TargetMode="External"/><Relationship Id="rId150" Type="http://schemas.openxmlformats.org/officeDocument/2006/relationships/hyperlink" Target="http://www.phosphosite.org/proteinAction.do?id=8357&amp;showAllSites=true" TargetMode="External"/><Relationship Id="rId595" Type="http://schemas.openxmlformats.org/officeDocument/2006/relationships/hyperlink" Target="http://www.cellsignal.com/products/8966.html" TargetMode="External"/><Relationship Id="rId816" Type="http://schemas.openxmlformats.org/officeDocument/2006/relationships/hyperlink" Target="http://www.phosphosite.org/proteinAction.do?id=15751&amp;showAllSites=true" TargetMode="External"/><Relationship Id="rId1001" Type="http://schemas.openxmlformats.org/officeDocument/2006/relationships/hyperlink" Target="http://www.phosphosite.org/proteinAction.do?id=1537&amp;showAllSites=true" TargetMode="External"/><Relationship Id="rId248" Type="http://schemas.openxmlformats.org/officeDocument/2006/relationships/hyperlink" Target="http://www.cellsignal.com/products/2619.html" TargetMode="External"/><Relationship Id="rId455" Type="http://schemas.openxmlformats.org/officeDocument/2006/relationships/hyperlink" Target="http://www.phosphosite.org/proteinAction.do?id=9173&amp;showAllSites=true" TargetMode="External"/><Relationship Id="rId662" Type="http://schemas.openxmlformats.org/officeDocument/2006/relationships/hyperlink" Target="http://www.cellsignal.com/products/11908.html" TargetMode="External"/><Relationship Id="rId1085" Type="http://schemas.openxmlformats.org/officeDocument/2006/relationships/hyperlink" Target="http://www.phosphosite.org/proteinAction.do?id=9917202&amp;showAllSites=true" TargetMode="External"/><Relationship Id="rId12" Type="http://schemas.openxmlformats.org/officeDocument/2006/relationships/hyperlink" Target="http://www.phosphosite.org/proteinAction.do?id=12141&amp;showAllSites=true" TargetMode="External"/><Relationship Id="rId108" Type="http://schemas.openxmlformats.org/officeDocument/2006/relationships/hyperlink" Target="http://www.cellsignal.com/products/4565.html" TargetMode="External"/><Relationship Id="rId315" Type="http://schemas.openxmlformats.org/officeDocument/2006/relationships/hyperlink" Target="http://www.phosphosite.org/proteinAction.do?id=8393&amp;showAllSites=true" TargetMode="External"/><Relationship Id="rId522" Type="http://schemas.openxmlformats.org/officeDocument/2006/relationships/hyperlink" Target="http://www.cellsignal.com/products/5174.html" TargetMode="External"/><Relationship Id="rId967" Type="http://schemas.openxmlformats.org/officeDocument/2006/relationships/hyperlink" Target="http://www.phosphosite.org/proteinAction.do?id=11649&amp;showAllSites=true" TargetMode="External"/><Relationship Id="rId96" Type="http://schemas.openxmlformats.org/officeDocument/2006/relationships/hyperlink" Target="http://www.phosphosite.org/proteinAction.do?id=1161&amp;showAllSites=true" TargetMode="External"/><Relationship Id="rId161" Type="http://schemas.openxmlformats.org/officeDocument/2006/relationships/hyperlink" Target="http://www.phosphosite.org/proteinAction.do?id=11929&amp;showAllSites=true" TargetMode="External"/><Relationship Id="rId399" Type="http://schemas.openxmlformats.org/officeDocument/2006/relationships/hyperlink" Target="http://www.phosphosite.org/proteinAction.do?id=6935&amp;showAllSites=true" TargetMode="External"/><Relationship Id="rId827" Type="http://schemas.openxmlformats.org/officeDocument/2006/relationships/hyperlink" Target="http://www.phosphosite.org/proteinAction.do?id=15764&amp;showAllSites=true" TargetMode="External"/><Relationship Id="rId1012" Type="http://schemas.openxmlformats.org/officeDocument/2006/relationships/hyperlink" Target="http://www.cellsignal.com/products/5400.html" TargetMode="External"/><Relationship Id="rId259" Type="http://schemas.openxmlformats.org/officeDocument/2006/relationships/hyperlink" Target="http://www.phosphosite.org/proteinAction.do?id=17985&amp;showAllSites=true" TargetMode="External"/><Relationship Id="rId466" Type="http://schemas.openxmlformats.org/officeDocument/2006/relationships/hyperlink" Target="http://www.cellsignal.com/products/11954.html" TargetMode="External"/><Relationship Id="rId673" Type="http://schemas.openxmlformats.org/officeDocument/2006/relationships/hyperlink" Target="http://www.cellsignal.com/products/2784.html" TargetMode="External"/><Relationship Id="rId880" Type="http://schemas.openxmlformats.org/officeDocument/2006/relationships/hyperlink" Target="http://www.phosphosite.org/proteinAction.do?id=16741&amp;showAllSites=true" TargetMode="External"/><Relationship Id="rId1096" Type="http://schemas.openxmlformats.org/officeDocument/2006/relationships/hyperlink" Target="http://www.phosphosite.org/proteinAction.do?id=26351410&amp;showAllSites=true" TargetMode="External"/><Relationship Id="rId23" Type="http://schemas.openxmlformats.org/officeDocument/2006/relationships/hyperlink" Target="http://www.phosphosite.org/proteinAction.do?id=9697&amp;showAllSites=true" TargetMode="External"/><Relationship Id="rId119" Type="http://schemas.openxmlformats.org/officeDocument/2006/relationships/hyperlink" Target="http://www.phosphosite.org/proteinAction.do?id=10183&amp;showAllSites=true" TargetMode="External"/><Relationship Id="rId326" Type="http://schemas.openxmlformats.org/officeDocument/2006/relationships/hyperlink" Target="http://www.cellsignal.com/products/9072.html" TargetMode="External"/><Relationship Id="rId533" Type="http://schemas.openxmlformats.org/officeDocument/2006/relationships/hyperlink" Target="http://www.cellsignal.com/products/3997.html" TargetMode="External"/><Relationship Id="rId978" Type="http://schemas.openxmlformats.org/officeDocument/2006/relationships/hyperlink" Target="http://www.phosphosite.org/proteinAction.do?id=11361&amp;showAllSites=true" TargetMode="External"/><Relationship Id="rId740" Type="http://schemas.openxmlformats.org/officeDocument/2006/relationships/hyperlink" Target="http://www.phosphosite.org/proteinAction.do?id=3512&amp;showAllSites=true" TargetMode="External"/><Relationship Id="rId838" Type="http://schemas.openxmlformats.org/officeDocument/2006/relationships/hyperlink" Target="http://www.phosphosite.org/proteinAction.do?id=2143&amp;showAllSites=true" TargetMode="External"/><Relationship Id="rId1023" Type="http://schemas.openxmlformats.org/officeDocument/2006/relationships/hyperlink" Target="http://www.phosphosite.org/proteinAction.do?id=8547&amp;showAllSites=true" TargetMode="External"/><Relationship Id="rId172" Type="http://schemas.openxmlformats.org/officeDocument/2006/relationships/hyperlink" Target="http://www.cellsignal.com/products/9099.html" TargetMode="External"/><Relationship Id="rId477" Type="http://schemas.openxmlformats.org/officeDocument/2006/relationships/hyperlink" Target="http://www.phosphosite.org/proteinAction.do?id=4045&amp;showAllSites=true" TargetMode="External"/><Relationship Id="rId600" Type="http://schemas.openxmlformats.org/officeDocument/2006/relationships/hyperlink" Target="http://www.phosphosite.org/proteinAction.do?id=4240&amp;showAllSites=true" TargetMode="External"/><Relationship Id="rId684" Type="http://schemas.openxmlformats.org/officeDocument/2006/relationships/hyperlink" Target="http://www.phosphosite.org/proteinAction.do?id=1784&amp;showAllSites=true" TargetMode="External"/><Relationship Id="rId337" Type="http://schemas.openxmlformats.org/officeDocument/2006/relationships/hyperlink" Target="http://www.phosphosite.org/proteinAction.do?id=1878&amp;showAllSites=true" TargetMode="External"/><Relationship Id="rId891" Type="http://schemas.openxmlformats.org/officeDocument/2006/relationships/hyperlink" Target="http://www.phosphosite.org/proteinAction.do?id=4806&amp;showAllSites=true" TargetMode="External"/><Relationship Id="rId905" Type="http://schemas.openxmlformats.org/officeDocument/2006/relationships/hyperlink" Target="http://www.phosphosite.org/proteinAction.do?id=4345&amp;showAllSites=true" TargetMode="External"/><Relationship Id="rId989" Type="http://schemas.openxmlformats.org/officeDocument/2006/relationships/hyperlink" Target="http://www.phosphosite.org/proteinAction.do?id=1180001&amp;showAllSites=true" TargetMode="External"/><Relationship Id="rId34" Type="http://schemas.openxmlformats.org/officeDocument/2006/relationships/hyperlink" Target="http://www.cellsignal.com/products/5521.html" TargetMode="External"/><Relationship Id="rId544" Type="http://schemas.openxmlformats.org/officeDocument/2006/relationships/hyperlink" Target="http://www.phosphosite.org/proteinAction.do?id=9830817&amp;showAllSites=true" TargetMode="External"/><Relationship Id="rId751" Type="http://schemas.openxmlformats.org/officeDocument/2006/relationships/hyperlink" Target="http://www.phosphosite.org/proteinAction.do?id=16078&amp;showAllSites=true" TargetMode="External"/><Relationship Id="rId849" Type="http://schemas.openxmlformats.org/officeDocument/2006/relationships/hyperlink" Target="http://www.phosphosite.org/proteinAction.do?id=7790&amp;showAllSites=true" TargetMode="External"/><Relationship Id="rId183" Type="http://schemas.openxmlformats.org/officeDocument/2006/relationships/hyperlink" Target="http://www.phosphosite.org/proteinAction.do?id=14097&amp;showAllSites=true" TargetMode="External"/><Relationship Id="rId390" Type="http://schemas.openxmlformats.org/officeDocument/2006/relationships/hyperlink" Target="http://www.cellsignal.com/products/8135.html" TargetMode="External"/><Relationship Id="rId404" Type="http://schemas.openxmlformats.org/officeDocument/2006/relationships/hyperlink" Target="http://www.phosphosite.org/proteinAction.do?id=1303&amp;showAllSites=true" TargetMode="External"/><Relationship Id="rId611" Type="http://schemas.openxmlformats.org/officeDocument/2006/relationships/hyperlink" Target="http://www.phosphosite.org/proteinAction.do?id=17520&amp;showAllSites=true" TargetMode="External"/><Relationship Id="rId1034" Type="http://schemas.openxmlformats.org/officeDocument/2006/relationships/hyperlink" Target="http://www.phosphosite.org/proteinAction.do?id=3837&amp;showAllSites=true" TargetMode="External"/><Relationship Id="rId250" Type="http://schemas.openxmlformats.org/officeDocument/2006/relationships/hyperlink" Target="http://www.cellsignal.com/products/2718.html" TargetMode="External"/><Relationship Id="rId488" Type="http://schemas.openxmlformats.org/officeDocument/2006/relationships/hyperlink" Target="http://www.phosphosite.org/proteinAction.do?id=21096&amp;showAllSites=true" TargetMode="External"/><Relationship Id="rId695" Type="http://schemas.openxmlformats.org/officeDocument/2006/relationships/hyperlink" Target="http://www.phosphosite.org/proteinAction.do?id=15763&amp;showAllSites=true" TargetMode="External"/><Relationship Id="rId709" Type="http://schemas.openxmlformats.org/officeDocument/2006/relationships/hyperlink" Target="http://www.phosphosite.org/proteinAction.do?id=23850&amp;showAllSites=true" TargetMode="External"/><Relationship Id="rId916" Type="http://schemas.openxmlformats.org/officeDocument/2006/relationships/hyperlink" Target="http://www.phosphosite.org/proteinAction.do?id=3502&amp;showAllSites=true" TargetMode="External"/><Relationship Id="rId1101" Type="http://schemas.openxmlformats.org/officeDocument/2006/relationships/hyperlink" Target="http://www.ncbi.nlm.nih.gov/entrez/query.fcgi?db=protein&amp;cmd=search&amp;term=NP_579931" TargetMode="External"/><Relationship Id="rId45" Type="http://schemas.openxmlformats.org/officeDocument/2006/relationships/hyperlink" Target="http://www.phosphosite.org/proteinAction.do?id=4802&amp;showAllSites=true" TargetMode="External"/><Relationship Id="rId110" Type="http://schemas.openxmlformats.org/officeDocument/2006/relationships/hyperlink" Target="http://www.phosphosite.org/proteinAction.do?id=5143655&amp;showAllSites=true" TargetMode="External"/><Relationship Id="rId348" Type="http://schemas.openxmlformats.org/officeDocument/2006/relationships/hyperlink" Target="http://www.cellsignal.com/products/2591.html" TargetMode="External"/><Relationship Id="rId555" Type="http://schemas.openxmlformats.org/officeDocument/2006/relationships/hyperlink" Target="http://www.cellsignal.com/products/11961.html" TargetMode="External"/><Relationship Id="rId762" Type="http://schemas.openxmlformats.org/officeDocument/2006/relationships/hyperlink" Target="http://www.cellsignal.com/products/12763.html" TargetMode="External"/><Relationship Id="rId194" Type="http://schemas.openxmlformats.org/officeDocument/2006/relationships/hyperlink" Target="http://www.phosphosite.org/proteinAction.do?id=22280&amp;showAllSites=true" TargetMode="External"/><Relationship Id="rId208" Type="http://schemas.openxmlformats.org/officeDocument/2006/relationships/hyperlink" Target="http://www.phosphosite.org/proteinAction.do?id=12596&amp;showAllSites=true" TargetMode="External"/><Relationship Id="rId415" Type="http://schemas.openxmlformats.org/officeDocument/2006/relationships/hyperlink" Target="http://www.phosphosite.org/proteinAction.do?id=5132&amp;showAllSites=true" TargetMode="External"/><Relationship Id="rId622" Type="http://schemas.openxmlformats.org/officeDocument/2006/relationships/hyperlink" Target="http://www.phosphosite.org/proteinAction.do?id=7201&amp;showAllSites=true" TargetMode="External"/><Relationship Id="rId1045" Type="http://schemas.openxmlformats.org/officeDocument/2006/relationships/hyperlink" Target="http://www.phosphosite.org/proteinAction.do?id=16260&amp;showAllSites=true" TargetMode="External"/><Relationship Id="rId261" Type="http://schemas.openxmlformats.org/officeDocument/2006/relationships/hyperlink" Target="http://www.phosphosite.org/proteinAction.do?id=12274&amp;showAllSites=true" TargetMode="External"/><Relationship Id="rId499" Type="http://schemas.openxmlformats.org/officeDocument/2006/relationships/hyperlink" Target="http://www.cellsignal.com/products/12588.html" TargetMode="External"/><Relationship Id="rId927" Type="http://schemas.openxmlformats.org/officeDocument/2006/relationships/hyperlink" Target="http://www.phosphosite.org/proteinAction.do?id=2760&amp;showAllSites=true" TargetMode="External"/><Relationship Id="rId1112" Type="http://schemas.openxmlformats.org/officeDocument/2006/relationships/hyperlink" Target="http://www.phosphosite.org/proteinAction.do?id=5626&amp;showAllSites=true" TargetMode="External"/><Relationship Id="rId56" Type="http://schemas.openxmlformats.org/officeDocument/2006/relationships/hyperlink" Target="http://www.phosphosite.org/proteinAction.do?id=5735&amp;showAllSites=true" TargetMode="External"/><Relationship Id="rId359" Type="http://schemas.openxmlformats.org/officeDocument/2006/relationships/hyperlink" Target="http://www.cellsignal.com/products/9072.html" TargetMode="External"/><Relationship Id="rId566" Type="http://schemas.openxmlformats.org/officeDocument/2006/relationships/hyperlink" Target="http://www.phosphosite.org/proteinAction.do?id=23358&amp;showAllSites=true" TargetMode="External"/><Relationship Id="rId773" Type="http://schemas.openxmlformats.org/officeDocument/2006/relationships/hyperlink" Target="http://www.phosphosite.org/proteinAction.do?id=1394&amp;showAllSites=true" TargetMode="External"/><Relationship Id="rId121" Type="http://schemas.openxmlformats.org/officeDocument/2006/relationships/hyperlink" Target="http://www.phosphosite.org/proteinAction.do?id=4519&amp;showAllSites=true" TargetMode="External"/><Relationship Id="rId219" Type="http://schemas.openxmlformats.org/officeDocument/2006/relationships/hyperlink" Target="http://www.cellsignal.com/products/8444.html" TargetMode="External"/><Relationship Id="rId426" Type="http://schemas.openxmlformats.org/officeDocument/2006/relationships/hyperlink" Target="http://www.phosphosite.org/proteinAction.do?id=14299&amp;showAllSites=true" TargetMode="External"/><Relationship Id="rId633" Type="http://schemas.openxmlformats.org/officeDocument/2006/relationships/hyperlink" Target="http://www.cellsignal.com/products/9828.html" TargetMode="External"/><Relationship Id="rId980" Type="http://schemas.openxmlformats.org/officeDocument/2006/relationships/hyperlink" Target="http://www.phosphosite.org/proteinAction.do?id=17039&amp;showAllSites=true" TargetMode="External"/><Relationship Id="rId1056" Type="http://schemas.openxmlformats.org/officeDocument/2006/relationships/hyperlink" Target="http://www.phosphosite.org/proteinAction.do?id=25516004&amp;showAllSites=true" TargetMode="External"/><Relationship Id="rId840" Type="http://schemas.openxmlformats.org/officeDocument/2006/relationships/hyperlink" Target="http://www.phosphosite.org/proteinAction.do?id=2143&amp;showAllSites=true" TargetMode="External"/><Relationship Id="rId938" Type="http://schemas.openxmlformats.org/officeDocument/2006/relationships/hyperlink" Target="http://www.phosphosite.org/proteinAction.do?id=5634&amp;showAllSites=true" TargetMode="External"/><Relationship Id="rId67" Type="http://schemas.openxmlformats.org/officeDocument/2006/relationships/hyperlink" Target="http://www.cellsignal.com/products/3312.html" TargetMode="External"/><Relationship Id="rId272" Type="http://schemas.openxmlformats.org/officeDocument/2006/relationships/hyperlink" Target="http://www.phosphosite.org/proteinAction.do?id=15481&amp;showAllSites=true" TargetMode="External"/><Relationship Id="rId577" Type="http://schemas.openxmlformats.org/officeDocument/2006/relationships/hyperlink" Target="http://www.phosphosite.org/proteinAction.do?id=14297&amp;showAllSites=true" TargetMode="External"/><Relationship Id="rId700" Type="http://schemas.openxmlformats.org/officeDocument/2006/relationships/hyperlink" Target="http://www.cellsignal.com/products/2039.html" TargetMode="External"/><Relationship Id="rId1123" Type="http://schemas.openxmlformats.org/officeDocument/2006/relationships/hyperlink" Target="http://www.phosphosite.org/proteinAction.do?id=11319&amp;showAllSites=true" TargetMode="External"/><Relationship Id="rId132" Type="http://schemas.openxmlformats.org/officeDocument/2006/relationships/hyperlink" Target="http://www.cellsignal.com/products/2164.html" TargetMode="External"/><Relationship Id="rId784" Type="http://schemas.openxmlformats.org/officeDocument/2006/relationships/hyperlink" Target="http://www.phosphosite.org/proteinAction.do?id=9983021&amp;showAllSites=true" TargetMode="External"/><Relationship Id="rId991" Type="http://schemas.openxmlformats.org/officeDocument/2006/relationships/hyperlink" Target="http://www.phosphosite.org/proteinAction.do?id=20125&amp;showAllSites=true" TargetMode="External"/><Relationship Id="rId1067" Type="http://schemas.openxmlformats.org/officeDocument/2006/relationships/hyperlink" Target="http://www.phosphosite.org/proteinAction.do?id=5145077&amp;showAllSites=true" TargetMode="External"/><Relationship Id="rId437" Type="http://schemas.openxmlformats.org/officeDocument/2006/relationships/hyperlink" Target="http://www.cellsignal.com/products/4019.html" TargetMode="External"/><Relationship Id="rId644" Type="http://schemas.openxmlformats.org/officeDocument/2006/relationships/hyperlink" Target="http://www.phosphosite.org/proteinAction.do?id=10223&amp;showAllSites=true" TargetMode="External"/><Relationship Id="rId851" Type="http://schemas.openxmlformats.org/officeDocument/2006/relationships/hyperlink" Target="http://www.phosphosite.org/proteinAction.do?id=6584&amp;showAllSites=true" TargetMode="External"/><Relationship Id="rId283" Type="http://schemas.openxmlformats.org/officeDocument/2006/relationships/hyperlink" Target="http://www.cellsignal.com/products/9083.html" TargetMode="External"/><Relationship Id="rId490" Type="http://schemas.openxmlformats.org/officeDocument/2006/relationships/hyperlink" Target="http://www.phosphosite.org/proteinAction.do?id=21502&amp;showAllSites=true" TargetMode="External"/><Relationship Id="rId504" Type="http://schemas.openxmlformats.org/officeDocument/2006/relationships/hyperlink" Target="http://www.phosphosite.org/proteinAction.do?id=7967&amp;showAllSites=true" TargetMode="External"/><Relationship Id="rId711" Type="http://schemas.openxmlformats.org/officeDocument/2006/relationships/hyperlink" Target="http://www.cellsignal.com/products/2458.html" TargetMode="External"/><Relationship Id="rId949" Type="http://schemas.openxmlformats.org/officeDocument/2006/relationships/hyperlink" Target="http://www.phosphosite.org/proteinAction.do?id=10980&amp;showAllSites=true" TargetMode="External"/><Relationship Id="rId78" Type="http://schemas.openxmlformats.org/officeDocument/2006/relationships/hyperlink" Target="http://www.cellsignal.com/products/4796.html" TargetMode="External"/><Relationship Id="rId143" Type="http://schemas.openxmlformats.org/officeDocument/2006/relationships/hyperlink" Target="http://www.phosphosite.org/proteinAction.do?id=6509&amp;showAllSites=true" TargetMode="External"/><Relationship Id="rId350" Type="http://schemas.openxmlformats.org/officeDocument/2006/relationships/hyperlink" Target="http://www.cellsignal.com/products/2592.html" TargetMode="External"/><Relationship Id="rId588" Type="http://schemas.openxmlformats.org/officeDocument/2006/relationships/hyperlink" Target="http://www.phosphosite.org/proteinAction.do?id=9181&amp;showAllSites=true" TargetMode="External"/><Relationship Id="rId795" Type="http://schemas.openxmlformats.org/officeDocument/2006/relationships/hyperlink" Target="http://www.phosphosite.org/proteinAction.do?id=17762&amp;showAllSites=true" TargetMode="External"/><Relationship Id="rId809" Type="http://schemas.openxmlformats.org/officeDocument/2006/relationships/hyperlink" Target="http://www.phosphosite.org/proteinAction.do?id=6895&amp;showAllSites=true" TargetMode="External"/><Relationship Id="rId9" Type="http://schemas.openxmlformats.org/officeDocument/2006/relationships/hyperlink" Target="http://www.cellsignal.com/products/5486.html" TargetMode="External"/><Relationship Id="rId210" Type="http://schemas.openxmlformats.org/officeDocument/2006/relationships/hyperlink" Target="http://www.phosphosite.org/proteinAction.do?id=11269&amp;showAllSites=true" TargetMode="External"/><Relationship Id="rId448" Type="http://schemas.openxmlformats.org/officeDocument/2006/relationships/hyperlink" Target="http://www.cellsignal.com/products/3352.html" TargetMode="External"/><Relationship Id="rId655" Type="http://schemas.openxmlformats.org/officeDocument/2006/relationships/hyperlink" Target="http://www.phosphosite.org/proteinAction.do?id=9668&amp;showAllSites=true" TargetMode="External"/><Relationship Id="rId862" Type="http://schemas.openxmlformats.org/officeDocument/2006/relationships/hyperlink" Target="http://www.ncbi.nlm.nih.gov/entrez/query.fcgi?db=protein&amp;cmd=search&amp;term=NP_667235" TargetMode="External"/><Relationship Id="rId1078" Type="http://schemas.openxmlformats.org/officeDocument/2006/relationships/hyperlink" Target="http://www.phosphosite.org/proteinAction.do?id=5145077&amp;showAllSites=true" TargetMode="External"/><Relationship Id="rId294" Type="http://schemas.openxmlformats.org/officeDocument/2006/relationships/hyperlink" Target="http://www.phosphosite.org/proteinAction.do?id=8393&amp;showAllSites=true" TargetMode="External"/><Relationship Id="rId308" Type="http://schemas.openxmlformats.org/officeDocument/2006/relationships/hyperlink" Target="http://www.cellsignal.com/products/2571.html" TargetMode="External"/><Relationship Id="rId515" Type="http://schemas.openxmlformats.org/officeDocument/2006/relationships/hyperlink" Target="http://www.cellsignal.com/products/3180.html" TargetMode="External"/><Relationship Id="rId722" Type="http://schemas.openxmlformats.org/officeDocument/2006/relationships/hyperlink" Target="http://www.cellsignal.com/products/12353.html" TargetMode="External"/><Relationship Id="rId89" Type="http://schemas.openxmlformats.org/officeDocument/2006/relationships/hyperlink" Target="http://www.cellsignal.com/products/7389.html" TargetMode="External"/><Relationship Id="rId154" Type="http://schemas.openxmlformats.org/officeDocument/2006/relationships/hyperlink" Target="http://www.phosphosite.org/proteinAction.do?id=4804&amp;showAllSites=true" TargetMode="External"/><Relationship Id="rId361" Type="http://schemas.openxmlformats.org/officeDocument/2006/relationships/hyperlink" Target="http://www.cellsignal.com/products/8135.html" TargetMode="External"/><Relationship Id="rId599" Type="http://schemas.openxmlformats.org/officeDocument/2006/relationships/hyperlink" Target="http://www.cellsignal.com/products/3188.html" TargetMode="External"/><Relationship Id="rId1005" Type="http://schemas.openxmlformats.org/officeDocument/2006/relationships/hyperlink" Target="http://www.ncbi.nlm.nih.gov/entrez/query.fcgi?db=protein&amp;cmd=search&amp;term=XP_890230" TargetMode="External"/><Relationship Id="rId459" Type="http://schemas.openxmlformats.org/officeDocument/2006/relationships/hyperlink" Target="http://www.cellsignal.com/products/11814.html" TargetMode="External"/><Relationship Id="rId666" Type="http://schemas.openxmlformats.org/officeDocument/2006/relationships/hyperlink" Target="http://www.phosphosite.org/proteinAction.do?id=7913&amp;showAllSites=true" TargetMode="External"/><Relationship Id="rId873" Type="http://schemas.openxmlformats.org/officeDocument/2006/relationships/hyperlink" Target="http://www.phosphosite.org/proteinAction.do?id=9523&amp;showAllSites=true" TargetMode="External"/><Relationship Id="rId1089" Type="http://schemas.openxmlformats.org/officeDocument/2006/relationships/hyperlink" Target="http://www.phosphosite.org/proteinAction.do?id=18411405&amp;showAllSites=true" TargetMode="External"/><Relationship Id="rId16" Type="http://schemas.openxmlformats.org/officeDocument/2006/relationships/hyperlink" Target="http://www.phosphosite.org/proteinAction.do?id=3309&amp;showAllSites=true" TargetMode="External"/><Relationship Id="rId221" Type="http://schemas.openxmlformats.org/officeDocument/2006/relationships/hyperlink" Target="http://www.cellsignal.com/products/8444.html" TargetMode="External"/><Relationship Id="rId319" Type="http://schemas.openxmlformats.org/officeDocument/2006/relationships/hyperlink" Target="http://www.cellsignal.com/products/12364.html" TargetMode="External"/><Relationship Id="rId526" Type="http://schemas.openxmlformats.org/officeDocument/2006/relationships/hyperlink" Target="http://www.cellsignal.com/products/5174.html" TargetMode="External"/><Relationship Id="rId733" Type="http://schemas.openxmlformats.org/officeDocument/2006/relationships/hyperlink" Target="http://www.phosphosite.org/proteinAction.do?id=5321&amp;showAllSites=true" TargetMode="External"/><Relationship Id="rId940" Type="http://schemas.openxmlformats.org/officeDocument/2006/relationships/hyperlink" Target="http://www.phosphosite.org/proteinAction.do?id=22078&amp;showAllSites=true" TargetMode="External"/><Relationship Id="rId1016" Type="http://schemas.openxmlformats.org/officeDocument/2006/relationships/hyperlink" Target="http://www.phosphosite.org/proteinAction.do?id=18097&amp;showAllSites=true" TargetMode="External"/><Relationship Id="rId165" Type="http://schemas.openxmlformats.org/officeDocument/2006/relationships/hyperlink" Target="http://www.phosphosite.org/proteinAction.do?id=7707705&amp;showAllSites=true" TargetMode="External"/><Relationship Id="rId372" Type="http://schemas.openxmlformats.org/officeDocument/2006/relationships/hyperlink" Target="http://www.cellsignal.com/products/8135.html" TargetMode="External"/><Relationship Id="rId677" Type="http://schemas.openxmlformats.org/officeDocument/2006/relationships/hyperlink" Target="http://www.cellsignal.com/products/2784.html" TargetMode="External"/><Relationship Id="rId800" Type="http://schemas.openxmlformats.org/officeDocument/2006/relationships/hyperlink" Target="http://www.phosphosite.org/proteinAction.do?id=6883&amp;showAllSites=true" TargetMode="External"/><Relationship Id="rId232" Type="http://schemas.openxmlformats.org/officeDocument/2006/relationships/hyperlink" Target="http://www.phosphosite.org/proteinAction.do?id=4249&amp;showAllSites=true" TargetMode="External"/><Relationship Id="rId884" Type="http://schemas.openxmlformats.org/officeDocument/2006/relationships/hyperlink" Target="http://www.cellsignal.com/products/11886.html" TargetMode="External"/><Relationship Id="rId27" Type="http://schemas.openxmlformats.org/officeDocument/2006/relationships/hyperlink" Target="http://www.phosphosite.org/proteinAction.do?id=9697&amp;showAllSites=true" TargetMode="External"/><Relationship Id="rId537" Type="http://schemas.openxmlformats.org/officeDocument/2006/relationships/hyperlink" Target="http://www.cellsignal.com/products/3997.html" TargetMode="External"/><Relationship Id="rId744" Type="http://schemas.openxmlformats.org/officeDocument/2006/relationships/hyperlink" Target="http://www.phosphosite.org/proteinAction.do?id=9915&amp;showAllSites=true" TargetMode="External"/><Relationship Id="rId951" Type="http://schemas.openxmlformats.org/officeDocument/2006/relationships/hyperlink" Target="http://www.phosphosite.org/proteinAction.do?id=10166283&amp;showAllSites=true" TargetMode="External"/><Relationship Id="rId80" Type="http://schemas.openxmlformats.org/officeDocument/2006/relationships/hyperlink" Target="http://www.cellsignal.com/products/4796.html" TargetMode="External"/><Relationship Id="rId176" Type="http://schemas.openxmlformats.org/officeDocument/2006/relationships/hyperlink" Target="http://www.phosphosite.org/proteinAction.do?id=2788&amp;showAllSites=true" TargetMode="External"/><Relationship Id="rId383" Type="http://schemas.openxmlformats.org/officeDocument/2006/relationships/hyperlink" Target="http://www.phosphosite.org/proteinAction.do?id=5143208&amp;showAllSites=true" TargetMode="External"/><Relationship Id="rId590" Type="http://schemas.openxmlformats.org/officeDocument/2006/relationships/hyperlink" Target="http://www.phosphosite.org/proteinAction.do?id=19723&amp;showAllSites=true" TargetMode="External"/><Relationship Id="rId604" Type="http://schemas.openxmlformats.org/officeDocument/2006/relationships/hyperlink" Target="http://www.cellsignal.com/products/8966.html" TargetMode="External"/><Relationship Id="rId811" Type="http://schemas.openxmlformats.org/officeDocument/2006/relationships/hyperlink" Target="http://www.phosphosite.org/proteinAction.do?id=11730&amp;showAllSites=true" TargetMode="External"/><Relationship Id="rId1027" Type="http://schemas.openxmlformats.org/officeDocument/2006/relationships/hyperlink" Target="http://www.phosphosite.org/proteinAction.do?id=13422201&amp;showAllSites=true" TargetMode="External"/><Relationship Id="rId243" Type="http://schemas.openxmlformats.org/officeDocument/2006/relationships/hyperlink" Target="http://www.phosphosite.org/proteinAction.do?id=4822&amp;showAllSites=true" TargetMode="External"/><Relationship Id="rId450" Type="http://schemas.openxmlformats.org/officeDocument/2006/relationships/hyperlink" Target="http://www.cellsignal.com/products/3352.html" TargetMode="External"/><Relationship Id="rId688" Type="http://schemas.openxmlformats.org/officeDocument/2006/relationships/hyperlink" Target="http://www.phosphosite.org/proteinAction.do?id=10557&amp;showAllSites=true" TargetMode="External"/><Relationship Id="rId895" Type="http://schemas.openxmlformats.org/officeDocument/2006/relationships/hyperlink" Target="http://www.phosphosite.org/proteinAction.do?id=4806&amp;showAllSites=true" TargetMode="External"/><Relationship Id="rId909" Type="http://schemas.openxmlformats.org/officeDocument/2006/relationships/hyperlink" Target="http://www.phosphosite.org/proteinAction.do?id=2383082&amp;showAllSites=true" TargetMode="External"/><Relationship Id="rId1080" Type="http://schemas.openxmlformats.org/officeDocument/2006/relationships/hyperlink" Target="http://www.phosphosite.org/proteinAction.do?id=5141588&amp;showAllSites=true" TargetMode="External"/><Relationship Id="rId38" Type="http://schemas.openxmlformats.org/officeDocument/2006/relationships/hyperlink" Target="http://www.cellsignal.com/products/7413.html" TargetMode="External"/><Relationship Id="rId103" Type="http://schemas.openxmlformats.org/officeDocument/2006/relationships/hyperlink" Target="http://www.cellsignal.com/products/3240.html" TargetMode="External"/><Relationship Id="rId310" Type="http://schemas.openxmlformats.org/officeDocument/2006/relationships/hyperlink" Target="http://www.cellsignal.com/products/8135.html" TargetMode="External"/><Relationship Id="rId548" Type="http://schemas.openxmlformats.org/officeDocument/2006/relationships/hyperlink" Target="http://www.cellsignal.com/products/9046.html" TargetMode="External"/><Relationship Id="rId755" Type="http://schemas.openxmlformats.org/officeDocument/2006/relationships/hyperlink" Target="http://www.phosphosite.org/proteinAction.do?id=8032&amp;showAllSites=true" TargetMode="External"/><Relationship Id="rId962" Type="http://schemas.openxmlformats.org/officeDocument/2006/relationships/hyperlink" Target="http://www.phosphosite.org/proteinAction.do?id=3053&amp;showAllSites=true" TargetMode="External"/><Relationship Id="rId91" Type="http://schemas.openxmlformats.org/officeDocument/2006/relationships/hyperlink" Target="http://www.cellsignal.com/products/7425.html" TargetMode="External"/><Relationship Id="rId187" Type="http://schemas.openxmlformats.org/officeDocument/2006/relationships/hyperlink" Target="http://www.phosphosite.org/proteinAction.do?id=7319&amp;showAllSites=true" TargetMode="External"/><Relationship Id="rId394" Type="http://schemas.openxmlformats.org/officeDocument/2006/relationships/hyperlink" Target="http://www.cellsignal.com/products/7777.html" TargetMode="External"/><Relationship Id="rId408" Type="http://schemas.openxmlformats.org/officeDocument/2006/relationships/hyperlink" Target="http://www.phosphosite.org/proteinAction.do?id=12265&amp;showAllSites=true" TargetMode="External"/><Relationship Id="rId615" Type="http://schemas.openxmlformats.org/officeDocument/2006/relationships/hyperlink" Target="http://www.phosphosite.org/proteinAction.do?id=9221&amp;showAllSites=true" TargetMode="External"/><Relationship Id="rId822" Type="http://schemas.openxmlformats.org/officeDocument/2006/relationships/hyperlink" Target="http://www.phosphosite.org/proteinAction.do?id=9526&amp;showAllSites=true" TargetMode="External"/><Relationship Id="rId1038" Type="http://schemas.openxmlformats.org/officeDocument/2006/relationships/hyperlink" Target="http://www.phosphosite.org/proteinAction.do?id=6567&amp;showAllSites=true" TargetMode="External"/><Relationship Id="rId254" Type="http://schemas.openxmlformats.org/officeDocument/2006/relationships/hyperlink" Target="http://www.phosphosite.org/proteinAction.do?id=9917204&amp;showAllSites=true" TargetMode="External"/><Relationship Id="rId699" Type="http://schemas.openxmlformats.org/officeDocument/2006/relationships/hyperlink" Target="http://www.phosphosite.org/proteinAction.do?id=4427&amp;showAllSites=true" TargetMode="External"/><Relationship Id="rId1091" Type="http://schemas.openxmlformats.org/officeDocument/2006/relationships/hyperlink" Target="http://www.phosphosite.org/proteinAction.do?id=18411405&amp;showAllSites=true" TargetMode="External"/><Relationship Id="rId1105" Type="http://schemas.openxmlformats.org/officeDocument/2006/relationships/hyperlink" Target="http://www.phosphosite.org/proteinAction.do?id=16274&amp;showAllSites=true" TargetMode="External"/><Relationship Id="rId49" Type="http://schemas.openxmlformats.org/officeDocument/2006/relationships/hyperlink" Target="http://www.phosphosite.org/proteinAction.do?id=4802&amp;showAllSites=true" TargetMode="External"/><Relationship Id="rId114" Type="http://schemas.openxmlformats.org/officeDocument/2006/relationships/hyperlink" Target="http://www.phosphosite.org/proteinAction.do?id=3870&amp;showAllSites=true" TargetMode="External"/><Relationship Id="rId461" Type="http://schemas.openxmlformats.org/officeDocument/2006/relationships/hyperlink" Target="http://www.phosphosite.org/proteinAction.do?id=9175&amp;showAllSites=true" TargetMode="External"/><Relationship Id="rId559" Type="http://schemas.openxmlformats.org/officeDocument/2006/relationships/hyperlink" Target="http://www.cellsignal.com/products/2175.html" TargetMode="External"/><Relationship Id="rId766" Type="http://schemas.openxmlformats.org/officeDocument/2006/relationships/hyperlink" Target="http://www.phosphosite.org/proteinAction.do?id=7779&amp;showAllSites=true" TargetMode="External"/><Relationship Id="rId198" Type="http://schemas.openxmlformats.org/officeDocument/2006/relationships/hyperlink" Target="http://www.cellsignal.com/products/4830.html" TargetMode="External"/><Relationship Id="rId321" Type="http://schemas.openxmlformats.org/officeDocument/2006/relationships/hyperlink" Target="http://www.phosphosite.org/proteinAction.do?id=8393&amp;showAllSites=true" TargetMode="External"/><Relationship Id="rId419" Type="http://schemas.openxmlformats.org/officeDocument/2006/relationships/hyperlink" Target="http://www.phosphosite.org/proteinAction.do?id=1486&amp;showAllSites=true" TargetMode="External"/><Relationship Id="rId626" Type="http://schemas.openxmlformats.org/officeDocument/2006/relationships/hyperlink" Target="http://www.phosphosite.org/proteinAction.do?id=9550&amp;showAllSites=true" TargetMode="External"/><Relationship Id="rId973" Type="http://schemas.openxmlformats.org/officeDocument/2006/relationships/hyperlink" Target="http://www.phosphosite.org/proteinAction.do?id=11394&amp;showAllSites=true" TargetMode="External"/><Relationship Id="rId1049" Type="http://schemas.openxmlformats.org/officeDocument/2006/relationships/hyperlink" Target="http://www.phosphosite.org/proteinAction.do?id=8345&amp;showAllSites=true" TargetMode="External"/><Relationship Id="rId833" Type="http://schemas.openxmlformats.org/officeDocument/2006/relationships/hyperlink" Target="http://www.cellsignal.com/products/5307.html" TargetMode="External"/><Relationship Id="rId1116" Type="http://schemas.openxmlformats.org/officeDocument/2006/relationships/hyperlink" Target="http://www.phosphosite.org/proteinAction.do?id=8044&amp;showAllSites=true" TargetMode="External"/><Relationship Id="rId265" Type="http://schemas.openxmlformats.org/officeDocument/2006/relationships/hyperlink" Target="http://www.phosphosite.org/proteinAction.do?id=5384&amp;showAllSites=true" TargetMode="External"/><Relationship Id="rId472" Type="http://schemas.openxmlformats.org/officeDocument/2006/relationships/hyperlink" Target="http://www.phosphosite.org/proteinAction.do?id=11619&amp;showAllSites=true" TargetMode="External"/><Relationship Id="rId900" Type="http://schemas.openxmlformats.org/officeDocument/2006/relationships/hyperlink" Target="http://www.cellsignal.com/products/9412.html" TargetMode="External"/><Relationship Id="rId125" Type="http://schemas.openxmlformats.org/officeDocument/2006/relationships/hyperlink" Target="http://www.phosphosite.org/proteinAction.do?id=25230&amp;showAllSites=true" TargetMode="External"/><Relationship Id="rId332" Type="http://schemas.openxmlformats.org/officeDocument/2006/relationships/hyperlink" Target="http://www.phosphosite.org/proteinAction.do?id=8425&amp;showAllSites=true" TargetMode="External"/><Relationship Id="rId777" Type="http://schemas.openxmlformats.org/officeDocument/2006/relationships/hyperlink" Target="http://www.phosphosite.org/proteinAction.do?id=1394&amp;showAllSites=true" TargetMode="External"/><Relationship Id="rId984" Type="http://schemas.openxmlformats.org/officeDocument/2006/relationships/hyperlink" Target="http://www.phosphosite.org/proteinAction.do?id=8693&amp;showAllSites=true" TargetMode="External"/><Relationship Id="rId637" Type="http://schemas.openxmlformats.org/officeDocument/2006/relationships/hyperlink" Target="http://www.cellsignal.com/products/9828.html" TargetMode="External"/><Relationship Id="rId844" Type="http://schemas.openxmlformats.org/officeDocument/2006/relationships/hyperlink" Target="http://www.phosphosite.org/proteinAction.do?id=2143&amp;showAllSites=true" TargetMode="External"/><Relationship Id="rId276" Type="http://schemas.openxmlformats.org/officeDocument/2006/relationships/hyperlink" Target="http://www.cellsignal.com/products/12364.html" TargetMode="External"/><Relationship Id="rId483" Type="http://schemas.openxmlformats.org/officeDocument/2006/relationships/hyperlink" Target="http://www.phosphosite.org/proteinAction.do?id=5670&amp;showAllSites=true" TargetMode="External"/><Relationship Id="rId690" Type="http://schemas.openxmlformats.org/officeDocument/2006/relationships/hyperlink" Target="http://www.phosphosite.org/proteinAction.do?id=10557&amp;showAllSites=true" TargetMode="External"/><Relationship Id="rId704" Type="http://schemas.openxmlformats.org/officeDocument/2006/relationships/hyperlink" Target="http://www.phosphosite.org/proteinAction.do?id=13789&amp;showAllSites=true" TargetMode="External"/><Relationship Id="rId911" Type="http://schemas.openxmlformats.org/officeDocument/2006/relationships/hyperlink" Target="http://www.cellsignal.com/products/2391.html" TargetMode="External"/><Relationship Id="rId1127" Type="http://schemas.openxmlformats.org/officeDocument/2006/relationships/hyperlink" Target="http://www.phosphosite.org/proteinAction.do?id=12701&amp;showAllSites=true" TargetMode="External"/><Relationship Id="rId40" Type="http://schemas.openxmlformats.org/officeDocument/2006/relationships/hyperlink" Target="http://www.cellsignal.com/products/8312.html" TargetMode="External"/><Relationship Id="rId136" Type="http://schemas.openxmlformats.org/officeDocument/2006/relationships/hyperlink" Target="http://www.phosphosite.org/proteinAction.do?id=3340&amp;showAllSites=true" TargetMode="External"/><Relationship Id="rId343" Type="http://schemas.openxmlformats.org/officeDocument/2006/relationships/hyperlink" Target="http://www.phosphosite.org/proteinAction.do?id=1878&amp;showAllSites=true" TargetMode="External"/><Relationship Id="rId550" Type="http://schemas.openxmlformats.org/officeDocument/2006/relationships/hyperlink" Target="http://www.phosphosite.org/proteinAction.do?id=5117611&amp;showAllSites=true" TargetMode="External"/><Relationship Id="rId788" Type="http://schemas.openxmlformats.org/officeDocument/2006/relationships/hyperlink" Target="http://www.phosphosite.org/proteinAction.do?id=5140307&amp;showAllSites=true" TargetMode="External"/><Relationship Id="rId995" Type="http://schemas.openxmlformats.org/officeDocument/2006/relationships/hyperlink" Target="http://www.phosphosite.org/proteinAction.do?id=3354&amp;showAllSites=true" TargetMode="External"/><Relationship Id="rId203" Type="http://schemas.openxmlformats.org/officeDocument/2006/relationships/hyperlink" Target="http://www.phosphosite.org/proteinAction.do?id=4488&amp;showAllSites=true" TargetMode="External"/><Relationship Id="rId648" Type="http://schemas.openxmlformats.org/officeDocument/2006/relationships/hyperlink" Target="http://www.phosphosite.org/proteinAction.do?id=10477&amp;showAllSites=true" TargetMode="External"/><Relationship Id="rId855" Type="http://schemas.openxmlformats.org/officeDocument/2006/relationships/hyperlink" Target="http://www.phosphosite.org/proteinAction.do?id=6794&amp;showAllSites=true" TargetMode="External"/><Relationship Id="rId1040" Type="http://schemas.openxmlformats.org/officeDocument/2006/relationships/hyperlink" Target="http://www.phosphosite.org/proteinAction.do?id=14015&amp;showAllSites=true" TargetMode="External"/><Relationship Id="rId287" Type="http://schemas.openxmlformats.org/officeDocument/2006/relationships/hyperlink" Target="http://www.phosphosite.org/proteinAction.do?id=8395&amp;showAllSites=true" TargetMode="External"/><Relationship Id="rId410" Type="http://schemas.openxmlformats.org/officeDocument/2006/relationships/hyperlink" Target="http://www.phosphosite.org/proteinAction.do?id=12265&amp;showAllSites=true" TargetMode="External"/><Relationship Id="rId494" Type="http://schemas.openxmlformats.org/officeDocument/2006/relationships/hyperlink" Target="http://www.phosphosite.org/proteinAction.do?id=22956&amp;showAllSites=true" TargetMode="External"/><Relationship Id="rId508" Type="http://schemas.openxmlformats.org/officeDocument/2006/relationships/hyperlink" Target="http://www.cellsignal.com/products/12588.html" TargetMode="External"/><Relationship Id="rId715" Type="http://schemas.openxmlformats.org/officeDocument/2006/relationships/hyperlink" Target="http://www.cellsignal.com/products/2459.html" TargetMode="External"/><Relationship Id="rId922" Type="http://schemas.openxmlformats.org/officeDocument/2006/relationships/hyperlink" Target="http://www.phosphosite.org/proteinAction.do?id=16532&amp;showAllSites=true" TargetMode="External"/><Relationship Id="rId147" Type="http://schemas.openxmlformats.org/officeDocument/2006/relationships/hyperlink" Target="http://www.phosphosite.org/proteinAction.do?id=3454&amp;showAllSites=true" TargetMode="External"/><Relationship Id="rId354" Type="http://schemas.openxmlformats.org/officeDocument/2006/relationships/hyperlink" Target="http://www.phosphosite.org/proteinAction.do?id=1878&amp;showAllSites=true" TargetMode="External"/><Relationship Id="rId799" Type="http://schemas.openxmlformats.org/officeDocument/2006/relationships/hyperlink" Target="http://www.cellsignal.com/products/4929.html" TargetMode="External"/><Relationship Id="rId51" Type="http://schemas.openxmlformats.org/officeDocument/2006/relationships/hyperlink" Target="http://www.cellsignal.com/products/4738.html" TargetMode="External"/><Relationship Id="rId561" Type="http://schemas.openxmlformats.org/officeDocument/2006/relationships/hyperlink" Target="http://www.phosphosite.org/proteinAction.do?id=8093&amp;showAllSites=true" TargetMode="External"/><Relationship Id="rId659" Type="http://schemas.openxmlformats.org/officeDocument/2006/relationships/hyperlink" Target="http://www.phosphosite.org/proteinAction.do?id=4264&amp;showAllSites=true" TargetMode="External"/><Relationship Id="rId866" Type="http://schemas.openxmlformats.org/officeDocument/2006/relationships/hyperlink" Target="http://www.phosphosite.org/proteinAction.do?id=5161&amp;showAllSites=true" TargetMode="External"/><Relationship Id="rId214" Type="http://schemas.openxmlformats.org/officeDocument/2006/relationships/hyperlink" Target="http://www.phosphosite.org/proteinAction.do?id=9388&amp;showAllSites=true" TargetMode="External"/><Relationship Id="rId298" Type="http://schemas.openxmlformats.org/officeDocument/2006/relationships/hyperlink" Target="http://www.cellsignal.com/products/8135.html" TargetMode="External"/><Relationship Id="rId421" Type="http://schemas.openxmlformats.org/officeDocument/2006/relationships/hyperlink" Target="http://www.cellsignal.com/products/9044.html" TargetMode="External"/><Relationship Id="rId519" Type="http://schemas.openxmlformats.org/officeDocument/2006/relationships/hyperlink" Target="http://www.phosphosite.org/proteinAction.do?id=4378&amp;showAllSites=true" TargetMode="External"/><Relationship Id="rId1051" Type="http://schemas.openxmlformats.org/officeDocument/2006/relationships/hyperlink" Target="http://www.phosphosite.org/proteinAction.do?id=11545507&amp;showAllSites=true" TargetMode="External"/><Relationship Id="rId158" Type="http://schemas.openxmlformats.org/officeDocument/2006/relationships/hyperlink" Target="http://www.ncbi.nlm.nih.gov/entrez/query.fcgi?db=protein&amp;cmd=search&amp;term=NP_033271" TargetMode="External"/><Relationship Id="rId726" Type="http://schemas.openxmlformats.org/officeDocument/2006/relationships/hyperlink" Target="http://www.phosphosite.org/proteinAction.do?id=6591&amp;showAllSites=true" TargetMode="External"/><Relationship Id="rId933" Type="http://schemas.openxmlformats.org/officeDocument/2006/relationships/hyperlink" Target="http://www.phosphosite.org/proteinAction.do?id=23300603&amp;showAllSites=true" TargetMode="External"/><Relationship Id="rId1009" Type="http://schemas.openxmlformats.org/officeDocument/2006/relationships/hyperlink" Target="http://www.phosphosite.org/proteinAction.do?id=9227&amp;showAllSites=true" TargetMode="External"/><Relationship Id="rId62" Type="http://schemas.openxmlformats.org/officeDocument/2006/relationships/hyperlink" Target="http://www.phosphosite.org/proteinAction.do?id=1482&amp;showAllSites=true" TargetMode="External"/><Relationship Id="rId365" Type="http://schemas.openxmlformats.org/officeDocument/2006/relationships/hyperlink" Target="http://www.cellsignal.com/products/9072.html" TargetMode="External"/><Relationship Id="rId572" Type="http://schemas.openxmlformats.org/officeDocument/2006/relationships/hyperlink" Target="http://www.phosphosite.org/proteinAction.do?id=16348&amp;showAllSites=true" TargetMode="External"/><Relationship Id="rId225" Type="http://schemas.openxmlformats.org/officeDocument/2006/relationships/hyperlink" Target="http://www.cellsignal.com/products/3593.html" TargetMode="External"/><Relationship Id="rId432" Type="http://schemas.openxmlformats.org/officeDocument/2006/relationships/hyperlink" Target="http://www.cellsignal.com/products/9087.html" TargetMode="External"/><Relationship Id="rId877" Type="http://schemas.openxmlformats.org/officeDocument/2006/relationships/hyperlink" Target="http://www.phosphosite.org/proteinAction.do?id=8105&amp;showAllSites=true" TargetMode="External"/><Relationship Id="rId1062" Type="http://schemas.openxmlformats.org/officeDocument/2006/relationships/hyperlink" Target="http://www.phosphosite.org/proteinAction.do?id=18611204&amp;showAllSites=true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hosphosite.org/proteinAction.do?id=10609&amp;showAllSites=true" TargetMode="External"/><Relationship Id="rId7" Type="http://schemas.openxmlformats.org/officeDocument/2006/relationships/hyperlink" Target="http://www.phosphosite.org/proteinAction.do?id=1657&amp;showAllSites=true" TargetMode="External"/><Relationship Id="rId2" Type="http://schemas.openxmlformats.org/officeDocument/2006/relationships/hyperlink" Target="http://www.phosphosite.org/proteinAction.do?id=1528&amp;showAllSites=true" TargetMode="External"/><Relationship Id="rId1" Type="http://schemas.openxmlformats.org/officeDocument/2006/relationships/hyperlink" Target="http://www.cellsignal.com/products/4565.html" TargetMode="External"/><Relationship Id="rId6" Type="http://schemas.openxmlformats.org/officeDocument/2006/relationships/hyperlink" Target="http://www.phosphosite.org/proteinAction.do?id=25516004&amp;showAllSites=true" TargetMode="External"/><Relationship Id="rId5" Type="http://schemas.openxmlformats.org/officeDocument/2006/relationships/hyperlink" Target="http://www.phosphosite.org/proteinAction.do?id=5667&amp;showAllSites=true" TargetMode="External"/><Relationship Id="rId4" Type="http://schemas.openxmlformats.org/officeDocument/2006/relationships/hyperlink" Target="http://www.phosphosite.org/proteinAction.do?id=21502&amp;showAllSites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"/>
  <sheetViews>
    <sheetView workbookViewId="0">
      <pane ySplit="1" topLeftCell="A2" activePane="bottomLeft" state="frozen"/>
      <selection pane="bottomLeft" activeCell="A2" sqref="A2"/>
    </sheetView>
  </sheetViews>
  <sheetFormatPr defaultColWidth="11.42578125" defaultRowHeight="12.75"/>
  <cols>
    <col min="1" max="1" width="45.42578125" style="46" customWidth="1"/>
    <col min="2" max="2" width="70.7109375" style="46" customWidth="1"/>
    <col min="3" max="3" width="21.42578125" style="46" customWidth="1"/>
    <col min="4" max="4" width="19.28515625" style="46" customWidth="1"/>
    <col min="5" max="16384" width="11.42578125" style="46"/>
  </cols>
  <sheetData>
    <row r="1" spans="1:4" ht="36.75" customHeight="1">
      <c r="A1" s="43" t="s">
        <v>4895</v>
      </c>
      <c r="B1" s="44" t="s">
        <v>4896</v>
      </c>
      <c r="C1" s="45" t="s">
        <v>4897</v>
      </c>
      <c r="D1" s="45" t="s">
        <v>4898</v>
      </c>
    </row>
    <row r="2" spans="1:4" ht="15">
      <c r="A2" s="47" t="s">
        <v>4883</v>
      </c>
      <c r="B2" s="48" t="s">
        <v>4899</v>
      </c>
      <c r="C2" s="49" t="s">
        <v>4900</v>
      </c>
      <c r="D2" s="49" t="s">
        <v>4900</v>
      </c>
    </row>
    <row r="3" spans="1:4" ht="45">
      <c r="A3" s="47" t="s">
        <v>4901</v>
      </c>
      <c r="B3" s="48" t="s">
        <v>4902</v>
      </c>
      <c r="C3" s="49" t="s">
        <v>4903</v>
      </c>
      <c r="D3" s="49" t="s">
        <v>4900</v>
      </c>
    </row>
    <row r="4" spans="1:4" ht="15">
      <c r="A4" s="47" t="s">
        <v>4888</v>
      </c>
      <c r="B4" s="48" t="s">
        <v>4904</v>
      </c>
      <c r="C4" s="49" t="s">
        <v>4900</v>
      </c>
      <c r="D4" s="49" t="s">
        <v>4900</v>
      </c>
    </row>
    <row r="5" spans="1:4" ht="15">
      <c r="A5" s="47" t="s">
        <v>4905</v>
      </c>
      <c r="B5" s="48" t="s">
        <v>4906</v>
      </c>
      <c r="C5" s="49"/>
      <c r="D5" s="49" t="s">
        <v>4900</v>
      </c>
    </row>
    <row r="6" spans="1:4" ht="30">
      <c r="A6" s="47" t="s">
        <v>4907</v>
      </c>
      <c r="B6" s="48" t="s">
        <v>4908</v>
      </c>
      <c r="C6" s="49" t="s">
        <v>4900</v>
      </c>
      <c r="D6" s="49"/>
    </row>
    <row r="7" spans="1:4" ht="15">
      <c r="A7" s="47" t="s">
        <v>4882</v>
      </c>
      <c r="B7" s="48" t="s">
        <v>4909</v>
      </c>
      <c r="C7" s="49" t="s">
        <v>4900</v>
      </c>
      <c r="D7" s="49" t="s">
        <v>4900</v>
      </c>
    </row>
    <row r="8" spans="1:4" ht="60">
      <c r="A8" s="47" t="s">
        <v>4910</v>
      </c>
      <c r="B8" s="48" t="s">
        <v>4911</v>
      </c>
      <c r="C8" s="49"/>
      <c r="D8" s="49" t="s">
        <v>4900</v>
      </c>
    </row>
    <row r="9" spans="1:4" ht="45">
      <c r="A9" s="47" t="s">
        <v>4879</v>
      </c>
      <c r="B9" s="48" t="s">
        <v>4912</v>
      </c>
      <c r="C9" s="49" t="s">
        <v>4900</v>
      </c>
      <c r="D9" s="49" t="s">
        <v>4900</v>
      </c>
    </row>
    <row r="10" spans="1:4" ht="30">
      <c r="A10" s="47" t="s">
        <v>4885</v>
      </c>
      <c r="B10" s="48" t="s">
        <v>4913</v>
      </c>
      <c r="C10" s="49" t="s">
        <v>4900</v>
      </c>
      <c r="D10" s="49"/>
    </row>
    <row r="11" spans="1:4" ht="30">
      <c r="A11" s="47" t="s">
        <v>4871</v>
      </c>
      <c r="B11" s="48" t="s">
        <v>4914</v>
      </c>
      <c r="C11" s="49" t="s">
        <v>4900</v>
      </c>
      <c r="D11" s="49"/>
    </row>
    <row r="12" spans="1:4" ht="30">
      <c r="A12" s="47" t="s">
        <v>4867</v>
      </c>
      <c r="B12" s="48" t="s">
        <v>4915</v>
      </c>
      <c r="C12" s="49" t="s">
        <v>4900</v>
      </c>
      <c r="D12" s="49"/>
    </row>
    <row r="13" spans="1:4" ht="60">
      <c r="A13" s="47" t="s">
        <v>4868</v>
      </c>
      <c r="B13" s="48" t="s">
        <v>4916</v>
      </c>
      <c r="C13" s="49" t="s">
        <v>4900</v>
      </c>
      <c r="D13" s="49"/>
    </row>
    <row r="14" spans="1:4" ht="15">
      <c r="A14" s="47" t="s">
        <v>4887</v>
      </c>
      <c r="B14" s="48" t="s">
        <v>4917</v>
      </c>
      <c r="C14" s="49" t="s">
        <v>4900</v>
      </c>
      <c r="D14" s="49" t="s">
        <v>4900</v>
      </c>
    </row>
    <row r="15" spans="1:4" ht="60">
      <c r="A15" s="47" t="s">
        <v>4866</v>
      </c>
      <c r="B15" s="48" t="s">
        <v>4918</v>
      </c>
      <c r="C15" s="49"/>
      <c r="D15" s="49" t="s">
        <v>4900</v>
      </c>
    </row>
    <row r="16" spans="1:4" ht="30">
      <c r="A16" s="47" t="s">
        <v>4869</v>
      </c>
      <c r="B16" s="48" t="s">
        <v>4919</v>
      </c>
      <c r="C16" s="49"/>
      <c r="D16" s="49" t="s">
        <v>4903</v>
      </c>
    </row>
    <row r="17" spans="1:4" ht="45">
      <c r="A17" s="47" t="s">
        <v>4881</v>
      </c>
      <c r="B17" s="48" t="s">
        <v>4920</v>
      </c>
      <c r="C17" s="49" t="s">
        <v>4900</v>
      </c>
      <c r="D17" s="49" t="s">
        <v>4900</v>
      </c>
    </row>
    <row r="18" spans="1:4" ht="15">
      <c r="A18" s="47" t="s">
        <v>4856</v>
      </c>
      <c r="B18" s="48" t="s">
        <v>4921</v>
      </c>
      <c r="C18" s="49" t="s">
        <v>4900</v>
      </c>
      <c r="D18" s="49" t="s">
        <v>4903</v>
      </c>
    </row>
    <row r="19" spans="1:4" ht="30">
      <c r="A19" s="47" t="s">
        <v>4884</v>
      </c>
      <c r="B19" s="48" t="s">
        <v>4922</v>
      </c>
      <c r="C19" s="49" t="s">
        <v>4900</v>
      </c>
      <c r="D19" s="49" t="s">
        <v>4900</v>
      </c>
    </row>
    <row r="20" spans="1:4" ht="60">
      <c r="A20" s="47" t="s">
        <v>4870</v>
      </c>
      <c r="B20" s="48" t="s">
        <v>4923</v>
      </c>
      <c r="C20" s="49" t="s">
        <v>4900</v>
      </c>
      <c r="D20" s="49"/>
    </row>
    <row r="21" spans="1:4" ht="45">
      <c r="A21" s="47" t="s">
        <v>4924</v>
      </c>
      <c r="B21" s="48" t="s">
        <v>4925</v>
      </c>
      <c r="C21" s="49" t="s">
        <v>4903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BS1219"/>
  <sheetViews>
    <sheetView tabSelected="1" topLeftCell="M1" workbookViewId="0">
      <pane ySplit="11" topLeftCell="A282" activePane="bottomLeft" state="frozen"/>
      <selection pane="bottomLeft" activeCell="P282" sqref="P282"/>
    </sheetView>
  </sheetViews>
  <sheetFormatPr defaultColWidth="8.85546875" defaultRowHeight="15"/>
  <cols>
    <col min="1" max="1" width="16.28515625" customWidth="1"/>
    <col min="2" max="2" width="19.85546875" customWidth="1"/>
    <col min="3" max="3" width="40.7109375" customWidth="1"/>
    <col min="4" max="6" width="25.7109375" customWidth="1"/>
    <col min="7" max="7" width="80.7109375" customWidth="1"/>
    <col min="8" max="8" width="25.7109375" customWidth="1"/>
    <col min="9" max="9" width="80.7109375" customWidth="1"/>
    <col min="10" max="10" width="25.7109375" customWidth="1"/>
    <col min="11" max="11" width="35.7109375" customWidth="1"/>
    <col min="12" max="12" width="55.28515625" bestFit="1" customWidth="1"/>
    <col min="13" max="13" width="9.42578125" bestFit="1" customWidth="1"/>
    <col min="14" max="14" width="12.28515625" style="96" bestFit="1" customWidth="1"/>
    <col min="15" max="30" width="22.28515625" customWidth="1"/>
    <col min="31" max="38" width="22.28515625" style="92" customWidth="1"/>
    <col min="39" max="54" width="22.28515625" style="96" customWidth="1"/>
    <col min="55" max="62" width="22.28515625" customWidth="1"/>
    <col min="63" max="70" width="22.28515625" style="92" customWidth="1"/>
    <col min="71" max="71" width="10.140625" bestFit="1" customWidth="1"/>
    <col min="72" max="923" width="25.7109375" style="28" customWidth="1"/>
    <col min="924" max="16384" width="8.85546875" style="28"/>
  </cols>
  <sheetData>
    <row r="1" spans="1:71" ht="24.75">
      <c r="A1" s="58" t="s">
        <v>6110</v>
      </c>
      <c r="B1" s="58"/>
      <c r="C1" s="28"/>
      <c r="D1" s="61"/>
      <c r="E1" s="61"/>
      <c r="F1" s="61"/>
      <c r="G1" s="59"/>
      <c r="H1" s="28"/>
      <c r="I1" s="61"/>
      <c r="J1" s="61"/>
      <c r="K1" s="60"/>
      <c r="L1" s="62"/>
      <c r="M1" s="61"/>
      <c r="N1" s="93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88"/>
      <c r="AF1" s="88"/>
      <c r="AG1" s="88"/>
      <c r="AH1" s="88"/>
      <c r="AI1" s="88"/>
      <c r="AJ1" s="88"/>
      <c r="AK1" s="88"/>
      <c r="AL1" s="88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59"/>
      <c r="BD1" s="59"/>
      <c r="BE1" s="59"/>
      <c r="BF1" s="59"/>
      <c r="BG1" s="59"/>
      <c r="BH1" s="59"/>
      <c r="BI1" s="59"/>
      <c r="BJ1" s="59"/>
      <c r="BK1" s="88"/>
      <c r="BL1" s="88"/>
      <c r="BM1" s="88"/>
      <c r="BN1" s="88"/>
      <c r="BO1" s="88"/>
      <c r="BP1" s="88"/>
      <c r="BQ1" s="88"/>
      <c r="BR1" s="88"/>
      <c r="BS1" s="28"/>
    </row>
    <row r="2" spans="1:71" ht="6.75" customHeight="1">
      <c r="A2" s="58"/>
      <c r="B2" s="58"/>
      <c r="C2" s="28"/>
      <c r="D2" s="61"/>
      <c r="E2" s="61"/>
      <c r="F2" s="61"/>
      <c r="G2" s="59"/>
      <c r="H2" s="28"/>
      <c r="I2" s="61"/>
      <c r="J2" s="61"/>
      <c r="K2" s="60"/>
      <c r="L2" s="62"/>
      <c r="M2" s="61"/>
      <c r="N2" s="93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88"/>
      <c r="AF2" s="88"/>
      <c r="AG2" s="88"/>
      <c r="AH2" s="88"/>
      <c r="AI2" s="88"/>
      <c r="AJ2" s="88"/>
      <c r="AK2" s="88"/>
      <c r="AL2" s="88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C2" s="59"/>
      <c r="BD2" s="59"/>
      <c r="BE2" s="59"/>
      <c r="BF2" s="59"/>
      <c r="BG2" s="59"/>
      <c r="BH2" s="59"/>
      <c r="BI2" s="59"/>
      <c r="BJ2" s="59"/>
      <c r="BK2" s="88"/>
      <c r="BL2" s="88"/>
      <c r="BM2" s="88"/>
      <c r="BN2" s="88"/>
      <c r="BO2" s="88"/>
      <c r="BP2" s="88"/>
      <c r="BQ2" s="88"/>
      <c r="BR2" s="88"/>
      <c r="BS2" s="28"/>
    </row>
    <row r="3" spans="1:71" ht="22.5">
      <c r="A3" s="58" t="s">
        <v>4937</v>
      </c>
      <c r="B3" s="58"/>
      <c r="C3" s="28"/>
      <c r="D3" s="61"/>
      <c r="E3" s="61"/>
      <c r="F3" s="61"/>
      <c r="G3" s="59"/>
      <c r="H3" s="28"/>
      <c r="I3" s="61"/>
      <c r="J3" s="61"/>
      <c r="K3" s="60"/>
      <c r="L3" s="62"/>
      <c r="M3" s="61"/>
      <c r="N3" s="93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88"/>
      <c r="AF3" s="88"/>
      <c r="AG3" s="88"/>
      <c r="AH3" s="88"/>
      <c r="AI3" s="88"/>
      <c r="AJ3" s="88"/>
      <c r="AK3" s="88"/>
      <c r="AL3" s="88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59"/>
      <c r="BD3" s="59"/>
      <c r="BE3" s="59"/>
      <c r="BF3" s="59"/>
      <c r="BG3" s="59"/>
      <c r="BH3" s="59"/>
      <c r="BI3" s="59"/>
      <c r="BJ3" s="59"/>
      <c r="BK3" s="88"/>
      <c r="BL3" s="88"/>
      <c r="BM3" s="88"/>
      <c r="BN3" s="88"/>
      <c r="BO3" s="88"/>
      <c r="BP3" s="88"/>
      <c r="BQ3" s="88"/>
      <c r="BR3" s="88"/>
      <c r="BS3" s="28"/>
    </row>
    <row r="4" spans="1:71" ht="6.75" customHeight="1">
      <c r="A4" s="58"/>
      <c r="B4" s="58"/>
      <c r="C4" s="28"/>
      <c r="D4" s="61"/>
      <c r="E4" s="61"/>
      <c r="F4" s="61"/>
      <c r="G4" s="59"/>
      <c r="H4" s="28"/>
      <c r="I4" s="61"/>
      <c r="J4" s="61"/>
      <c r="K4" s="60"/>
      <c r="L4" s="62"/>
      <c r="M4" s="61"/>
      <c r="N4" s="93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88"/>
      <c r="AF4" s="88"/>
      <c r="AG4" s="88"/>
      <c r="AH4" s="88"/>
      <c r="AI4" s="88"/>
      <c r="AJ4" s="88"/>
      <c r="AK4" s="88"/>
      <c r="AL4" s="88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59"/>
      <c r="BD4" s="59"/>
      <c r="BE4" s="59"/>
      <c r="BF4" s="59"/>
      <c r="BG4" s="59"/>
      <c r="BH4" s="59"/>
      <c r="BI4" s="59"/>
      <c r="BJ4" s="59"/>
      <c r="BK4" s="88"/>
      <c r="BL4" s="88"/>
      <c r="BM4" s="88"/>
      <c r="BN4" s="88"/>
      <c r="BO4" s="88"/>
      <c r="BP4" s="88"/>
      <c r="BQ4" s="88"/>
      <c r="BR4" s="88"/>
      <c r="BS4" s="28"/>
    </row>
    <row r="5" spans="1:71" ht="22.5">
      <c r="A5" s="58" t="s">
        <v>4938</v>
      </c>
      <c r="B5" s="58"/>
      <c r="C5" s="28"/>
      <c r="D5" s="61"/>
      <c r="E5" s="61"/>
      <c r="F5" s="61"/>
      <c r="G5" s="59"/>
      <c r="H5" s="28"/>
      <c r="I5" s="61"/>
      <c r="J5" s="61"/>
      <c r="K5" s="60"/>
      <c r="L5" s="62"/>
      <c r="M5" s="61"/>
      <c r="N5" s="93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72"/>
      <c r="AA5" s="74"/>
      <c r="AB5" s="74"/>
      <c r="AC5" s="74"/>
      <c r="AD5" s="74"/>
      <c r="AE5" s="88"/>
      <c r="AF5" s="88"/>
      <c r="AG5" s="88"/>
      <c r="AH5" s="88"/>
      <c r="AI5" s="88"/>
      <c r="AJ5" s="88"/>
      <c r="AK5" s="88"/>
      <c r="AL5" s="88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59"/>
      <c r="BD5" s="59"/>
      <c r="BE5" s="59"/>
      <c r="BF5" s="59"/>
      <c r="BG5" s="59"/>
      <c r="BH5" s="59"/>
      <c r="BI5" s="59"/>
      <c r="BJ5" s="59"/>
      <c r="BK5" s="88"/>
      <c r="BL5" s="88"/>
      <c r="BM5" s="88"/>
      <c r="BN5" s="88"/>
      <c r="BO5" s="88"/>
      <c r="BP5" s="88"/>
      <c r="BQ5" s="88"/>
      <c r="BR5" s="88"/>
      <c r="BS5" s="28"/>
    </row>
    <row r="6" spans="1:71" ht="6.75" customHeight="1">
      <c r="A6" s="58"/>
      <c r="B6" s="58"/>
      <c r="C6" s="28"/>
      <c r="D6" s="61"/>
      <c r="E6" s="61"/>
      <c r="F6" s="61"/>
      <c r="G6" s="59"/>
      <c r="H6" s="28"/>
      <c r="I6" s="61"/>
      <c r="J6" s="61"/>
      <c r="K6" s="60"/>
      <c r="L6" s="62"/>
      <c r="M6" s="61"/>
      <c r="N6" s="93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88"/>
      <c r="AF6" s="88"/>
      <c r="AG6" s="88"/>
      <c r="AH6" s="88"/>
      <c r="AI6" s="88"/>
      <c r="AJ6" s="88"/>
      <c r="AK6" s="88"/>
      <c r="AL6" s="88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59"/>
      <c r="BD6" s="59"/>
      <c r="BE6" s="59"/>
      <c r="BF6" s="59"/>
      <c r="BG6" s="59"/>
      <c r="BH6" s="59"/>
      <c r="BI6" s="59"/>
      <c r="BJ6" s="59"/>
      <c r="BK6" s="88"/>
      <c r="BL6" s="88"/>
      <c r="BM6" s="88"/>
      <c r="BN6" s="88"/>
      <c r="BO6" s="88"/>
      <c r="BP6" s="88"/>
      <c r="BQ6" s="88"/>
      <c r="BR6" s="88"/>
      <c r="BS6" s="28"/>
    </row>
    <row r="7" spans="1:71" s="68" customFormat="1" ht="22.5">
      <c r="A7" s="58" t="s">
        <v>6111</v>
      </c>
      <c r="B7" s="58"/>
      <c r="D7" s="61"/>
      <c r="E7" s="61"/>
      <c r="F7" s="61"/>
      <c r="G7" s="59"/>
      <c r="I7" s="61"/>
      <c r="J7" s="61"/>
      <c r="K7" s="60"/>
      <c r="L7" s="62"/>
      <c r="M7" s="61"/>
      <c r="N7" s="93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88"/>
      <c r="AF7" s="88"/>
      <c r="AG7" s="88"/>
      <c r="AH7" s="88"/>
      <c r="AI7" s="88"/>
      <c r="AJ7" s="88"/>
      <c r="AK7" s="88"/>
      <c r="AL7" s="88"/>
      <c r="AM7" s="93"/>
      <c r="AN7" s="101"/>
      <c r="AO7" s="101"/>
      <c r="AP7" s="101"/>
      <c r="AQ7" s="101"/>
      <c r="AR7" s="101"/>
      <c r="AS7" s="101"/>
      <c r="AT7" s="93"/>
      <c r="AU7" s="93"/>
      <c r="AV7" s="93"/>
      <c r="AW7" s="93"/>
      <c r="AX7" s="93"/>
      <c r="AY7" s="93"/>
      <c r="AZ7" s="93"/>
      <c r="BA7" s="93"/>
      <c r="BB7" s="93"/>
      <c r="BC7" s="59"/>
      <c r="BD7" s="59"/>
      <c r="BE7" s="59"/>
      <c r="BF7" s="59"/>
      <c r="BG7" s="59"/>
      <c r="BH7" s="59"/>
      <c r="BI7" s="59"/>
      <c r="BJ7" s="59"/>
      <c r="BK7" s="88"/>
      <c r="BL7" s="88"/>
      <c r="BM7" s="88"/>
      <c r="BN7" s="88"/>
      <c r="BO7" s="88"/>
      <c r="BP7" s="88"/>
      <c r="BQ7" s="88"/>
      <c r="BR7" s="88"/>
    </row>
    <row r="8" spans="1:71" ht="6.75" customHeight="1">
      <c r="A8" s="28"/>
      <c r="B8" s="28"/>
      <c r="C8" s="17"/>
      <c r="D8" s="61"/>
      <c r="E8" s="61"/>
      <c r="F8" s="61"/>
      <c r="G8" s="59"/>
      <c r="H8" s="28"/>
      <c r="I8" s="61"/>
      <c r="J8" s="61"/>
      <c r="K8" s="60"/>
      <c r="L8" s="62"/>
      <c r="M8" s="61"/>
      <c r="N8" s="93"/>
      <c r="O8" s="59"/>
      <c r="P8" s="59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  <c r="AC8" s="59"/>
      <c r="AD8" s="59"/>
      <c r="AE8" s="88"/>
      <c r="AF8" s="88"/>
      <c r="AG8" s="88"/>
      <c r="AH8" s="88"/>
      <c r="AI8" s="88"/>
      <c r="AJ8" s="88"/>
      <c r="AK8" s="88"/>
      <c r="AL8" s="88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59"/>
      <c r="BD8" s="59"/>
      <c r="BE8" s="59"/>
      <c r="BF8" s="59"/>
      <c r="BG8" s="59"/>
      <c r="BH8" s="59"/>
      <c r="BI8" s="59"/>
      <c r="BJ8" s="59"/>
      <c r="BK8" s="88"/>
      <c r="BL8" s="88"/>
      <c r="BM8" s="88"/>
      <c r="BN8" s="88"/>
      <c r="BO8" s="88"/>
      <c r="BP8" s="88"/>
      <c r="BQ8" s="88"/>
      <c r="BR8" s="88"/>
      <c r="BS8" s="28"/>
    </row>
    <row r="9" spans="1:71" ht="6.75" customHeight="1">
      <c r="A9" s="28"/>
      <c r="B9" s="28"/>
      <c r="C9" s="17"/>
      <c r="D9" s="61"/>
      <c r="E9" s="61"/>
      <c r="F9" s="61"/>
      <c r="G9" s="59"/>
      <c r="H9" s="28"/>
      <c r="I9" s="61"/>
      <c r="J9" s="61"/>
      <c r="K9" s="60"/>
      <c r="L9" s="62"/>
      <c r="M9" s="61"/>
      <c r="N9" s="93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/>
      <c r="AD9" s="59"/>
      <c r="AE9" s="88"/>
      <c r="AF9" s="88"/>
      <c r="AG9" s="88"/>
      <c r="AH9" s="88"/>
      <c r="AI9" s="88"/>
      <c r="AJ9" s="88"/>
      <c r="AK9" s="88"/>
      <c r="AL9" s="88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59"/>
      <c r="BD9" s="59"/>
      <c r="BE9" s="59"/>
      <c r="BF9" s="59"/>
      <c r="BG9" s="59"/>
      <c r="BH9" s="59"/>
      <c r="BI9" s="59"/>
      <c r="BJ9" s="59"/>
      <c r="BK9" s="88"/>
      <c r="BL9" s="88"/>
      <c r="BM9" s="88"/>
      <c r="BN9" s="88"/>
      <c r="BO9" s="88"/>
      <c r="BP9" s="88"/>
      <c r="BQ9" s="88"/>
      <c r="BR9" s="88"/>
      <c r="BS9" s="28"/>
    </row>
    <row r="10" spans="1:71" s="29" customFormat="1" ht="33.950000000000003" customHeight="1">
      <c r="A10" s="75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97"/>
      <c r="O10" s="107" t="s">
        <v>4867</v>
      </c>
      <c r="P10" s="108"/>
      <c r="Q10" s="108"/>
      <c r="R10" s="108"/>
      <c r="S10" s="108"/>
      <c r="T10" s="108"/>
      <c r="U10" s="108"/>
      <c r="V10" s="109"/>
      <c r="W10" s="110" t="s">
        <v>4868</v>
      </c>
      <c r="X10" s="111"/>
      <c r="Y10" s="111"/>
      <c r="Z10" s="111"/>
      <c r="AA10" s="111"/>
      <c r="AB10" s="111"/>
      <c r="AC10" s="111"/>
      <c r="AD10" s="112"/>
      <c r="AE10" s="104" t="s">
        <v>4870</v>
      </c>
      <c r="AF10" s="105"/>
      <c r="AG10" s="105"/>
      <c r="AH10" s="105"/>
      <c r="AI10" s="105"/>
      <c r="AJ10" s="105"/>
      <c r="AK10" s="105"/>
      <c r="AL10" s="106"/>
      <c r="AM10" s="113" t="s">
        <v>4871</v>
      </c>
      <c r="AN10" s="114"/>
      <c r="AO10" s="114"/>
      <c r="AP10" s="114"/>
      <c r="AQ10" s="114"/>
      <c r="AR10" s="114"/>
      <c r="AS10" s="114"/>
      <c r="AT10" s="115"/>
      <c r="AU10" s="116" t="s">
        <v>4872</v>
      </c>
      <c r="AV10" s="117"/>
      <c r="AW10" s="117"/>
      <c r="AX10" s="117"/>
      <c r="AY10" s="117"/>
      <c r="AZ10" s="117"/>
      <c r="BA10" s="117"/>
      <c r="BB10" s="118"/>
      <c r="BC10" s="119" t="s">
        <v>4873</v>
      </c>
      <c r="BD10" s="120"/>
      <c r="BE10" s="120"/>
      <c r="BF10" s="120"/>
      <c r="BG10" s="120"/>
      <c r="BH10" s="120"/>
      <c r="BI10" s="120"/>
      <c r="BJ10" s="121"/>
      <c r="BK10" s="104" t="s">
        <v>4874</v>
      </c>
      <c r="BL10" s="105"/>
      <c r="BM10" s="105"/>
      <c r="BN10" s="105"/>
      <c r="BO10" s="105"/>
      <c r="BP10" s="105"/>
      <c r="BQ10" s="105"/>
      <c r="BR10" s="106"/>
      <c r="BS10" s="75"/>
    </row>
    <row r="11" spans="1:71" s="29" customFormat="1" ht="33.950000000000003" customHeight="1">
      <c r="A11" s="81" t="s">
        <v>9</v>
      </c>
      <c r="B11" s="81" t="s">
        <v>10</v>
      </c>
      <c r="C11" s="81" t="s">
        <v>4878</v>
      </c>
      <c r="D11" s="81" t="s">
        <v>4879</v>
      </c>
      <c r="E11" s="81" t="s">
        <v>4880</v>
      </c>
      <c r="F11" s="81" t="s">
        <v>4881</v>
      </c>
      <c r="G11" s="81" t="s">
        <v>4882</v>
      </c>
      <c r="H11" s="81" t="s">
        <v>4883</v>
      </c>
      <c r="I11" s="81" t="s">
        <v>4884</v>
      </c>
      <c r="J11" s="81" t="s">
        <v>4885</v>
      </c>
      <c r="K11" s="81" t="s">
        <v>4886</v>
      </c>
      <c r="L11" s="81" t="s">
        <v>4887</v>
      </c>
      <c r="M11" s="81" t="s">
        <v>4888</v>
      </c>
      <c r="N11" s="85" t="s">
        <v>4889</v>
      </c>
      <c r="O11" s="81" t="s">
        <v>4890</v>
      </c>
      <c r="P11" s="81" t="s">
        <v>4891</v>
      </c>
      <c r="Q11" s="81" t="s">
        <v>4892</v>
      </c>
      <c r="R11" s="81" t="s">
        <v>4893</v>
      </c>
      <c r="S11" s="81" t="s">
        <v>4928</v>
      </c>
      <c r="T11" s="81" t="s">
        <v>4929</v>
      </c>
      <c r="U11" s="81" t="s">
        <v>4930</v>
      </c>
      <c r="V11" s="81" t="s">
        <v>4931</v>
      </c>
      <c r="W11" s="81" t="s">
        <v>4890</v>
      </c>
      <c r="X11" s="81" t="s">
        <v>4891</v>
      </c>
      <c r="Y11" s="81" t="s">
        <v>4892</v>
      </c>
      <c r="Z11" s="81" t="s">
        <v>4893</v>
      </c>
      <c r="AA11" s="81" t="s">
        <v>4928</v>
      </c>
      <c r="AB11" s="81" t="s">
        <v>4929</v>
      </c>
      <c r="AC11" s="81" t="s">
        <v>4930</v>
      </c>
      <c r="AD11" s="81" t="s">
        <v>4931</v>
      </c>
      <c r="AE11" s="98" t="s">
        <v>4890</v>
      </c>
      <c r="AF11" s="98" t="s">
        <v>4891</v>
      </c>
      <c r="AG11" s="98" t="s">
        <v>4892</v>
      </c>
      <c r="AH11" s="98" t="s">
        <v>4893</v>
      </c>
      <c r="AI11" s="98" t="s">
        <v>4928</v>
      </c>
      <c r="AJ11" s="98" t="s">
        <v>4929</v>
      </c>
      <c r="AK11" s="98" t="s">
        <v>4930</v>
      </c>
      <c r="AL11" s="98" t="s">
        <v>4931</v>
      </c>
      <c r="AM11" s="85" t="s">
        <v>4890</v>
      </c>
      <c r="AN11" s="85" t="s">
        <v>4891</v>
      </c>
      <c r="AO11" s="85" t="s">
        <v>4892</v>
      </c>
      <c r="AP11" s="85" t="s">
        <v>4893</v>
      </c>
      <c r="AQ11" s="85" t="s">
        <v>4928</v>
      </c>
      <c r="AR11" s="85" t="s">
        <v>4929</v>
      </c>
      <c r="AS11" s="85" t="s">
        <v>4930</v>
      </c>
      <c r="AT11" s="85" t="s">
        <v>4931</v>
      </c>
      <c r="AU11" s="85" t="s">
        <v>4890</v>
      </c>
      <c r="AV11" s="85" t="s">
        <v>4891</v>
      </c>
      <c r="AW11" s="85" t="s">
        <v>4892</v>
      </c>
      <c r="AX11" s="85" t="s">
        <v>4893</v>
      </c>
      <c r="AY11" s="85" t="s">
        <v>4928</v>
      </c>
      <c r="AZ11" s="85" t="s">
        <v>4929</v>
      </c>
      <c r="BA11" s="85" t="s">
        <v>4930</v>
      </c>
      <c r="BB11" s="85" t="s">
        <v>4931</v>
      </c>
      <c r="BC11" s="81" t="s">
        <v>4890</v>
      </c>
      <c r="BD11" s="81" t="s">
        <v>4891</v>
      </c>
      <c r="BE11" s="81" t="s">
        <v>4892</v>
      </c>
      <c r="BF11" s="81" t="s">
        <v>4893</v>
      </c>
      <c r="BG11" s="81" t="s">
        <v>4928</v>
      </c>
      <c r="BH11" s="81" t="s">
        <v>4929</v>
      </c>
      <c r="BI11" s="81" t="s">
        <v>4930</v>
      </c>
      <c r="BJ11" s="81" t="s">
        <v>4931</v>
      </c>
      <c r="BK11" s="98" t="s">
        <v>4890</v>
      </c>
      <c r="BL11" s="98" t="s">
        <v>4891</v>
      </c>
      <c r="BM11" s="98" t="s">
        <v>4892</v>
      </c>
      <c r="BN11" s="98" t="s">
        <v>4893</v>
      </c>
      <c r="BO11" s="98" t="s">
        <v>4928</v>
      </c>
      <c r="BP11" s="98" t="s">
        <v>4929</v>
      </c>
      <c r="BQ11" s="98" t="s">
        <v>4930</v>
      </c>
      <c r="BR11" s="98" t="s">
        <v>4931</v>
      </c>
      <c r="BS11" s="81" t="s">
        <v>4856</v>
      </c>
    </row>
    <row r="12" spans="1:71" ht="17.100000000000001" customHeight="1">
      <c r="A12" s="31">
        <v>1</v>
      </c>
      <c r="B12" s="11" t="s">
        <v>12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94"/>
      <c r="O12" s="34"/>
      <c r="P12" s="34"/>
      <c r="Q12" s="34"/>
      <c r="R12" s="34"/>
      <c r="S12" s="34"/>
      <c r="T12" s="34"/>
      <c r="U12" s="34"/>
      <c r="V12" s="34"/>
      <c r="W12" s="1"/>
      <c r="X12" s="1"/>
      <c r="Y12" s="1"/>
      <c r="Z12" s="1"/>
      <c r="AA12" s="1"/>
      <c r="AB12" s="1"/>
      <c r="AC12" s="1"/>
      <c r="AD12" s="1"/>
      <c r="AE12" s="89"/>
      <c r="AF12" s="89"/>
      <c r="AG12" s="89"/>
      <c r="AH12" s="89"/>
      <c r="AI12" s="89"/>
      <c r="AJ12" s="89"/>
      <c r="AK12" s="89"/>
      <c r="AL12" s="89"/>
      <c r="AM12" s="94"/>
      <c r="AN12" s="94"/>
      <c r="AO12" s="94"/>
      <c r="AP12" s="94"/>
      <c r="AQ12" s="94"/>
      <c r="AR12" s="94"/>
      <c r="AS12" s="94"/>
      <c r="AT12" s="94"/>
      <c r="AU12" s="94"/>
      <c r="AV12" s="94"/>
      <c r="AW12" s="94"/>
      <c r="AX12" s="94"/>
      <c r="AY12" s="94"/>
      <c r="AZ12" s="94"/>
      <c r="BA12" s="94"/>
      <c r="BB12" s="94"/>
      <c r="BC12" s="1"/>
      <c r="BD12" s="1"/>
      <c r="BE12" s="1"/>
      <c r="BF12" s="1"/>
      <c r="BG12" s="1"/>
      <c r="BH12" s="1"/>
      <c r="BI12" s="1"/>
      <c r="BJ12" s="1"/>
      <c r="BK12" s="89"/>
      <c r="BL12" s="89"/>
      <c r="BM12" s="89"/>
      <c r="BN12" s="89"/>
      <c r="BO12" s="89"/>
      <c r="BP12" s="89"/>
      <c r="BQ12" s="89"/>
      <c r="BR12" s="89"/>
      <c r="BS12" s="1"/>
    </row>
    <row r="13" spans="1:71" s="30" customFormat="1" ht="17.100000000000001" customHeight="1">
      <c r="A13" s="14">
        <v>2</v>
      </c>
      <c r="B13" s="5" t="s">
        <v>4855</v>
      </c>
      <c r="C13" s="3" t="s">
        <v>4854</v>
      </c>
      <c r="D13" s="3" t="s">
        <v>4854</v>
      </c>
      <c r="E13" s="3" t="s">
        <v>4854</v>
      </c>
      <c r="F13" s="5" t="s">
        <v>4854</v>
      </c>
      <c r="G13" s="3" t="s">
        <v>4854</v>
      </c>
      <c r="H13" s="3" t="s">
        <v>4854</v>
      </c>
      <c r="I13" s="3" t="s">
        <v>4854</v>
      </c>
      <c r="J13" s="5" t="s">
        <v>4854</v>
      </c>
      <c r="K13" s="3" t="s">
        <v>4854</v>
      </c>
      <c r="L13" s="3" t="s">
        <v>4783</v>
      </c>
      <c r="M13" s="5">
        <v>5</v>
      </c>
      <c r="N13" s="21">
        <v>503.04140000000001</v>
      </c>
      <c r="O13" s="35" t="s">
        <v>4854</v>
      </c>
      <c r="P13" s="36" t="str">
        <f>HYPERLINK("http://ms.phosphosite.org:5080/cgi-bin/plot-msms.cgi?MassType=1&amp;NumAxis=1&amp;Mod11=170&amp;Pep=EESEAAAAAEKMEELHSLDPRR&amp;Dta=/var/www/html/dta/S01/10559.7195.5.dta&amp;Global_Mod=CS57.0215", "7195")</f>
        <v>7195</v>
      </c>
      <c r="Q13" s="35" t="s">
        <v>4854</v>
      </c>
      <c r="R13" s="35" t="s">
        <v>4854</v>
      </c>
      <c r="S13" s="35" t="s">
        <v>4854</v>
      </c>
      <c r="T13" s="35" t="s">
        <v>4854</v>
      </c>
      <c r="U13" s="35" t="s">
        <v>4854</v>
      </c>
      <c r="V13" s="35" t="s">
        <v>4854</v>
      </c>
      <c r="W13" s="3" t="s">
        <v>4854</v>
      </c>
      <c r="X13" s="3" t="s">
        <v>4854</v>
      </c>
      <c r="Y13" s="3" t="s">
        <v>4854</v>
      </c>
      <c r="Z13" s="3" t="s">
        <v>4854</v>
      </c>
      <c r="AA13" s="3" t="s">
        <v>4854</v>
      </c>
      <c r="AB13" s="3" t="s">
        <v>4854</v>
      </c>
      <c r="AC13" s="3" t="s">
        <v>4854</v>
      </c>
      <c r="AD13" s="3" t="s">
        <v>4854</v>
      </c>
      <c r="AE13" s="99" t="s">
        <v>4854</v>
      </c>
      <c r="AF13" s="90">
        <v>2.5510000000000002</v>
      </c>
      <c r="AG13" s="99" t="s">
        <v>4854</v>
      </c>
      <c r="AH13" s="99" t="s">
        <v>4854</v>
      </c>
      <c r="AI13" s="99" t="s">
        <v>4854</v>
      </c>
      <c r="AJ13" s="99" t="s">
        <v>4854</v>
      </c>
      <c r="AK13" s="99" t="s">
        <v>4854</v>
      </c>
      <c r="AL13" s="99" t="s">
        <v>4854</v>
      </c>
      <c r="AM13" s="102" t="s">
        <v>4854</v>
      </c>
      <c r="AN13" s="21">
        <v>1.2343</v>
      </c>
      <c r="AO13" s="102" t="s">
        <v>4854</v>
      </c>
      <c r="AP13" s="102" t="s">
        <v>4854</v>
      </c>
      <c r="AQ13" s="102" t="s">
        <v>4854</v>
      </c>
      <c r="AR13" s="102" t="s">
        <v>4854</v>
      </c>
      <c r="AS13" s="102" t="s">
        <v>4854</v>
      </c>
      <c r="AT13" s="102" t="s">
        <v>4854</v>
      </c>
      <c r="AU13" s="102" t="s">
        <v>4854</v>
      </c>
      <c r="AV13" s="21">
        <v>4.8000000000000001E-2</v>
      </c>
      <c r="AW13" s="102" t="s">
        <v>4854</v>
      </c>
      <c r="AX13" s="102" t="s">
        <v>4854</v>
      </c>
      <c r="AY13" s="102" t="s">
        <v>4854</v>
      </c>
      <c r="AZ13" s="102" t="s">
        <v>4854</v>
      </c>
      <c r="BA13" s="102" t="s">
        <v>4854</v>
      </c>
      <c r="BB13" s="102" t="s">
        <v>4854</v>
      </c>
      <c r="BC13" s="3" t="s">
        <v>4854</v>
      </c>
      <c r="BD13" s="5">
        <v>911</v>
      </c>
      <c r="BE13" s="3" t="s">
        <v>4854</v>
      </c>
      <c r="BF13" s="3" t="s">
        <v>4854</v>
      </c>
      <c r="BG13" s="3" t="s">
        <v>4854</v>
      </c>
      <c r="BH13" s="3" t="s">
        <v>4854</v>
      </c>
      <c r="BI13" s="3" t="s">
        <v>4854</v>
      </c>
      <c r="BJ13" s="3" t="s">
        <v>4854</v>
      </c>
      <c r="BK13" s="99" t="s">
        <v>4854</v>
      </c>
      <c r="BL13" s="90">
        <v>0.64800000000000002</v>
      </c>
      <c r="BM13" s="99" t="s">
        <v>4854</v>
      </c>
      <c r="BN13" s="99" t="s">
        <v>4854</v>
      </c>
      <c r="BO13" s="99" t="s">
        <v>4854</v>
      </c>
      <c r="BP13" s="99" t="s">
        <v>4854</v>
      </c>
      <c r="BQ13" s="99" t="s">
        <v>4854</v>
      </c>
      <c r="BR13" s="99" t="s">
        <v>4854</v>
      </c>
      <c r="BS13" s="5" t="s">
        <v>4857</v>
      </c>
    </row>
    <row r="14" spans="1:71" s="30" customFormat="1" ht="17.100000000000001" customHeight="1">
      <c r="A14" s="10">
        <v>3</v>
      </c>
      <c r="B14" s="10" t="s">
        <v>4859</v>
      </c>
      <c r="C14" s="4" t="s">
        <v>4854</v>
      </c>
      <c r="D14" s="4" t="s">
        <v>4854</v>
      </c>
      <c r="E14" s="4" t="s">
        <v>4854</v>
      </c>
      <c r="F14" s="10" t="s">
        <v>4854</v>
      </c>
      <c r="G14" s="4" t="s">
        <v>4854</v>
      </c>
      <c r="H14" s="4" t="s">
        <v>4854</v>
      </c>
      <c r="I14" s="4" t="s">
        <v>4854</v>
      </c>
      <c r="J14" s="10" t="s">
        <v>4854</v>
      </c>
      <c r="K14" s="4" t="s">
        <v>4854</v>
      </c>
      <c r="L14" s="4" t="s">
        <v>4784</v>
      </c>
      <c r="M14" s="10">
        <v>2</v>
      </c>
      <c r="N14" s="95">
        <v>492.22879999999998</v>
      </c>
      <c r="O14" s="37" t="str">
        <f>HYPERLINK("http://ms.phosphosite.org:5080/cgi-bin/plot-msms.cgi?MassType=1&amp;NumAxis=1&amp;Mod1=170&amp;Mod6=147&amp;Pep=KGDYPMSK&amp;Dta=/var/www/html/dta/S01/10558.2483.2.dta&amp;Global_Mod=CS57.0215", "2483")</f>
        <v>2483</v>
      </c>
      <c r="P14" s="38" t="s">
        <v>4854</v>
      </c>
      <c r="Q14" s="38" t="s">
        <v>4854</v>
      </c>
      <c r="R14" s="38" t="s">
        <v>4854</v>
      </c>
      <c r="S14" s="38" t="s">
        <v>4854</v>
      </c>
      <c r="T14" s="38" t="s">
        <v>4854</v>
      </c>
      <c r="U14" s="38" t="s">
        <v>4854</v>
      </c>
      <c r="V14" s="38" t="s">
        <v>4854</v>
      </c>
      <c r="W14" s="10">
        <v>2466</v>
      </c>
      <c r="X14" s="4" t="s">
        <v>4854</v>
      </c>
      <c r="Y14" s="4" t="s">
        <v>4854</v>
      </c>
      <c r="Z14" s="4" t="s">
        <v>4854</v>
      </c>
      <c r="AA14" s="4" t="s">
        <v>4854</v>
      </c>
      <c r="AB14" s="4" t="s">
        <v>4854</v>
      </c>
      <c r="AC14" s="4" t="s">
        <v>4854</v>
      </c>
      <c r="AD14" s="4" t="s">
        <v>4854</v>
      </c>
      <c r="AE14" s="91">
        <v>1.671</v>
      </c>
      <c r="AF14" s="100" t="s">
        <v>4854</v>
      </c>
      <c r="AG14" s="100" t="s">
        <v>4854</v>
      </c>
      <c r="AH14" s="100" t="s">
        <v>4854</v>
      </c>
      <c r="AI14" s="100" t="s">
        <v>4854</v>
      </c>
      <c r="AJ14" s="100" t="s">
        <v>4854</v>
      </c>
      <c r="AK14" s="100" t="s">
        <v>4854</v>
      </c>
      <c r="AL14" s="100" t="s">
        <v>4854</v>
      </c>
      <c r="AM14" s="95">
        <v>-0.2782</v>
      </c>
      <c r="AN14" s="103" t="s">
        <v>4854</v>
      </c>
      <c r="AO14" s="103" t="s">
        <v>4854</v>
      </c>
      <c r="AP14" s="103" t="s">
        <v>4854</v>
      </c>
      <c r="AQ14" s="103" t="s">
        <v>4854</v>
      </c>
      <c r="AR14" s="103" t="s">
        <v>4854</v>
      </c>
      <c r="AS14" s="103" t="s">
        <v>4854</v>
      </c>
      <c r="AT14" s="103" t="s">
        <v>4854</v>
      </c>
      <c r="AU14" s="95">
        <v>0.09</v>
      </c>
      <c r="AV14" s="103" t="s">
        <v>4854</v>
      </c>
      <c r="AW14" s="103" t="s">
        <v>4854</v>
      </c>
      <c r="AX14" s="103" t="s">
        <v>4854</v>
      </c>
      <c r="AY14" s="103" t="s">
        <v>4854</v>
      </c>
      <c r="AZ14" s="103" t="s">
        <v>4854</v>
      </c>
      <c r="BA14" s="103" t="s">
        <v>4854</v>
      </c>
      <c r="BB14" s="103" t="s">
        <v>4854</v>
      </c>
      <c r="BC14" s="10">
        <v>1</v>
      </c>
      <c r="BD14" s="4" t="s">
        <v>4854</v>
      </c>
      <c r="BE14" s="4" t="s">
        <v>4854</v>
      </c>
      <c r="BF14" s="4" t="s">
        <v>4854</v>
      </c>
      <c r="BG14" s="4" t="s">
        <v>4854</v>
      </c>
      <c r="BH14" s="4" t="s">
        <v>4854</v>
      </c>
      <c r="BI14" s="4" t="s">
        <v>4854</v>
      </c>
      <c r="BJ14" s="4" t="s">
        <v>4854</v>
      </c>
      <c r="BK14" s="91">
        <v>0.99199999999999999</v>
      </c>
      <c r="BL14" s="100" t="s">
        <v>4854</v>
      </c>
      <c r="BM14" s="100" t="s">
        <v>4854</v>
      </c>
      <c r="BN14" s="100" t="s">
        <v>4854</v>
      </c>
      <c r="BO14" s="100" t="s">
        <v>4854</v>
      </c>
      <c r="BP14" s="100" t="s">
        <v>4854</v>
      </c>
      <c r="BQ14" s="100" t="s">
        <v>4854</v>
      </c>
      <c r="BR14" s="100" t="s">
        <v>4854</v>
      </c>
      <c r="BS14" s="10" t="s">
        <v>4857</v>
      </c>
    </row>
    <row r="15" spans="1:71" s="30" customFormat="1" ht="17.100000000000001" customHeight="1">
      <c r="A15" s="14">
        <v>4</v>
      </c>
      <c r="B15" s="5" t="s">
        <v>4860</v>
      </c>
      <c r="C15" s="3" t="s">
        <v>4854</v>
      </c>
      <c r="D15" s="3" t="s">
        <v>4854</v>
      </c>
      <c r="E15" s="3" t="s">
        <v>4854</v>
      </c>
      <c r="F15" s="5" t="s">
        <v>4854</v>
      </c>
      <c r="G15" s="3" t="s">
        <v>4854</v>
      </c>
      <c r="H15" s="3" t="s">
        <v>4854</v>
      </c>
      <c r="I15" s="3" t="s">
        <v>4854</v>
      </c>
      <c r="J15" s="5" t="s">
        <v>4854</v>
      </c>
      <c r="K15" s="3" t="s">
        <v>4854</v>
      </c>
      <c r="L15" s="3" t="s">
        <v>4785</v>
      </c>
      <c r="M15" s="5">
        <v>3</v>
      </c>
      <c r="N15" s="21">
        <v>542.65809999999999</v>
      </c>
      <c r="O15" s="36" t="str">
        <f>HYPERLINK("http://ms.phosphosite.org:5080/cgi-bin/plot-msms.cgi?MassType=1&amp;NumAxis=1&amp;Mod9=170&amp;Pep=RYPLPVLTKAGGRR&amp;Dta=/var/www/html/dta/S01/10558.4191.3.dta&amp;Global_Mod=CS57.0215", "4191")</f>
        <v>4191</v>
      </c>
      <c r="P15" s="35" t="s">
        <v>4854</v>
      </c>
      <c r="Q15" s="35" t="s">
        <v>4854</v>
      </c>
      <c r="R15" s="35" t="s">
        <v>4854</v>
      </c>
      <c r="S15" s="35" t="s">
        <v>4854</v>
      </c>
      <c r="T15" s="35" t="s">
        <v>4854</v>
      </c>
      <c r="U15" s="35" t="s">
        <v>4854</v>
      </c>
      <c r="V15" s="36" t="str">
        <f>HYPERLINK("http://ms.phosphosite.org:5080/cgi-bin/plot-msms.cgi?MassType=1&amp;NumAxis=1&amp;Mod9=170&amp;Pep=RYPLPVLTKAGGRR&amp;Dta=/var/www/html/dta/S01/10565.4563.3.dta&amp;Global_Mod=CS57.0215", "4563")</f>
        <v>4563</v>
      </c>
      <c r="W15" s="3" t="s">
        <v>4854</v>
      </c>
      <c r="X15" s="3" t="s">
        <v>4854</v>
      </c>
      <c r="Y15" s="3" t="s">
        <v>4854</v>
      </c>
      <c r="Z15" s="3" t="s">
        <v>4854</v>
      </c>
      <c r="AA15" s="3" t="s">
        <v>4854</v>
      </c>
      <c r="AB15" s="3" t="s">
        <v>4854</v>
      </c>
      <c r="AC15" s="3" t="s">
        <v>4854</v>
      </c>
      <c r="AD15" s="3" t="s">
        <v>4854</v>
      </c>
      <c r="AE15" s="90">
        <v>3.0739999999999998</v>
      </c>
      <c r="AF15" s="99" t="s">
        <v>4854</v>
      </c>
      <c r="AG15" s="99" t="s">
        <v>4854</v>
      </c>
      <c r="AH15" s="99" t="s">
        <v>4854</v>
      </c>
      <c r="AI15" s="99" t="s">
        <v>4854</v>
      </c>
      <c r="AJ15" s="99" t="s">
        <v>4854</v>
      </c>
      <c r="AK15" s="99" t="s">
        <v>4854</v>
      </c>
      <c r="AL15" s="90">
        <v>3.4180000000000001</v>
      </c>
      <c r="AM15" s="21">
        <v>-0.89780000000000004</v>
      </c>
      <c r="AN15" s="102" t="s">
        <v>4854</v>
      </c>
      <c r="AO15" s="102" t="s">
        <v>4854</v>
      </c>
      <c r="AP15" s="102" t="s">
        <v>4854</v>
      </c>
      <c r="AQ15" s="102" t="s">
        <v>4854</v>
      </c>
      <c r="AR15" s="102" t="s">
        <v>4854</v>
      </c>
      <c r="AS15" s="102" t="s">
        <v>4854</v>
      </c>
      <c r="AT15" s="21">
        <v>-1.1037999999999999</v>
      </c>
      <c r="AU15" s="21">
        <v>2E-3</v>
      </c>
      <c r="AV15" s="102" t="s">
        <v>4854</v>
      </c>
      <c r="AW15" s="102" t="s">
        <v>4854</v>
      </c>
      <c r="AX15" s="102" t="s">
        <v>4854</v>
      </c>
      <c r="AY15" s="102" t="s">
        <v>4854</v>
      </c>
      <c r="AZ15" s="102" t="s">
        <v>4854</v>
      </c>
      <c r="BA15" s="102" t="s">
        <v>4854</v>
      </c>
      <c r="BB15" s="21">
        <v>6.6000000000000003E-2</v>
      </c>
      <c r="BC15" s="5">
        <v>2</v>
      </c>
      <c r="BD15" s="3" t="s">
        <v>4854</v>
      </c>
      <c r="BE15" s="3" t="s">
        <v>4854</v>
      </c>
      <c r="BF15" s="3" t="s">
        <v>4854</v>
      </c>
      <c r="BG15" s="3" t="s">
        <v>4854</v>
      </c>
      <c r="BH15" s="3" t="s">
        <v>4854</v>
      </c>
      <c r="BI15" s="3" t="s">
        <v>4854</v>
      </c>
      <c r="BJ15" s="5">
        <v>1</v>
      </c>
      <c r="BK15" s="90">
        <v>7.3999999999999996E-2</v>
      </c>
      <c r="BL15" s="99" t="s">
        <v>4854</v>
      </c>
      <c r="BM15" s="99" t="s">
        <v>4854</v>
      </c>
      <c r="BN15" s="99" t="s">
        <v>4854</v>
      </c>
      <c r="BO15" s="99" t="s">
        <v>4854</v>
      </c>
      <c r="BP15" s="99" t="s">
        <v>4854</v>
      </c>
      <c r="BQ15" s="99" t="s">
        <v>4854</v>
      </c>
      <c r="BR15" s="90">
        <v>6.4000000000000001E-2</v>
      </c>
      <c r="BS15" s="5" t="s">
        <v>4857</v>
      </c>
    </row>
    <row r="16" spans="1:71" s="30" customFormat="1" ht="17.100000000000001" customHeight="1">
      <c r="A16" s="10">
        <v>5</v>
      </c>
      <c r="B16" s="10" t="s">
        <v>4861</v>
      </c>
      <c r="C16" s="4" t="s">
        <v>4854</v>
      </c>
      <c r="D16" s="4" t="s">
        <v>4854</v>
      </c>
      <c r="E16" s="4" t="s">
        <v>4854</v>
      </c>
      <c r="F16" s="10" t="s">
        <v>4854</v>
      </c>
      <c r="G16" s="4" t="s">
        <v>4854</v>
      </c>
      <c r="H16" s="4" t="s">
        <v>4854</v>
      </c>
      <c r="I16" s="4" t="s">
        <v>4854</v>
      </c>
      <c r="J16" s="10" t="s">
        <v>4854</v>
      </c>
      <c r="K16" s="4" t="s">
        <v>4854</v>
      </c>
      <c r="L16" s="4" t="s">
        <v>4786</v>
      </c>
      <c r="M16" s="10">
        <v>3</v>
      </c>
      <c r="N16" s="95">
        <v>910.13009999999997</v>
      </c>
      <c r="O16" s="37" t="str">
        <f>HYPERLINK("http://ms.phosphosite.org:5080/cgi-bin/plot-msms.cgi?MassType=1&amp;NumAxis=1&amp;Mod10=170&amp;Mod23=160&amp;Pep=SIILSDVLFKPQYMSLMSNNLLC&amp;Dta=/var/www/html/dta/S01/10558.12570.3.dta&amp;Global_Mod=CS57.0215", "12570")</f>
        <v>12570</v>
      </c>
      <c r="P16" s="38" t="s">
        <v>4854</v>
      </c>
      <c r="Q16" s="38" t="s">
        <v>4854</v>
      </c>
      <c r="R16" s="38" t="s">
        <v>4854</v>
      </c>
      <c r="S16" s="38" t="s">
        <v>4854</v>
      </c>
      <c r="T16" s="38" t="s">
        <v>4854</v>
      </c>
      <c r="U16" s="38" t="s">
        <v>4854</v>
      </c>
      <c r="V16" s="38" t="s">
        <v>4854</v>
      </c>
      <c r="W16" s="4" t="s">
        <v>4854</v>
      </c>
      <c r="X16" s="4" t="s">
        <v>4854</v>
      </c>
      <c r="Y16" s="4" t="s">
        <v>4854</v>
      </c>
      <c r="Z16" s="4" t="s">
        <v>4854</v>
      </c>
      <c r="AA16" s="4" t="s">
        <v>4854</v>
      </c>
      <c r="AB16" s="4" t="s">
        <v>4854</v>
      </c>
      <c r="AC16" s="4" t="s">
        <v>4854</v>
      </c>
      <c r="AD16" s="4" t="s">
        <v>4854</v>
      </c>
      <c r="AE16" s="91">
        <v>1.853</v>
      </c>
      <c r="AF16" s="100" t="s">
        <v>4854</v>
      </c>
      <c r="AG16" s="100" t="s">
        <v>4854</v>
      </c>
      <c r="AH16" s="100" t="s">
        <v>4854</v>
      </c>
      <c r="AI16" s="100" t="s">
        <v>4854</v>
      </c>
      <c r="AJ16" s="100" t="s">
        <v>4854</v>
      </c>
      <c r="AK16" s="100" t="s">
        <v>4854</v>
      </c>
      <c r="AL16" s="100" t="s">
        <v>4854</v>
      </c>
      <c r="AM16" s="95">
        <v>0.96379999999999999</v>
      </c>
      <c r="AN16" s="103" t="s">
        <v>4854</v>
      </c>
      <c r="AO16" s="103" t="s">
        <v>4854</v>
      </c>
      <c r="AP16" s="103" t="s">
        <v>4854</v>
      </c>
      <c r="AQ16" s="103" t="s">
        <v>4854</v>
      </c>
      <c r="AR16" s="103" t="s">
        <v>4854</v>
      </c>
      <c r="AS16" s="103" t="s">
        <v>4854</v>
      </c>
      <c r="AT16" s="103" t="s">
        <v>4854</v>
      </c>
      <c r="AU16" s="95">
        <v>3.5999999999999997E-2</v>
      </c>
      <c r="AV16" s="103" t="s">
        <v>4854</v>
      </c>
      <c r="AW16" s="103" t="s">
        <v>4854</v>
      </c>
      <c r="AX16" s="103" t="s">
        <v>4854</v>
      </c>
      <c r="AY16" s="103" t="s">
        <v>4854</v>
      </c>
      <c r="AZ16" s="103" t="s">
        <v>4854</v>
      </c>
      <c r="BA16" s="103" t="s">
        <v>4854</v>
      </c>
      <c r="BB16" s="103" t="s">
        <v>4854</v>
      </c>
      <c r="BC16" s="10">
        <v>116</v>
      </c>
      <c r="BD16" s="4" t="s">
        <v>4854</v>
      </c>
      <c r="BE16" s="4" t="s">
        <v>4854</v>
      </c>
      <c r="BF16" s="4" t="s">
        <v>4854</v>
      </c>
      <c r="BG16" s="4" t="s">
        <v>4854</v>
      </c>
      <c r="BH16" s="4" t="s">
        <v>4854</v>
      </c>
      <c r="BI16" s="4" t="s">
        <v>4854</v>
      </c>
      <c r="BJ16" s="4" t="s">
        <v>4854</v>
      </c>
      <c r="BK16" s="91">
        <v>7.5999999999999998E-2</v>
      </c>
      <c r="BL16" s="100" t="s">
        <v>4854</v>
      </c>
      <c r="BM16" s="100" t="s">
        <v>4854</v>
      </c>
      <c r="BN16" s="100" t="s">
        <v>4854</v>
      </c>
      <c r="BO16" s="100" t="s">
        <v>4854</v>
      </c>
      <c r="BP16" s="100" t="s">
        <v>4854</v>
      </c>
      <c r="BQ16" s="100" t="s">
        <v>4854</v>
      </c>
      <c r="BR16" s="100" t="s">
        <v>4854</v>
      </c>
      <c r="BS16" s="10" t="s">
        <v>4857</v>
      </c>
    </row>
    <row r="17" spans="1:71" s="30" customFormat="1" ht="17.100000000000001" customHeight="1">
      <c r="A17" s="14">
        <v>6</v>
      </c>
      <c r="B17" s="5" t="s">
        <v>4862</v>
      </c>
      <c r="C17" s="3" t="s">
        <v>4854</v>
      </c>
      <c r="D17" s="3" t="s">
        <v>4854</v>
      </c>
      <c r="E17" s="3" t="s">
        <v>4854</v>
      </c>
      <c r="F17" s="5" t="s">
        <v>4854</v>
      </c>
      <c r="G17" s="3" t="s">
        <v>4854</v>
      </c>
      <c r="H17" s="3" t="s">
        <v>4854</v>
      </c>
      <c r="I17" s="3" t="s">
        <v>4854</v>
      </c>
      <c r="J17" s="5" t="s">
        <v>4854</v>
      </c>
      <c r="K17" s="3" t="s">
        <v>4854</v>
      </c>
      <c r="L17" s="3" t="s">
        <v>4787</v>
      </c>
      <c r="M17" s="5">
        <v>3</v>
      </c>
      <c r="N17" s="21">
        <v>493.92570000000001</v>
      </c>
      <c r="O17" s="35" t="s">
        <v>4854</v>
      </c>
      <c r="P17" s="35" t="s">
        <v>4854</v>
      </c>
      <c r="Q17" s="35" t="s">
        <v>4854</v>
      </c>
      <c r="R17" s="35" t="s">
        <v>4854</v>
      </c>
      <c r="S17" s="35" t="s">
        <v>4854</v>
      </c>
      <c r="T17" s="35" t="s">
        <v>4854</v>
      </c>
      <c r="U17" s="35" t="s">
        <v>4854</v>
      </c>
      <c r="V17" s="36" t="str">
        <f>HYPERLINK("http://ms.phosphosite.org:5080/cgi-bin/plot-msms.cgi?MassType=1&amp;NumAxis=1&amp;Mod6=170&amp;Mod8=160&amp;Pep=SKPVNKNCYISK&amp;Dta=/var/www/html/dta/S01/10565.7822.3.dta&amp;Global_Mod=CS57.0215", "7822")</f>
        <v>7822</v>
      </c>
      <c r="W17" s="3" t="s">
        <v>4854</v>
      </c>
      <c r="X17" s="3" t="s">
        <v>4854</v>
      </c>
      <c r="Y17" s="3" t="s">
        <v>4854</v>
      </c>
      <c r="Z17" s="3" t="s">
        <v>4854</v>
      </c>
      <c r="AA17" s="3" t="s">
        <v>4854</v>
      </c>
      <c r="AB17" s="3" t="s">
        <v>4854</v>
      </c>
      <c r="AC17" s="3" t="s">
        <v>4854</v>
      </c>
      <c r="AD17" s="3" t="s">
        <v>4854</v>
      </c>
      <c r="AE17" s="99" t="s">
        <v>4854</v>
      </c>
      <c r="AF17" s="99" t="s">
        <v>4854</v>
      </c>
      <c r="AG17" s="99" t="s">
        <v>4854</v>
      </c>
      <c r="AH17" s="99" t="s">
        <v>4854</v>
      </c>
      <c r="AI17" s="99" t="s">
        <v>4854</v>
      </c>
      <c r="AJ17" s="99" t="s">
        <v>4854</v>
      </c>
      <c r="AK17" s="99" t="s">
        <v>4854</v>
      </c>
      <c r="AL17" s="90">
        <v>1.8180000000000001</v>
      </c>
      <c r="AM17" s="102" t="s">
        <v>4854</v>
      </c>
      <c r="AN17" s="102" t="s">
        <v>4854</v>
      </c>
      <c r="AO17" s="102" t="s">
        <v>4854</v>
      </c>
      <c r="AP17" s="102" t="s">
        <v>4854</v>
      </c>
      <c r="AQ17" s="102" t="s">
        <v>4854</v>
      </c>
      <c r="AR17" s="102" t="s">
        <v>4854</v>
      </c>
      <c r="AS17" s="102" t="s">
        <v>4854</v>
      </c>
      <c r="AT17" s="21">
        <v>-2.2713999999999999</v>
      </c>
      <c r="AU17" s="102" t="s">
        <v>4854</v>
      </c>
      <c r="AV17" s="102" t="s">
        <v>4854</v>
      </c>
      <c r="AW17" s="102" t="s">
        <v>4854</v>
      </c>
      <c r="AX17" s="102" t="s">
        <v>4854</v>
      </c>
      <c r="AY17" s="102" t="s">
        <v>4854</v>
      </c>
      <c r="AZ17" s="102" t="s">
        <v>4854</v>
      </c>
      <c r="BA17" s="102" t="s">
        <v>4854</v>
      </c>
      <c r="BB17" s="21">
        <v>0.115</v>
      </c>
      <c r="BC17" s="3" t="s">
        <v>4854</v>
      </c>
      <c r="BD17" s="3" t="s">
        <v>4854</v>
      </c>
      <c r="BE17" s="3" t="s">
        <v>4854</v>
      </c>
      <c r="BF17" s="3" t="s">
        <v>4854</v>
      </c>
      <c r="BG17" s="3" t="s">
        <v>4854</v>
      </c>
      <c r="BH17" s="3" t="s">
        <v>4854</v>
      </c>
      <c r="BI17" s="3" t="s">
        <v>4854</v>
      </c>
      <c r="BJ17" s="5">
        <v>22</v>
      </c>
      <c r="BK17" s="99" t="s">
        <v>4854</v>
      </c>
      <c r="BL17" s="99" t="s">
        <v>4854</v>
      </c>
      <c r="BM17" s="99" t="s">
        <v>4854</v>
      </c>
      <c r="BN17" s="99" t="s">
        <v>4854</v>
      </c>
      <c r="BO17" s="99" t="s">
        <v>4854</v>
      </c>
      <c r="BP17" s="99" t="s">
        <v>4854</v>
      </c>
      <c r="BQ17" s="99" t="s">
        <v>4854</v>
      </c>
      <c r="BR17" s="90">
        <v>0.45100000000000001</v>
      </c>
      <c r="BS17" s="5" t="s">
        <v>4857</v>
      </c>
    </row>
    <row r="18" spans="1:71" s="30" customFormat="1" ht="17.100000000000001" customHeight="1">
      <c r="A18" s="10">
        <v>7</v>
      </c>
      <c r="B18" s="10" t="s">
        <v>4863</v>
      </c>
      <c r="C18" s="4" t="s">
        <v>4854</v>
      </c>
      <c r="D18" s="4" t="s">
        <v>4854</v>
      </c>
      <c r="E18" s="4" t="s">
        <v>4854</v>
      </c>
      <c r="F18" s="10" t="s">
        <v>4854</v>
      </c>
      <c r="G18" s="4" t="s">
        <v>4854</v>
      </c>
      <c r="H18" s="4" t="s">
        <v>4854</v>
      </c>
      <c r="I18" s="4" t="s">
        <v>4854</v>
      </c>
      <c r="J18" s="10" t="s">
        <v>4854</v>
      </c>
      <c r="K18" s="4" t="s">
        <v>4854</v>
      </c>
      <c r="L18" s="4" t="s">
        <v>4788</v>
      </c>
      <c r="M18" s="10">
        <v>3</v>
      </c>
      <c r="N18" s="95">
        <v>538.9665</v>
      </c>
      <c r="O18" s="38" t="s">
        <v>4854</v>
      </c>
      <c r="P18" s="38" t="s">
        <v>4854</v>
      </c>
      <c r="Q18" s="38" t="s">
        <v>4854</v>
      </c>
      <c r="R18" s="38" t="s">
        <v>4854</v>
      </c>
      <c r="S18" s="38" t="s">
        <v>4854</v>
      </c>
      <c r="T18" s="38" t="s">
        <v>4854</v>
      </c>
      <c r="U18" s="37" t="str">
        <f>HYPERLINK("http://ms.phosphosite.org:5080/cgi-bin/plot-msms.cgi?MassType=1&amp;NumAxis=1&amp;Mod5=170&amp;Pep=SSHFKIEQIKLDK&amp;Dta=/var/www/html/dta/S01/10564.8933.3.dta&amp;Global_Mod=CS57.0215", "8933")</f>
        <v>8933</v>
      </c>
      <c r="V18" s="38" t="s">
        <v>4854</v>
      </c>
      <c r="W18" s="4" t="s">
        <v>4854</v>
      </c>
      <c r="X18" s="4" t="s">
        <v>4854</v>
      </c>
      <c r="Y18" s="4" t="s">
        <v>4854</v>
      </c>
      <c r="Z18" s="4" t="s">
        <v>4854</v>
      </c>
      <c r="AA18" s="4" t="s">
        <v>4854</v>
      </c>
      <c r="AB18" s="4" t="s">
        <v>4854</v>
      </c>
      <c r="AC18" s="4" t="s">
        <v>4854</v>
      </c>
      <c r="AD18" s="4" t="s">
        <v>4854</v>
      </c>
      <c r="AE18" s="100" t="s">
        <v>4854</v>
      </c>
      <c r="AF18" s="100" t="s">
        <v>4854</v>
      </c>
      <c r="AG18" s="100" t="s">
        <v>4854</v>
      </c>
      <c r="AH18" s="100" t="s">
        <v>4854</v>
      </c>
      <c r="AI18" s="100" t="s">
        <v>4854</v>
      </c>
      <c r="AJ18" s="100" t="s">
        <v>4854</v>
      </c>
      <c r="AK18" s="91">
        <v>2.8069999999999999</v>
      </c>
      <c r="AL18" s="100" t="s">
        <v>4854</v>
      </c>
      <c r="AM18" s="103" t="s">
        <v>4854</v>
      </c>
      <c r="AN18" s="103" t="s">
        <v>4854</v>
      </c>
      <c r="AO18" s="103" t="s">
        <v>4854</v>
      </c>
      <c r="AP18" s="103" t="s">
        <v>4854</v>
      </c>
      <c r="AQ18" s="103" t="s">
        <v>4854</v>
      </c>
      <c r="AR18" s="103" t="s">
        <v>4854</v>
      </c>
      <c r="AS18" s="95">
        <v>2.8794</v>
      </c>
      <c r="AT18" s="103" t="s">
        <v>4854</v>
      </c>
      <c r="AU18" s="103" t="s">
        <v>4854</v>
      </c>
      <c r="AV18" s="103" t="s">
        <v>4854</v>
      </c>
      <c r="AW18" s="103" t="s">
        <v>4854</v>
      </c>
      <c r="AX18" s="103" t="s">
        <v>4854</v>
      </c>
      <c r="AY18" s="103" t="s">
        <v>4854</v>
      </c>
      <c r="AZ18" s="103" t="s">
        <v>4854</v>
      </c>
      <c r="BA18" s="95">
        <v>4.5999999999999999E-2</v>
      </c>
      <c r="BB18" s="103" t="s">
        <v>4854</v>
      </c>
      <c r="BC18" s="4" t="s">
        <v>4854</v>
      </c>
      <c r="BD18" s="4" t="s">
        <v>4854</v>
      </c>
      <c r="BE18" s="4" t="s">
        <v>4854</v>
      </c>
      <c r="BF18" s="4" t="s">
        <v>4854</v>
      </c>
      <c r="BG18" s="4" t="s">
        <v>4854</v>
      </c>
      <c r="BH18" s="4" t="s">
        <v>4854</v>
      </c>
      <c r="BI18" s="10">
        <v>850</v>
      </c>
      <c r="BJ18" s="4" t="s">
        <v>4854</v>
      </c>
      <c r="BK18" s="100" t="s">
        <v>4854</v>
      </c>
      <c r="BL18" s="100" t="s">
        <v>4854</v>
      </c>
      <c r="BM18" s="100" t="s">
        <v>4854</v>
      </c>
      <c r="BN18" s="100" t="s">
        <v>4854</v>
      </c>
      <c r="BO18" s="100" t="s">
        <v>4854</v>
      </c>
      <c r="BP18" s="100" t="s">
        <v>4854</v>
      </c>
      <c r="BQ18" s="91">
        <v>0.754</v>
      </c>
      <c r="BR18" s="100" t="s">
        <v>4854</v>
      </c>
      <c r="BS18" s="10" t="s">
        <v>4857</v>
      </c>
    </row>
    <row r="19" spans="1:71" ht="17.100000000000001" customHeight="1">
      <c r="A19" s="31">
        <v>8</v>
      </c>
      <c r="B19" s="2" t="s">
        <v>4789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94"/>
      <c r="O19" s="34"/>
      <c r="P19" s="34"/>
      <c r="Q19" s="34"/>
      <c r="R19" s="34"/>
      <c r="S19" s="34"/>
      <c r="T19" s="34"/>
      <c r="U19" s="34"/>
      <c r="V19" s="34"/>
      <c r="W19" s="1"/>
      <c r="X19" s="1"/>
      <c r="Y19" s="1"/>
      <c r="Z19" s="1"/>
      <c r="AA19" s="1"/>
      <c r="AB19" s="1"/>
      <c r="AC19" s="1"/>
      <c r="AD19" s="1"/>
      <c r="AE19" s="89"/>
      <c r="AF19" s="89"/>
      <c r="AG19" s="89"/>
      <c r="AH19" s="89"/>
      <c r="AI19" s="89"/>
      <c r="AJ19" s="89"/>
      <c r="AK19" s="89"/>
      <c r="AL19" s="89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1"/>
      <c r="BD19" s="1"/>
      <c r="BE19" s="1"/>
      <c r="BF19" s="1"/>
      <c r="BG19" s="1"/>
      <c r="BH19" s="1"/>
      <c r="BI19" s="1"/>
      <c r="BJ19" s="1"/>
      <c r="BK19" s="89"/>
      <c r="BL19" s="89"/>
      <c r="BM19" s="89"/>
      <c r="BN19" s="89"/>
      <c r="BO19" s="89"/>
      <c r="BP19" s="89"/>
      <c r="BQ19" s="89"/>
      <c r="BR19" s="89"/>
      <c r="BS19" s="1"/>
    </row>
    <row r="20" spans="1:71" s="30" customFormat="1" ht="17.100000000000001" customHeight="1">
      <c r="A20" s="14">
        <v>9</v>
      </c>
      <c r="B20" s="5" t="s">
        <v>4864</v>
      </c>
      <c r="C20" s="3" t="s">
        <v>4789</v>
      </c>
      <c r="D20" s="3" t="s">
        <v>4790</v>
      </c>
      <c r="E20" s="3" t="s">
        <v>4791</v>
      </c>
      <c r="F20" s="5" t="s">
        <v>4792</v>
      </c>
      <c r="G20" s="3" t="s">
        <v>4793</v>
      </c>
      <c r="H20" s="6" t="s">
        <v>4794</v>
      </c>
      <c r="I20" s="3" t="s">
        <v>4795</v>
      </c>
      <c r="J20" s="5" t="s">
        <v>4796</v>
      </c>
      <c r="K20" s="3" t="s">
        <v>5333</v>
      </c>
      <c r="L20" s="3" t="s">
        <v>4797</v>
      </c>
      <c r="M20" s="5">
        <v>2</v>
      </c>
      <c r="N20" s="21">
        <v>666.81799999999998</v>
      </c>
      <c r="O20" s="35" t="s">
        <v>4854</v>
      </c>
      <c r="P20" s="35" t="s">
        <v>4854</v>
      </c>
      <c r="Q20" s="36" t="str">
        <f>HYPERLINK("http://ms.phosphosite.org:5080/cgi-bin/plot-msms.cgi?MassType=1&amp;NumAxis=1&amp;Mod5=160&amp;Mod6=170&amp;Pep=GVPVCKEENMK&amp;Dta=/var/www/html/dta/S01/10560.3601.2.dta&amp;Global_Mod=CS57.0215", "3601")</f>
        <v>3601</v>
      </c>
      <c r="R20" s="35" t="s">
        <v>4854</v>
      </c>
      <c r="S20" s="35" t="s">
        <v>4854</v>
      </c>
      <c r="T20" s="36" t="str">
        <f>HYPERLINK("http://ms.phosphosite.org:5080/cgi-bin/plot-msms.cgi?MassType=1&amp;NumAxis=1&amp;Mod5=160&amp;Mod6=170&amp;Pep=GVPVCKEENMK&amp;Dta=/var/www/html/dta/S01/10563.3611.2.dta&amp;Global_Mod=CS57.0215", "3611")</f>
        <v>3611</v>
      </c>
      <c r="U20" s="36" t="str">
        <f>HYPERLINK("http://ms.phosphosite.org:5080/cgi-bin/plot-msms.cgi?MassType=1&amp;NumAxis=1&amp;Mod5=160&amp;Mod6=170&amp;Pep=GVPVCKEENMK&amp;Dta=/var/www/html/dta/S01/10564.3940.2.dta&amp;Global_Mod=CS57.0215", "3940")</f>
        <v>3940</v>
      </c>
      <c r="V20" s="35" t="s">
        <v>4854</v>
      </c>
      <c r="W20" s="3" t="s">
        <v>4854</v>
      </c>
      <c r="X20" s="3" t="s">
        <v>4854</v>
      </c>
      <c r="Y20" s="5">
        <v>3580</v>
      </c>
      <c r="Z20" s="3" t="s">
        <v>4854</v>
      </c>
      <c r="AA20" s="3" t="s">
        <v>4854</v>
      </c>
      <c r="AB20" s="5">
        <v>3604</v>
      </c>
      <c r="AC20" s="5">
        <v>3955</v>
      </c>
      <c r="AD20" s="3" t="s">
        <v>4854</v>
      </c>
      <c r="AE20" s="99" t="s">
        <v>4854</v>
      </c>
      <c r="AF20" s="99" t="s">
        <v>4854</v>
      </c>
      <c r="AG20" s="90">
        <v>2.278</v>
      </c>
      <c r="AH20" s="99" t="s">
        <v>4854</v>
      </c>
      <c r="AI20" s="99" t="s">
        <v>4854</v>
      </c>
      <c r="AJ20" s="90">
        <v>2.1509999999999998</v>
      </c>
      <c r="AK20" s="90">
        <v>2.7610000000000001</v>
      </c>
      <c r="AL20" s="99" t="s">
        <v>4854</v>
      </c>
      <c r="AM20" s="102" t="s">
        <v>4854</v>
      </c>
      <c r="AN20" s="102" t="s">
        <v>4854</v>
      </c>
      <c r="AO20" s="21">
        <v>0.47</v>
      </c>
      <c r="AP20" s="102" t="s">
        <v>4854</v>
      </c>
      <c r="AQ20" s="102" t="s">
        <v>4854</v>
      </c>
      <c r="AR20" s="21">
        <v>0.35670000000000002</v>
      </c>
      <c r="AS20" s="21">
        <v>0.3266</v>
      </c>
      <c r="AT20" s="102" t="s">
        <v>4854</v>
      </c>
      <c r="AU20" s="102" t="s">
        <v>4854</v>
      </c>
      <c r="AV20" s="102" t="s">
        <v>4854</v>
      </c>
      <c r="AW20" s="21">
        <v>0.16700000000000001</v>
      </c>
      <c r="AX20" s="102" t="s">
        <v>4854</v>
      </c>
      <c r="AY20" s="102" t="s">
        <v>4854</v>
      </c>
      <c r="AZ20" s="21">
        <v>0.22600000000000001</v>
      </c>
      <c r="BA20" s="21">
        <v>0.30099999999999999</v>
      </c>
      <c r="BB20" s="102" t="s">
        <v>4854</v>
      </c>
      <c r="BC20" s="3" t="s">
        <v>4854</v>
      </c>
      <c r="BD20" s="3" t="s">
        <v>4854</v>
      </c>
      <c r="BE20" s="5">
        <v>1</v>
      </c>
      <c r="BF20" s="3" t="s">
        <v>4854</v>
      </c>
      <c r="BG20" s="3" t="s">
        <v>4854</v>
      </c>
      <c r="BH20" s="5">
        <v>8</v>
      </c>
      <c r="BI20" s="5">
        <v>4</v>
      </c>
      <c r="BJ20" s="3" t="s">
        <v>4854</v>
      </c>
      <c r="BK20" s="99" t="s">
        <v>4854</v>
      </c>
      <c r="BL20" s="99" t="s">
        <v>4854</v>
      </c>
      <c r="BM20" s="90">
        <v>0.995</v>
      </c>
      <c r="BN20" s="99" t="s">
        <v>4854</v>
      </c>
      <c r="BO20" s="99" t="s">
        <v>4854</v>
      </c>
      <c r="BP20" s="90">
        <v>0.99399999999999999</v>
      </c>
      <c r="BQ20" s="90">
        <v>0.999</v>
      </c>
      <c r="BR20" s="99" t="s">
        <v>4854</v>
      </c>
      <c r="BS20" s="5" t="s">
        <v>4857</v>
      </c>
    </row>
    <row r="21" spans="1:71" ht="17.100000000000001" customHeight="1">
      <c r="A21" s="31">
        <v>10</v>
      </c>
      <c r="B21" s="2" t="s">
        <v>4798</v>
      </c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94"/>
      <c r="O21" s="34"/>
      <c r="P21" s="34"/>
      <c r="Q21" s="34"/>
      <c r="R21" s="34"/>
      <c r="S21" s="34"/>
      <c r="T21" s="34"/>
      <c r="U21" s="34"/>
      <c r="V21" s="34"/>
      <c r="W21" s="1"/>
      <c r="X21" s="1"/>
      <c r="Y21" s="1"/>
      <c r="Z21" s="1"/>
      <c r="AA21" s="1"/>
      <c r="AB21" s="1"/>
      <c r="AC21" s="1"/>
      <c r="AD21" s="1"/>
      <c r="AE21" s="89"/>
      <c r="AF21" s="89"/>
      <c r="AG21" s="89"/>
      <c r="AH21" s="89"/>
      <c r="AI21" s="89"/>
      <c r="AJ21" s="89"/>
      <c r="AK21" s="89"/>
      <c r="AL21" s="89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1"/>
      <c r="BD21" s="1"/>
      <c r="BE21" s="1"/>
      <c r="BF21" s="1"/>
      <c r="BG21" s="1"/>
      <c r="BH21" s="1"/>
      <c r="BI21" s="1"/>
      <c r="BJ21" s="1"/>
      <c r="BK21" s="89"/>
      <c r="BL21" s="89"/>
      <c r="BM21" s="89"/>
      <c r="BN21" s="89"/>
      <c r="BO21" s="89"/>
      <c r="BP21" s="89"/>
      <c r="BQ21" s="89"/>
      <c r="BR21" s="89"/>
      <c r="BS21" s="1"/>
    </row>
    <row r="22" spans="1:71" s="30" customFormat="1" ht="17.100000000000001" customHeight="1">
      <c r="A22" s="10">
        <v>11</v>
      </c>
      <c r="B22" s="10" t="s">
        <v>4865</v>
      </c>
      <c r="C22" s="4" t="s">
        <v>4798</v>
      </c>
      <c r="D22" s="4" t="s">
        <v>4799</v>
      </c>
      <c r="E22" s="4" t="s">
        <v>4800</v>
      </c>
      <c r="F22" s="10" t="s">
        <v>4801</v>
      </c>
      <c r="G22" s="4" t="s">
        <v>4802</v>
      </c>
      <c r="H22" s="7" t="s">
        <v>4803</v>
      </c>
      <c r="I22" s="4" t="s">
        <v>4804</v>
      </c>
      <c r="J22" s="10" t="s">
        <v>4805</v>
      </c>
      <c r="K22" s="4" t="s">
        <v>5334</v>
      </c>
      <c r="L22" s="4" t="s">
        <v>4806</v>
      </c>
      <c r="M22" s="10">
        <v>2</v>
      </c>
      <c r="N22" s="95">
        <v>430.26600000000002</v>
      </c>
      <c r="O22" s="37" t="str">
        <f>HYPERLINK("http://ms.phosphosite.org:5080/cgi-bin/plot-msms.cgi?MassType=1&amp;NumAxis=1&amp;Mod4=170&amp;Pep=TLKKEAK&amp;Dta=/var/www/html/dta/S01/10558.3442.2.dta&amp;Global_Mod=CS57.0215", "3442")</f>
        <v>3442</v>
      </c>
      <c r="P22" s="38" t="s">
        <v>4854</v>
      </c>
      <c r="Q22" s="38" t="s">
        <v>4854</v>
      </c>
      <c r="R22" s="38" t="s">
        <v>4854</v>
      </c>
      <c r="S22" s="38" t="s">
        <v>4854</v>
      </c>
      <c r="T22" s="38" t="s">
        <v>4854</v>
      </c>
      <c r="U22" s="38" t="s">
        <v>4854</v>
      </c>
      <c r="V22" s="38" t="s">
        <v>4854</v>
      </c>
      <c r="W22" s="4" t="s">
        <v>4854</v>
      </c>
      <c r="X22" s="4" t="s">
        <v>4854</v>
      </c>
      <c r="Y22" s="4" t="s">
        <v>4854</v>
      </c>
      <c r="Z22" s="4" t="s">
        <v>4854</v>
      </c>
      <c r="AA22" s="4" t="s">
        <v>4854</v>
      </c>
      <c r="AB22" s="4" t="s">
        <v>4854</v>
      </c>
      <c r="AC22" s="4" t="s">
        <v>4854</v>
      </c>
      <c r="AD22" s="4" t="s">
        <v>4854</v>
      </c>
      <c r="AE22" s="91">
        <v>1.55</v>
      </c>
      <c r="AF22" s="100" t="s">
        <v>4854</v>
      </c>
      <c r="AG22" s="100" t="s">
        <v>4854</v>
      </c>
      <c r="AH22" s="100" t="s">
        <v>4854</v>
      </c>
      <c r="AI22" s="100" t="s">
        <v>4854</v>
      </c>
      <c r="AJ22" s="100" t="s">
        <v>4854</v>
      </c>
      <c r="AK22" s="100" t="s">
        <v>4854</v>
      </c>
      <c r="AL22" s="100" t="s">
        <v>4854</v>
      </c>
      <c r="AM22" s="95">
        <v>0.19400000000000001</v>
      </c>
      <c r="AN22" s="103" t="s">
        <v>4854</v>
      </c>
      <c r="AO22" s="103" t="s">
        <v>4854</v>
      </c>
      <c r="AP22" s="103" t="s">
        <v>4854</v>
      </c>
      <c r="AQ22" s="103" t="s">
        <v>4854</v>
      </c>
      <c r="AR22" s="103" t="s">
        <v>4854</v>
      </c>
      <c r="AS22" s="103" t="s">
        <v>4854</v>
      </c>
      <c r="AT22" s="103" t="s">
        <v>4854</v>
      </c>
      <c r="AU22" s="95">
        <v>2.5999999999999999E-2</v>
      </c>
      <c r="AV22" s="103" t="s">
        <v>4854</v>
      </c>
      <c r="AW22" s="103" t="s">
        <v>4854</v>
      </c>
      <c r="AX22" s="103" t="s">
        <v>4854</v>
      </c>
      <c r="AY22" s="103" t="s">
        <v>4854</v>
      </c>
      <c r="AZ22" s="103" t="s">
        <v>4854</v>
      </c>
      <c r="BA22" s="103" t="s">
        <v>4854</v>
      </c>
      <c r="BB22" s="103" t="s">
        <v>4854</v>
      </c>
      <c r="BC22" s="10">
        <v>1</v>
      </c>
      <c r="BD22" s="4" t="s">
        <v>4854</v>
      </c>
      <c r="BE22" s="4" t="s">
        <v>4854</v>
      </c>
      <c r="BF22" s="4" t="s">
        <v>4854</v>
      </c>
      <c r="BG22" s="4" t="s">
        <v>4854</v>
      </c>
      <c r="BH22" s="4" t="s">
        <v>4854</v>
      </c>
      <c r="BI22" s="4" t="s">
        <v>4854</v>
      </c>
      <c r="BJ22" s="4" t="s">
        <v>4854</v>
      </c>
      <c r="BK22" s="91">
        <v>5.8999999999999997E-2</v>
      </c>
      <c r="BL22" s="100" t="s">
        <v>4854</v>
      </c>
      <c r="BM22" s="100" t="s">
        <v>4854</v>
      </c>
      <c r="BN22" s="100" t="s">
        <v>4854</v>
      </c>
      <c r="BO22" s="100" t="s">
        <v>4854</v>
      </c>
      <c r="BP22" s="100" t="s">
        <v>4854</v>
      </c>
      <c r="BQ22" s="100" t="s">
        <v>4854</v>
      </c>
      <c r="BR22" s="100" t="s">
        <v>4854</v>
      </c>
      <c r="BS22" s="10" t="s">
        <v>4857</v>
      </c>
    </row>
    <row r="23" spans="1:71" s="30" customFormat="1" ht="17.100000000000001" customHeight="1">
      <c r="A23" s="14">
        <v>12</v>
      </c>
      <c r="B23" s="5" t="s">
        <v>4807</v>
      </c>
      <c r="C23" s="3" t="s">
        <v>4798</v>
      </c>
      <c r="D23" s="3" t="s">
        <v>4808</v>
      </c>
      <c r="E23" s="3" t="s">
        <v>4809</v>
      </c>
      <c r="F23" s="5" t="s">
        <v>4810</v>
      </c>
      <c r="G23" s="3" t="s">
        <v>4811</v>
      </c>
      <c r="H23" s="6" t="s">
        <v>4812</v>
      </c>
      <c r="I23" s="3" t="s">
        <v>4813</v>
      </c>
      <c r="J23" s="5" t="s">
        <v>4814</v>
      </c>
      <c r="K23" s="3" t="s">
        <v>5335</v>
      </c>
      <c r="L23" s="3" t="s">
        <v>4815</v>
      </c>
      <c r="M23" s="5">
        <v>3</v>
      </c>
      <c r="N23" s="21">
        <v>670.30799999999999</v>
      </c>
      <c r="O23" s="36" t="str">
        <f>HYPERLINK("http://ms.phosphosite.org:5080/cgi-bin/plot-msms.cgi?MassType=1&amp;NumAxis=1&amp;Mod16=170&amp;Pep=ERAEGFESESEDGATKPK&amp;Dta=/var/www/html/dta/S01/10558.3299.3.dta&amp;Global_Mod=CS57.0215", "3299")</f>
        <v>3299</v>
      </c>
      <c r="P23" s="36" t="str">
        <f>HYPERLINK("http://ms.phosphosite.org:5080/cgi-bin/plot-msms.cgi?MassType=1&amp;NumAxis=1&amp;Mod16=170&amp;Pep=ERAEGFESESEDGATKPK&amp;Dta=/var/www/html/dta/S01/10559.3230.3.dta&amp;Global_Mod=CS57.0215", "3230")</f>
        <v>3230</v>
      </c>
      <c r="Q23" s="35" t="s">
        <v>4854</v>
      </c>
      <c r="R23" s="35" t="s">
        <v>4854</v>
      </c>
      <c r="S23" s="36" t="str">
        <f>HYPERLINK("http://ms.phosphosite.org:5080/cgi-bin/plot-msms.cgi?MassType=1&amp;NumAxis=1&amp;Mod16=170&amp;Pep=ERAEGFESESEDGATKPK&amp;Dta=/var/www/html/dta/S01/10562.3314.3.dta&amp;Global_Mod=CS57.0215", "3314")</f>
        <v>3314</v>
      </c>
      <c r="T23" s="36" t="str">
        <f>HYPERLINK("http://ms.phosphosite.org:5080/cgi-bin/plot-msms.cgi?MassType=1&amp;NumAxis=1&amp;Mod16=170&amp;Pep=ERAEGFESESEDGATKPK&amp;Dta=/var/www/html/dta/S01/10563.3256.3.dta&amp;Global_Mod=CS57.0215", "3256")</f>
        <v>3256</v>
      </c>
      <c r="U23" s="36" t="str">
        <f>HYPERLINK("http://ms.phosphosite.org:5080/cgi-bin/plot-msms.cgi?MassType=1&amp;NumAxis=1&amp;Mod16=170&amp;Pep=ERAEGFESESEDGATKPK&amp;Dta=/var/www/html/dta/S01/10564.3557.3.dta&amp;Global_Mod=CS57.0215", "3557")</f>
        <v>3557</v>
      </c>
      <c r="V23" s="35" t="s">
        <v>4854</v>
      </c>
      <c r="W23" s="5">
        <v>3294</v>
      </c>
      <c r="X23" s="5">
        <v>3231</v>
      </c>
      <c r="Y23" s="3" t="s">
        <v>4854</v>
      </c>
      <c r="Z23" s="3" t="s">
        <v>4854</v>
      </c>
      <c r="AA23" s="5">
        <v>3317</v>
      </c>
      <c r="AB23" s="5">
        <v>3251</v>
      </c>
      <c r="AC23" s="5">
        <v>3561</v>
      </c>
      <c r="AD23" s="3" t="s">
        <v>4854</v>
      </c>
      <c r="AE23" s="90">
        <v>3.3919999999999999</v>
      </c>
      <c r="AF23" s="90">
        <v>3.605</v>
      </c>
      <c r="AG23" s="99" t="s">
        <v>4854</v>
      </c>
      <c r="AH23" s="99" t="s">
        <v>4854</v>
      </c>
      <c r="AI23" s="90">
        <v>3.7170000000000001</v>
      </c>
      <c r="AJ23" s="90">
        <v>3.48</v>
      </c>
      <c r="AK23" s="90">
        <v>4.1020000000000003</v>
      </c>
      <c r="AL23" s="99" t="s">
        <v>4854</v>
      </c>
      <c r="AM23" s="21">
        <v>0.83260000000000001</v>
      </c>
      <c r="AN23" s="21">
        <v>0.35020000000000001</v>
      </c>
      <c r="AO23" s="102" t="s">
        <v>4854</v>
      </c>
      <c r="AP23" s="102" t="s">
        <v>4854</v>
      </c>
      <c r="AQ23" s="21">
        <v>0.23119999999999999</v>
      </c>
      <c r="AR23" s="21">
        <v>0.77080000000000004</v>
      </c>
      <c r="AS23" s="21">
        <v>0.41739999999999999</v>
      </c>
      <c r="AT23" s="102" t="s">
        <v>4854</v>
      </c>
      <c r="AU23" s="21">
        <v>0.26700000000000002</v>
      </c>
      <c r="AV23" s="21">
        <v>0.40899999999999997</v>
      </c>
      <c r="AW23" s="102" t="s">
        <v>4854</v>
      </c>
      <c r="AX23" s="102" t="s">
        <v>4854</v>
      </c>
      <c r="AY23" s="21">
        <v>0.32200000000000001</v>
      </c>
      <c r="AZ23" s="21">
        <v>0.373</v>
      </c>
      <c r="BA23" s="21">
        <v>0.42699999999999999</v>
      </c>
      <c r="BB23" s="102" t="s">
        <v>4854</v>
      </c>
      <c r="BC23" s="5">
        <v>2</v>
      </c>
      <c r="BD23" s="5">
        <v>1</v>
      </c>
      <c r="BE23" s="3" t="s">
        <v>4854</v>
      </c>
      <c r="BF23" s="3" t="s">
        <v>4854</v>
      </c>
      <c r="BG23" s="5">
        <v>1</v>
      </c>
      <c r="BH23" s="5">
        <v>1</v>
      </c>
      <c r="BI23" s="5">
        <v>1</v>
      </c>
      <c r="BJ23" s="3" t="s">
        <v>4854</v>
      </c>
      <c r="BK23" s="90">
        <v>1</v>
      </c>
      <c r="BL23" s="90">
        <v>1</v>
      </c>
      <c r="BM23" s="99" t="s">
        <v>4854</v>
      </c>
      <c r="BN23" s="99" t="s">
        <v>4854</v>
      </c>
      <c r="BO23" s="90">
        <v>1</v>
      </c>
      <c r="BP23" s="90">
        <v>1</v>
      </c>
      <c r="BQ23" s="90">
        <v>1</v>
      </c>
      <c r="BR23" s="99" t="s">
        <v>4854</v>
      </c>
      <c r="BS23" s="5" t="s">
        <v>4857</v>
      </c>
    </row>
    <row r="24" spans="1:71" s="30" customFormat="1" ht="17.100000000000001" customHeight="1">
      <c r="A24" s="10">
        <v>13</v>
      </c>
      <c r="B24" s="10" t="s">
        <v>4816</v>
      </c>
      <c r="C24" s="4" t="s">
        <v>4798</v>
      </c>
      <c r="D24" s="4" t="s">
        <v>4817</v>
      </c>
      <c r="E24" s="4" t="s">
        <v>4818</v>
      </c>
      <c r="F24" s="10" t="s">
        <v>4819</v>
      </c>
      <c r="G24" s="4" t="s">
        <v>4820</v>
      </c>
      <c r="H24" s="7" t="s">
        <v>4821</v>
      </c>
      <c r="I24" s="4" t="s">
        <v>4822</v>
      </c>
      <c r="J24" s="10" t="s">
        <v>4823</v>
      </c>
      <c r="K24" s="4" t="s">
        <v>5336</v>
      </c>
      <c r="L24" s="4" t="s">
        <v>4824</v>
      </c>
      <c r="M24" s="10">
        <v>2</v>
      </c>
      <c r="N24" s="95">
        <v>512.25890000000004</v>
      </c>
      <c r="O24" s="38" t="s">
        <v>4854</v>
      </c>
      <c r="P24" s="37" t="str">
        <f>HYPERLINK("http://ms.phosphosite.org:5080/cgi-bin/plot-msms.cgi?MassType=1&amp;NumAxis=1&amp;Mod3=170&amp;Pep=LSKFDSER&amp;Dta=/var/www/html/dta/S01/10559.3698.2.dta&amp;Global_Mod=CS57.0215", "3698")</f>
        <v>3698</v>
      </c>
      <c r="Q24" s="38" t="s">
        <v>4854</v>
      </c>
      <c r="R24" s="38" t="s">
        <v>4854</v>
      </c>
      <c r="S24" s="38" t="s">
        <v>4854</v>
      </c>
      <c r="T24" s="38" t="s">
        <v>4854</v>
      </c>
      <c r="U24" s="38" t="s">
        <v>4854</v>
      </c>
      <c r="V24" s="38" t="s">
        <v>4854</v>
      </c>
      <c r="W24" s="4" t="s">
        <v>4854</v>
      </c>
      <c r="X24" s="10">
        <v>3308</v>
      </c>
      <c r="Y24" s="4" t="s">
        <v>4854</v>
      </c>
      <c r="Z24" s="4" t="s">
        <v>4854</v>
      </c>
      <c r="AA24" s="4" t="s">
        <v>4854</v>
      </c>
      <c r="AB24" s="4" t="s">
        <v>4854</v>
      </c>
      <c r="AC24" s="4" t="s">
        <v>4854</v>
      </c>
      <c r="AD24" s="4" t="s">
        <v>4854</v>
      </c>
      <c r="AE24" s="100" t="s">
        <v>4854</v>
      </c>
      <c r="AF24" s="91">
        <v>1.994</v>
      </c>
      <c r="AG24" s="100" t="s">
        <v>4854</v>
      </c>
      <c r="AH24" s="100" t="s">
        <v>4854</v>
      </c>
      <c r="AI24" s="100" t="s">
        <v>4854</v>
      </c>
      <c r="AJ24" s="100" t="s">
        <v>4854</v>
      </c>
      <c r="AK24" s="100" t="s">
        <v>4854</v>
      </c>
      <c r="AL24" s="100" t="s">
        <v>4854</v>
      </c>
      <c r="AM24" s="103" t="s">
        <v>4854</v>
      </c>
      <c r="AN24" s="95">
        <v>-0.9425</v>
      </c>
      <c r="AO24" s="103" t="s">
        <v>4854</v>
      </c>
      <c r="AP24" s="103" t="s">
        <v>4854</v>
      </c>
      <c r="AQ24" s="103" t="s">
        <v>4854</v>
      </c>
      <c r="AR24" s="103" t="s">
        <v>4854</v>
      </c>
      <c r="AS24" s="103" t="s">
        <v>4854</v>
      </c>
      <c r="AT24" s="103" t="s">
        <v>4854</v>
      </c>
      <c r="AU24" s="103" t="s">
        <v>4854</v>
      </c>
      <c r="AV24" s="95">
        <v>0.152</v>
      </c>
      <c r="AW24" s="103" t="s">
        <v>4854</v>
      </c>
      <c r="AX24" s="103" t="s">
        <v>4854</v>
      </c>
      <c r="AY24" s="103" t="s">
        <v>4854</v>
      </c>
      <c r="AZ24" s="103" t="s">
        <v>4854</v>
      </c>
      <c r="BA24" s="103" t="s">
        <v>4854</v>
      </c>
      <c r="BB24" s="103" t="s">
        <v>4854</v>
      </c>
      <c r="BC24" s="4" t="s">
        <v>4854</v>
      </c>
      <c r="BD24" s="10">
        <v>6</v>
      </c>
      <c r="BE24" s="4" t="s">
        <v>4854</v>
      </c>
      <c r="BF24" s="4" t="s">
        <v>4854</v>
      </c>
      <c r="BG24" s="4" t="s">
        <v>4854</v>
      </c>
      <c r="BH24" s="4" t="s">
        <v>4854</v>
      </c>
      <c r="BI24" s="4" t="s">
        <v>4854</v>
      </c>
      <c r="BJ24" s="4" t="s">
        <v>4854</v>
      </c>
      <c r="BK24" s="100" t="s">
        <v>4854</v>
      </c>
      <c r="BL24" s="91">
        <v>0.97</v>
      </c>
      <c r="BM24" s="100" t="s">
        <v>4854</v>
      </c>
      <c r="BN24" s="100" t="s">
        <v>4854</v>
      </c>
      <c r="BO24" s="100" t="s">
        <v>4854</v>
      </c>
      <c r="BP24" s="100" t="s">
        <v>4854</v>
      </c>
      <c r="BQ24" s="100" t="s">
        <v>4854</v>
      </c>
      <c r="BR24" s="100" t="s">
        <v>4854</v>
      </c>
      <c r="BS24" s="10" t="s">
        <v>4857</v>
      </c>
    </row>
    <row r="25" spans="1:71" s="30" customFormat="1" ht="17.100000000000001" customHeight="1">
      <c r="A25" s="14">
        <v>14</v>
      </c>
      <c r="B25" s="5" t="s">
        <v>4825</v>
      </c>
      <c r="C25" s="3" t="s">
        <v>4798</v>
      </c>
      <c r="D25" s="3" t="s">
        <v>4826</v>
      </c>
      <c r="E25" s="3" t="s">
        <v>4827</v>
      </c>
      <c r="F25" s="5" t="s">
        <v>4828</v>
      </c>
      <c r="G25" s="3" t="s">
        <v>4829</v>
      </c>
      <c r="H25" s="6" t="s">
        <v>4830</v>
      </c>
      <c r="I25" s="3" t="s">
        <v>4831</v>
      </c>
      <c r="J25" s="5" t="s">
        <v>4832</v>
      </c>
      <c r="K25" s="3" t="s">
        <v>5337</v>
      </c>
      <c r="L25" s="3" t="s">
        <v>4833</v>
      </c>
      <c r="M25" s="5">
        <v>2</v>
      </c>
      <c r="N25" s="21">
        <v>641.83550000000002</v>
      </c>
      <c r="O25" s="36" t="str">
        <f>HYPERLINK("http://ms.phosphosite.org:5080/cgi-bin/plot-msms.cgi?MassType=1&amp;NumAxis=1&amp;Mod13=170&amp;Pep=KTEAPAAAGPEAK&amp;Dta=/var/www/html/dta/S01/10558.2313.2.dta&amp;Global_Mod=CS57.0215", "2313")</f>
        <v>2313</v>
      </c>
      <c r="P25" s="35" t="s">
        <v>4854</v>
      </c>
      <c r="Q25" s="35" t="s">
        <v>4854</v>
      </c>
      <c r="R25" s="35" t="s">
        <v>4854</v>
      </c>
      <c r="S25" s="36" t="str">
        <f>HYPERLINK("http://ms.phosphosite.org:5080/cgi-bin/plot-msms.cgi?MassType=1&amp;NumAxis=1&amp;Mod13=170&amp;Pep=KTEAPAAAGPEAK&amp;Dta=/var/www/html/dta/S01/10562.2368.2.dta&amp;Global_Mod=CS57.0215", "2368")</f>
        <v>2368</v>
      </c>
      <c r="T25" s="35" t="s">
        <v>4854</v>
      </c>
      <c r="U25" s="35" t="s">
        <v>4854</v>
      </c>
      <c r="V25" s="35" t="s">
        <v>4854</v>
      </c>
      <c r="W25" s="5">
        <v>2334</v>
      </c>
      <c r="X25" s="3" t="s">
        <v>4854</v>
      </c>
      <c r="Y25" s="3" t="s">
        <v>4854</v>
      </c>
      <c r="Z25" s="3" t="s">
        <v>4854</v>
      </c>
      <c r="AA25" s="5">
        <v>2360</v>
      </c>
      <c r="AB25" s="3" t="s">
        <v>4854</v>
      </c>
      <c r="AC25" s="3" t="s">
        <v>4854</v>
      </c>
      <c r="AD25" s="3" t="s">
        <v>4854</v>
      </c>
      <c r="AE25" s="90">
        <v>2.605</v>
      </c>
      <c r="AF25" s="99" t="s">
        <v>4854</v>
      </c>
      <c r="AG25" s="99" t="s">
        <v>4854</v>
      </c>
      <c r="AH25" s="99" t="s">
        <v>4854</v>
      </c>
      <c r="AI25" s="90">
        <v>2.4060000000000001</v>
      </c>
      <c r="AJ25" s="99" t="s">
        <v>4854</v>
      </c>
      <c r="AK25" s="99" t="s">
        <v>4854</v>
      </c>
      <c r="AL25" s="99" t="s">
        <v>4854</v>
      </c>
      <c r="AM25" s="21">
        <v>-1.2294</v>
      </c>
      <c r="AN25" s="102" t="s">
        <v>4854</v>
      </c>
      <c r="AO25" s="102" t="s">
        <v>4854</v>
      </c>
      <c r="AP25" s="102" t="s">
        <v>4854</v>
      </c>
      <c r="AQ25" s="21">
        <v>0.379</v>
      </c>
      <c r="AR25" s="102" t="s">
        <v>4854</v>
      </c>
      <c r="AS25" s="102" t="s">
        <v>4854</v>
      </c>
      <c r="AT25" s="102" t="s">
        <v>4854</v>
      </c>
      <c r="AU25" s="21">
        <v>0.14000000000000001</v>
      </c>
      <c r="AV25" s="102" t="s">
        <v>4854</v>
      </c>
      <c r="AW25" s="102" t="s">
        <v>4854</v>
      </c>
      <c r="AX25" s="102" t="s">
        <v>4854</v>
      </c>
      <c r="AY25" s="21">
        <v>2.4E-2</v>
      </c>
      <c r="AZ25" s="102" t="s">
        <v>4854</v>
      </c>
      <c r="BA25" s="102" t="s">
        <v>4854</v>
      </c>
      <c r="BB25" s="102" t="s">
        <v>4854</v>
      </c>
      <c r="BC25" s="5">
        <v>2</v>
      </c>
      <c r="BD25" s="3" t="s">
        <v>4854</v>
      </c>
      <c r="BE25" s="3" t="s">
        <v>4854</v>
      </c>
      <c r="BF25" s="3" t="s">
        <v>4854</v>
      </c>
      <c r="BG25" s="5">
        <v>2</v>
      </c>
      <c r="BH25" s="3" t="s">
        <v>4854</v>
      </c>
      <c r="BI25" s="3" t="s">
        <v>4854</v>
      </c>
      <c r="BJ25" s="3" t="s">
        <v>4854</v>
      </c>
      <c r="BK25" s="90">
        <v>0.98799999999999999</v>
      </c>
      <c r="BL25" s="99" t="s">
        <v>4854</v>
      </c>
      <c r="BM25" s="99" t="s">
        <v>4854</v>
      </c>
      <c r="BN25" s="99" t="s">
        <v>4854</v>
      </c>
      <c r="BO25" s="90">
        <v>0.99399999999999999</v>
      </c>
      <c r="BP25" s="99" t="s">
        <v>4854</v>
      </c>
      <c r="BQ25" s="99" t="s">
        <v>4854</v>
      </c>
      <c r="BR25" s="99" t="s">
        <v>4854</v>
      </c>
      <c r="BS25" s="5" t="s">
        <v>4857</v>
      </c>
    </row>
    <row r="26" spans="1:71" s="30" customFormat="1" ht="17.100000000000001" customHeight="1">
      <c r="A26" s="10">
        <v>15</v>
      </c>
      <c r="B26" s="10" t="s">
        <v>4834</v>
      </c>
      <c r="C26" s="4" t="s">
        <v>4798</v>
      </c>
      <c r="D26" s="4" t="s">
        <v>4826</v>
      </c>
      <c r="E26" s="4" t="s">
        <v>4827</v>
      </c>
      <c r="F26" s="10" t="s">
        <v>4835</v>
      </c>
      <c r="G26" s="4" t="s">
        <v>4829</v>
      </c>
      <c r="H26" s="7" t="s">
        <v>4830</v>
      </c>
      <c r="I26" s="4" t="s">
        <v>4831</v>
      </c>
      <c r="J26" s="10" t="s">
        <v>4832</v>
      </c>
      <c r="K26" s="4" t="s">
        <v>5338</v>
      </c>
      <c r="L26" s="4" t="s">
        <v>4836</v>
      </c>
      <c r="M26" s="10">
        <v>2</v>
      </c>
      <c r="N26" s="95">
        <v>1050.49</v>
      </c>
      <c r="O26" s="37" t="str">
        <f>HYPERLINK("http://ms.phosphosite.org:5080/cgi-bin/plot-msms.cgi?MassType=1&amp;NumAxis=1&amp;Mod11=170&amp;Pep=SDAAPAASDSKPSSAEPAPSSK&amp;Dta=/var/www/html/dta/S01/10558.2768.2.dta&amp;Global_Mod=CS57.0215", "2768")</f>
        <v>2768</v>
      </c>
      <c r="P26" s="38" t="s">
        <v>4854</v>
      </c>
      <c r="Q26" s="38" t="s">
        <v>4854</v>
      </c>
      <c r="R26" s="37" t="str">
        <f>HYPERLINK("http://ms.phosphosite.org:5080/cgi-bin/plot-msms.cgi?MassType=1&amp;NumAxis=1&amp;Mod11=170&amp;Pep=SDAAPAASDSKPSSAEPAPSSK&amp;Dta=/var/www/html/dta/S01/10561.2734.2.dta&amp;Global_Mod=CS57.0215", "2734")</f>
        <v>2734</v>
      </c>
      <c r="S26" s="37" t="str">
        <f>HYPERLINK("http://ms.phosphosite.org:5080/cgi-bin/plot-msms.cgi?MassType=1&amp;NumAxis=1&amp;Mod11=170&amp;Pep=SDAAPAASDSKPSSAEPAPSSK&amp;Dta=/var/www/html/dta/S01/10562.2829.2.dta&amp;Global_Mod=CS57.0215", "2829")</f>
        <v>2829</v>
      </c>
      <c r="T26" s="37" t="str">
        <f>HYPERLINK("http://ms.phosphosite.org:5080/cgi-bin/plot-msms.cgi?MassType=1&amp;NumAxis=1&amp;Mod11=170&amp;Pep=SDAAPAASDSKPSSAEPAPSSK&amp;Dta=/var/www/html/dta/S01/10563.2758.2.dta&amp;Global_Mod=CS57.0215", "2758")</f>
        <v>2758</v>
      </c>
      <c r="U26" s="37" t="str">
        <f>HYPERLINK("http://ms.phosphosite.org:5080/cgi-bin/plot-msms.cgi?MassType=1&amp;NumAxis=1&amp;Mod11=170&amp;Pep=SDAAPAASDSKPSSAEPAPSSK&amp;Dta=/var/www/html/dta/S01/10564.3022.2.dta&amp;Global_Mod=CS57.0215", "3022")</f>
        <v>3022</v>
      </c>
      <c r="V26" s="38" t="s">
        <v>4854</v>
      </c>
      <c r="W26" s="10">
        <v>2774</v>
      </c>
      <c r="X26" s="4" t="s">
        <v>4854</v>
      </c>
      <c r="Y26" s="4" t="s">
        <v>4854</v>
      </c>
      <c r="Z26" s="10">
        <v>2729</v>
      </c>
      <c r="AA26" s="10">
        <v>2822</v>
      </c>
      <c r="AB26" s="10">
        <v>2763</v>
      </c>
      <c r="AC26" s="4" t="s">
        <v>4854</v>
      </c>
      <c r="AD26" s="4" t="s">
        <v>4854</v>
      </c>
      <c r="AE26" s="91">
        <v>2.4329999999999998</v>
      </c>
      <c r="AF26" s="100" t="s">
        <v>4854</v>
      </c>
      <c r="AG26" s="100" t="s">
        <v>4854</v>
      </c>
      <c r="AH26" s="91">
        <v>2.355</v>
      </c>
      <c r="AI26" s="91">
        <v>1.518</v>
      </c>
      <c r="AJ26" s="91">
        <v>1.929</v>
      </c>
      <c r="AK26" s="91">
        <v>0.93100000000000005</v>
      </c>
      <c r="AL26" s="100" t="s">
        <v>4854</v>
      </c>
      <c r="AM26" s="95">
        <v>1.07</v>
      </c>
      <c r="AN26" s="103" t="s">
        <v>4854</v>
      </c>
      <c r="AO26" s="103" t="s">
        <v>4854</v>
      </c>
      <c r="AP26" s="95">
        <v>0.97950000000000004</v>
      </c>
      <c r="AQ26" s="95">
        <v>1.3262</v>
      </c>
      <c r="AR26" s="95">
        <v>1.3548</v>
      </c>
      <c r="AS26" s="95">
        <v>1.0509999999999999</v>
      </c>
      <c r="AT26" s="103" t="s">
        <v>4854</v>
      </c>
      <c r="AU26" s="95">
        <v>0.34799999999999998</v>
      </c>
      <c r="AV26" s="103" t="s">
        <v>4854</v>
      </c>
      <c r="AW26" s="103" t="s">
        <v>4854</v>
      </c>
      <c r="AX26" s="95">
        <v>0.42399999999999999</v>
      </c>
      <c r="AY26" s="95">
        <v>0.26500000000000001</v>
      </c>
      <c r="AZ26" s="95">
        <v>0.22800000000000001</v>
      </c>
      <c r="BA26" s="95">
        <v>0.112</v>
      </c>
      <c r="BB26" s="103" t="s">
        <v>4854</v>
      </c>
      <c r="BC26" s="10">
        <v>1</v>
      </c>
      <c r="BD26" s="4" t="s">
        <v>4854</v>
      </c>
      <c r="BE26" s="4" t="s">
        <v>4854</v>
      </c>
      <c r="BF26" s="10">
        <v>1</v>
      </c>
      <c r="BG26" s="10">
        <v>1</v>
      </c>
      <c r="BH26" s="10">
        <v>1</v>
      </c>
      <c r="BI26" s="10">
        <v>1</v>
      </c>
      <c r="BJ26" s="4" t="s">
        <v>4854</v>
      </c>
      <c r="BK26" s="91">
        <v>1</v>
      </c>
      <c r="BL26" s="100" t="s">
        <v>4854</v>
      </c>
      <c r="BM26" s="100" t="s">
        <v>4854</v>
      </c>
      <c r="BN26" s="91">
        <v>1</v>
      </c>
      <c r="BO26" s="91">
        <v>0.99299999999999999</v>
      </c>
      <c r="BP26" s="91">
        <v>0.996</v>
      </c>
      <c r="BQ26" s="91">
        <v>0.89100000000000001</v>
      </c>
      <c r="BR26" s="100" t="s">
        <v>4854</v>
      </c>
      <c r="BS26" s="10" t="s">
        <v>4857</v>
      </c>
    </row>
    <row r="27" spans="1:71" s="30" customFormat="1" ht="17.100000000000001" customHeight="1">
      <c r="A27" s="10">
        <v>16</v>
      </c>
      <c r="B27" s="10" t="s">
        <v>4837</v>
      </c>
      <c r="C27" s="4" t="s">
        <v>4798</v>
      </c>
      <c r="D27" s="4" t="s">
        <v>4826</v>
      </c>
      <c r="E27" s="4" t="s">
        <v>4827</v>
      </c>
      <c r="F27" s="10" t="s">
        <v>4835</v>
      </c>
      <c r="G27" s="4" t="s">
        <v>4829</v>
      </c>
      <c r="H27" s="7" t="s">
        <v>4830</v>
      </c>
      <c r="I27" s="4" t="s">
        <v>4831</v>
      </c>
      <c r="J27" s="10" t="s">
        <v>4832</v>
      </c>
      <c r="K27" s="4" t="s">
        <v>5338</v>
      </c>
      <c r="L27" s="4" t="s">
        <v>4836</v>
      </c>
      <c r="M27" s="10">
        <v>3</v>
      </c>
      <c r="N27" s="95">
        <v>700.66240000000005</v>
      </c>
      <c r="O27" s="37" t="str">
        <f>HYPERLINK("http://ms.phosphosite.org:5080/cgi-bin/plot-msms.cgi?MassType=1&amp;NumAxis=1&amp;Mod11=170&amp;Pep=SDAAPAASDSKPSSAEPAPSSK&amp;Dta=/var/www/html/dta/S01/10558.2764.3.dta&amp;Global_Mod=CS57.0215", "2764")</f>
        <v>2764</v>
      </c>
      <c r="P27" s="38" t="s">
        <v>4854</v>
      </c>
      <c r="Q27" s="37" t="str">
        <f>HYPERLINK("http://ms.phosphosite.org:5080/cgi-bin/plot-msms.cgi?MassType=1&amp;NumAxis=1&amp;Mod11=170&amp;Pep=SDAAPAASDSKPSSAEPAPSSK&amp;Dta=/var/www/html/dta/S01/10560.2703.3.dta&amp;Global_Mod=CS57.0215", "2703")</f>
        <v>2703</v>
      </c>
      <c r="R27" s="37" t="str">
        <f>HYPERLINK("http://ms.phosphosite.org:5080/cgi-bin/plot-msms.cgi?MassType=1&amp;NumAxis=1&amp;Mod11=170&amp;Pep=SDAAPAASDSKPSSAEPAPSSK&amp;Dta=/var/www/html/dta/S01/10561.2721.3.dta&amp;Global_Mod=CS57.0215", "2721")</f>
        <v>2721</v>
      </c>
      <c r="S27" s="38" t="s">
        <v>4854</v>
      </c>
      <c r="T27" s="38" t="s">
        <v>4854</v>
      </c>
      <c r="U27" s="38" t="s">
        <v>4854</v>
      </c>
      <c r="V27" s="37" t="str">
        <f>HYPERLINK("http://ms.phosphosite.org:5080/cgi-bin/plot-msms.cgi?MassType=1&amp;NumAxis=1&amp;Mod11=170&amp;Pep=SDAAPAASDSKPSSAEPAPSSK&amp;Dta=/var/www/html/dta/S01/10565.3058.3.dta&amp;Global_Mod=CS57.0215", "3058")</f>
        <v>3058</v>
      </c>
      <c r="W27" s="10">
        <v>2774</v>
      </c>
      <c r="X27" s="4" t="s">
        <v>4854</v>
      </c>
      <c r="Y27" s="10">
        <v>2713</v>
      </c>
      <c r="Z27" s="10">
        <v>2729</v>
      </c>
      <c r="AA27" s="4" t="s">
        <v>4854</v>
      </c>
      <c r="AB27" s="4" t="s">
        <v>4854</v>
      </c>
      <c r="AC27" s="4" t="s">
        <v>4854</v>
      </c>
      <c r="AD27" s="10">
        <v>3088</v>
      </c>
      <c r="AE27" s="91">
        <v>4.3979999999999997</v>
      </c>
      <c r="AF27" s="100" t="s">
        <v>4854</v>
      </c>
      <c r="AG27" s="91">
        <v>4.05</v>
      </c>
      <c r="AH27" s="91">
        <v>4.1109999999999998</v>
      </c>
      <c r="AI27" s="100" t="s">
        <v>4854</v>
      </c>
      <c r="AJ27" s="100" t="s">
        <v>4854</v>
      </c>
      <c r="AK27" s="100" t="s">
        <v>4854</v>
      </c>
      <c r="AL27" s="91">
        <v>4.0270000000000001</v>
      </c>
      <c r="AM27" s="95">
        <v>0.65290000000000004</v>
      </c>
      <c r="AN27" s="103" t="s">
        <v>4854</v>
      </c>
      <c r="AO27" s="95">
        <v>0.439</v>
      </c>
      <c r="AP27" s="95">
        <v>0.76100000000000001</v>
      </c>
      <c r="AQ27" s="103" t="s">
        <v>4854</v>
      </c>
      <c r="AR27" s="103" t="s">
        <v>4854</v>
      </c>
      <c r="AS27" s="103" t="s">
        <v>4854</v>
      </c>
      <c r="AT27" s="95">
        <v>0.17899999999999999</v>
      </c>
      <c r="AU27" s="95">
        <v>0.28499999999999998</v>
      </c>
      <c r="AV27" s="103" t="s">
        <v>4854</v>
      </c>
      <c r="AW27" s="95">
        <v>0.36199999999999999</v>
      </c>
      <c r="AX27" s="95">
        <v>0.311</v>
      </c>
      <c r="AY27" s="103" t="s">
        <v>4854</v>
      </c>
      <c r="AZ27" s="103" t="s">
        <v>4854</v>
      </c>
      <c r="BA27" s="103" t="s">
        <v>4854</v>
      </c>
      <c r="BB27" s="95">
        <v>0.316</v>
      </c>
      <c r="BC27" s="10">
        <v>1</v>
      </c>
      <c r="BD27" s="4" t="s">
        <v>4854</v>
      </c>
      <c r="BE27" s="10">
        <v>1</v>
      </c>
      <c r="BF27" s="10">
        <v>1</v>
      </c>
      <c r="BG27" s="4" t="s">
        <v>4854</v>
      </c>
      <c r="BH27" s="4" t="s">
        <v>4854</v>
      </c>
      <c r="BI27" s="4" t="s">
        <v>4854</v>
      </c>
      <c r="BJ27" s="10">
        <v>1</v>
      </c>
      <c r="BK27" s="91">
        <v>1</v>
      </c>
      <c r="BL27" s="100" t="s">
        <v>4854</v>
      </c>
      <c r="BM27" s="91">
        <v>1</v>
      </c>
      <c r="BN27" s="91">
        <v>1</v>
      </c>
      <c r="BO27" s="100" t="s">
        <v>4854</v>
      </c>
      <c r="BP27" s="100" t="s">
        <v>4854</v>
      </c>
      <c r="BQ27" s="100" t="s">
        <v>4854</v>
      </c>
      <c r="BR27" s="91">
        <v>1</v>
      </c>
      <c r="BS27" s="10" t="s">
        <v>4857</v>
      </c>
    </row>
    <row r="28" spans="1:71" s="30" customFormat="1" ht="17.100000000000001" customHeight="1">
      <c r="A28" s="14">
        <v>17</v>
      </c>
      <c r="B28" s="5" t="s">
        <v>4838</v>
      </c>
      <c r="C28" s="3" t="s">
        <v>4798</v>
      </c>
      <c r="D28" s="3" t="s">
        <v>4839</v>
      </c>
      <c r="E28" s="6" t="s">
        <v>4840</v>
      </c>
      <c r="F28" s="5" t="s">
        <v>4841</v>
      </c>
      <c r="G28" s="3" t="s">
        <v>4842</v>
      </c>
      <c r="H28" s="6" t="s">
        <v>4843</v>
      </c>
      <c r="I28" s="3" t="s">
        <v>4844</v>
      </c>
      <c r="J28" s="5" t="s">
        <v>4845</v>
      </c>
      <c r="K28" s="3" t="s">
        <v>5339</v>
      </c>
      <c r="L28" s="3" t="s">
        <v>4846</v>
      </c>
      <c r="M28" s="5">
        <v>3</v>
      </c>
      <c r="N28" s="21">
        <v>744.02120000000002</v>
      </c>
      <c r="O28" s="35" t="s">
        <v>4854</v>
      </c>
      <c r="P28" s="36" t="str">
        <f>HYPERLINK("http://ms.phosphosite.org:5080/cgi-bin/plot-msms.cgi?MassType=1&amp;NumAxis=1&amp;Mod4=160&amp;Mod6=160&amp;Mod13=170&amp;Pep=RVTCTCEVENRPKYYGR&amp;Dta=/var/www/html/dta/S01/10559.3033.3.dta&amp;Global_Mod=CS57.0215", "3033")</f>
        <v>3033</v>
      </c>
      <c r="Q28" s="35" t="s">
        <v>4854</v>
      </c>
      <c r="R28" s="36" t="str">
        <f>HYPERLINK("http://ms.phosphosite.org:5080/cgi-bin/plot-msms.cgi?MassType=1&amp;NumAxis=1&amp;Mod4=160&amp;Mod6=160&amp;Mod13=170&amp;Pep=RVTCTCEVENRPKYYGR&amp;Dta=/var/www/html/dta/S01/10561.3024.3.dta&amp;Global_Mod=CS57.0215", "3024")</f>
        <v>3024</v>
      </c>
      <c r="S28" s="35" t="s">
        <v>4854</v>
      </c>
      <c r="T28" s="36" t="str">
        <f>HYPERLINK("http://ms.phosphosite.org:5080/cgi-bin/plot-msms.cgi?MassType=1&amp;NumAxis=1&amp;Mod4=160&amp;Mod6=160&amp;Mod13=170&amp;Pep=RVTCTCEVENRPKYYGR&amp;Dta=/var/www/html/dta/S01/10563.3051.3.dta&amp;Global_Mod=CS57.0215", "3051")</f>
        <v>3051</v>
      </c>
      <c r="U28" s="36" t="str">
        <f>HYPERLINK("http://ms.phosphosite.org:5080/cgi-bin/plot-msms.cgi?MassType=1&amp;NumAxis=1&amp;Mod4=160&amp;Mod6=160&amp;Mod13=170&amp;Pep=RVTCTCEVENRPKYYGR&amp;Dta=/var/www/html/dta/S01/10564.3340.3.dta&amp;Global_Mod=CS57.0215", "3340")</f>
        <v>3340</v>
      </c>
      <c r="V28" s="36" t="str">
        <f>HYPERLINK("http://ms.phosphosite.org:5080/cgi-bin/plot-msms.cgi?MassType=1&amp;NumAxis=1&amp;Mod4=160&amp;Mod6=160&amp;Mod13=170&amp;Pep=RVTCTCEVENRPKYYGR&amp;Dta=/var/www/html/dta/S01/10565.3453.3.dta&amp;Global_Mod=CS57.0215", "3453")</f>
        <v>3453</v>
      </c>
      <c r="W28" s="3" t="s">
        <v>4854</v>
      </c>
      <c r="X28" s="5">
        <v>3035</v>
      </c>
      <c r="Y28" s="3" t="s">
        <v>4854</v>
      </c>
      <c r="Z28" s="5">
        <v>3031</v>
      </c>
      <c r="AA28" s="3" t="s">
        <v>4854</v>
      </c>
      <c r="AB28" s="5">
        <v>3042</v>
      </c>
      <c r="AC28" s="5">
        <v>3363</v>
      </c>
      <c r="AD28" s="3" t="s">
        <v>4854</v>
      </c>
      <c r="AE28" s="99" t="s">
        <v>4854</v>
      </c>
      <c r="AF28" s="90">
        <v>2.593</v>
      </c>
      <c r="AG28" s="99" t="s">
        <v>4854</v>
      </c>
      <c r="AH28" s="90">
        <v>2.8050000000000002</v>
      </c>
      <c r="AI28" s="99" t="s">
        <v>4854</v>
      </c>
      <c r="AJ28" s="90">
        <v>2.839</v>
      </c>
      <c r="AK28" s="90">
        <v>2.9529999999999998</v>
      </c>
      <c r="AL28" s="90">
        <v>2.6379999999999999</v>
      </c>
      <c r="AM28" s="102" t="s">
        <v>4854</v>
      </c>
      <c r="AN28" s="21">
        <v>0.53210000000000002</v>
      </c>
      <c r="AO28" s="102" t="s">
        <v>4854</v>
      </c>
      <c r="AP28" s="21">
        <v>0.81279999999999997</v>
      </c>
      <c r="AQ28" s="102" t="s">
        <v>4854</v>
      </c>
      <c r="AR28" s="21">
        <v>0.624</v>
      </c>
      <c r="AS28" s="21">
        <v>-0.16830000000000001</v>
      </c>
      <c r="AT28" s="21">
        <v>0.7298</v>
      </c>
      <c r="AU28" s="102" t="s">
        <v>4854</v>
      </c>
      <c r="AV28" s="21">
        <v>5.8000000000000003E-2</v>
      </c>
      <c r="AW28" s="102" t="s">
        <v>4854</v>
      </c>
      <c r="AX28" s="21">
        <v>9.0999999999999998E-2</v>
      </c>
      <c r="AY28" s="102" t="s">
        <v>4854</v>
      </c>
      <c r="AZ28" s="21">
        <v>3.9E-2</v>
      </c>
      <c r="BA28" s="21">
        <v>0.27800000000000002</v>
      </c>
      <c r="BB28" s="21">
        <v>6.0999999999999999E-2</v>
      </c>
      <c r="BC28" s="3" t="s">
        <v>4854</v>
      </c>
      <c r="BD28" s="5">
        <v>1</v>
      </c>
      <c r="BE28" s="3" t="s">
        <v>4854</v>
      </c>
      <c r="BF28" s="5">
        <v>11</v>
      </c>
      <c r="BG28" s="3" t="s">
        <v>4854</v>
      </c>
      <c r="BH28" s="5">
        <v>1</v>
      </c>
      <c r="BI28" s="5">
        <v>1</v>
      </c>
      <c r="BJ28" s="5">
        <v>97</v>
      </c>
      <c r="BK28" s="99" t="s">
        <v>4854</v>
      </c>
      <c r="BL28" s="90">
        <v>0.97899999999999998</v>
      </c>
      <c r="BM28" s="99" t="s">
        <v>4854</v>
      </c>
      <c r="BN28" s="90">
        <v>0.98199999999999998</v>
      </c>
      <c r="BO28" s="99" t="s">
        <v>4854</v>
      </c>
      <c r="BP28" s="90">
        <v>0.98</v>
      </c>
      <c r="BQ28" s="90">
        <v>0.999</v>
      </c>
      <c r="BR28" s="90">
        <v>0.94</v>
      </c>
      <c r="BS28" s="5" t="s">
        <v>4857</v>
      </c>
    </row>
    <row r="29" spans="1:71" s="30" customFormat="1" ht="17.100000000000001" customHeight="1">
      <c r="A29" s="14">
        <v>18</v>
      </c>
      <c r="B29" s="5" t="s">
        <v>4847</v>
      </c>
      <c r="C29" s="3" t="s">
        <v>4798</v>
      </c>
      <c r="D29" s="3" t="s">
        <v>4839</v>
      </c>
      <c r="E29" s="6" t="s">
        <v>4840</v>
      </c>
      <c r="F29" s="5" t="s">
        <v>4841</v>
      </c>
      <c r="G29" s="3" t="s">
        <v>4842</v>
      </c>
      <c r="H29" s="6" t="s">
        <v>4843</v>
      </c>
      <c r="I29" s="3" t="s">
        <v>4844</v>
      </c>
      <c r="J29" s="5" t="s">
        <v>4845</v>
      </c>
      <c r="K29" s="3" t="s">
        <v>5339</v>
      </c>
      <c r="L29" s="3" t="s">
        <v>4848</v>
      </c>
      <c r="M29" s="5">
        <v>3</v>
      </c>
      <c r="N29" s="21">
        <v>691.98749999999995</v>
      </c>
      <c r="O29" s="35" t="s">
        <v>4854</v>
      </c>
      <c r="P29" s="35" t="s">
        <v>4854</v>
      </c>
      <c r="Q29" s="36" t="str">
        <f>HYPERLINK("http://ms.phosphosite.org:5080/cgi-bin/plot-msms.cgi?MassType=1&amp;NumAxis=1&amp;Mod3=160&amp;Mod5=160&amp;Mod12=170&amp;Pep=VTCTCEVENRPKYYGR&amp;Dta=/var/www/html/dta/S01/10560.3645.3.dta&amp;Global_Mod=CS57.0215", "3645")</f>
        <v>3645</v>
      </c>
      <c r="R29" s="35" t="s">
        <v>4854</v>
      </c>
      <c r="S29" s="35" t="s">
        <v>4854</v>
      </c>
      <c r="T29" s="35" t="s">
        <v>4854</v>
      </c>
      <c r="U29" s="35" t="s">
        <v>4854</v>
      </c>
      <c r="V29" s="35" t="s">
        <v>4854</v>
      </c>
      <c r="W29" s="3" t="s">
        <v>4854</v>
      </c>
      <c r="X29" s="3" t="s">
        <v>4854</v>
      </c>
      <c r="Y29" s="5">
        <v>3635</v>
      </c>
      <c r="Z29" s="3" t="s">
        <v>4854</v>
      </c>
      <c r="AA29" s="3" t="s">
        <v>4854</v>
      </c>
      <c r="AB29" s="3" t="s">
        <v>4854</v>
      </c>
      <c r="AC29" s="3" t="s">
        <v>4854</v>
      </c>
      <c r="AD29" s="3" t="s">
        <v>4854</v>
      </c>
      <c r="AE29" s="99" t="s">
        <v>4854</v>
      </c>
      <c r="AF29" s="99" t="s">
        <v>4854</v>
      </c>
      <c r="AG29" s="90">
        <v>1.859</v>
      </c>
      <c r="AH29" s="99" t="s">
        <v>4854</v>
      </c>
      <c r="AI29" s="99" t="s">
        <v>4854</v>
      </c>
      <c r="AJ29" s="99" t="s">
        <v>4854</v>
      </c>
      <c r="AK29" s="99" t="s">
        <v>4854</v>
      </c>
      <c r="AL29" s="99" t="s">
        <v>4854</v>
      </c>
      <c r="AM29" s="102" t="s">
        <v>4854</v>
      </c>
      <c r="AN29" s="102" t="s">
        <v>4854</v>
      </c>
      <c r="AO29" s="21">
        <v>0.62039999999999995</v>
      </c>
      <c r="AP29" s="102" t="s">
        <v>4854</v>
      </c>
      <c r="AQ29" s="102" t="s">
        <v>4854</v>
      </c>
      <c r="AR29" s="102" t="s">
        <v>4854</v>
      </c>
      <c r="AS29" s="102" t="s">
        <v>4854</v>
      </c>
      <c r="AT29" s="102" t="s">
        <v>4854</v>
      </c>
      <c r="AU29" s="102" t="s">
        <v>4854</v>
      </c>
      <c r="AV29" s="102" t="s">
        <v>4854</v>
      </c>
      <c r="AW29" s="21">
        <v>0.14699999999999999</v>
      </c>
      <c r="AX29" s="102" t="s">
        <v>4854</v>
      </c>
      <c r="AY29" s="102" t="s">
        <v>4854</v>
      </c>
      <c r="AZ29" s="102" t="s">
        <v>4854</v>
      </c>
      <c r="BA29" s="102" t="s">
        <v>4854</v>
      </c>
      <c r="BB29" s="102" t="s">
        <v>4854</v>
      </c>
      <c r="BC29" s="3" t="s">
        <v>4854</v>
      </c>
      <c r="BD29" s="3" t="s">
        <v>4854</v>
      </c>
      <c r="BE29" s="5">
        <v>1</v>
      </c>
      <c r="BF29" s="3" t="s">
        <v>4854</v>
      </c>
      <c r="BG29" s="3" t="s">
        <v>4854</v>
      </c>
      <c r="BH29" s="3" t="s">
        <v>4854</v>
      </c>
      <c r="BI29" s="3" t="s">
        <v>4854</v>
      </c>
      <c r="BJ29" s="3" t="s">
        <v>4854</v>
      </c>
      <c r="BK29" s="99" t="s">
        <v>4854</v>
      </c>
      <c r="BL29" s="99" t="s">
        <v>4854</v>
      </c>
      <c r="BM29" s="90">
        <v>0.98199999999999998</v>
      </c>
      <c r="BN29" s="99" t="s">
        <v>4854</v>
      </c>
      <c r="BO29" s="99" t="s">
        <v>4854</v>
      </c>
      <c r="BP29" s="99" t="s">
        <v>4854</v>
      </c>
      <c r="BQ29" s="99" t="s">
        <v>4854</v>
      </c>
      <c r="BR29" s="99" t="s">
        <v>4854</v>
      </c>
      <c r="BS29" s="5" t="s">
        <v>4857</v>
      </c>
    </row>
    <row r="30" spans="1:71" s="30" customFormat="1" ht="17.100000000000001" customHeight="1">
      <c r="A30" s="10">
        <v>19</v>
      </c>
      <c r="B30" s="10" t="s">
        <v>4849</v>
      </c>
      <c r="C30" s="4" t="s">
        <v>4798</v>
      </c>
      <c r="D30" s="4" t="s">
        <v>4850</v>
      </c>
      <c r="E30" s="7" t="s">
        <v>4851</v>
      </c>
      <c r="F30" s="10" t="s">
        <v>4852</v>
      </c>
      <c r="G30" s="4" t="s">
        <v>4853</v>
      </c>
      <c r="H30" s="7" t="s">
        <v>4725</v>
      </c>
      <c r="I30" s="4" t="s">
        <v>4726</v>
      </c>
      <c r="J30" s="10" t="s">
        <v>4727</v>
      </c>
      <c r="K30" s="4" t="s">
        <v>5340</v>
      </c>
      <c r="L30" s="4" t="s">
        <v>4728</v>
      </c>
      <c r="M30" s="10">
        <v>2</v>
      </c>
      <c r="N30" s="95">
        <v>408.74489999999997</v>
      </c>
      <c r="O30" s="38" t="s">
        <v>4854</v>
      </c>
      <c r="P30" s="38" t="s">
        <v>4854</v>
      </c>
      <c r="Q30" s="37" t="str">
        <f>HYPERLINK("http://ms.phosphosite.org:5080/cgi-bin/plot-msms.cgi?MassType=1&amp;NumAxis=1&amp;Mod1=170&amp;Mod3=170&amp;Pep=KTKVEK&amp;Dta=/var/www/html/dta/S01/10560.1564.2.dta&amp;Global_Mod=CS57.0215", "1564")</f>
        <v>1564</v>
      </c>
      <c r="R30" s="38" t="s">
        <v>4854</v>
      </c>
      <c r="S30" s="37" t="str">
        <f>HYPERLINK("http://ms.phosphosite.org:5080/cgi-bin/plot-msms.cgi?MassType=1&amp;NumAxis=1&amp;Mod1=170&amp;Mod3=170&amp;Pep=KTKVEK&amp;Dta=/var/www/html/dta/S01/10562.1640.2.dta&amp;Global_Mod=CS57.0215", "1640")</f>
        <v>1640</v>
      </c>
      <c r="T30" s="38" t="s">
        <v>4854</v>
      </c>
      <c r="U30" s="38" t="s">
        <v>4854</v>
      </c>
      <c r="V30" s="38" t="s">
        <v>4854</v>
      </c>
      <c r="W30" s="4" t="s">
        <v>4854</v>
      </c>
      <c r="X30" s="4" t="s">
        <v>4854</v>
      </c>
      <c r="Y30" s="4" t="s">
        <v>4854</v>
      </c>
      <c r="Z30" s="4" t="s">
        <v>4854</v>
      </c>
      <c r="AA30" s="4" t="s">
        <v>4854</v>
      </c>
      <c r="AB30" s="4" t="s">
        <v>4854</v>
      </c>
      <c r="AC30" s="4" t="s">
        <v>4854</v>
      </c>
      <c r="AD30" s="4" t="s">
        <v>4854</v>
      </c>
      <c r="AE30" s="100" t="s">
        <v>4854</v>
      </c>
      <c r="AF30" s="100" t="s">
        <v>4854</v>
      </c>
      <c r="AG30" s="91">
        <v>1.78</v>
      </c>
      <c r="AH30" s="100" t="s">
        <v>4854</v>
      </c>
      <c r="AI30" s="91">
        <v>1.9950000000000001</v>
      </c>
      <c r="AJ30" s="100" t="s">
        <v>4854</v>
      </c>
      <c r="AK30" s="100" t="s">
        <v>4854</v>
      </c>
      <c r="AL30" s="100" t="s">
        <v>4854</v>
      </c>
      <c r="AM30" s="103" t="s">
        <v>4854</v>
      </c>
      <c r="AN30" s="103" t="s">
        <v>4854</v>
      </c>
      <c r="AO30" s="95">
        <v>0.22900000000000001</v>
      </c>
      <c r="AP30" s="103" t="s">
        <v>4854</v>
      </c>
      <c r="AQ30" s="95">
        <v>0.40039999999999998</v>
      </c>
      <c r="AR30" s="103" t="s">
        <v>4854</v>
      </c>
      <c r="AS30" s="103" t="s">
        <v>4854</v>
      </c>
      <c r="AT30" s="103" t="s">
        <v>4854</v>
      </c>
      <c r="AU30" s="103" t="s">
        <v>4854</v>
      </c>
      <c r="AV30" s="103" t="s">
        <v>4854</v>
      </c>
      <c r="AW30" s="95">
        <v>7.0000000000000007E-2</v>
      </c>
      <c r="AX30" s="103" t="s">
        <v>4854</v>
      </c>
      <c r="AY30" s="95">
        <v>7.8E-2</v>
      </c>
      <c r="AZ30" s="103" t="s">
        <v>4854</v>
      </c>
      <c r="BA30" s="103" t="s">
        <v>4854</v>
      </c>
      <c r="BB30" s="103" t="s">
        <v>4854</v>
      </c>
      <c r="BC30" s="4" t="s">
        <v>4854</v>
      </c>
      <c r="BD30" s="4" t="s">
        <v>4854</v>
      </c>
      <c r="BE30" s="10">
        <v>10</v>
      </c>
      <c r="BF30" s="4" t="s">
        <v>4854</v>
      </c>
      <c r="BG30" s="10">
        <v>20</v>
      </c>
      <c r="BH30" s="4" t="s">
        <v>4854</v>
      </c>
      <c r="BI30" s="4" t="s">
        <v>4854</v>
      </c>
      <c r="BJ30" s="4" t="s">
        <v>4854</v>
      </c>
      <c r="BK30" s="100" t="s">
        <v>4854</v>
      </c>
      <c r="BL30" s="100" t="s">
        <v>4854</v>
      </c>
      <c r="BM30" s="91">
        <v>0.12</v>
      </c>
      <c r="BN30" s="100" t="s">
        <v>4854</v>
      </c>
      <c r="BO30" s="91">
        <v>0.19600000000000001</v>
      </c>
      <c r="BP30" s="100" t="s">
        <v>4854</v>
      </c>
      <c r="BQ30" s="100" t="s">
        <v>4854</v>
      </c>
      <c r="BR30" s="100" t="s">
        <v>4854</v>
      </c>
      <c r="BS30" s="10" t="s">
        <v>4857</v>
      </c>
    </row>
    <row r="31" spans="1:71" s="30" customFormat="1" ht="17.100000000000001" customHeight="1">
      <c r="A31" s="14">
        <v>20</v>
      </c>
      <c r="B31" s="5" t="s">
        <v>4729</v>
      </c>
      <c r="C31" s="3" t="s">
        <v>4798</v>
      </c>
      <c r="D31" s="3" t="s">
        <v>4730</v>
      </c>
      <c r="E31" s="6" t="s">
        <v>4731</v>
      </c>
      <c r="F31" s="5" t="s">
        <v>4732</v>
      </c>
      <c r="G31" s="3" t="s">
        <v>4733</v>
      </c>
      <c r="H31" s="6" t="s">
        <v>4734</v>
      </c>
      <c r="I31" s="3" t="s">
        <v>4735</v>
      </c>
      <c r="J31" s="5" t="s">
        <v>4736</v>
      </c>
      <c r="K31" s="3" t="s">
        <v>5341</v>
      </c>
      <c r="L31" s="3" t="s">
        <v>4737</v>
      </c>
      <c r="M31" s="5">
        <v>2</v>
      </c>
      <c r="N31" s="21">
        <v>728.8732</v>
      </c>
      <c r="O31" s="36" t="str">
        <f>HYPERLINK("http://ms.phosphosite.org:5080/cgi-bin/plot-msms.cgi?MassType=1&amp;NumAxis=1&amp;Mod4=170&amp;Pep=SVGKVEPSSQSPGR&amp;Dta=/var/www/html/dta/S01/10558.2571.2.dta&amp;Global_Mod=CS57.0215", "2571")</f>
        <v>2571</v>
      </c>
      <c r="P31" s="35" t="s">
        <v>4854</v>
      </c>
      <c r="Q31" s="35" t="s">
        <v>4854</v>
      </c>
      <c r="R31" s="35" t="s">
        <v>4854</v>
      </c>
      <c r="S31" s="35" t="s">
        <v>4854</v>
      </c>
      <c r="T31" s="35" t="s">
        <v>4854</v>
      </c>
      <c r="U31" s="35" t="s">
        <v>4854</v>
      </c>
      <c r="V31" s="35" t="s">
        <v>4854</v>
      </c>
      <c r="W31" s="3" t="s">
        <v>4854</v>
      </c>
      <c r="X31" s="3" t="s">
        <v>4854</v>
      </c>
      <c r="Y31" s="3" t="s">
        <v>4854</v>
      </c>
      <c r="Z31" s="3" t="s">
        <v>4854</v>
      </c>
      <c r="AA31" s="3" t="s">
        <v>4854</v>
      </c>
      <c r="AB31" s="3" t="s">
        <v>4854</v>
      </c>
      <c r="AC31" s="3" t="s">
        <v>4854</v>
      </c>
      <c r="AD31" s="3" t="s">
        <v>4854</v>
      </c>
      <c r="AE31" s="90">
        <v>2.3679999999999999</v>
      </c>
      <c r="AF31" s="99" t="s">
        <v>4854</v>
      </c>
      <c r="AG31" s="99" t="s">
        <v>4854</v>
      </c>
      <c r="AH31" s="99" t="s">
        <v>4854</v>
      </c>
      <c r="AI31" s="99" t="s">
        <v>4854</v>
      </c>
      <c r="AJ31" s="99" t="s">
        <v>4854</v>
      </c>
      <c r="AK31" s="99" t="s">
        <v>4854</v>
      </c>
      <c r="AL31" s="99" t="s">
        <v>4854</v>
      </c>
      <c r="AM31" s="21">
        <v>1.3159000000000001</v>
      </c>
      <c r="AN31" s="102" t="s">
        <v>4854</v>
      </c>
      <c r="AO31" s="102" t="s">
        <v>4854</v>
      </c>
      <c r="AP31" s="102" t="s">
        <v>4854</v>
      </c>
      <c r="AQ31" s="102" t="s">
        <v>4854</v>
      </c>
      <c r="AR31" s="102" t="s">
        <v>4854</v>
      </c>
      <c r="AS31" s="102" t="s">
        <v>4854</v>
      </c>
      <c r="AT31" s="102" t="s">
        <v>4854</v>
      </c>
      <c r="AU31" s="21">
        <v>0.26600000000000001</v>
      </c>
      <c r="AV31" s="102" t="s">
        <v>4854</v>
      </c>
      <c r="AW31" s="102" t="s">
        <v>4854</v>
      </c>
      <c r="AX31" s="102" t="s">
        <v>4854</v>
      </c>
      <c r="AY31" s="102" t="s">
        <v>4854</v>
      </c>
      <c r="AZ31" s="102" t="s">
        <v>4854</v>
      </c>
      <c r="BA31" s="102" t="s">
        <v>4854</v>
      </c>
      <c r="BB31" s="102" t="s">
        <v>4854</v>
      </c>
      <c r="BC31" s="5">
        <v>1</v>
      </c>
      <c r="BD31" s="3" t="s">
        <v>4854</v>
      </c>
      <c r="BE31" s="3" t="s">
        <v>4854</v>
      </c>
      <c r="BF31" s="3" t="s">
        <v>4854</v>
      </c>
      <c r="BG31" s="3" t="s">
        <v>4854</v>
      </c>
      <c r="BH31" s="3" t="s">
        <v>4854</v>
      </c>
      <c r="BI31" s="3" t="s">
        <v>4854</v>
      </c>
      <c r="BJ31" s="3" t="s">
        <v>4854</v>
      </c>
      <c r="BK31" s="90">
        <v>0.998</v>
      </c>
      <c r="BL31" s="99" t="s">
        <v>4854</v>
      </c>
      <c r="BM31" s="99" t="s">
        <v>4854</v>
      </c>
      <c r="BN31" s="99" t="s">
        <v>4854</v>
      </c>
      <c r="BO31" s="99" t="s">
        <v>4854</v>
      </c>
      <c r="BP31" s="99" t="s">
        <v>4854</v>
      </c>
      <c r="BQ31" s="99" t="s">
        <v>4854</v>
      </c>
      <c r="BR31" s="99" t="s">
        <v>4854</v>
      </c>
      <c r="BS31" s="5" t="s">
        <v>4857</v>
      </c>
    </row>
    <row r="32" spans="1:71" s="30" customFormat="1" ht="17.100000000000001" customHeight="1">
      <c r="A32" s="10">
        <v>21</v>
      </c>
      <c r="B32" s="10" t="s">
        <v>4738</v>
      </c>
      <c r="C32" s="4" t="s">
        <v>4798</v>
      </c>
      <c r="D32" s="4" t="s">
        <v>4739</v>
      </c>
      <c r="E32" s="4" t="s">
        <v>4740</v>
      </c>
      <c r="F32" s="10" t="s">
        <v>4741</v>
      </c>
      <c r="G32" s="4" t="s">
        <v>4742</v>
      </c>
      <c r="H32" s="7" t="s">
        <v>4743</v>
      </c>
      <c r="I32" s="4" t="s">
        <v>4744</v>
      </c>
      <c r="J32" s="10" t="s">
        <v>4745</v>
      </c>
      <c r="K32" s="4" t="s">
        <v>5342</v>
      </c>
      <c r="L32" s="4" t="s">
        <v>4746</v>
      </c>
      <c r="M32" s="10">
        <v>2</v>
      </c>
      <c r="N32" s="95">
        <v>686.3537</v>
      </c>
      <c r="O32" s="38" t="s">
        <v>4854</v>
      </c>
      <c r="P32" s="37" t="str">
        <f>HYPERLINK("http://ms.phosphosite.org:5080/cgi-bin/plot-msms.cgi?MassType=1&amp;NumAxis=1&amp;Mod5=170&amp;Pep=TEELKPQVEEK&amp;Dta=/var/www/html/dta/S01/10559.4095.2.dta&amp;Global_Mod=CS57.0215", "4095")</f>
        <v>4095</v>
      </c>
      <c r="Q32" s="37" t="str">
        <f>HYPERLINK("http://ms.phosphosite.org:5080/cgi-bin/plot-msms.cgi?MassType=1&amp;NumAxis=1&amp;Mod5=170&amp;Pep=TEELKPQVEEK&amp;Dta=/var/www/html/dta/S01/10560.4097.2.dta&amp;Global_Mod=CS57.0215", "4097")</f>
        <v>4097</v>
      </c>
      <c r="R32" s="37" t="str">
        <f>HYPERLINK("http://ms.phosphosite.org:5080/cgi-bin/plot-msms.cgi?MassType=1&amp;NumAxis=1&amp;Mod5=170&amp;Pep=TEELKPQVEEK&amp;Dta=/var/www/html/dta/S01/10561.4135.2.dta&amp;Global_Mod=CS57.0215", "4135")</f>
        <v>4135</v>
      </c>
      <c r="S32" s="37" t="str">
        <f>HYPERLINK("http://ms.phosphosite.org:5080/cgi-bin/plot-msms.cgi?MassType=1&amp;NumAxis=1&amp;Mod5=170&amp;Pep=TEELKPQVEEK&amp;Dta=/var/www/html/dta/S01/10562.4222.2.dta&amp;Global_Mod=CS57.0215", "4222")</f>
        <v>4222</v>
      </c>
      <c r="T32" s="37" t="str">
        <f>HYPERLINK("http://ms.phosphosite.org:5080/cgi-bin/plot-msms.cgi?MassType=1&amp;NumAxis=1&amp;Mod5=170&amp;Pep=TEELKPQVEEK&amp;Dta=/var/www/html/dta/S01/10563.4164.2.dta&amp;Global_Mod=CS57.0215", "4164")</f>
        <v>4164</v>
      </c>
      <c r="U32" s="38" t="s">
        <v>4854</v>
      </c>
      <c r="V32" s="37" t="str">
        <f>HYPERLINK("http://ms.phosphosite.org:5080/cgi-bin/plot-msms.cgi?MassType=1&amp;NumAxis=1&amp;Mod5=170&amp;Pep=TEELKPQVEEK&amp;Dta=/var/www/html/dta/S01/10565.4548.2.dta&amp;Global_Mod=CS57.0215", "4548")</f>
        <v>4548</v>
      </c>
      <c r="W32" s="4" t="s">
        <v>4854</v>
      </c>
      <c r="X32" s="10">
        <v>4085</v>
      </c>
      <c r="Y32" s="10">
        <v>4092</v>
      </c>
      <c r="Z32" s="10">
        <v>4127</v>
      </c>
      <c r="AA32" s="10">
        <v>4212</v>
      </c>
      <c r="AB32" s="10">
        <v>4156</v>
      </c>
      <c r="AC32" s="4" t="s">
        <v>4854</v>
      </c>
      <c r="AD32" s="10">
        <v>4551</v>
      </c>
      <c r="AE32" s="100" t="s">
        <v>4854</v>
      </c>
      <c r="AF32" s="91">
        <v>2.9780000000000002</v>
      </c>
      <c r="AG32" s="91">
        <v>2.6760000000000002</v>
      </c>
      <c r="AH32" s="91">
        <v>3.093</v>
      </c>
      <c r="AI32" s="91">
        <v>3.0609999999999999</v>
      </c>
      <c r="AJ32" s="91">
        <v>2.5139999999999998</v>
      </c>
      <c r="AK32" s="100" t="s">
        <v>4854</v>
      </c>
      <c r="AL32" s="91">
        <v>3.3559999999999999</v>
      </c>
      <c r="AM32" s="103" t="s">
        <v>4854</v>
      </c>
      <c r="AN32" s="95">
        <v>0.64810000000000001</v>
      </c>
      <c r="AO32" s="95">
        <v>-0.21870000000000001</v>
      </c>
      <c r="AP32" s="95">
        <v>8.1699999999999995E-2</v>
      </c>
      <c r="AQ32" s="95">
        <v>0.14660000000000001</v>
      </c>
      <c r="AR32" s="95">
        <v>0.66559999999999997</v>
      </c>
      <c r="AS32" s="103" t="s">
        <v>4854</v>
      </c>
      <c r="AT32" s="95">
        <v>0.2989</v>
      </c>
      <c r="AU32" s="103" t="s">
        <v>4854</v>
      </c>
      <c r="AV32" s="95">
        <v>0.311</v>
      </c>
      <c r="AW32" s="95">
        <v>0.26800000000000002</v>
      </c>
      <c r="AX32" s="95">
        <v>0.317</v>
      </c>
      <c r="AY32" s="95">
        <v>0.22600000000000001</v>
      </c>
      <c r="AZ32" s="95">
        <v>0.217</v>
      </c>
      <c r="BA32" s="103" t="s">
        <v>4854</v>
      </c>
      <c r="BB32" s="95">
        <v>0.34</v>
      </c>
      <c r="BC32" s="4" t="s">
        <v>4854</v>
      </c>
      <c r="BD32" s="10">
        <v>1</v>
      </c>
      <c r="BE32" s="10">
        <v>1</v>
      </c>
      <c r="BF32" s="10">
        <v>2</v>
      </c>
      <c r="BG32" s="10">
        <v>3</v>
      </c>
      <c r="BH32" s="10">
        <v>19</v>
      </c>
      <c r="BI32" s="4" t="s">
        <v>4854</v>
      </c>
      <c r="BJ32" s="10">
        <v>2</v>
      </c>
      <c r="BK32" s="100" t="s">
        <v>4854</v>
      </c>
      <c r="BL32" s="91">
        <v>1</v>
      </c>
      <c r="BM32" s="91">
        <v>1</v>
      </c>
      <c r="BN32" s="91">
        <v>1</v>
      </c>
      <c r="BO32" s="91">
        <v>1</v>
      </c>
      <c r="BP32" s="91">
        <v>0.999</v>
      </c>
      <c r="BQ32" s="100" t="s">
        <v>4854</v>
      </c>
      <c r="BR32" s="91">
        <v>1</v>
      </c>
      <c r="BS32" s="10" t="s">
        <v>4857</v>
      </c>
    </row>
    <row r="33" spans="1:71" s="30" customFormat="1" ht="17.100000000000001" customHeight="1">
      <c r="A33" s="14">
        <v>22</v>
      </c>
      <c r="B33" s="5" t="s">
        <v>4747</v>
      </c>
      <c r="C33" s="3" t="s">
        <v>4798</v>
      </c>
      <c r="D33" s="3" t="s">
        <v>4748</v>
      </c>
      <c r="E33" s="3" t="s">
        <v>4749</v>
      </c>
      <c r="F33" s="5" t="s">
        <v>4750</v>
      </c>
      <c r="G33" s="3" t="s">
        <v>4751</v>
      </c>
      <c r="H33" s="6" t="s">
        <v>4752</v>
      </c>
      <c r="I33" s="3" t="s">
        <v>4753</v>
      </c>
      <c r="J33" s="5" t="s">
        <v>4754</v>
      </c>
      <c r="K33" s="3" t="s">
        <v>5343</v>
      </c>
      <c r="L33" s="3" t="s">
        <v>4755</v>
      </c>
      <c r="M33" s="5">
        <v>3</v>
      </c>
      <c r="N33" s="21">
        <v>640.97770000000003</v>
      </c>
      <c r="O33" s="35" t="s">
        <v>4854</v>
      </c>
      <c r="P33" s="36" t="str">
        <f>HYPERLINK("http://ms.phosphosite.org:5080/cgi-bin/plot-msms.cgi?MassType=1&amp;NumAxis=1&amp;Mod1=170&amp;Pep=KVSTEAEFSPEDSPSIR&amp;Dta=/var/www/html/dta/S01/10559.6992.3.dta&amp;Global_Mod=CS57.0215", "6992")</f>
        <v>6992</v>
      </c>
      <c r="Q33" s="35" t="s">
        <v>4854</v>
      </c>
      <c r="R33" s="35" t="s">
        <v>4854</v>
      </c>
      <c r="S33" s="35" t="s">
        <v>4854</v>
      </c>
      <c r="T33" s="35" t="s">
        <v>4854</v>
      </c>
      <c r="U33" s="35" t="s">
        <v>4854</v>
      </c>
      <c r="V33" s="35" t="s">
        <v>4854</v>
      </c>
      <c r="W33" s="3" t="s">
        <v>4854</v>
      </c>
      <c r="X33" s="3" t="s">
        <v>4854</v>
      </c>
      <c r="Y33" s="3" t="s">
        <v>4854</v>
      </c>
      <c r="Z33" s="3" t="s">
        <v>4854</v>
      </c>
      <c r="AA33" s="3" t="s">
        <v>4854</v>
      </c>
      <c r="AB33" s="3" t="s">
        <v>4854</v>
      </c>
      <c r="AC33" s="3" t="s">
        <v>4854</v>
      </c>
      <c r="AD33" s="3" t="s">
        <v>4854</v>
      </c>
      <c r="AE33" s="99" t="s">
        <v>4854</v>
      </c>
      <c r="AF33" s="90">
        <v>2.4329999999999998</v>
      </c>
      <c r="AG33" s="99" t="s">
        <v>4854</v>
      </c>
      <c r="AH33" s="99" t="s">
        <v>4854</v>
      </c>
      <c r="AI33" s="99" t="s">
        <v>4854</v>
      </c>
      <c r="AJ33" s="99" t="s">
        <v>4854</v>
      </c>
      <c r="AK33" s="99" t="s">
        <v>4854</v>
      </c>
      <c r="AL33" s="99" t="s">
        <v>4854</v>
      </c>
      <c r="AM33" s="102" t="s">
        <v>4854</v>
      </c>
      <c r="AN33" s="21">
        <v>-0.24399999999999999</v>
      </c>
      <c r="AO33" s="102" t="s">
        <v>4854</v>
      </c>
      <c r="AP33" s="102" t="s">
        <v>4854</v>
      </c>
      <c r="AQ33" s="102" t="s">
        <v>4854</v>
      </c>
      <c r="AR33" s="102" t="s">
        <v>4854</v>
      </c>
      <c r="AS33" s="102" t="s">
        <v>4854</v>
      </c>
      <c r="AT33" s="102" t="s">
        <v>4854</v>
      </c>
      <c r="AU33" s="102" t="s">
        <v>4854</v>
      </c>
      <c r="AV33" s="21">
        <v>5.8000000000000003E-2</v>
      </c>
      <c r="AW33" s="102" t="s">
        <v>4854</v>
      </c>
      <c r="AX33" s="102" t="s">
        <v>4854</v>
      </c>
      <c r="AY33" s="102" t="s">
        <v>4854</v>
      </c>
      <c r="AZ33" s="102" t="s">
        <v>4854</v>
      </c>
      <c r="BA33" s="102" t="s">
        <v>4854</v>
      </c>
      <c r="BB33" s="102" t="s">
        <v>4854</v>
      </c>
      <c r="BC33" s="3" t="s">
        <v>4854</v>
      </c>
      <c r="BD33" s="5">
        <v>62</v>
      </c>
      <c r="BE33" s="3" t="s">
        <v>4854</v>
      </c>
      <c r="BF33" s="3" t="s">
        <v>4854</v>
      </c>
      <c r="BG33" s="3" t="s">
        <v>4854</v>
      </c>
      <c r="BH33" s="3" t="s">
        <v>4854</v>
      </c>
      <c r="BI33" s="3" t="s">
        <v>4854</v>
      </c>
      <c r="BJ33" s="3" t="s">
        <v>4854</v>
      </c>
      <c r="BK33" s="99" t="s">
        <v>4854</v>
      </c>
      <c r="BL33" s="90">
        <v>5.3999999999999999E-2</v>
      </c>
      <c r="BM33" s="99" t="s">
        <v>4854</v>
      </c>
      <c r="BN33" s="99" t="s">
        <v>4854</v>
      </c>
      <c r="BO33" s="99" t="s">
        <v>4854</v>
      </c>
      <c r="BP33" s="99" t="s">
        <v>4854</v>
      </c>
      <c r="BQ33" s="99" t="s">
        <v>4854</v>
      </c>
      <c r="BR33" s="99" t="s">
        <v>4854</v>
      </c>
      <c r="BS33" s="5" t="s">
        <v>4857</v>
      </c>
    </row>
    <row r="34" spans="1:71" s="30" customFormat="1" ht="17.100000000000001" customHeight="1">
      <c r="A34" s="10">
        <v>23</v>
      </c>
      <c r="B34" s="10" t="s">
        <v>4756</v>
      </c>
      <c r="C34" s="4" t="s">
        <v>4798</v>
      </c>
      <c r="D34" s="4" t="s">
        <v>4757</v>
      </c>
      <c r="E34" s="7" t="s">
        <v>4758</v>
      </c>
      <c r="F34" s="10" t="s">
        <v>4759</v>
      </c>
      <c r="G34" s="4" t="s">
        <v>4760</v>
      </c>
      <c r="H34" s="7" t="s">
        <v>4761</v>
      </c>
      <c r="I34" s="4" t="s">
        <v>4762</v>
      </c>
      <c r="J34" s="10" t="s">
        <v>4763</v>
      </c>
      <c r="K34" s="4" t="s">
        <v>5344</v>
      </c>
      <c r="L34" s="4" t="s">
        <v>4764</v>
      </c>
      <c r="M34" s="10">
        <v>3</v>
      </c>
      <c r="N34" s="95">
        <v>589.30370000000005</v>
      </c>
      <c r="O34" s="38" t="s">
        <v>4854</v>
      </c>
      <c r="P34" s="38" t="s">
        <v>4854</v>
      </c>
      <c r="Q34" s="38" t="s">
        <v>4854</v>
      </c>
      <c r="R34" s="38" t="s">
        <v>4854</v>
      </c>
      <c r="S34" s="37" t="str">
        <f>HYPERLINK("http://ms.phosphosite.org:5080/cgi-bin/plot-msms.cgi?MassType=1&amp;NumAxis=1&amp;Mod15=170&amp;Pep=LIQSHPESAEDLKEK&amp;Dta=/var/www/html/dta/S01/10562.3914.3.dta&amp;Global_Mod=CS57.0215", "3914")</f>
        <v>3914</v>
      </c>
      <c r="T34" s="38" t="s">
        <v>4854</v>
      </c>
      <c r="U34" s="38" t="s">
        <v>4854</v>
      </c>
      <c r="V34" s="38" t="s">
        <v>4854</v>
      </c>
      <c r="W34" s="4" t="s">
        <v>4854</v>
      </c>
      <c r="X34" s="4" t="s">
        <v>4854</v>
      </c>
      <c r="Y34" s="4" t="s">
        <v>4854</v>
      </c>
      <c r="Z34" s="4" t="s">
        <v>4854</v>
      </c>
      <c r="AA34" s="4" t="s">
        <v>4854</v>
      </c>
      <c r="AB34" s="4" t="s">
        <v>4854</v>
      </c>
      <c r="AC34" s="4" t="s">
        <v>4854</v>
      </c>
      <c r="AD34" s="4" t="s">
        <v>4854</v>
      </c>
      <c r="AE34" s="100" t="s">
        <v>4854</v>
      </c>
      <c r="AF34" s="100" t="s">
        <v>4854</v>
      </c>
      <c r="AG34" s="100" t="s">
        <v>4854</v>
      </c>
      <c r="AH34" s="100" t="s">
        <v>4854</v>
      </c>
      <c r="AI34" s="91">
        <v>2.76</v>
      </c>
      <c r="AJ34" s="100" t="s">
        <v>4854</v>
      </c>
      <c r="AK34" s="100" t="s">
        <v>4854</v>
      </c>
      <c r="AL34" s="100" t="s">
        <v>4854</v>
      </c>
      <c r="AM34" s="103" t="s">
        <v>4854</v>
      </c>
      <c r="AN34" s="103" t="s">
        <v>4854</v>
      </c>
      <c r="AO34" s="103" t="s">
        <v>4854</v>
      </c>
      <c r="AP34" s="103" t="s">
        <v>4854</v>
      </c>
      <c r="AQ34" s="95">
        <v>-0.9224</v>
      </c>
      <c r="AR34" s="103" t="s">
        <v>4854</v>
      </c>
      <c r="AS34" s="103" t="s">
        <v>4854</v>
      </c>
      <c r="AT34" s="103" t="s">
        <v>4854</v>
      </c>
      <c r="AU34" s="103" t="s">
        <v>4854</v>
      </c>
      <c r="AV34" s="103" t="s">
        <v>4854</v>
      </c>
      <c r="AW34" s="103" t="s">
        <v>4854</v>
      </c>
      <c r="AX34" s="103" t="s">
        <v>4854</v>
      </c>
      <c r="AY34" s="95">
        <v>0.22700000000000001</v>
      </c>
      <c r="AZ34" s="103" t="s">
        <v>4854</v>
      </c>
      <c r="BA34" s="103" t="s">
        <v>4854</v>
      </c>
      <c r="BB34" s="103" t="s">
        <v>4854</v>
      </c>
      <c r="BC34" s="4" t="s">
        <v>4854</v>
      </c>
      <c r="BD34" s="4" t="s">
        <v>4854</v>
      </c>
      <c r="BE34" s="4" t="s">
        <v>4854</v>
      </c>
      <c r="BF34" s="4" t="s">
        <v>4854</v>
      </c>
      <c r="BG34" s="10">
        <v>1</v>
      </c>
      <c r="BH34" s="4" t="s">
        <v>4854</v>
      </c>
      <c r="BI34" s="4" t="s">
        <v>4854</v>
      </c>
      <c r="BJ34" s="4" t="s">
        <v>4854</v>
      </c>
      <c r="BK34" s="100" t="s">
        <v>4854</v>
      </c>
      <c r="BL34" s="100" t="s">
        <v>4854</v>
      </c>
      <c r="BM34" s="100" t="s">
        <v>4854</v>
      </c>
      <c r="BN34" s="100" t="s">
        <v>4854</v>
      </c>
      <c r="BO34" s="91">
        <v>0.98499999999999999</v>
      </c>
      <c r="BP34" s="100" t="s">
        <v>4854</v>
      </c>
      <c r="BQ34" s="100" t="s">
        <v>4854</v>
      </c>
      <c r="BR34" s="100" t="s">
        <v>4854</v>
      </c>
      <c r="BS34" s="10" t="s">
        <v>4857</v>
      </c>
    </row>
    <row r="35" spans="1:71" s="30" customFormat="1" ht="17.100000000000001" customHeight="1">
      <c r="A35" s="14">
        <v>24</v>
      </c>
      <c r="B35" s="5" t="s">
        <v>4765</v>
      </c>
      <c r="C35" s="3" t="s">
        <v>4798</v>
      </c>
      <c r="D35" s="3" t="s">
        <v>4766</v>
      </c>
      <c r="E35" s="3" t="s">
        <v>4767</v>
      </c>
      <c r="F35" s="5" t="s">
        <v>4768</v>
      </c>
      <c r="G35" s="3" t="s">
        <v>4769</v>
      </c>
      <c r="H35" s="6" t="s">
        <v>4770</v>
      </c>
      <c r="I35" s="3" t="s">
        <v>4771</v>
      </c>
      <c r="J35" s="5" t="s">
        <v>4796</v>
      </c>
      <c r="K35" s="3" t="s">
        <v>5345</v>
      </c>
      <c r="L35" s="3" t="s">
        <v>4772</v>
      </c>
      <c r="M35" s="5">
        <v>2</v>
      </c>
      <c r="N35" s="21">
        <v>857.42179999999996</v>
      </c>
      <c r="O35" s="35" t="s">
        <v>4854</v>
      </c>
      <c r="P35" s="35" t="s">
        <v>4854</v>
      </c>
      <c r="Q35" s="35" t="s">
        <v>4854</v>
      </c>
      <c r="R35" s="35" t="s">
        <v>4854</v>
      </c>
      <c r="S35" s="35" t="s">
        <v>4854</v>
      </c>
      <c r="T35" s="35" t="s">
        <v>4854</v>
      </c>
      <c r="U35" s="36" t="str">
        <f>HYPERLINK("http://ms.phosphosite.org:5080/cgi-bin/plot-msms.cgi?MassType=1&amp;NumAxis=1&amp;Mod1=160&amp;Mod13=170&amp;Pep=CVLPEEDSGELAKPK&amp;Dta=/var/www/html/dta/S01/10564.7064.2.dta&amp;Global_Mod=CS57.0215", "7064")</f>
        <v>7064</v>
      </c>
      <c r="V35" s="36" t="str">
        <f>HYPERLINK("http://ms.phosphosite.org:5080/cgi-bin/plot-msms.cgi?MassType=1&amp;NumAxis=1&amp;Mod1=160&amp;Mod13=170&amp;Pep=CVLPEEDSGELAKPK&amp;Dta=/var/www/html/dta/S01/10565.7127.2.dta&amp;Global_Mod=CS57.0215", "7127")</f>
        <v>7127</v>
      </c>
      <c r="W35" s="3" t="s">
        <v>4854</v>
      </c>
      <c r="X35" s="3" t="s">
        <v>4854</v>
      </c>
      <c r="Y35" s="3" t="s">
        <v>4854</v>
      </c>
      <c r="Z35" s="3" t="s">
        <v>4854</v>
      </c>
      <c r="AA35" s="3" t="s">
        <v>4854</v>
      </c>
      <c r="AB35" s="3" t="s">
        <v>4854</v>
      </c>
      <c r="AC35" s="5">
        <v>7057</v>
      </c>
      <c r="AD35" s="5">
        <v>7120</v>
      </c>
      <c r="AE35" s="99" t="s">
        <v>4854</v>
      </c>
      <c r="AF35" s="99" t="s">
        <v>4854</v>
      </c>
      <c r="AG35" s="99" t="s">
        <v>4854</v>
      </c>
      <c r="AH35" s="99" t="s">
        <v>4854</v>
      </c>
      <c r="AI35" s="99" t="s">
        <v>4854</v>
      </c>
      <c r="AJ35" s="99" t="s">
        <v>4854</v>
      </c>
      <c r="AK35" s="90">
        <v>3.2240000000000002</v>
      </c>
      <c r="AL35" s="90">
        <v>3.37</v>
      </c>
      <c r="AM35" s="102" t="s">
        <v>4854</v>
      </c>
      <c r="AN35" s="102" t="s">
        <v>4854</v>
      </c>
      <c r="AO35" s="102" t="s">
        <v>4854</v>
      </c>
      <c r="AP35" s="102" t="s">
        <v>4854</v>
      </c>
      <c r="AQ35" s="102" t="s">
        <v>4854</v>
      </c>
      <c r="AR35" s="102" t="s">
        <v>4854</v>
      </c>
      <c r="AS35" s="21">
        <v>0.59870000000000001</v>
      </c>
      <c r="AT35" s="21">
        <v>0.32390000000000002</v>
      </c>
      <c r="AU35" s="102" t="s">
        <v>4854</v>
      </c>
      <c r="AV35" s="102" t="s">
        <v>4854</v>
      </c>
      <c r="AW35" s="102" t="s">
        <v>4854</v>
      </c>
      <c r="AX35" s="102" t="s">
        <v>4854</v>
      </c>
      <c r="AY35" s="102" t="s">
        <v>4854</v>
      </c>
      <c r="AZ35" s="102" t="s">
        <v>4854</v>
      </c>
      <c r="BA35" s="21">
        <v>0.34599999999999997</v>
      </c>
      <c r="BB35" s="21">
        <v>0.35599999999999998</v>
      </c>
      <c r="BC35" s="3" t="s">
        <v>4854</v>
      </c>
      <c r="BD35" s="3" t="s">
        <v>4854</v>
      </c>
      <c r="BE35" s="3" t="s">
        <v>4854</v>
      </c>
      <c r="BF35" s="3" t="s">
        <v>4854</v>
      </c>
      <c r="BG35" s="3" t="s">
        <v>4854</v>
      </c>
      <c r="BH35" s="3" t="s">
        <v>4854</v>
      </c>
      <c r="BI35" s="5">
        <v>1</v>
      </c>
      <c r="BJ35" s="5">
        <v>1</v>
      </c>
      <c r="BK35" s="99" t="s">
        <v>4854</v>
      </c>
      <c r="BL35" s="99" t="s">
        <v>4854</v>
      </c>
      <c r="BM35" s="99" t="s">
        <v>4854</v>
      </c>
      <c r="BN35" s="99" t="s">
        <v>4854</v>
      </c>
      <c r="BO35" s="99" t="s">
        <v>4854</v>
      </c>
      <c r="BP35" s="99" t="s">
        <v>4854</v>
      </c>
      <c r="BQ35" s="90">
        <v>1</v>
      </c>
      <c r="BR35" s="90">
        <v>1</v>
      </c>
      <c r="BS35" s="5" t="s">
        <v>4857</v>
      </c>
    </row>
    <row r="36" spans="1:71" s="30" customFormat="1" ht="17.100000000000001" customHeight="1">
      <c r="A36" s="10">
        <v>25</v>
      </c>
      <c r="B36" s="10" t="s">
        <v>4832</v>
      </c>
      <c r="C36" s="4" t="s">
        <v>4798</v>
      </c>
      <c r="D36" s="4" t="s">
        <v>4773</v>
      </c>
      <c r="E36" s="4" t="s">
        <v>4774</v>
      </c>
      <c r="F36" s="10" t="s">
        <v>5057</v>
      </c>
      <c r="G36" s="4" t="s">
        <v>4775</v>
      </c>
      <c r="H36" s="7" t="s">
        <v>4776</v>
      </c>
      <c r="I36" s="4" t="s">
        <v>4777</v>
      </c>
      <c r="J36" s="10" t="s">
        <v>4778</v>
      </c>
      <c r="K36" s="4" t="s">
        <v>5346</v>
      </c>
      <c r="L36" s="4" t="s">
        <v>4779</v>
      </c>
      <c r="M36" s="10">
        <v>2</v>
      </c>
      <c r="N36" s="95">
        <v>586.30330000000004</v>
      </c>
      <c r="O36" s="38" t="s">
        <v>4854</v>
      </c>
      <c r="P36" s="38" t="s">
        <v>4854</v>
      </c>
      <c r="Q36" s="38" t="s">
        <v>4854</v>
      </c>
      <c r="R36" s="37" t="str">
        <f>HYPERLINK("http://ms.phosphosite.org:5080/cgi-bin/plot-msms.cgi?MassType=1&amp;NumAxis=1&amp;Mod5=170&amp;Pep=ASTDKYAVFK&amp;Dta=/var/www/html/dta/S01/10561.6296.2.dta&amp;Global_Mod=CS57.0215", "6296")</f>
        <v>6296</v>
      </c>
      <c r="S36" s="37" t="str">
        <f>HYPERLINK("http://ms.phosphosite.org:5080/cgi-bin/plot-msms.cgi?MassType=1&amp;NumAxis=1&amp;Mod5=170&amp;Pep=ASTDKYAVFK&amp;Dta=/var/www/html/dta/S01/10562.6414.2.dta&amp;Global_Mod=CS57.0215", "6414")</f>
        <v>6414</v>
      </c>
      <c r="T36" s="38" t="s">
        <v>4854</v>
      </c>
      <c r="U36" s="38" t="s">
        <v>4854</v>
      </c>
      <c r="V36" s="38" t="s">
        <v>4854</v>
      </c>
      <c r="W36" s="4" t="s">
        <v>4854</v>
      </c>
      <c r="X36" s="4" t="s">
        <v>4854</v>
      </c>
      <c r="Y36" s="4" t="s">
        <v>4854</v>
      </c>
      <c r="Z36" s="10">
        <v>6294</v>
      </c>
      <c r="AA36" s="4" t="s">
        <v>4854</v>
      </c>
      <c r="AB36" s="4" t="s">
        <v>4854</v>
      </c>
      <c r="AC36" s="4" t="s">
        <v>4854</v>
      </c>
      <c r="AD36" s="4" t="s">
        <v>4854</v>
      </c>
      <c r="AE36" s="100" t="s">
        <v>4854</v>
      </c>
      <c r="AF36" s="100" t="s">
        <v>4854</v>
      </c>
      <c r="AG36" s="100" t="s">
        <v>4854</v>
      </c>
      <c r="AH36" s="91">
        <v>1.847</v>
      </c>
      <c r="AI36" s="91">
        <v>1.867</v>
      </c>
      <c r="AJ36" s="100" t="s">
        <v>4854</v>
      </c>
      <c r="AK36" s="100" t="s">
        <v>4854</v>
      </c>
      <c r="AL36" s="100" t="s">
        <v>4854</v>
      </c>
      <c r="AM36" s="103" t="s">
        <v>4854</v>
      </c>
      <c r="AN36" s="103" t="s">
        <v>4854</v>
      </c>
      <c r="AO36" s="103" t="s">
        <v>4854</v>
      </c>
      <c r="AP36" s="95">
        <v>1.5599999999999999E-2</v>
      </c>
      <c r="AQ36" s="95">
        <v>-0.62109999999999999</v>
      </c>
      <c r="AR36" s="103" t="s">
        <v>4854</v>
      </c>
      <c r="AS36" s="103" t="s">
        <v>4854</v>
      </c>
      <c r="AT36" s="103" t="s">
        <v>4854</v>
      </c>
      <c r="AU36" s="103" t="s">
        <v>4854</v>
      </c>
      <c r="AV36" s="103" t="s">
        <v>4854</v>
      </c>
      <c r="AW36" s="103" t="s">
        <v>4854</v>
      </c>
      <c r="AX36" s="95">
        <v>9.5000000000000001E-2</v>
      </c>
      <c r="AY36" s="95">
        <v>7.0000000000000001E-3</v>
      </c>
      <c r="AZ36" s="103" t="s">
        <v>4854</v>
      </c>
      <c r="BA36" s="103" t="s">
        <v>4854</v>
      </c>
      <c r="BB36" s="103" t="s">
        <v>4854</v>
      </c>
      <c r="BC36" s="4" t="s">
        <v>4854</v>
      </c>
      <c r="BD36" s="4" t="s">
        <v>4854</v>
      </c>
      <c r="BE36" s="4" t="s">
        <v>4854</v>
      </c>
      <c r="BF36" s="10">
        <v>3</v>
      </c>
      <c r="BG36" s="10">
        <v>11</v>
      </c>
      <c r="BH36" s="4" t="s">
        <v>4854</v>
      </c>
      <c r="BI36" s="4" t="s">
        <v>4854</v>
      </c>
      <c r="BJ36" s="4" t="s">
        <v>4854</v>
      </c>
      <c r="BK36" s="100" t="s">
        <v>4854</v>
      </c>
      <c r="BL36" s="100" t="s">
        <v>4854</v>
      </c>
      <c r="BM36" s="100" t="s">
        <v>4854</v>
      </c>
      <c r="BN36" s="91">
        <v>0.95699999999999996</v>
      </c>
      <c r="BO36" s="91">
        <v>0.71499999999999997</v>
      </c>
      <c r="BP36" s="100" t="s">
        <v>4854</v>
      </c>
      <c r="BQ36" s="100" t="s">
        <v>4854</v>
      </c>
      <c r="BR36" s="100" t="s">
        <v>4854</v>
      </c>
      <c r="BS36" s="10" t="s">
        <v>4857</v>
      </c>
    </row>
    <row r="37" spans="1:71" s="30" customFormat="1" ht="17.100000000000001" customHeight="1">
      <c r="A37" s="14">
        <v>26</v>
      </c>
      <c r="B37" s="5" t="s">
        <v>4780</v>
      </c>
      <c r="C37" s="3" t="s">
        <v>4798</v>
      </c>
      <c r="D37" s="3" t="s">
        <v>4773</v>
      </c>
      <c r="E37" s="3" t="s">
        <v>4774</v>
      </c>
      <c r="F37" s="5" t="s">
        <v>4976</v>
      </c>
      <c r="G37" s="3" t="s">
        <v>4775</v>
      </c>
      <c r="H37" s="6" t="s">
        <v>4776</v>
      </c>
      <c r="I37" s="3" t="s">
        <v>4777</v>
      </c>
      <c r="J37" s="5" t="s">
        <v>4778</v>
      </c>
      <c r="K37" s="3" t="s">
        <v>5347</v>
      </c>
      <c r="L37" s="3" t="s">
        <v>4781</v>
      </c>
      <c r="M37" s="5">
        <v>5</v>
      </c>
      <c r="N37" s="21">
        <v>841.8193</v>
      </c>
      <c r="O37" s="35" t="s">
        <v>4854</v>
      </c>
      <c r="P37" s="35" t="s">
        <v>4854</v>
      </c>
      <c r="Q37" s="36" t="str">
        <f>HYPERLINK("http://ms.phosphosite.org:5080/cgi-bin/plot-msms.cgi?MassType=1&amp;NumAxis=1&amp;Mod34=170&amp;Pep=ASDKYEALREEVSPSPLSSSTVEGAQHPPAAATKYDVFK&amp;Dta=/var/www/html/dta/S01/10560.8914.5.dta&amp;Global_Mod=CS57.0215", "8914")</f>
        <v>8914</v>
      </c>
      <c r="R37" s="35" t="s">
        <v>4854</v>
      </c>
      <c r="S37" s="35" t="s">
        <v>4854</v>
      </c>
      <c r="T37" s="35" t="s">
        <v>4854</v>
      </c>
      <c r="U37" s="35" t="s">
        <v>4854</v>
      </c>
      <c r="V37" s="35" t="s">
        <v>4854</v>
      </c>
      <c r="W37" s="3" t="s">
        <v>4854</v>
      </c>
      <c r="X37" s="3" t="s">
        <v>4854</v>
      </c>
      <c r="Y37" s="5">
        <v>8907</v>
      </c>
      <c r="Z37" s="3" t="s">
        <v>4854</v>
      </c>
      <c r="AA37" s="3" t="s">
        <v>4854</v>
      </c>
      <c r="AB37" s="3" t="s">
        <v>4854</v>
      </c>
      <c r="AC37" s="3" t="s">
        <v>4854</v>
      </c>
      <c r="AD37" s="3" t="s">
        <v>4854</v>
      </c>
      <c r="AE37" s="99" t="s">
        <v>4854</v>
      </c>
      <c r="AF37" s="99" t="s">
        <v>4854</v>
      </c>
      <c r="AG37" s="90">
        <v>3.4969999999999999</v>
      </c>
      <c r="AH37" s="99" t="s">
        <v>4854</v>
      </c>
      <c r="AI37" s="99" t="s">
        <v>4854</v>
      </c>
      <c r="AJ37" s="99" t="s">
        <v>4854</v>
      </c>
      <c r="AK37" s="99" t="s">
        <v>4854</v>
      </c>
      <c r="AL37" s="99" t="s">
        <v>4854</v>
      </c>
      <c r="AM37" s="102" t="s">
        <v>4854</v>
      </c>
      <c r="AN37" s="102" t="s">
        <v>4854</v>
      </c>
      <c r="AO37" s="21">
        <v>1.9945999999999999</v>
      </c>
      <c r="AP37" s="102" t="s">
        <v>4854</v>
      </c>
      <c r="AQ37" s="102" t="s">
        <v>4854</v>
      </c>
      <c r="AR37" s="102" t="s">
        <v>4854</v>
      </c>
      <c r="AS37" s="102" t="s">
        <v>4854</v>
      </c>
      <c r="AT37" s="102" t="s">
        <v>4854</v>
      </c>
      <c r="AU37" s="102" t="s">
        <v>4854</v>
      </c>
      <c r="AV37" s="102" t="s">
        <v>4854</v>
      </c>
      <c r="AW37" s="21">
        <v>0.14899999999999999</v>
      </c>
      <c r="AX37" s="102" t="s">
        <v>4854</v>
      </c>
      <c r="AY37" s="102" t="s">
        <v>4854</v>
      </c>
      <c r="AZ37" s="102" t="s">
        <v>4854</v>
      </c>
      <c r="BA37" s="102" t="s">
        <v>4854</v>
      </c>
      <c r="BB37" s="102" t="s">
        <v>4854</v>
      </c>
      <c r="BC37" s="3" t="s">
        <v>4854</v>
      </c>
      <c r="BD37" s="3" t="s">
        <v>4854</v>
      </c>
      <c r="BE37" s="5">
        <v>2</v>
      </c>
      <c r="BF37" s="3" t="s">
        <v>4854</v>
      </c>
      <c r="BG37" s="3" t="s">
        <v>4854</v>
      </c>
      <c r="BH37" s="3" t="s">
        <v>4854</v>
      </c>
      <c r="BI37" s="3" t="s">
        <v>4854</v>
      </c>
      <c r="BJ37" s="3" t="s">
        <v>4854</v>
      </c>
      <c r="BK37" s="99" t="s">
        <v>4854</v>
      </c>
      <c r="BL37" s="99" t="s">
        <v>4854</v>
      </c>
      <c r="BM37" s="90">
        <v>0.99299999999999999</v>
      </c>
      <c r="BN37" s="99" t="s">
        <v>4854</v>
      </c>
      <c r="BO37" s="99" t="s">
        <v>4854</v>
      </c>
      <c r="BP37" s="99" t="s">
        <v>4854</v>
      </c>
      <c r="BQ37" s="99" t="s">
        <v>4854</v>
      </c>
      <c r="BR37" s="99" t="s">
        <v>4854</v>
      </c>
      <c r="BS37" s="5" t="s">
        <v>4857</v>
      </c>
    </row>
    <row r="38" spans="1:71" s="30" customFormat="1" ht="17.100000000000001" customHeight="1">
      <c r="A38" s="10">
        <v>27</v>
      </c>
      <c r="B38" s="10" t="s">
        <v>4782</v>
      </c>
      <c r="C38" s="4" t="s">
        <v>4798</v>
      </c>
      <c r="D38" s="4" t="s">
        <v>4656</v>
      </c>
      <c r="E38" s="7" t="s">
        <v>4657</v>
      </c>
      <c r="F38" s="10" t="s">
        <v>4658</v>
      </c>
      <c r="G38" s="4" t="s">
        <v>4659</v>
      </c>
      <c r="H38" s="7" t="s">
        <v>4660</v>
      </c>
      <c r="I38" s="4" t="s">
        <v>4661</v>
      </c>
      <c r="J38" s="10" t="s">
        <v>4662</v>
      </c>
      <c r="K38" s="4" t="s">
        <v>5348</v>
      </c>
      <c r="L38" s="4" t="s">
        <v>4663</v>
      </c>
      <c r="M38" s="10">
        <v>3</v>
      </c>
      <c r="N38" s="95">
        <v>868.09760000000006</v>
      </c>
      <c r="O38" s="38" t="s">
        <v>4854</v>
      </c>
      <c r="P38" s="38" t="s">
        <v>4854</v>
      </c>
      <c r="Q38" s="38" t="s">
        <v>4854</v>
      </c>
      <c r="R38" s="37" t="str">
        <f>HYPERLINK("http://ms.phosphosite.org:5080/cgi-bin/plot-msms.cgi?MassType=1&amp;NumAxis=1&amp;Mod12=170&amp;Pep=YLAEFATGNDRKEAAENSLVAYK&amp;Dta=/var/www/html/dta/S01/10561.8789.3.dta&amp;Global_Mod=CS57.0215", "8789")</f>
        <v>8789</v>
      </c>
      <c r="S38" s="38" t="s">
        <v>4854</v>
      </c>
      <c r="T38" s="38" t="s">
        <v>4854</v>
      </c>
      <c r="U38" s="38" t="s">
        <v>4854</v>
      </c>
      <c r="V38" s="38" t="s">
        <v>4854</v>
      </c>
      <c r="W38" s="4" t="s">
        <v>4854</v>
      </c>
      <c r="X38" s="4" t="s">
        <v>4854</v>
      </c>
      <c r="Y38" s="4" t="s">
        <v>4854</v>
      </c>
      <c r="Z38" s="10">
        <v>8769</v>
      </c>
      <c r="AA38" s="4" t="s">
        <v>4854</v>
      </c>
      <c r="AB38" s="4" t="s">
        <v>4854</v>
      </c>
      <c r="AC38" s="4" t="s">
        <v>4854</v>
      </c>
      <c r="AD38" s="4" t="s">
        <v>4854</v>
      </c>
      <c r="AE38" s="100" t="s">
        <v>4854</v>
      </c>
      <c r="AF38" s="100" t="s">
        <v>4854</v>
      </c>
      <c r="AG38" s="100" t="s">
        <v>4854</v>
      </c>
      <c r="AH38" s="91">
        <v>3.0910000000000002</v>
      </c>
      <c r="AI38" s="100" t="s">
        <v>4854</v>
      </c>
      <c r="AJ38" s="100" t="s">
        <v>4854</v>
      </c>
      <c r="AK38" s="100" t="s">
        <v>4854</v>
      </c>
      <c r="AL38" s="100" t="s">
        <v>4854</v>
      </c>
      <c r="AM38" s="103" t="s">
        <v>4854</v>
      </c>
      <c r="AN38" s="103" t="s">
        <v>4854</v>
      </c>
      <c r="AO38" s="103" t="s">
        <v>4854</v>
      </c>
      <c r="AP38" s="95">
        <v>0.62809999999999999</v>
      </c>
      <c r="AQ38" s="103" t="s">
        <v>4854</v>
      </c>
      <c r="AR38" s="103" t="s">
        <v>4854</v>
      </c>
      <c r="AS38" s="103" t="s">
        <v>4854</v>
      </c>
      <c r="AT38" s="103" t="s">
        <v>4854</v>
      </c>
      <c r="AU38" s="103" t="s">
        <v>4854</v>
      </c>
      <c r="AV38" s="103" t="s">
        <v>4854</v>
      </c>
      <c r="AW38" s="103" t="s">
        <v>4854</v>
      </c>
      <c r="AX38" s="95">
        <v>0.21299999999999999</v>
      </c>
      <c r="AY38" s="103" t="s">
        <v>4854</v>
      </c>
      <c r="AZ38" s="103" t="s">
        <v>4854</v>
      </c>
      <c r="BA38" s="103" t="s">
        <v>4854</v>
      </c>
      <c r="BB38" s="103" t="s">
        <v>4854</v>
      </c>
      <c r="BC38" s="4" t="s">
        <v>4854</v>
      </c>
      <c r="BD38" s="4" t="s">
        <v>4854</v>
      </c>
      <c r="BE38" s="4" t="s">
        <v>4854</v>
      </c>
      <c r="BF38" s="10">
        <v>3</v>
      </c>
      <c r="BG38" s="4" t="s">
        <v>4854</v>
      </c>
      <c r="BH38" s="4" t="s">
        <v>4854</v>
      </c>
      <c r="BI38" s="4" t="s">
        <v>4854</v>
      </c>
      <c r="BJ38" s="4" t="s">
        <v>4854</v>
      </c>
      <c r="BK38" s="100" t="s">
        <v>4854</v>
      </c>
      <c r="BL38" s="100" t="s">
        <v>4854</v>
      </c>
      <c r="BM38" s="100" t="s">
        <v>4854</v>
      </c>
      <c r="BN38" s="91">
        <v>0.998</v>
      </c>
      <c r="BO38" s="100" t="s">
        <v>4854</v>
      </c>
      <c r="BP38" s="100" t="s">
        <v>4854</v>
      </c>
      <c r="BQ38" s="100" t="s">
        <v>4854</v>
      </c>
      <c r="BR38" s="100" t="s">
        <v>4854</v>
      </c>
      <c r="BS38" s="10" t="s">
        <v>4857</v>
      </c>
    </row>
    <row r="39" spans="1:71" s="30" customFormat="1" ht="17.100000000000001" customHeight="1">
      <c r="A39" s="14">
        <v>28</v>
      </c>
      <c r="B39" s="5" t="s">
        <v>4664</v>
      </c>
      <c r="C39" s="3" t="s">
        <v>4798</v>
      </c>
      <c r="D39" s="3" t="s">
        <v>4656</v>
      </c>
      <c r="E39" s="6" t="s">
        <v>4657</v>
      </c>
      <c r="F39" s="5" t="s">
        <v>5273</v>
      </c>
      <c r="G39" s="3" t="s">
        <v>4659</v>
      </c>
      <c r="H39" s="6" t="s">
        <v>4660</v>
      </c>
      <c r="I39" s="3" t="s">
        <v>4661</v>
      </c>
      <c r="J39" s="5" t="s">
        <v>4662</v>
      </c>
      <c r="K39" s="3" t="s">
        <v>5349</v>
      </c>
      <c r="L39" s="3" t="s">
        <v>4665</v>
      </c>
      <c r="M39" s="5">
        <v>3</v>
      </c>
      <c r="N39" s="21">
        <v>729.72159999999997</v>
      </c>
      <c r="O39" s="35" t="s">
        <v>4854</v>
      </c>
      <c r="P39" s="36" t="str">
        <f>HYPERLINK("http://ms.phosphosite.org:5080/cgi-bin/plot-msms.cgi?MassType=1&amp;NumAxis=1&amp;Mod8=170&amp;Pep=IISSIEQKEENKGGEDKLK&amp;Dta=/var/www/html/dta/S01/10559.4202.3.dta&amp;Global_Mod=CS57.0215", "4202")</f>
        <v>4202</v>
      </c>
      <c r="Q39" s="36" t="str">
        <f>HYPERLINK("http://ms.phosphosite.org:5080/cgi-bin/plot-msms.cgi?MassType=1&amp;NumAxis=1&amp;Mod8=170&amp;Pep=IISSIEQKEENKGGEDKLK&amp;Dta=/var/www/html/dta/S01/10560.4189.3.dta&amp;Global_Mod=CS57.0215", "4189")</f>
        <v>4189</v>
      </c>
      <c r="R39" s="36" t="str">
        <f>HYPERLINK("http://ms.phosphosite.org:5080/cgi-bin/plot-msms.cgi?MassType=1&amp;NumAxis=1&amp;Mod8=170&amp;Pep=IISSIEQKEENKGGEDKLK&amp;Dta=/var/www/html/dta/S01/10561.4202.3.dta&amp;Global_Mod=CS57.0215", "4202")</f>
        <v>4202</v>
      </c>
      <c r="S39" s="36" t="str">
        <f>HYPERLINK("http://ms.phosphosite.org:5080/cgi-bin/plot-msms.cgi?MassType=1&amp;NumAxis=1&amp;Mod8=170&amp;Pep=IISSIEQKEENKGGEDKLK&amp;Dta=/var/www/html/dta/S01/10562.4330.3.dta&amp;Global_Mod=CS57.0215", "4330")</f>
        <v>4330</v>
      </c>
      <c r="T39" s="36" t="str">
        <f>HYPERLINK("http://ms.phosphosite.org:5080/cgi-bin/plot-msms.cgi?MassType=1&amp;NumAxis=1&amp;Mod8=170&amp;Pep=IISSIEQKEENKGGEDKLK&amp;Dta=/var/www/html/dta/S01/10563.4254.3.dta&amp;Global_Mod=CS57.0215", "4254")</f>
        <v>4254</v>
      </c>
      <c r="U39" s="35" t="s">
        <v>4854</v>
      </c>
      <c r="V39" s="36" t="str">
        <f>HYPERLINK("http://ms.phosphosite.org:5080/cgi-bin/plot-msms.cgi?MassType=1&amp;NumAxis=1&amp;Mod8=170&amp;Pep=IISSIEQKEENKGGEDKLK&amp;Dta=/var/www/html/dta/S01/10565.4643.3.dta&amp;Global_Mod=CS57.0215", "4643")</f>
        <v>4643</v>
      </c>
      <c r="W39" s="3" t="s">
        <v>4854</v>
      </c>
      <c r="X39" s="3" t="s">
        <v>4854</v>
      </c>
      <c r="Y39" s="3" t="s">
        <v>4854</v>
      </c>
      <c r="Z39" s="3" t="s">
        <v>4854</v>
      </c>
      <c r="AA39" s="3" t="s">
        <v>4854</v>
      </c>
      <c r="AB39" s="3" t="s">
        <v>4854</v>
      </c>
      <c r="AC39" s="3" t="s">
        <v>4854</v>
      </c>
      <c r="AD39" s="3" t="s">
        <v>4854</v>
      </c>
      <c r="AE39" s="99" t="s">
        <v>4854</v>
      </c>
      <c r="AF39" s="90">
        <v>2.31</v>
      </c>
      <c r="AG39" s="90">
        <v>2.181</v>
      </c>
      <c r="AH39" s="90">
        <v>2.9729999999999999</v>
      </c>
      <c r="AI39" s="90">
        <v>2.7669999999999999</v>
      </c>
      <c r="AJ39" s="90">
        <v>2.347</v>
      </c>
      <c r="AK39" s="99" t="s">
        <v>4854</v>
      </c>
      <c r="AL39" s="90">
        <v>2.476</v>
      </c>
      <c r="AM39" s="102" t="s">
        <v>4854</v>
      </c>
      <c r="AN39" s="21">
        <v>0.81410000000000005</v>
      </c>
      <c r="AO39" s="21">
        <v>0.92149999999999999</v>
      </c>
      <c r="AP39" s="21">
        <v>0.86209999999999998</v>
      </c>
      <c r="AQ39" s="21">
        <v>0.49819999999999998</v>
      </c>
      <c r="AR39" s="21">
        <v>0.84560000000000002</v>
      </c>
      <c r="AS39" s="102" t="s">
        <v>4854</v>
      </c>
      <c r="AT39" s="21">
        <v>-0.38240000000000002</v>
      </c>
      <c r="AU39" s="102" t="s">
        <v>4854</v>
      </c>
      <c r="AV39" s="21">
        <v>0.192</v>
      </c>
      <c r="AW39" s="21">
        <v>6.0999999999999999E-2</v>
      </c>
      <c r="AX39" s="21">
        <v>0.16400000000000001</v>
      </c>
      <c r="AY39" s="21">
        <v>0.17399999999999999</v>
      </c>
      <c r="AZ39" s="21">
        <v>0.104</v>
      </c>
      <c r="BA39" s="102" t="s">
        <v>4854</v>
      </c>
      <c r="BB39" s="21">
        <v>0.13100000000000001</v>
      </c>
      <c r="BC39" s="3" t="s">
        <v>4854</v>
      </c>
      <c r="BD39" s="5">
        <v>2</v>
      </c>
      <c r="BE39" s="5">
        <v>7</v>
      </c>
      <c r="BF39" s="5">
        <v>5</v>
      </c>
      <c r="BG39" s="5">
        <v>4</v>
      </c>
      <c r="BH39" s="5">
        <v>26</v>
      </c>
      <c r="BI39" s="3" t="s">
        <v>4854</v>
      </c>
      <c r="BJ39" s="5">
        <v>5</v>
      </c>
      <c r="BK39" s="99" t="s">
        <v>4854</v>
      </c>
      <c r="BL39" s="90">
        <v>0.92700000000000005</v>
      </c>
      <c r="BM39" s="90">
        <v>0.52500000000000002</v>
      </c>
      <c r="BN39" s="90">
        <v>0.94</v>
      </c>
      <c r="BO39" s="90">
        <v>0.93799999999999994</v>
      </c>
      <c r="BP39" s="90">
        <v>0.64800000000000002</v>
      </c>
      <c r="BQ39" s="99" t="s">
        <v>4854</v>
      </c>
      <c r="BR39" s="90">
        <v>0.70099999999999996</v>
      </c>
      <c r="BS39" s="5" t="s">
        <v>4857</v>
      </c>
    </row>
    <row r="40" spans="1:71" s="30" customFormat="1" ht="17.100000000000001" customHeight="1">
      <c r="A40" s="10">
        <v>29</v>
      </c>
      <c r="B40" s="10" t="s">
        <v>4666</v>
      </c>
      <c r="C40" s="4" t="s">
        <v>4798</v>
      </c>
      <c r="D40" s="4" t="s">
        <v>4656</v>
      </c>
      <c r="E40" s="7" t="s">
        <v>4657</v>
      </c>
      <c r="F40" s="10" t="s">
        <v>4667</v>
      </c>
      <c r="G40" s="4" t="s">
        <v>4659</v>
      </c>
      <c r="H40" s="7" t="s">
        <v>4660</v>
      </c>
      <c r="I40" s="4" t="s">
        <v>4661</v>
      </c>
      <c r="J40" s="10" t="s">
        <v>4662</v>
      </c>
      <c r="K40" s="4" t="s">
        <v>5350</v>
      </c>
      <c r="L40" s="4" t="s">
        <v>4668</v>
      </c>
      <c r="M40" s="10">
        <v>3</v>
      </c>
      <c r="N40" s="95">
        <v>729.72159999999997</v>
      </c>
      <c r="O40" s="38" t="s">
        <v>4854</v>
      </c>
      <c r="P40" s="38" t="s">
        <v>4854</v>
      </c>
      <c r="Q40" s="38" t="s">
        <v>4854</v>
      </c>
      <c r="R40" s="38" t="s">
        <v>4854</v>
      </c>
      <c r="S40" s="38" t="s">
        <v>4854</v>
      </c>
      <c r="T40" s="38" t="s">
        <v>4854</v>
      </c>
      <c r="U40" s="37" t="str">
        <f>HYPERLINK("http://ms.phosphosite.org:5080/cgi-bin/plot-msms.cgi?MassType=1&amp;NumAxis=1&amp;Mod12=170&amp;Pep=IISSIEQKEENKGGEDKLK&amp;Dta=/var/www/html/dta/S01/10564.4181.3.dta&amp;Global_Mod=CS57.0215", "4181")</f>
        <v>4181</v>
      </c>
      <c r="V40" s="38" t="s">
        <v>4854</v>
      </c>
      <c r="W40" s="4" t="s">
        <v>4854</v>
      </c>
      <c r="X40" s="4" t="s">
        <v>4854</v>
      </c>
      <c r="Y40" s="4" t="s">
        <v>4854</v>
      </c>
      <c r="Z40" s="4" t="s">
        <v>4854</v>
      </c>
      <c r="AA40" s="4" t="s">
        <v>4854</v>
      </c>
      <c r="AB40" s="4" t="s">
        <v>4854</v>
      </c>
      <c r="AC40" s="10">
        <v>4560</v>
      </c>
      <c r="AD40" s="4" t="s">
        <v>4854</v>
      </c>
      <c r="AE40" s="100" t="s">
        <v>4854</v>
      </c>
      <c r="AF40" s="100" t="s">
        <v>4854</v>
      </c>
      <c r="AG40" s="100" t="s">
        <v>4854</v>
      </c>
      <c r="AH40" s="100" t="s">
        <v>4854</v>
      </c>
      <c r="AI40" s="100" t="s">
        <v>4854</v>
      </c>
      <c r="AJ40" s="100" t="s">
        <v>4854</v>
      </c>
      <c r="AK40" s="91">
        <v>3.1549999999999998</v>
      </c>
      <c r="AL40" s="100" t="s">
        <v>4854</v>
      </c>
      <c r="AM40" s="103" t="s">
        <v>4854</v>
      </c>
      <c r="AN40" s="103" t="s">
        <v>4854</v>
      </c>
      <c r="AO40" s="103" t="s">
        <v>4854</v>
      </c>
      <c r="AP40" s="103" t="s">
        <v>4854</v>
      </c>
      <c r="AQ40" s="103" t="s">
        <v>4854</v>
      </c>
      <c r="AR40" s="103" t="s">
        <v>4854</v>
      </c>
      <c r="AS40" s="95">
        <v>-0.59960000000000002</v>
      </c>
      <c r="AT40" s="103" t="s">
        <v>4854</v>
      </c>
      <c r="AU40" s="103" t="s">
        <v>4854</v>
      </c>
      <c r="AV40" s="103" t="s">
        <v>4854</v>
      </c>
      <c r="AW40" s="103" t="s">
        <v>4854</v>
      </c>
      <c r="AX40" s="103" t="s">
        <v>4854</v>
      </c>
      <c r="AY40" s="103" t="s">
        <v>4854</v>
      </c>
      <c r="AZ40" s="103" t="s">
        <v>4854</v>
      </c>
      <c r="BA40" s="95">
        <v>0.27200000000000002</v>
      </c>
      <c r="BB40" s="103" t="s">
        <v>4854</v>
      </c>
      <c r="BC40" s="4" t="s">
        <v>4854</v>
      </c>
      <c r="BD40" s="4" t="s">
        <v>4854</v>
      </c>
      <c r="BE40" s="4" t="s">
        <v>4854</v>
      </c>
      <c r="BF40" s="4" t="s">
        <v>4854</v>
      </c>
      <c r="BG40" s="4" t="s">
        <v>4854</v>
      </c>
      <c r="BH40" s="4" t="s">
        <v>4854</v>
      </c>
      <c r="BI40" s="10">
        <v>1</v>
      </c>
      <c r="BJ40" s="4" t="s">
        <v>4854</v>
      </c>
      <c r="BK40" s="100" t="s">
        <v>4854</v>
      </c>
      <c r="BL40" s="100" t="s">
        <v>4854</v>
      </c>
      <c r="BM40" s="100" t="s">
        <v>4854</v>
      </c>
      <c r="BN40" s="100" t="s">
        <v>4854</v>
      </c>
      <c r="BO40" s="100" t="s">
        <v>4854</v>
      </c>
      <c r="BP40" s="100" t="s">
        <v>4854</v>
      </c>
      <c r="BQ40" s="91">
        <v>0.98399999999999999</v>
      </c>
      <c r="BR40" s="100" t="s">
        <v>4854</v>
      </c>
      <c r="BS40" s="10" t="s">
        <v>4857</v>
      </c>
    </row>
    <row r="41" spans="1:71" s="30" customFormat="1" ht="17.100000000000001" customHeight="1">
      <c r="A41" s="14">
        <v>30</v>
      </c>
      <c r="B41" s="5" t="s">
        <v>4669</v>
      </c>
      <c r="C41" s="3" t="s">
        <v>4798</v>
      </c>
      <c r="D41" s="3" t="s">
        <v>4656</v>
      </c>
      <c r="E41" s="6" t="s">
        <v>4657</v>
      </c>
      <c r="F41" s="5" t="s">
        <v>4670</v>
      </c>
      <c r="G41" s="3" t="s">
        <v>4659</v>
      </c>
      <c r="H41" s="6" t="s">
        <v>4660</v>
      </c>
      <c r="I41" s="3" t="s">
        <v>4661</v>
      </c>
      <c r="J41" s="5" t="s">
        <v>4662</v>
      </c>
      <c r="K41" s="3" t="s">
        <v>5351</v>
      </c>
      <c r="L41" s="3" t="s">
        <v>4671</v>
      </c>
      <c r="M41" s="5">
        <v>3</v>
      </c>
      <c r="N41" s="21">
        <v>729.72159999999997</v>
      </c>
      <c r="O41" s="35" t="s">
        <v>4854</v>
      </c>
      <c r="P41" s="35" t="s">
        <v>4854</v>
      </c>
      <c r="Q41" s="35" t="s">
        <v>4854</v>
      </c>
      <c r="R41" s="35" t="s">
        <v>4854</v>
      </c>
      <c r="S41" s="35" t="s">
        <v>4854</v>
      </c>
      <c r="T41" s="35" t="s">
        <v>4854</v>
      </c>
      <c r="U41" s="35" t="s">
        <v>4854</v>
      </c>
      <c r="V41" s="36" t="str">
        <f>HYPERLINK("http://ms.phosphosite.org:5080/cgi-bin/plot-msms.cgi?MassType=1&amp;NumAxis=1&amp;Mod17=170&amp;Pep=IISSIEQKEENKGGEDKLK&amp;Dta=/var/www/html/dta/S01/10565.4297.3.dta&amp;Global_Mod=CS57.0215", "4297")</f>
        <v>4297</v>
      </c>
      <c r="W41" s="3" t="s">
        <v>4854</v>
      </c>
      <c r="X41" s="3" t="s">
        <v>4854</v>
      </c>
      <c r="Y41" s="3" t="s">
        <v>4854</v>
      </c>
      <c r="Z41" s="3" t="s">
        <v>4854</v>
      </c>
      <c r="AA41" s="3" t="s">
        <v>4854</v>
      </c>
      <c r="AB41" s="3" t="s">
        <v>4854</v>
      </c>
      <c r="AC41" s="3" t="s">
        <v>4854</v>
      </c>
      <c r="AD41" s="3" t="s">
        <v>4854</v>
      </c>
      <c r="AE41" s="99" t="s">
        <v>4854</v>
      </c>
      <c r="AF41" s="99" t="s">
        <v>4854</v>
      </c>
      <c r="AG41" s="99" t="s">
        <v>4854</v>
      </c>
      <c r="AH41" s="99" t="s">
        <v>4854</v>
      </c>
      <c r="AI41" s="99" t="s">
        <v>4854</v>
      </c>
      <c r="AJ41" s="99" t="s">
        <v>4854</v>
      </c>
      <c r="AK41" s="99" t="s">
        <v>4854</v>
      </c>
      <c r="AL41" s="90">
        <v>2.4489999999999998</v>
      </c>
      <c r="AM41" s="102" t="s">
        <v>4854</v>
      </c>
      <c r="AN41" s="102" t="s">
        <v>4854</v>
      </c>
      <c r="AO41" s="102" t="s">
        <v>4854</v>
      </c>
      <c r="AP41" s="102" t="s">
        <v>4854</v>
      </c>
      <c r="AQ41" s="102" t="s">
        <v>4854</v>
      </c>
      <c r="AR41" s="102" t="s">
        <v>4854</v>
      </c>
      <c r="AS41" s="102" t="s">
        <v>4854</v>
      </c>
      <c r="AT41" s="21">
        <v>0.59419999999999995</v>
      </c>
      <c r="AU41" s="102" t="s">
        <v>4854</v>
      </c>
      <c r="AV41" s="102" t="s">
        <v>4854</v>
      </c>
      <c r="AW41" s="102" t="s">
        <v>4854</v>
      </c>
      <c r="AX41" s="102" t="s">
        <v>4854</v>
      </c>
      <c r="AY41" s="102" t="s">
        <v>4854</v>
      </c>
      <c r="AZ41" s="102" t="s">
        <v>4854</v>
      </c>
      <c r="BA41" s="102" t="s">
        <v>4854</v>
      </c>
      <c r="BB41" s="21">
        <v>1E-3</v>
      </c>
      <c r="BC41" s="3" t="s">
        <v>4854</v>
      </c>
      <c r="BD41" s="3" t="s">
        <v>4854</v>
      </c>
      <c r="BE41" s="3" t="s">
        <v>4854</v>
      </c>
      <c r="BF41" s="3" t="s">
        <v>4854</v>
      </c>
      <c r="BG41" s="3" t="s">
        <v>4854</v>
      </c>
      <c r="BH41" s="3" t="s">
        <v>4854</v>
      </c>
      <c r="BI41" s="3" t="s">
        <v>4854</v>
      </c>
      <c r="BJ41" s="5">
        <v>1</v>
      </c>
      <c r="BK41" s="99" t="s">
        <v>4854</v>
      </c>
      <c r="BL41" s="99" t="s">
        <v>4854</v>
      </c>
      <c r="BM41" s="99" t="s">
        <v>4854</v>
      </c>
      <c r="BN41" s="99" t="s">
        <v>4854</v>
      </c>
      <c r="BO41" s="99" t="s">
        <v>4854</v>
      </c>
      <c r="BP41" s="99" t="s">
        <v>4854</v>
      </c>
      <c r="BQ41" s="99" t="s">
        <v>4854</v>
      </c>
      <c r="BR41" s="90">
        <v>0.53600000000000003</v>
      </c>
      <c r="BS41" s="5" t="s">
        <v>4857</v>
      </c>
    </row>
    <row r="42" spans="1:71" s="30" customFormat="1" ht="17.100000000000001" customHeight="1">
      <c r="A42" s="10">
        <v>31</v>
      </c>
      <c r="B42" s="10" t="s">
        <v>4672</v>
      </c>
      <c r="C42" s="4" t="s">
        <v>4798</v>
      </c>
      <c r="D42" s="4" t="s">
        <v>4673</v>
      </c>
      <c r="E42" s="7" t="s">
        <v>4674</v>
      </c>
      <c r="F42" s="10" t="s">
        <v>4675</v>
      </c>
      <c r="G42" s="4" t="s">
        <v>4676</v>
      </c>
      <c r="H42" s="7" t="s">
        <v>4677</v>
      </c>
      <c r="I42" s="4" t="s">
        <v>4678</v>
      </c>
      <c r="J42" s="10" t="s">
        <v>4672</v>
      </c>
      <c r="K42" s="4" t="s">
        <v>5352</v>
      </c>
      <c r="L42" s="4" t="s">
        <v>4679</v>
      </c>
      <c r="M42" s="10">
        <v>2</v>
      </c>
      <c r="N42" s="95">
        <v>810.40650000000005</v>
      </c>
      <c r="O42" s="37" t="str">
        <f>HYPERLINK("http://ms.phosphosite.org:5080/cgi-bin/plot-msms.cgi?MassType=1&amp;NumAxis=1&amp;Mod8=170&amp;Pep=TSADGNEKKIEMVR&amp;Dta=/var/www/html/dta/S01/10558.3875.2.dta&amp;Global_Mod=CS57.0215", "3875")</f>
        <v>3875</v>
      </c>
      <c r="P42" s="37" t="str">
        <f>HYPERLINK("http://ms.phosphosite.org:5080/cgi-bin/plot-msms.cgi?MassType=1&amp;NumAxis=1&amp;Mod8=170&amp;Pep=TSADGNEKKIEMVR&amp;Dta=/var/www/html/dta/S01/10559.3808.2.dta&amp;Global_Mod=CS57.0215", "3808")</f>
        <v>3808</v>
      </c>
      <c r="Q42" s="37" t="str">
        <f>HYPERLINK("http://ms.phosphosite.org:5080/cgi-bin/plot-msms.cgi?MassType=1&amp;NumAxis=1&amp;Mod8=170&amp;Pep=TSADGNEKKIEMVR&amp;Dta=/var/www/html/dta/S01/10560.3806.2.dta&amp;Global_Mod=CS57.0215", "3806")</f>
        <v>3806</v>
      </c>
      <c r="R42" s="37" t="str">
        <f>HYPERLINK("http://ms.phosphosite.org:5080/cgi-bin/plot-msms.cgi?MassType=1&amp;NumAxis=1&amp;Mod8=170&amp;Pep=TSADGNEKKIEMVR&amp;Dta=/var/www/html/dta/S01/10561.3840.2.dta&amp;Global_Mod=CS57.0215", "3840")</f>
        <v>3840</v>
      </c>
      <c r="S42" s="37" t="str">
        <f>HYPERLINK("http://ms.phosphosite.org:5080/cgi-bin/plot-msms.cgi?MassType=1&amp;NumAxis=1&amp;Mod8=170&amp;Pep=TSADGNEKKIEMVR&amp;Dta=/var/www/html/dta/S01/10562.3935.2.dta&amp;Global_Mod=CS57.0215", "3935")</f>
        <v>3935</v>
      </c>
      <c r="T42" s="37" t="str">
        <f>HYPERLINK("http://ms.phosphosite.org:5080/cgi-bin/plot-msms.cgi?MassType=1&amp;NumAxis=1&amp;Mod8=170&amp;Pep=TSADGNEKKIEMVR&amp;Dta=/var/www/html/dta/S01/10563.3866.2.dta&amp;Global_Mod=CS57.0215", "3866")</f>
        <v>3866</v>
      </c>
      <c r="U42" s="37" t="str">
        <f>HYPERLINK("http://ms.phosphosite.org:5080/cgi-bin/plot-msms.cgi?MassType=1&amp;NumAxis=1&amp;Mod8=170&amp;Pep=TSADGNEKKIEMVR&amp;Dta=/var/www/html/dta/S01/10564.4178.2.dta&amp;Global_Mod=CS57.0215", "4178")</f>
        <v>4178</v>
      </c>
      <c r="V42" s="38" t="s">
        <v>4854</v>
      </c>
      <c r="W42" s="10">
        <v>3895</v>
      </c>
      <c r="X42" s="10">
        <v>3810</v>
      </c>
      <c r="Y42" s="10">
        <v>3800</v>
      </c>
      <c r="Z42" s="10">
        <v>3841</v>
      </c>
      <c r="AA42" s="10">
        <v>3937</v>
      </c>
      <c r="AB42" s="10">
        <v>3868</v>
      </c>
      <c r="AC42" s="10">
        <v>4175</v>
      </c>
      <c r="AD42" s="4" t="s">
        <v>4854</v>
      </c>
      <c r="AE42" s="91">
        <v>3.8580000000000001</v>
      </c>
      <c r="AF42" s="91">
        <v>3.589</v>
      </c>
      <c r="AG42" s="91">
        <v>3.1509999999999998</v>
      </c>
      <c r="AH42" s="91">
        <v>3.3940000000000001</v>
      </c>
      <c r="AI42" s="91">
        <v>3.53</v>
      </c>
      <c r="AJ42" s="91">
        <v>3.415</v>
      </c>
      <c r="AK42" s="91">
        <v>4.1790000000000003</v>
      </c>
      <c r="AL42" s="100" t="s">
        <v>4854</v>
      </c>
      <c r="AM42" s="95">
        <v>0.37319999999999998</v>
      </c>
      <c r="AN42" s="95">
        <v>-0.1133</v>
      </c>
      <c r="AO42" s="95">
        <v>0.438</v>
      </c>
      <c r="AP42" s="95">
        <v>-0.3503</v>
      </c>
      <c r="AQ42" s="95">
        <v>0.61580000000000001</v>
      </c>
      <c r="AR42" s="95">
        <v>0.26579999999999998</v>
      </c>
      <c r="AS42" s="95">
        <v>0.2238</v>
      </c>
      <c r="AT42" s="103" t="s">
        <v>4854</v>
      </c>
      <c r="AU42" s="95">
        <v>0.42799999999999999</v>
      </c>
      <c r="AV42" s="95">
        <v>0.40799999999999997</v>
      </c>
      <c r="AW42" s="95">
        <v>0.33</v>
      </c>
      <c r="AX42" s="95">
        <v>0.42399999999999999</v>
      </c>
      <c r="AY42" s="95">
        <v>0.42399999999999999</v>
      </c>
      <c r="AZ42" s="95">
        <v>0.39100000000000001</v>
      </c>
      <c r="BA42" s="95">
        <v>0.376</v>
      </c>
      <c r="BB42" s="103" t="s">
        <v>4854</v>
      </c>
      <c r="BC42" s="10">
        <v>1</v>
      </c>
      <c r="BD42" s="10">
        <v>1</v>
      </c>
      <c r="BE42" s="10">
        <v>1</v>
      </c>
      <c r="BF42" s="10">
        <v>2</v>
      </c>
      <c r="BG42" s="10">
        <v>1</v>
      </c>
      <c r="BH42" s="10">
        <v>2</v>
      </c>
      <c r="BI42" s="10">
        <v>1</v>
      </c>
      <c r="BJ42" s="4" t="s">
        <v>4854</v>
      </c>
      <c r="BK42" s="91">
        <v>1</v>
      </c>
      <c r="BL42" s="91">
        <v>1</v>
      </c>
      <c r="BM42" s="91">
        <v>1</v>
      </c>
      <c r="BN42" s="91">
        <v>1</v>
      </c>
      <c r="BO42" s="91">
        <v>1</v>
      </c>
      <c r="BP42" s="91">
        <v>1</v>
      </c>
      <c r="BQ42" s="91">
        <v>1</v>
      </c>
      <c r="BR42" s="100" t="s">
        <v>4854</v>
      </c>
      <c r="BS42" s="10" t="s">
        <v>4857</v>
      </c>
    </row>
    <row r="43" spans="1:71" s="30" customFormat="1" ht="17.100000000000001" customHeight="1">
      <c r="A43" s="10">
        <v>32</v>
      </c>
      <c r="B43" s="10" t="s">
        <v>4662</v>
      </c>
      <c r="C43" s="4" t="s">
        <v>4798</v>
      </c>
      <c r="D43" s="4" t="s">
        <v>4673</v>
      </c>
      <c r="E43" s="7" t="s">
        <v>4674</v>
      </c>
      <c r="F43" s="10" t="s">
        <v>4675</v>
      </c>
      <c r="G43" s="4" t="s">
        <v>4676</v>
      </c>
      <c r="H43" s="7" t="s">
        <v>4677</v>
      </c>
      <c r="I43" s="4" t="s">
        <v>4678</v>
      </c>
      <c r="J43" s="10" t="s">
        <v>4672</v>
      </c>
      <c r="K43" s="4" t="s">
        <v>5352</v>
      </c>
      <c r="L43" s="4" t="s">
        <v>4679</v>
      </c>
      <c r="M43" s="10">
        <v>3</v>
      </c>
      <c r="N43" s="95">
        <v>540.60680000000002</v>
      </c>
      <c r="O43" s="37" t="str">
        <f>HYPERLINK("http://ms.phosphosite.org:5080/cgi-bin/plot-msms.cgi?MassType=1&amp;NumAxis=1&amp;Mod8=170&amp;Pep=TSADGNEKKIEMVR&amp;Dta=/var/www/html/dta/S01/10558.3897.3.dta&amp;Global_Mod=CS57.0215", "3897")</f>
        <v>3897</v>
      </c>
      <c r="P43" s="37" t="str">
        <f>HYPERLINK("http://ms.phosphosite.org:5080/cgi-bin/plot-msms.cgi?MassType=1&amp;NumAxis=1&amp;Mod8=170&amp;Pep=TSADGNEKKIEMVR&amp;Dta=/var/www/html/dta/S01/10559.3803.3.dta&amp;Global_Mod=CS57.0215", "3803")</f>
        <v>3803</v>
      </c>
      <c r="Q43" s="37" t="str">
        <f>HYPERLINK("http://ms.phosphosite.org:5080/cgi-bin/plot-msms.cgi?MassType=1&amp;NumAxis=1&amp;Mod8=170&amp;Pep=TSADGNEKKIEMVR&amp;Dta=/var/www/html/dta/S01/10560.3791.3.dta&amp;Global_Mod=CS57.0215", "3791")</f>
        <v>3791</v>
      </c>
      <c r="R43" s="37" t="str">
        <f>HYPERLINK("http://ms.phosphosite.org:5080/cgi-bin/plot-msms.cgi?MassType=1&amp;NumAxis=1&amp;Mod8=170&amp;Pep=TSADGNEKKIEMVR&amp;Dta=/var/www/html/dta/S01/10561.3833.3.dta&amp;Global_Mod=CS57.0215", "3833")</f>
        <v>3833</v>
      </c>
      <c r="S43" s="37" t="str">
        <f>HYPERLINK("http://ms.phosphosite.org:5080/cgi-bin/plot-msms.cgi?MassType=1&amp;NumAxis=1&amp;Mod8=170&amp;Pep=TSADGNEKKIEMVR&amp;Dta=/var/www/html/dta/S01/10562.3950.3.dta&amp;Global_Mod=CS57.0215", "3950")</f>
        <v>3950</v>
      </c>
      <c r="T43" s="38" t="s">
        <v>4854</v>
      </c>
      <c r="U43" s="37" t="str">
        <f>HYPERLINK("http://ms.phosphosite.org:5080/cgi-bin/plot-msms.cgi?MassType=1&amp;NumAxis=1&amp;Mod8=170&amp;Pep=TSADGNEKKIEMVR&amp;Dta=/var/www/html/dta/S01/10564.4187.3.dta&amp;Global_Mod=CS57.0215", "4187")</f>
        <v>4187</v>
      </c>
      <c r="V43" s="37" t="str">
        <f>HYPERLINK("http://ms.phosphosite.org:5080/cgi-bin/plot-msms.cgi?MassType=1&amp;NumAxis=1&amp;Mod8=170&amp;Pep=TSADGNEKKIEMVR&amp;Dta=/var/www/html/dta/S01/10565.4279.3.dta&amp;Global_Mod=CS57.0215", "4279")</f>
        <v>4279</v>
      </c>
      <c r="W43" s="10">
        <v>3887</v>
      </c>
      <c r="X43" s="10">
        <v>3821</v>
      </c>
      <c r="Y43" s="10">
        <v>3811</v>
      </c>
      <c r="Z43" s="10">
        <v>3841</v>
      </c>
      <c r="AA43" s="10">
        <v>3937</v>
      </c>
      <c r="AB43" s="4" t="s">
        <v>4854</v>
      </c>
      <c r="AC43" s="10">
        <v>4175</v>
      </c>
      <c r="AD43" s="10">
        <v>4289</v>
      </c>
      <c r="AE43" s="91">
        <v>2.1749999999999998</v>
      </c>
      <c r="AF43" s="91">
        <v>2.5870000000000002</v>
      </c>
      <c r="AG43" s="91">
        <v>2.4790000000000001</v>
      </c>
      <c r="AH43" s="91">
        <v>2.4649999999999999</v>
      </c>
      <c r="AI43" s="91">
        <v>2.3420000000000001</v>
      </c>
      <c r="AJ43" s="100" t="s">
        <v>4854</v>
      </c>
      <c r="AK43" s="91">
        <v>2.254</v>
      </c>
      <c r="AL43" s="91">
        <v>2.4089999999999998</v>
      </c>
      <c r="AM43" s="95">
        <v>-0.2127</v>
      </c>
      <c r="AN43" s="95">
        <v>-0.2596</v>
      </c>
      <c r="AO43" s="95">
        <v>-0.1201</v>
      </c>
      <c r="AP43" s="95">
        <v>4.9099999999999998E-2</v>
      </c>
      <c r="AQ43" s="95">
        <v>4.9099999999999998E-2</v>
      </c>
      <c r="AR43" s="103" t="s">
        <v>4854</v>
      </c>
      <c r="AS43" s="95">
        <v>-0.21820000000000001</v>
      </c>
      <c r="AT43" s="95">
        <v>-0.34420000000000001</v>
      </c>
      <c r="AU43" s="95">
        <v>0.253</v>
      </c>
      <c r="AV43" s="95">
        <v>0.14099999999999999</v>
      </c>
      <c r="AW43" s="95">
        <v>0.151</v>
      </c>
      <c r="AX43" s="95">
        <v>7.0000000000000007E-2</v>
      </c>
      <c r="AY43" s="95">
        <v>0.153</v>
      </c>
      <c r="AZ43" s="103" t="s">
        <v>4854</v>
      </c>
      <c r="BA43" s="95">
        <v>0.27</v>
      </c>
      <c r="BB43" s="95">
        <v>0.188</v>
      </c>
      <c r="BC43" s="10">
        <v>3</v>
      </c>
      <c r="BD43" s="10">
        <v>7</v>
      </c>
      <c r="BE43" s="10">
        <v>8</v>
      </c>
      <c r="BF43" s="10">
        <v>1</v>
      </c>
      <c r="BG43" s="10">
        <v>2</v>
      </c>
      <c r="BH43" s="4" t="s">
        <v>4854</v>
      </c>
      <c r="BI43" s="10">
        <v>3</v>
      </c>
      <c r="BJ43" s="10">
        <v>80</v>
      </c>
      <c r="BK43" s="91">
        <v>0.997</v>
      </c>
      <c r="BL43" s="91">
        <v>0.99099999999999999</v>
      </c>
      <c r="BM43" s="91">
        <v>0.99099999999999999</v>
      </c>
      <c r="BN43" s="91">
        <v>0.98199999999999998</v>
      </c>
      <c r="BO43" s="91">
        <v>0.99199999999999999</v>
      </c>
      <c r="BP43" s="100" t="s">
        <v>4854</v>
      </c>
      <c r="BQ43" s="91">
        <v>0.998</v>
      </c>
      <c r="BR43" s="91">
        <v>0.97599999999999998</v>
      </c>
      <c r="BS43" s="10" t="s">
        <v>4857</v>
      </c>
    </row>
    <row r="44" spans="1:71" s="30" customFormat="1" ht="17.100000000000001" customHeight="1">
      <c r="A44" s="10">
        <v>33</v>
      </c>
      <c r="B44" s="10" t="s">
        <v>4680</v>
      </c>
      <c r="C44" s="4" t="s">
        <v>4798</v>
      </c>
      <c r="D44" s="4" t="s">
        <v>4673</v>
      </c>
      <c r="E44" s="7" t="s">
        <v>4674</v>
      </c>
      <c r="F44" s="10" t="s">
        <v>4675</v>
      </c>
      <c r="G44" s="4" t="s">
        <v>4676</v>
      </c>
      <c r="H44" s="7" t="s">
        <v>4677</v>
      </c>
      <c r="I44" s="4" t="s">
        <v>4678</v>
      </c>
      <c r="J44" s="10" t="s">
        <v>4672</v>
      </c>
      <c r="K44" s="4" t="s">
        <v>5352</v>
      </c>
      <c r="L44" s="4" t="s">
        <v>4681</v>
      </c>
      <c r="M44" s="10">
        <v>2</v>
      </c>
      <c r="N44" s="95">
        <v>818.404</v>
      </c>
      <c r="O44" s="38" t="s">
        <v>4854</v>
      </c>
      <c r="P44" s="37" t="str">
        <f>HYPERLINK("http://ms.phosphosite.org:5080/cgi-bin/plot-msms.cgi?MassType=1&amp;NumAxis=1&amp;Mod8=170&amp;Mod12=147&amp;Pep=TSADGNEKKIEMVR&amp;Dta=/var/www/html/dta/S01/10559.2755.2.dta&amp;Global_Mod=CS57.0215", "2755")</f>
        <v>2755</v>
      </c>
      <c r="Q44" s="38" t="s">
        <v>4854</v>
      </c>
      <c r="R44" s="37" t="str">
        <f>HYPERLINK("http://ms.phosphosite.org:5080/cgi-bin/plot-msms.cgi?MassType=1&amp;NumAxis=1&amp;Mod8=170&amp;Mod12=147&amp;Pep=TSADGNEKKIEMVR&amp;Dta=/var/www/html/dta/S01/10561.2749.2.dta&amp;Global_Mod=CS57.0215", "2749")</f>
        <v>2749</v>
      </c>
      <c r="S44" s="38" t="s">
        <v>4854</v>
      </c>
      <c r="T44" s="38" t="s">
        <v>4854</v>
      </c>
      <c r="U44" s="38" t="s">
        <v>4854</v>
      </c>
      <c r="V44" s="38" t="s">
        <v>4854</v>
      </c>
      <c r="W44" s="4" t="s">
        <v>4854</v>
      </c>
      <c r="X44" s="10">
        <v>2748</v>
      </c>
      <c r="Y44" s="4" t="s">
        <v>4854</v>
      </c>
      <c r="Z44" s="10">
        <v>2751</v>
      </c>
      <c r="AA44" s="4" t="s">
        <v>4854</v>
      </c>
      <c r="AB44" s="4" t="s">
        <v>4854</v>
      </c>
      <c r="AC44" s="4" t="s">
        <v>4854</v>
      </c>
      <c r="AD44" s="4" t="s">
        <v>4854</v>
      </c>
      <c r="AE44" s="100" t="s">
        <v>4854</v>
      </c>
      <c r="AF44" s="91">
        <v>2.536</v>
      </c>
      <c r="AG44" s="100" t="s">
        <v>4854</v>
      </c>
      <c r="AH44" s="91">
        <v>3.0640000000000001</v>
      </c>
      <c r="AI44" s="100" t="s">
        <v>4854</v>
      </c>
      <c r="AJ44" s="100" t="s">
        <v>4854</v>
      </c>
      <c r="AK44" s="100" t="s">
        <v>4854</v>
      </c>
      <c r="AL44" s="100" t="s">
        <v>4854</v>
      </c>
      <c r="AM44" s="103" t="s">
        <v>4854</v>
      </c>
      <c r="AN44" s="95">
        <v>0.76529999999999998</v>
      </c>
      <c r="AO44" s="103" t="s">
        <v>4854</v>
      </c>
      <c r="AP44" s="95">
        <v>1.0282</v>
      </c>
      <c r="AQ44" s="103" t="s">
        <v>4854</v>
      </c>
      <c r="AR44" s="103" t="s">
        <v>4854</v>
      </c>
      <c r="AS44" s="103" t="s">
        <v>4854</v>
      </c>
      <c r="AT44" s="103" t="s">
        <v>4854</v>
      </c>
      <c r="AU44" s="103" t="s">
        <v>4854</v>
      </c>
      <c r="AV44" s="95">
        <v>0.26400000000000001</v>
      </c>
      <c r="AW44" s="103" t="s">
        <v>4854</v>
      </c>
      <c r="AX44" s="95">
        <v>0.27800000000000002</v>
      </c>
      <c r="AY44" s="103" t="s">
        <v>4854</v>
      </c>
      <c r="AZ44" s="103" t="s">
        <v>4854</v>
      </c>
      <c r="BA44" s="103" t="s">
        <v>4854</v>
      </c>
      <c r="BB44" s="103" t="s">
        <v>4854</v>
      </c>
      <c r="BC44" s="4" t="s">
        <v>4854</v>
      </c>
      <c r="BD44" s="10">
        <v>1</v>
      </c>
      <c r="BE44" s="4" t="s">
        <v>4854</v>
      </c>
      <c r="BF44" s="10">
        <v>1</v>
      </c>
      <c r="BG44" s="4" t="s">
        <v>4854</v>
      </c>
      <c r="BH44" s="4" t="s">
        <v>4854</v>
      </c>
      <c r="BI44" s="4" t="s">
        <v>4854</v>
      </c>
      <c r="BJ44" s="4" t="s">
        <v>4854</v>
      </c>
      <c r="BK44" s="100" t="s">
        <v>4854</v>
      </c>
      <c r="BL44" s="91">
        <v>0.999</v>
      </c>
      <c r="BM44" s="100" t="s">
        <v>4854</v>
      </c>
      <c r="BN44" s="91">
        <v>0.999</v>
      </c>
      <c r="BO44" s="100" t="s">
        <v>4854</v>
      </c>
      <c r="BP44" s="100" t="s">
        <v>4854</v>
      </c>
      <c r="BQ44" s="100" t="s">
        <v>4854</v>
      </c>
      <c r="BR44" s="100" t="s">
        <v>4854</v>
      </c>
      <c r="BS44" s="10" t="s">
        <v>4857</v>
      </c>
    </row>
    <row r="45" spans="1:71" s="30" customFormat="1" ht="17.100000000000001" customHeight="1">
      <c r="A45" s="10">
        <v>34</v>
      </c>
      <c r="B45" s="10" t="s">
        <v>4682</v>
      </c>
      <c r="C45" s="4" t="s">
        <v>4798</v>
      </c>
      <c r="D45" s="4" t="s">
        <v>4673</v>
      </c>
      <c r="E45" s="7" t="s">
        <v>4674</v>
      </c>
      <c r="F45" s="10" t="s">
        <v>4675</v>
      </c>
      <c r="G45" s="4" t="s">
        <v>4676</v>
      </c>
      <c r="H45" s="7" t="s">
        <v>4677</v>
      </c>
      <c r="I45" s="4" t="s">
        <v>4678</v>
      </c>
      <c r="J45" s="10" t="s">
        <v>4672</v>
      </c>
      <c r="K45" s="4" t="s">
        <v>5352</v>
      </c>
      <c r="L45" s="4" t="s">
        <v>4681</v>
      </c>
      <c r="M45" s="10">
        <v>3</v>
      </c>
      <c r="N45" s="95">
        <v>545.9384</v>
      </c>
      <c r="O45" s="38" t="s">
        <v>4854</v>
      </c>
      <c r="P45" s="37" t="str">
        <f>HYPERLINK("http://ms.phosphosite.org:5080/cgi-bin/plot-msms.cgi?MassType=1&amp;NumAxis=1&amp;Mod8=170&amp;Mod12=147&amp;Pep=TSADGNEKKIEMVR&amp;Dta=/var/www/html/dta/S01/10559.2738.3.dta&amp;Global_Mod=CS57.0215", "2738")</f>
        <v>2738</v>
      </c>
      <c r="Q45" s="38" t="s">
        <v>4854</v>
      </c>
      <c r="R45" s="37" t="str">
        <f>HYPERLINK("http://ms.phosphosite.org:5080/cgi-bin/plot-msms.cgi?MassType=1&amp;NumAxis=1&amp;Mod8=170&amp;Mod12=147&amp;Pep=TSADGNEKKIEMVR&amp;Dta=/var/www/html/dta/S01/10561.2732.3.dta&amp;Global_Mod=CS57.0215", "2732")</f>
        <v>2732</v>
      </c>
      <c r="S45" s="38" t="s">
        <v>4854</v>
      </c>
      <c r="T45" s="38" t="s">
        <v>4854</v>
      </c>
      <c r="U45" s="38" t="s">
        <v>4854</v>
      </c>
      <c r="V45" s="38" t="s">
        <v>4854</v>
      </c>
      <c r="W45" s="4" t="s">
        <v>4854</v>
      </c>
      <c r="X45" s="4" t="s">
        <v>4854</v>
      </c>
      <c r="Y45" s="4" t="s">
        <v>4854</v>
      </c>
      <c r="Z45" s="4" t="s">
        <v>4854</v>
      </c>
      <c r="AA45" s="4" t="s">
        <v>4854</v>
      </c>
      <c r="AB45" s="4" t="s">
        <v>4854</v>
      </c>
      <c r="AC45" s="4" t="s">
        <v>4854</v>
      </c>
      <c r="AD45" s="4" t="s">
        <v>4854</v>
      </c>
      <c r="AE45" s="100" t="s">
        <v>4854</v>
      </c>
      <c r="AF45" s="91">
        <v>2.198</v>
      </c>
      <c r="AG45" s="100" t="s">
        <v>4854</v>
      </c>
      <c r="AH45" s="91">
        <v>2.069</v>
      </c>
      <c r="AI45" s="100" t="s">
        <v>4854</v>
      </c>
      <c r="AJ45" s="100" t="s">
        <v>4854</v>
      </c>
      <c r="AK45" s="100" t="s">
        <v>4854</v>
      </c>
      <c r="AL45" s="100" t="s">
        <v>4854</v>
      </c>
      <c r="AM45" s="103" t="s">
        <v>4854</v>
      </c>
      <c r="AN45" s="95">
        <v>-0.313</v>
      </c>
      <c r="AO45" s="103" t="s">
        <v>4854</v>
      </c>
      <c r="AP45" s="95">
        <v>5.5599999999999997E-2</v>
      </c>
      <c r="AQ45" s="103" t="s">
        <v>4854</v>
      </c>
      <c r="AR45" s="103" t="s">
        <v>4854</v>
      </c>
      <c r="AS45" s="103" t="s">
        <v>4854</v>
      </c>
      <c r="AT45" s="103" t="s">
        <v>4854</v>
      </c>
      <c r="AU45" s="103" t="s">
        <v>4854</v>
      </c>
      <c r="AV45" s="95">
        <v>0.15</v>
      </c>
      <c r="AW45" s="103" t="s">
        <v>4854</v>
      </c>
      <c r="AX45" s="95">
        <v>7.0000000000000001E-3</v>
      </c>
      <c r="AY45" s="103" t="s">
        <v>4854</v>
      </c>
      <c r="AZ45" s="103" t="s">
        <v>4854</v>
      </c>
      <c r="BA45" s="103" t="s">
        <v>4854</v>
      </c>
      <c r="BB45" s="103" t="s">
        <v>4854</v>
      </c>
      <c r="BC45" s="4" t="s">
        <v>4854</v>
      </c>
      <c r="BD45" s="10">
        <v>61</v>
      </c>
      <c r="BE45" s="4" t="s">
        <v>4854</v>
      </c>
      <c r="BF45" s="10">
        <v>20</v>
      </c>
      <c r="BG45" s="4" t="s">
        <v>4854</v>
      </c>
      <c r="BH45" s="4" t="s">
        <v>4854</v>
      </c>
      <c r="BI45" s="4" t="s">
        <v>4854</v>
      </c>
      <c r="BJ45" s="4" t="s">
        <v>4854</v>
      </c>
      <c r="BK45" s="100" t="s">
        <v>4854</v>
      </c>
      <c r="BL45" s="91">
        <v>0.94699999999999995</v>
      </c>
      <c r="BM45" s="100" t="s">
        <v>4854</v>
      </c>
      <c r="BN45" s="91">
        <v>0.85399999999999998</v>
      </c>
      <c r="BO45" s="100" t="s">
        <v>4854</v>
      </c>
      <c r="BP45" s="100" t="s">
        <v>4854</v>
      </c>
      <c r="BQ45" s="100" t="s">
        <v>4854</v>
      </c>
      <c r="BR45" s="100" t="s">
        <v>4854</v>
      </c>
      <c r="BS45" s="10" t="s">
        <v>4857</v>
      </c>
    </row>
    <row r="46" spans="1:71" s="30" customFormat="1" ht="17.100000000000001" customHeight="1">
      <c r="A46" s="14">
        <v>35</v>
      </c>
      <c r="B46" s="5" t="s">
        <v>4683</v>
      </c>
      <c r="C46" s="3" t="s">
        <v>4798</v>
      </c>
      <c r="D46" s="3" t="s">
        <v>4673</v>
      </c>
      <c r="E46" s="6" t="s">
        <v>4674</v>
      </c>
      <c r="F46" s="5" t="s">
        <v>4670</v>
      </c>
      <c r="G46" s="3" t="s">
        <v>4676</v>
      </c>
      <c r="H46" s="6" t="s">
        <v>4677</v>
      </c>
      <c r="I46" s="3" t="s">
        <v>4678</v>
      </c>
      <c r="J46" s="5" t="s">
        <v>4672</v>
      </c>
      <c r="K46" s="3" t="s">
        <v>5353</v>
      </c>
      <c r="L46" s="3" t="s">
        <v>4684</v>
      </c>
      <c r="M46" s="5">
        <v>2</v>
      </c>
      <c r="N46" s="21">
        <v>810.40650000000005</v>
      </c>
      <c r="O46" s="35" t="s">
        <v>4854</v>
      </c>
      <c r="P46" s="35" t="s">
        <v>4854</v>
      </c>
      <c r="Q46" s="35" t="s">
        <v>4854</v>
      </c>
      <c r="R46" s="35" t="s">
        <v>4854</v>
      </c>
      <c r="S46" s="35" t="s">
        <v>4854</v>
      </c>
      <c r="T46" s="35" t="s">
        <v>4854</v>
      </c>
      <c r="U46" s="35" t="s">
        <v>4854</v>
      </c>
      <c r="V46" s="36" t="str">
        <f>HYPERLINK("http://ms.phosphosite.org:5080/cgi-bin/plot-msms.cgi?MassType=1&amp;NumAxis=1&amp;Mod9=170&amp;Pep=TSADGNEKKIEMVR&amp;Dta=/var/www/html/dta/S01/10565.4272.2.dta&amp;Global_Mod=CS57.0215", "4272")</f>
        <v>4272</v>
      </c>
      <c r="W46" s="3" t="s">
        <v>4854</v>
      </c>
      <c r="X46" s="3" t="s">
        <v>4854</v>
      </c>
      <c r="Y46" s="3" t="s">
        <v>4854</v>
      </c>
      <c r="Z46" s="3" t="s">
        <v>4854</v>
      </c>
      <c r="AA46" s="3" t="s">
        <v>4854</v>
      </c>
      <c r="AB46" s="3" t="s">
        <v>4854</v>
      </c>
      <c r="AC46" s="3" t="s">
        <v>4854</v>
      </c>
      <c r="AD46" s="5">
        <v>4289</v>
      </c>
      <c r="AE46" s="99" t="s">
        <v>4854</v>
      </c>
      <c r="AF46" s="99" t="s">
        <v>4854</v>
      </c>
      <c r="AG46" s="99" t="s">
        <v>4854</v>
      </c>
      <c r="AH46" s="99" t="s">
        <v>4854</v>
      </c>
      <c r="AI46" s="99" t="s">
        <v>4854</v>
      </c>
      <c r="AJ46" s="99" t="s">
        <v>4854</v>
      </c>
      <c r="AK46" s="99" t="s">
        <v>4854</v>
      </c>
      <c r="AL46" s="90">
        <v>3.9289999999999998</v>
      </c>
      <c r="AM46" s="102" t="s">
        <v>4854</v>
      </c>
      <c r="AN46" s="102" t="s">
        <v>4854</v>
      </c>
      <c r="AO46" s="102" t="s">
        <v>4854</v>
      </c>
      <c r="AP46" s="102" t="s">
        <v>4854</v>
      </c>
      <c r="AQ46" s="102" t="s">
        <v>4854</v>
      </c>
      <c r="AR46" s="102" t="s">
        <v>4854</v>
      </c>
      <c r="AS46" s="102" t="s">
        <v>4854</v>
      </c>
      <c r="AT46" s="21">
        <v>0.1973</v>
      </c>
      <c r="AU46" s="102" t="s">
        <v>4854</v>
      </c>
      <c r="AV46" s="102" t="s">
        <v>4854</v>
      </c>
      <c r="AW46" s="102" t="s">
        <v>4854</v>
      </c>
      <c r="AX46" s="102" t="s">
        <v>4854</v>
      </c>
      <c r="AY46" s="102" t="s">
        <v>4854</v>
      </c>
      <c r="AZ46" s="102" t="s">
        <v>4854</v>
      </c>
      <c r="BA46" s="102" t="s">
        <v>4854</v>
      </c>
      <c r="BB46" s="21">
        <v>0.41099999999999998</v>
      </c>
      <c r="BC46" s="3" t="s">
        <v>4854</v>
      </c>
      <c r="BD46" s="3" t="s">
        <v>4854</v>
      </c>
      <c r="BE46" s="3" t="s">
        <v>4854</v>
      </c>
      <c r="BF46" s="3" t="s">
        <v>4854</v>
      </c>
      <c r="BG46" s="3" t="s">
        <v>4854</v>
      </c>
      <c r="BH46" s="3" t="s">
        <v>4854</v>
      </c>
      <c r="BI46" s="3" t="s">
        <v>4854</v>
      </c>
      <c r="BJ46" s="5">
        <v>2</v>
      </c>
      <c r="BK46" s="99" t="s">
        <v>4854</v>
      </c>
      <c r="BL46" s="99" t="s">
        <v>4854</v>
      </c>
      <c r="BM46" s="99" t="s">
        <v>4854</v>
      </c>
      <c r="BN46" s="99" t="s">
        <v>4854</v>
      </c>
      <c r="BO46" s="99" t="s">
        <v>4854</v>
      </c>
      <c r="BP46" s="99" t="s">
        <v>4854</v>
      </c>
      <c r="BQ46" s="99" t="s">
        <v>4854</v>
      </c>
      <c r="BR46" s="90">
        <v>1</v>
      </c>
      <c r="BS46" s="5" t="s">
        <v>4857</v>
      </c>
    </row>
    <row r="47" spans="1:71" s="30" customFormat="1" ht="17.100000000000001" customHeight="1">
      <c r="A47" s="10">
        <v>36</v>
      </c>
      <c r="B47" s="10" t="s">
        <v>4685</v>
      </c>
      <c r="C47" s="4" t="s">
        <v>4798</v>
      </c>
      <c r="D47" s="4" t="s">
        <v>4686</v>
      </c>
      <c r="E47" s="7" t="s">
        <v>4687</v>
      </c>
      <c r="F47" s="10" t="s">
        <v>4675</v>
      </c>
      <c r="G47" s="4" t="s">
        <v>4688</v>
      </c>
      <c r="H47" s="7" t="s">
        <v>4689</v>
      </c>
      <c r="I47" s="4" t="s">
        <v>4690</v>
      </c>
      <c r="J47" s="10" t="s">
        <v>4672</v>
      </c>
      <c r="K47" s="4" t="s">
        <v>5354</v>
      </c>
      <c r="L47" s="4" t="s">
        <v>4691</v>
      </c>
      <c r="M47" s="10">
        <v>2</v>
      </c>
      <c r="N47" s="95">
        <v>703.35320000000002</v>
      </c>
      <c r="O47" s="37" t="str">
        <f>HYPERLINK("http://ms.phosphosite.org:5080/cgi-bin/plot-msms.cgi?MassType=1&amp;NumAxis=1&amp;Mod8=170&amp;Pep=TMADGNEKKLEK&amp;Dta=/var/www/html/dta/S01/10558.2216.2.dta&amp;Global_Mod=CS57.0215", "2216")</f>
        <v>2216</v>
      </c>
      <c r="P47" s="37" t="str">
        <f>HYPERLINK("http://ms.phosphosite.org:5080/cgi-bin/plot-msms.cgi?MassType=1&amp;NumAxis=1&amp;Mod8=170&amp;Pep=TMADGNEKKLEK&amp;Dta=/var/www/html/dta/S01/10559.2180.2.dta&amp;Global_Mod=CS57.0215", "2180")</f>
        <v>2180</v>
      </c>
      <c r="Q47" s="37" t="str">
        <f>HYPERLINK("http://ms.phosphosite.org:5080/cgi-bin/plot-msms.cgi?MassType=1&amp;NumAxis=1&amp;Mod8=170&amp;Pep=TMADGNEKKLEK&amp;Dta=/var/www/html/dta/S01/10560.2156.2.dta&amp;Global_Mod=CS57.0215", "2156")</f>
        <v>2156</v>
      </c>
      <c r="R47" s="37" t="str">
        <f>HYPERLINK("http://ms.phosphosite.org:5080/cgi-bin/plot-msms.cgi?MassType=1&amp;NumAxis=1&amp;Mod8=170&amp;Pep=TMADGNEKKLEK&amp;Dta=/var/www/html/dta/S01/10561.2192.2.dta&amp;Global_Mod=CS57.0215", "2192")</f>
        <v>2192</v>
      </c>
      <c r="S47" s="37" t="str">
        <f>HYPERLINK("http://ms.phosphosite.org:5080/cgi-bin/plot-msms.cgi?MassType=1&amp;NumAxis=1&amp;Mod8=170&amp;Pep=TMADGNEKKLEK&amp;Dta=/var/www/html/dta/S01/10562.2262.2.dta&amp;Global_Mod=CS57.0215", "2262")</f>
        <v>2262</v>
      </c>
      <c r="T47" s="37" t="str">
        <f>HYPERLINK("http://ms.phosphosite.org:5080/cgi-bin/plot-msms.cgi?MassType=1&amp;NumAxis=1&amp;Mod8=170&amp;Pep=TMADGNEKKLEK&amp;Dta=/var/www/html/dta/S01/10563.2190.2.dta&amp;Global_Mod=CS57.0215", "2190")</f>
        <v>2190</v>
      </c>
      <c r="U47" s="37" t="str">
        <f>HYPERLINK("http://ms.phosphosite.org:5080/cgi-bin/plot-msms.cgi?MassType=1&amp;NumAxis=1&amp;Mod8=170&amp;Pep=TMADGNEKKLEK&amp;Dta=/var/www/html/dta/S01/10564.2473.2.dta&amp;Global_Mod=CS57.0215", "2473")</f>
        <v>2473</v>
      </c>
      <c r="V47" s="37" t="str">
        <f>HYPERLINK("http://ms.phosphosite.org:5080/cgi-bin/plot-msms.cgi?MassType=1&amp;NumAxis=1&amp;Mod8=170&amp;Pep=TMADGNEKKLEK&amp;Dta=/var/www/html/dta/S01/10565.2527.2.dta&amp;Global_Mod=CS57.0215", "2527")</f>
        <v>2527</v>
      </c>
      <c r="W47" s="10">
        <v>2263</v>
      </c>
      <c r="X47" s="10">
        <v>2211</v>
      </c>
      <c r="Y47" s="10">
        <v>2186</v>
      </c>
      <c r="Z47" s="10">
        <v>2212</v>
      </c>
      <c r="AA47" s="10">
        <v>2283</v>
      </c>
      <c r="AB47" s="10">
        <v>2214</v>
      </c>
      <c r="AC47" s="10">
        <v>2500</v>
      </c>
      <c r="AD47" s="10">
        <v>2576</v>
      </c>
      <c r="AE47" s="91">
        <v>3.2</v>
      </c>
      <c r="AF47" s="91">
        <v>3.5619999999999998</v>
      </c>
      <c r="AG47" s="91">
        <v>3.335</v>
      </c>
      <c r="AH47" s="91">
        <v>3.8839999999999999</v>
      </c>
      <c r="AI47" s="91">
        <v>3.4449999999999998</v>
      </c>
      <c r="AJ47" s="91">
        <v>3.048</v>
      </c>
      <c r="AK47" s="91">
        <v>3.2250000000000001</v>
      </c>
      <c r="AL47" s="91">
        <v>3.4</v>
      </c>
      <c r="AM47" s="95">
        <v>0.2162</v>
      </c>
      <c r="AN47" s="95">
        <v>0.14430000000000001</v>
      </c>
      <c r="AO47" s="95">
        <v>0.35420000000000001</v>
      </c>
      <c r="AP47" s="95">
        <v>0.46160000000000001</v>
      </c>
      <c r="AQ47" s="95">
        <v>0.4083</v>
      </c>
      <c r="AR47" s="95">
        <v>0.36199999999999999</v>
      </c>
      <c r="AS47" s="95">
        <v>-6.6900000000000001E-2</v>
      </c>
      <c r="AT47" s="95">
        <v>-0.31169999999999998</v>
      </c>
      <c r="AU47" s="95">
        <v>0.41</v>
      </c>
      <c r="AV47" s="95">
        <v>0.35399999999999998</v>
      </c>
      <c r="AW47" s="95">
        <v>0.34100000000000003</v>
      </c>
      <c r="AX47" s="95">
        <v>0.4</v>
      </c>
      <c r="AY47" s="95">
        <v>0.37</v>
      </c>
      <c r="AZ47" s="95">
        <v>0.36699999999999999</v>
      </c>
      <c r="BA47" s="95">
        <v>0.36599999999999999</v>
      </c>
      <c r="BB47" s="95">
        <v>0.36199999999999999</v>
      </c>
      <c r="BC47" s="10">
        <v>1</v>
      </c>
      <c r="BD47" s="10">
        <v>1</v>
      </c>
      <c r="BE47" s="10">
        <v>1</v>
      </c>
      <c r="BF47" s="10">
        <v>1</v>
      </c>
      <c r="BG47" s="10">
        <v>1</v>
      </c>
      <c r="BH47" s="10">
        <v>1</v>
      </c>
      <c r="BI47" s="10">
        <v>2</v>
      </c>
      <c r="BJ47" s="10">
        <v>1</v>
      </c>
      <c r="BK47" s="91">
        <v>1</v>
      </c>
      <c r="BL47" s="91">
        <v>1</v>
      </c>
      <c r="BM47" s="91">
        <v>1</v>
      </c>
      <c r="BN47" s="91">
        <v>1</v>
      </c>
      <c r="BO47" s="91">
        <v>1</v>
      </c>
      <c r="BP47" s="91">
        <v>1</v>
      </c>
      <c r="BQ47" s="91">
        <v>1</v>
      </c>
      <c r="BR47" s="91">
        <v>1</v>
      </c>
      <c r="BS47" s="10" t="s">
        <v>4857</v>
      </c>
    </row>
    <row r="48" spans="1:71" s="30" customFormat="1" ht="17.100000000000001" customHeight="1">
      <c r="A48" s="10">
        <v>37</v>
      </c>
      <c r="B48" s="10" t="s">
        <v>4692</v>
      </c>
      <c r="C48" s="4" t="s">
        <v>4798</v>
      </c>
      <c r="D48" s="4" t="s">
        <v>4686</v>
      </c>
      <c r="E48" s="7" t="s">
        <v>4687</v>
      </c>
      <c r="F48" s="10" t="s">
        <v>4675</v>
      </c>
      <c r="G48" s="4" t="s">
        <v>4688</v>
      </c>
      <c r="H48" s="7" t="s">
        <v>4689</v>
      </c>
      <c r="I48" s="4" t="s">
        <v>4690</v>
      </c>
      <c r="J48" s="10" t="s">
        <v>4672</v>
      </c>
      <c r="K48" s="4" t="s">
        <v>5354</v>
      </c>
      <c r="L48" s="4" t="s">
        <v>4691</v>
      </c>
      <c r="M48" s="10">
        <v>2</v>
      </c>
      <c r="N48" s="95">
        <v>703.35320000000002</v>
      </c>
      <c r="O48" s="38" t="s">
        <v>4854</v>
      </c>
      <c r="P48" s="38" t="s">
        <v>4854</v>
      </c>
      <c r="Q48" s="38" t="s">
        <v>4854</v>
      </c>
      <c r="R48" s="38" t="s">
        <v>4854</v>
      </c>
      <c r="S48" s="38" t="s">
        <v>4854</v>
      </c>
      <c r="T48" s="38" t="s">
        <v>4854</v>
      </c>
      <c r="U48" s="38" t="s">
        <v>4854</v>
      </c>
      <c r="V48" s="37" t="str">
        <f>HYPERLINK("http://ms.phosphosite.org:5080/cgi-bin/plot-msms.cgi?MassType=1&amp;NumAxis=1&amp;Mod8=170&amp;Pep=TMADGNEKKLEK&amp;Dta=/var/www/html/dta/S01/10565.2605.2.dta&amp;Global_Mod=CS57.0215", "2605")</f>
        <v>2605</v>
      </c>
      <c r="W48" s="4" t="s">
        <v>4854</v>
      </c>
      <c r="X48" s="4" t="s">
        <v>4854</v>
      </c>
      <c r="Y48" s="4" t="s">
        <v>4854</v>
      </c>
      <c r="Z48" s="4" t="s">
        <v>4854</v>
      </c>
      <c r="AA48" s="4" t="s">
        <v>4854</v>
      </c>
      <c r="AB48" s="4" t="s">
        <v>4854</v>
      </c>
      <c r="AC48" s="4" t="s">
        <v>4854</v>
      </c>
      <c r="AD48" s="10">
        <v>2576</v>
      </c>
      <c r="AE48" s="100" t="s">
        <v>4854</v>
      </c>
      <c r="AF48" s="100" t="s">
        <v>4854</v>
      </c>
      <c r="AG48" s="100" t="s">
        <v>4854</v>
      </c>
      <c r="AH48" s="100" t="s">
        <v>4854</v>
      </c>
      <c r="AI48" s="100" t="s">
        <v>4854</v>
      </c>
      <c r="AJ48" s="100" t="s">
        <v>4854</v>
      </c>
      <c r="AK48" s="100" t="s">
        <v>4854</v>
      </c>
      <c r="AL48" s="91">
        <v>3.1160000000000001</v>
      </c>
      <c r="AM48" s="103" t="s">
        <v>4854</v>
      </c>
      <c r="AN48" s="103" t="s">
        <v>4854</v>
      </c>
      <c r="AO48" s="103" t="s">
        <v>4854</v>
      </c>
      <c r="AP48" s="103" t="s">
        <v>4854</v>
      </c>
      <c r="AQ48" s="103" t="s">
        <v>4854</v>
      </c>
      <c r="AR48" s="103" t="s">
        <v>4854</v>
      </c>
      <c r="AS48" s="103" t="s">
        <v>4854</v>
      </c>
      <c r="AT48" s="95">
        <v>-0.31240000000000001</v>
      </c>
      <c r="AU48" s="103" t="s">
        <v>4854</v>
      </c>
      <c r="AV48" s="103" t="s">
        <v>4854</v>
      </c>
      <c r="AW48" s="103" t="s">
        <v>4854</v>
      </c>
      <c r="AX48" s="103" t="s">
        <v>4854</v>
      </c>
      <c r="AY48" s="103" t="s">
        <v>4854</v>
      </c>
      <c r="AZ48" s="103" t="s">
        <v>4854</v>
      </c>
      <c r="BA48" s="103" t="s">
        <v>4854</v>
      </c>
      <c r="BB48" s="95">
        <v>0.25800000000000001</v>
      </c>
      <c r="BC48" s="4" t="s">
        <v>4854</v>
      </c>
      <c r="BD48" s="4" t="s">
        <v>4854</v>
      </c>
      <c r="BE48" s="4" t="s">
        <v>4854</v>
      </c>
      <c r="BF48" s="4" t="s">
        <v>4854</v>
      </c>
      <c r="BG48" s="4" t="s">
        <v>4854</v>
      </c>
      <c r="BH48" s="4" t="s">
        <v>4854</v>
      </c>
      <c r="BI48" s="4" t="s">
        <v>4854</v>
      </c>
      <c r="BJ48" s="10">
        <v>3</v>
      </c>
      <c r="BK48" s="100" t="s">
        <v>4854</v>
      </c>
      <c r="BL48" s="100" t="s">
        <v>4854</v>
      </c>
      <c r="BM48" s="100" t="s">
        <v>4854</v>
      </c>
      <c r="BN48" s="100" t="s">
        <v>4854</v>
      </c>
      <c r="BO48" s="100" t="s">
        <v>4854</v>
      </c>
      <c r="BP48" s="100" t="s">
        <v>4854</v>
      </c>
      <c r="BQ48" s="100" t="s">
        <v>4854</v>
      </c>
      <c r="BR48" s="91">
        <v>0.999</v>
      </c>
      <c r="BS48" s="10" t="s">
        <v>4857</v>
      </c>
    </row>
    <row r="49" spans="1:71" s="30" customFormat="1" ht="17.100000000000001" customHeight="1">
      <c r="A49" s="10">
        <v>38</v>
      </c>
      <c r="B49" s="10" t="s">
        <v>4693</v>
      </c>
      <c r="C49" s="4" t="s">
        <v>4798</v>
      </c>
      <c r="D49" s="4" t="s">
        <v>4686</v>
      </c>
      <c r="E49" s="7" t="s">
        <v>4687</v>
      </c>
      <c r="F49" s="10" t="s">
        <v>4675</v>
      </c>
      <c r="G49" s="4" t="s">
        <v>4688</v>
      </c>
      <c r="H49" s="7" t="s">
        <v>4689</v>
      </c>
      <c r="I49" s="4" t="s">
        <v>4690</v>
      </c>
      <c r="J49" s="10" t="s">
        <v>4672</v>
      </c>
      <c r="K49" s="4" t="s">
        <v>5354</v>
      </c>
      <c r="L49" s="4" t="s">
        <v>4694</v>
      </c>
      <c r="M49" s="10">
        <v>2</v>
      </c>
      <c r="N49" s="95">
        <v>711.35069999999996</v>
      </c>
      <c r="O49" s="37" t="str">
        <f>HYPERLINK("http://ms.phosphosite.org:5080/cgi-bin/plot-msms.cgi?MassType=1&amp;NumAxis=1&amp;Mod2=147&amp;Mod8=170&amp;Pep=TMADGNEKKLEK&amp;Dta=/var/www/html/dta/S01/10558.1657.2.dta&amp;Global_Mod=CS57.0215", "1657")</f>
        <v>1657</v>
      </c>
      <c r="P49" s="37" t="str">
        <f>HYPERLINK("http://ms.phosphosite.org:5080/cgi-bin/plot-msms.cgi?MassType=1&amp;NumAxis=1&amp;Mod2=147&amp;Mod8=170&amp;Pep=TMADGNEKKLEK&amp;Dta=/var/www/html/dta/S01/10559.1617.2.dta&amp;Global_Mod=CS57.0215", "1617")</f>
        <v>1617</v>
      </c>
      <c r="Q49" s="37" t="str">
        <f>HYPERLINK("http://ms.phosphosite.org:5080/cgi-bin/plot-msms.cgi?MassType=1&amp;NumAxis=1&amp;Mod2=147&amp;Mod8=170&amp;Pep=TMADGNEKKLEK&amp;Dta=/var/www/html/dta/S01/10560.1607.2.dta&amp;Global_Mod=CS57.0215", "1607")</f>
        <v>1607</v>
      </c>
      <c r="R49" s="37" t="str">
        <f>HYPERLINK("http://ms.phosphosite.org:5080/cgi-bin/plot-msms.cgi?MassType=1&amp;NumAxis=1&amp;Mod2=147&amp;Mod8=170&amp;Pep=TMADGNEKKLEK&amp;Dta=/var/www/html/dta/S01/10561.1602.2.dta&amp;Global_Mod=CS57.0215", "1602")</f>
        <v>1602</v>
      </c>
      <c r="S49" s="37" t="str">
        <f>HYPERLINK("http://ms.phosphosite.org:5080/cgi-bin/plot-msms.cgi?MassType=1&amp;NumAxis=1&amp;Mod2=147&amp;Mod8=170&amp;Pep=TMADGNEKKLEK&amp;Dta=/var/www/html/dta/S01/10562.1671.2.dta&amp;Global_Mod=CS57.0215", "1671")</f>
        <v>1671</v>
      </c>
      <c r="T49" s="37" t="str">
        <f>HYPERLINK("http://ms.phosphosite.org:5080/cgi-bin/plot-msms.cgi?MassType=1&amp;NumAxis=1&amp;Mod2=147&amp;Mod8=170&amp;Pep=TMADGNEKKLEK&amp;Dta=/var/www/html/dta/S01/10563.1594.2.dta&amp;Global_Mod=CS57.0215", "1594")</f>
        <v>1594</v>
      </c>
      <c r="U49" s="38" t="s">
        <v>4854</v>
      </c>
      <c r="V49" s="37" t="str">
        <f>HYPERLINK("http://ms.phosphosite.org:5080/cgi-bin/plot-msms.cgi?MassType=1&amp;NumAxis=1&amp;Mod2=147&amp;Mod8=170&amp;Pep=TMADGNEKKLEK&amp;Dta=/var/www/html/dta/S01/10565.1879.2.dta&amp;Global_Mod=CS57.0215", "1879")</f>
        <v>1879</v>
      </c>
      <c r="W49" s="10">
        <v>1665</v>
      </c>
      <c r="X49" s="10">
        <v>1623</v>
      </c>
      <c r="Y49" s="10">
        <v>1605</v>
      </c>
      <c r="Z49" s="10">
        <v>1610</v>
      </c>
      <c r="AA49" s="10">
        <v>1677</v>
      </c>
      <c r="AB49" s="10">
        <v>1603</v>
      </c>
      <c r="AC49" s="4" t="s">
        <v>4854</v>
      </c>
      <c r="AD49" s="10">
        <v>1894</v>
      </c>
      <c r="AE49" s="91">
        <v>3.2949999999999999</v>
      </c>
      <c r="AF49" s="91">
        <v>3.528</v>
      </c>
      <c r="AG49" s="91">
        <v>3.3119999999999998</v>
      </c>
      <c r="AH49" s="91">
        <v>3.4780000000000002</v>
      </c>
      <c r="AI49" s="91">
        <v>3.4119999999999999</v>
      </c>
      <c r="AJ49" s="91">
        <v>2.9660000000000002</v>
      </c>
      <c r="AK49" s="100" t="s">
        <v>4854</v>
      </c>
      <c r="AL49" s="91">
        <v>3.24</v>
      </c>
      <c r="AM49" s="95">
        <v>0.23649999999999999</v>
      </c>
      <c r="AN49" s="95">
        <v>0.38069999999999998</v>
      </c>
      <c r="AO49" s="95">
        <v>0.4461</v>
      </c>
      <c r="AP49" s="95">
        <v>0.68530000000000002</v>
      </c>
      <c r="AQ49" s="95">
        <v>0.81540000000000001</v>
      </c>
      <c r="AR49" s="95">
        <v>0.73029999999999995</v>
      </c>
      <c r="AS49" s="103" t="s">
        <v>4854</v>
      </c>
      <c r="AT49" s="95">
        <v>-0.21579999999999999</v>
      </c>
      <c r="AU49" s="95">
        <v>0.28199999999999997</v>
      </c>
      <c r="AV49" s="95">
        <v>0.32800000000000001</v>
      </c>
      <c r="AW49" s="95">
        <v>0.35799999999999998</v>
      </c>
      <c r="AX49" s="95">
        <v>0.35399999999999998</v>
      </c>
      <c r="AY49" s="95">
        <v>0.33400000000000002</v>
      </c>
      <c r="AZ49" s="95">
        <v>0.27500000000000002</v>
      </c>
      <c r="BA49" s="103" t="s">
        <v>4854</v>
      </c>
      <c r="BB49" s="95">
        <v>0.34</v>
      </c>
      <c r="BC49" s="10">
        <v>1</v>
      </c>
      <c r="BD49" s="10">
        <v>1</v>
      </c>
      <c r="BE49" s="10">
        <v>1</v>
      </c>
      <c r="BF49" s="10">
        <v>1</v>
      </c>
      <c r="BG49" s="10">
        <v>1</v>
      </c>
      <c r="BH49" s="10">
        <v>1</v>
      </c>
      <c r="BI49" s="4" t="s">
        <v>4854</v>
      </c>
      <c r="BJ49" s="10">
        <v>1</v>
      </c>
      <c r="BK49" s="91">
        <v>1</v>
      </c>
      <c r="BL49" s="91">
        <v>1</v>
      </c>
      <c r="BM49" s="91">
        <v>1</v>
      </c>
      <c r="BN49" s="91">
        <v>1</v>
      </c>
      <c r="BO49" s="91">
        <v>1</v>
      </c>
      <c r="BP49" s="91">
        <v>1</v>
      </c>
      <c r="BQ49" s="100" t="s">
        <v>4854</v>
      </c>
      <c r="BR49" s="91">
        <v>1</v>
      </c>
      <c r="BS49" s="10" t="s">
        <v>4857</v>
      </c>
    </row>
    <row r="50" spans="1:71" s="30" customFormat="1" ht="17.100000000000001" customHeight="1">
      <c r="A50" s="10">
        <v>39</v>
      </c>
      <c r="B50" s="10" t="s">
        <v>4695</v>
      </c>
      <c r="C50" s="4" t="s">
        <v>4798</v>
      </c>
      <c r="D50" s="4" t="s">
        <v>4686</v>
      </c>
      <c r="E50" s="7" t="s">
        <v>4687</v>
      </c>
      <c r="F50" s="10" t="s">
        <v>4675</v>
      </c>
      <c r="G50" s="4" t="s">
        <v>4688</v>
      </c>
      <c r="H50" s="7" t="s">
        <v>4689</v>
      </c>
      <c r="I50" s="4" t="s">
        <v>4690</v>
      </c>
      <c r="J50" s="10" t="s">
        <v>4672</v>
      </c>
      <c r="K50" s="4" t="s">
        <v>5354</v>
      </c>
      <c r="L50" s="4" t="s">
        <v>4694</v>
      </c>
      <c r="M50" s="10">
        <v>2</v>
      </c>
      <c r="N50" s="95">
        <v>711.35069999999996</v>
      </c>
      <c r="O50" s="38" t="s">
        <v>4854</v>
      </c>
      <c r="P50" s="38" t="s">
        <v>4854</v>
      </c>
      <c r="Q50" s="37" t="str">
        <f>HYPERLINK("http://ms.phosphosite.org:5080/cgi-bin/plot-msms.cgi?MassType=1&amp;NumAxis=1&amp;Mod2=147&amp;Mod8=170&amp;Pep=TMADGNEKKLEK&amp;Dta=/var/www/html/dta/S01/10560.2174.2.dta&amp;Global_Mod=CS57.0215", "2174")</f>
        <v>2174</v>
      </c>
      <c r="R50" s="37" t="str">
        <f>HYPERLINK("http://ms.phosphosite.org:5080/cgi-bin/plot-msms.cgi?MassType=1&amp;NumAxis=1&amp;Mod2=147&amp;Mod8=170&amp;Pep=TMADGNEKKLEK&amp;Dta=/var/www/html/dta/S01/10561.2205.2.dta&amp;Global_Mod=CS57.0215", "2205")</f>
        <v>2205</v>
      </c>
      <c r="S50" s="38" t="s">
        <v>4854</v>
      </c>
      <c r="T50" s="37" t="str">
        <f>HYPERLINK("http://ms.phosphosite.org:5080/cgi-bin/plot-msms.cgi?MassType=1&amp;NumAxis=1&amp;Mod2=147&amp;Mod8=170&amp;Pep=TMADGNEKKLEK&amp;Dta=/var/www/html/dta/S01/10563.2220.2.dta&amp;Global_Mod=CS57.0215", "2220")</f>
        <v>2220</v>
      </c>
      <c r="U50" s="38" t="s">
        <v>4854</v>
      </c>
      <c r="V50" s="38" t="s">
        <v>4854</v>
      </c>
      <c r="W50" s="4" t="s">
        <v>4854</v>
      </c>
      <c r="X50" s="4" t="s">
        <v>4854</v>
      </c>
      <c r="Y50" s="10">
        <v>1605</v>
      </c>
      <c r="Z50" s="10">
        <v>1610</v>
      </c>
      <c r="AA50" s="4" t="s">
        <v>4854</v>
      </c>
      <c r="AB50" s="10">
        <v>1603</v>
      </c>
      <c r="AC50" s="4" t="s">
        <v>4854</v>
      </c>
      <c r="AD50" s="4" t="s">
        <v>4854</v>
      </c>
      <c r="AE50" s="100" t="s">
        <v>4854</v>
      </c>
      <c r="AF50" s="100" t="s">
        <v>4854</v>
      </c>
      <c r="AG50" s="91">
        <v>2.7290000000000001</v>
      </c>
      <c r="AH50" s="91">
        <v>2.7519999999999998</v>
      </c>
      <c r="AI50" s="100" t="s">
        <v>4854</v>
      </c>
      <c r="AJ50" s="91">
        <v>2.665</v>
      </c>
      <c r="AK50" s="100" t="s">
        <v>4854</v>
      </c>
      <c r="AL50" s="100" t="s">
        <v>4854</v>
      </c>
      <c r="AM50" s="103" t="s">
        <v>4854</v>
      </c>
      <c r="AN50" s="103" t="s">
        <v>4854</v>
      </c>
      <c r="AO50" s="95">
        <v>0.9083</v>
      </c>
      <c r="AP50" s="95">
        <v>-7.9299999999999995E-2</v>
      </c>
      <c r="AQ50" s="103" t="s">
        <v>4854</v>
      </c>
      <c r="AR50" s="95">
        <v>0.56569999999999998</v>
      </c>
      <c r="AS50" s="103" t="s">
        <v>4854</v>
      </c>
      <c r="AT50" s="103" t="s">
        <v>4854</v>
      </c>
      <c r="AU50" s="103" t="s">
        <v>4854</v>
      </c>
      <c r="AV50" s="103" t="s">
        <v>4854</v>
      </c>
      <c r="AW50" s="95">
        <v>0.26800000000000002</v>
      </c>
      <c r="AX50" s="95">
        <v>0.28899999999999998</v>
      </c>
      <c r="AY50" s="103" t="s">
        <v>4854</v>
      </c>
      <c r="AZ50" s="95">
        <v>0.21</v>
      </c>
      <c r="BA50" s="103" t="s">
        <v>4854</v>
      </c>
      <c r="BB50" s="103" t="s">
        <v>4854</v>
      </c>
      <c r="BC50" s="4" t="s">
        <v>4854</v>
      </c>
      <c r="BD50" s="4" t="s">
        <v>4854</v>
      </c>
      <c r="BE50" s="10">
        <v>1</v>
      </c>
      <c r="BF50" s="10">
        <v>2</v>
      </c>
      <c r="BG50" s="4" t="s">
        <v>4854</v>
      </c>
      <c r="BH50" s="10">
        <v>1</v>
      </c>
      <c r="BI50" s="4" t="s">
        <v>4854</v>
      </c>
      <c r="BJ50" s="4" t="s">
        <v>4854</v>
      </c>
      <c r="BK50" s="100" t="s">
        <v>4854</v>
      </c>
      <c r="BL50" s="100" t="s">
        <v>4854</v>
      </c>
      <c r="BM50" s="91">
        <v>0.999</v>
      </c>
      <c r="BN50" s="91">
        <v>0.999</v>
      </c>
      <c r="BO50" s="100" t="s">
        <v>4854</v>
      </c>
      <c r="BP50" s="91">
        <v>0.998</v>
      </c>
      <c r="BQ50" s="100" t="s">
        <v>4854</v>
      </c>
      <c r="BR50" s="100" t="s">
        <v>4854</v>
      </c>
      <c r="BS50" s="10" t="s">
        <v>4857</v>
      </c>
    </row>
    <row r="51" spans="1:71" s="30" customFormat="1" ht="17.100000000000001" customHeight="1">
      <c r="A51" s="10">
        <v>40</v>
      </c>
      <c r="B51" s="10" t="s">
        <v>4696</v>
      </c>
      <c r="C51" s="4" t="s">
        <v>4798</v>
      </c>
      <c r="D51" s="4" t="s">
        <v>4686</v>
      </c>
      <c r="E51" s="7" t="s">
        <v>4687</v>
      </c>
      <c r="F51" s="10" t="s">
        <v>4675</v>
      </c>
      <c r="G51" s="4" t="s">
        <v>4688</v>
      </c>
      <c r="H51" s="7" t="s">
        <v>4689</v>
      </c>
      <c r="I51" s="4" t="s">
        <v>4690</v>
      </c>
      <c r="J51" s="10" t="s">
        <v>4672</v>
      </c>
      <c r="K51" s="4" t="s">
        <v>5354</v>
      </c>
      <c r="L51" s="4" t="s">
        <v>4694</v>
      </c>
      <c r="M51" s="10">
        <v>3</v>
      </c>
      <c r="N51" s="95">
        <v>474.56950000000001</v>
      </c>
      <c r="O51" s="37" t="str">
        <f>HYPERLINK("http://ms.phosphosite.org:5080/cgi-bin/plot-msms.cgi?MassType=1&amp;NumAxis=1&amp;Mod2=147&amp;Mod8=170&amp;Pep=TMADGNEKKLEK&amp;Dta=/var/www/html/dta/S01/10558.1655.3.dta&amp;Global_Mod=CS57.0215", "1655")</f>
        <v>1655</v>
      </c>
      <c r="P51" s="37" t="str">
        <f>HYPERLINK("http://ms.phosphosite.org:5080/cgi-bin/plot-msms.cgi?MassType=1&amp;NumAxis=1&amp;Mod2=147&amp;Mod8=170&amp;Pep=TMADGNEKKLEK&amp;Dta=/var/www/html/dta/S01/10559.2203.3.dta&amp;Global_Mod=CS57.0215", "2203")</f>
        <v>2203</v>
      </c>
      <c r="Q51" s="37" t="str">
        <f>HYPERLINK("http://ms.phosphosite.org:5080/cgi-bin/plot-msms.cgi?MassType=1&amp;NumAxis=1&amp;Mod2=147&amp;Mod8=170&amp;Pep=TMADGNEKKLEK&amp;Dta=/var/www/html/dta/S01/10560.1596.3.dta&amp;Global_Mod=CS57.0215", "1596")</f>
        <v>1596</v>
      </c>
      <c r="R51" s="37" t="str">
        <f>HYPERLINK("http://ms.phosphosite.org:5080/cgi-bin/plot-msms.cgi?MassType=1&amp;NumAxis=1&amp;Mod2=147&amp;Mod8=170&amp;Pep=TMADGNEKKLEK&amp;Dta=/var/www/html/dta/S01/10561.2202.3.dta&amp;Global_Mod=CS57.0215", "2202")</f>
        <v>2202</v>
      </c>
      <c r="S51" s="37" t="str">
        <f>HYPERLINK("http://ms.phosphosite.org:5080/cgi-bin/plot-msms.cgi?MassType=1&amp;NumAxis=1&amp;Mod2=147&amp;Mod8=170&amp;Pep=TMADGNEKKLEK&amp;Dta=/var/www/html/dta/S01/10562.1667.3.dta&amp;Global_Mod=CS57.0215", "1667")</f>
        <v>1667</v>
      </c>
      <c r="T51" s="37" t="str">
        <f>HYPERLINK("http://ms.phosphosite.org:5080/cgi-bin/plot-msms.cgi?MassType=1&amp;NumAxis=1&amp;Mod2=147&amp;Mod8=170&amp;Pep=TMADGNEKKLEK&amp;Dta=/var/www/html/dta/S01/10563.1628.3.dta&amp;Global_Mod=CS57.0215", "1628")</f>
        <v>1628</v>
      </c>
      <c r="U51" s="37" t="str">
        <f>HYPERLINK("http://ms.phosphosite.org:5080/cgi-bin/plot-msms.cgi?MassType=1&amp;NumAxis=1&amp;Mod2=147&amp;Mod8=170&amp;Pep=TMADGNEKKLEK&amp;Dta=/var/www/html/dta/S01/10564.1816.3.dta&amp;Global_Mod=CS57.0215", "1816")</f>
        <v>1816</v>
      </c>
      <c r="V51" s="37" t="str">
        <f>HYPERLINK("http://ms.phosphosite.org:5080/cgi-bin/plot-msms.cgi?MassType=1&amp;NumAxis=1&amp;Mod2=147&amp;Mod8=170&amp;Pep=TMADGNEKKLEK&amp;Dta=/var/www/html/dta/S01/10565.1876.3.dta&amp;Global_Mod=CS57.0215", "1876")</f>
        <v>1876</v>
      </c>
      <c r="W51" s="10">
        <v>1665</v>
      </c>
      <c r="X51" s="10">
        <v>1623</v>
      </c>
      <c r="Y51" s="10">
        <v>1605</v>
      </c>
      <c r="Z51" s="10">
        <v>1610</v>
      </c>
      <c r="AA51" s="10">
        <v>1677</v>
      </c>
      <c r="AB51" s="4" t="s">
        <v>4854</v>
      </c>
      <c r="AC51" s="10">
        <v>1826</v>
      </c>
      <c r="AD51" s="4" t="s">
        <v>4854</v>
      </c>
      <c r="AE51" s="91">
        <v>1.901</v>
      </c>
      <c r="AF51" s="91">
        <v>2.246</v>
      </c>
      <c r="AG51" s="91">
        <v>2.2189999999999999</v>
      </c>
      <c r="AH51" s="91">
        <v>2.4740000000000002</v>
      </c>
      <c r="AI51" s="91">
        <v>2.2480000000000002</v>
      </c>
      <c r="AJ51" s="91">
        <v>1.88</v>
      </c>
      <c r="AK51" s="91">
        <v>2.1339999999999999</v>
      </c>
      <c r="AL51" s="91">
        <v>1.895</v>
      </c>
      <c r="AM51" s="95">
        <v>-0.1173</v>
      </c>
      <c r="AN51" s="95">
        <v>0.1767</v>
      </c>
      <c r="AO51" s="95">
        <v>8.2500000000000004E-2</v>
      </c>
      <c r="AP51" s="95">
        <v>0.21190000000000001</v>
      </c>
      <c r="AQ51" s="95">
        <v>0.28999999999999998</v>
      </c>
      <c r="AR51" s="95">
        <v>0.2077</v>
      </c>
      <c r="AS51" s="95">
        <v>-0.29239999999999999</v>
      </c>
      <c r="AT51" s="95">
        <v>-0.42470000000000002</v>
      </c>
      <c r="AU51" s="95">
        <v>0.11600000000000001</v>
      </c>
      <c r="AV51" s="95">
        <v>4.5999999999999999E-2</v>
      </c>
      <c r="AW51" s="95">
        <v>0.17699999999999999</v>
      </c>
      <c r="AX51" s="95">
        <v>9.5000000000000001E-2</v>
      </c>
      <c r="AY51" s="95">
        <v>0.26300000000000001</v>
      </c>
      <c r="AZ51" s="95">
        <v>9.0999999999999998E-2</v>
      </c>
      <c r="BA51" s="95">
        <v>0.27800000000000002</v>
      </c>
      <c r="BB51" s="95">
        <v>9.9000000000000005E-2</v>
      </c>
      <c r="BC51" s="10">
        <v>2</v>
      </c>
      <c r="BD51" s="10">
        <v>5</v>
      </c>
      <c r="BE51" s="10">
        <v>1</v>
      </c>
      <c r="BF51" s="10">
        <v>4</v>
      </c>
      <c r="BG51" s="10">
        <v>1</v>
      </c>
      <c r="BH51" s="10">
        <v>22</v>
      </c>
      <c r="BI51" s="10">
        <v>1</v>
      </c>
      <c r="BJ51" s="10">
        <v>1</v>
      </c>
      <c r="BK51" s="91">
        <v>0.97499999999999998</v>
      </c>
      <c r="BL51" s="91">
        <v>0.95399999999999996</v>
      </c>
      <c r="BM51" s="91">
        <v>0.995</v>
      </c>
      <c r="BN51" s="91">
        <v>0.98499999999999999</v>
      </c>
      <c r="BO51" s="91">
        <v>0.999</v>
      </c>
      <c r="BP51" s="91">
        <v>0.93200000000000005</v>
      </c>
      <c r="BQ51" s="91">
        <v>0.999</v>
      </c>
      <c r="BR51" s="91">
        <v>0.94199999999999995</v>
      </c>
      <c r="BS51" s="10" t="s">
        <v>4857</v>
      </c>
    </row>
    <row r="52" spans="1:71" s="30" customFormat="1" ht="17.100000000000001" customHeight="1">
      <c r="A52" s="10">
        <v>41</v>
      </c>
      <c r="B52" s="10" t="s">
        <v>4796</v>
      </c>
      <c r="C52" s="4" t="s">
        <v>4798</v>
      </c>
      <c r="D52" s="4" t="s">
        <v>4686</v>
      </c>
      <c r="E52" s="7" t="s">
        <v>4687</v>
      </c>
      <c r="F52" s="10" t="s">
        <v>4675</v>
      </c>
      <c r="G52" s="4" t="s">
        <v>4688</v>
      </c>
      <c r="H52" s="7" t="s">
        <v>4689</v>
      </c>
      <c r="I52" s="4" t="s">
        <v>4690</v>
      </c>
      <c r="J52" s="10" t="s">
        <v>4672</v>
      </c>
      <c r="K52" s="4" t="s">
        <v>5354</v>
      </c>
      <c r="L52" s="4" t="s">
        <v>4694</v>
      </c>
      <c r="M52" s="10">
        <v>3</v>
      </c>
      <c r="N52" s="95">
        <v>474.56950000000001</v>
      </c>
      <c r="O52" s="38" t="s">
        <v>4854</v>
      </c>
      <c r="P52" s="37" t="str">
        <f>HYPERLINK("http://ms.phosphosite.org:5080/cgi-bin/plot-msms.cgi?MassType=1&amp;NumAxis=1&amp;Mod2=147&amp;Mod8=170&amp;Pep=TMADGNEKKLEK&amp;Dta=/var/www/html/dta/S01/10559.1613.3.dta&amp;Global_Mod=CS57.0215", "1613")</f>
        <v>1613</v>
      </c>
      <c r="Q52" s="38" t="s">
        <v>4854</v>
      </c>
      <c r="R52" s="37" t="str">
        <f>HYPERLINK("http://ms.phosphosite.org:5080/cgi-bin/plot-msms.cgi?MassType=1&amp;NumAxis=1&amp;Mod2=147&amp;Mod8=170&amp;Pep=TMADGNEKKLEK&amp;Dta=/var/www/html/dta/S01/10561.1594.3.dta&amp;Global_Mod=CS57.0215", "1594")</f>
        <v>1594</v>
      </c>
      <c r="S52" s="38" t="s">
        <v>4854</v>
      </c>
      <c r="T52" s="38" t="s">
        <v>4854</v>
      </c>
      <c r="U52" s="38" t="s">
        <v>4854</v>
      </c>
      <c r="V52" s="38" t="s">
        <v>4854</v>
      </c>
      <c r="W52" s="4" t="s">
        <v>4854</v>
      </c>
      <c r="X52" s="10">
        <v>1623</v>
      </c>
      <c r="Y52" s="4" t="s">
        <v>4854</v>
      </c>
      <c r="Z52" s="10">
        <v>1610</v>
      </c>
      <c r="AA52" s="4" t="s">
        <v>4854</v>
      </c>
      <c r="AB52" s="4" t="s">
        <v>4854</v>
      </c>
      <c r="AC52" s="4" t="s">
        <v>4854</v>
      </c>
      <c r="AD52" s="4" t="s">
        <v>4854</v>
      </c>
      <c r="AE52" s="100" t="s">
        <v>4854</v>
      </c>
      <c r="AF52" s="91">
        <v>2.1739999999999999</v>
      </c>
      <c r="AG52" s="100" t="s">
        <v>4854</v>
      </c>
      <c r="AH52" s="91">
        <v>2.242</v>
      </c>
      <c r="AI52" s="100" t="s">
        <v>4854</v>
      </c>
      <c r="AJ52" s="100" t="s">
        <v>4854</v>
      </c>
      <c r="AK52" s="100" t="s">
        <v>4854</v>
      </c>
      <c r="AL52" s="100" t="s">
        <v>4854</v>
      </c>
      <c r="AM52" s="103" t="s">
        <v>4854</v>
      </c>
      <c r="AN52" s="95">
        <v>-0.12570000000000001</v>
      </c>
      <c r="AO52" s="103" t="s">
        <v>4854</v>
      </c>
      <c r="AP52" s="95">
        <v>0.25340000000000001</v>
      </c>
      <c r="AQ52" s="103" t="s">
        <v>4854</v>
      </c>
      <c r="AR52" s="103" t="s">
        <v>4854</v>
      </c>
      <c r="AS52" s="103" t="s">
        <v>4854</v>
      </c>
      <c r="AT52" s="103" t="s">
        <v>4854</v>
      </c>
      <c r="AU52" s="103" t="s">
        <v>4854</v>
      </c>
      <c r="AV52" s="95">
        <v>0.18</v>
      </c>
      <c r="AW52" s="103" t="s">
        <v>4854</v>
      </c>
      <c r="AX52" s="95">
        <v>0.22700000000000001</v>
      </c>
      <c r="AY52" s="103" t="s">
        <v>4854</v>
      </c>
      <c r="AZ52" s="103" t="s">
        <v>4854</v>
      </c>
      <c r="BA52" s="103" t="s">
        <v>4854</v>
      </c>
      <c r="BB52" s="103" t="s">
        <v>4854</v>
      </c>
      <c r="BC52" s="4" t="s">
        <v>4854</v>
      </c>
      <c r="BD52" s="10">
        <v>1</v>
      </c>
      <c r="BE52" s="4" t="s">
        <v>4854</v>
      </c>
      <c r="BF52" s="10">
        <v>1</v>
      </c>
      <c r="BG52" s="4" t="s">
        <v>4854</v>
      </c>
      <c r="BH52" s="4" t="s">
        <v>4854</v>
      </c>
      <c r="BI52" s="4" t="s">
        <v>4854</v>
      </c>
      <c r="BJ52" s="4" t="s">
        <v>4854</v>
      </c>
      <c r="BK52" s="100" t="s">
        <v>4854</v>
      </c>
      <c r="BL52" s="91">
        <v>0.995</v>
      </c>
      <c r="BM52" s="100" t="s">
        <v>4854</v>
      </c>
      <c r="BN52" s="91">
        <v>0.998</v>
      </c>
      <c r="BO52" s="100" t="s">
        <v>4854</v>
      </c>
      <c r="BP52" s="100" t="s">
        <v>4854</v>
      </c>
      <c r="BQ52" s="100" t="s">
        <v>4854</v>
      </c>
      <c r="BR52" s="100" t="s">
        <v>4854</v>
      </c>
      <c r="BS52" s="10" t="s">
        <v>4857</v>
      </c>
    </row>
    <row r="53" spans="1:71" s="30" customFormat="1" ht="17.100000000000001" customHeight="1">
      <c r="A53" s="14">
        <v>42</v>
      </c>
      <c r="B53" s="5" t="s">
        <v>4697</v>
      </c>
      <c r="C53" s="3" t="s">
        <v>4798</v>
      </c>
      <c r="D53" s="3" t="s">
        <v>4686</v>
      </c>
      <c r="E53" s="6" t="s">
        <v>4687</v>
      </c>
      <c r="F53" s="5" t="s">
        <v>4670</v>
      </c>
      <c r="G53" s="3" t="s">
        <v>4688</v>
      </c>
      <c r="H53" s="6" t="s">
        <v>4689</v>
      </c>
      <c r="I53" s="3" t="s">
        <v>4690</v>
      </c>
      <c r="J53" s="5" t="s">
        <v>4672</v>
      </c>
      <c r="K53" s="3" t="s">
        <v>5355</v>
      </c>
      <c r="L53" s="3" t="s">
        <v>4698</v>
      </c>
      <c r="M53" s="5">
        <v>2</v>
      </c>
      <c r="N53" s="21">
        <v>711.35069999999996</v>
      </c>
      <c r="O53" s="35" t="s">
        <v>4854</v>
      </c>
      <c r="P53" s="36" t="str">
        <f>HYPERLINK("http://ms.phosphosite.org:5080/cgi-bin/plot-msms.cgi?MassType=1&amp;NumAxis=1&amp;Mod2=147&amp;Mod9=170&amp;Pep=TMADGNEKKLEK&amp;Dta=/var/www/html/dta/S01/10559.2204.2.dta&amp;Global_Mod=CS57.0215", "2204")</f>
        <v>2204</v>
      </c>
      <c r="Q53" s="35" t="s">
        <v>4854</v>
      </c>
      <c r="R53" s="35" t="s">
        <v>4854</v>
      </c>
      <c r="S53" s="36" t="str">
        <f>HYPERLINK("http://ms.phosphosite.org:5080/cgi-bin/plot-msms.cgi?MassType=1&amp;NumAxis=1&amp;Mod2=147&amp;Mod9=170&amp;Pep=TMADGNEKKLEK&amp;Dta=/var/www/html/dta/S01/10562.2304.2.dta&amp;Global_Mod=CS57.0215", "2304")</f>
        <v>2304</v>
      </c>
      <c r="T53" s="35" t="s">
        <v>4854</v>
      </c>
      <c r="U53" s="36" t="str">
        <f>HYPERLINK("http://ms.phosphosite.org:5080/cgi-bin/plot-msms.cgi?MassType=1&amp;NumAxis=1&amp;Mod2=147&amp;Mod9=170&amp;Pep=TMADGNEKKLEK&amp;Dta=/var/www/html/dta/S01/10564.1822.2.dta&amp;Global_Mod=CS57.0215", "1822")</f>
        <v>1822</v>
      </c>
      <c r="V53" s="35" t="s">
        <v>4854</v>
      </c>
      <c r="W53" s="3" t="s">
        <v>4854</v>
      </c>
      <c r="X53" s="5">
        <v>1623</v>
      </c>
      <c r="Y53" s="3" t="s">
        <v>4854</v>
      </c>
      <c r="Z53" s="3" t="s">
        <v>4854</v>
      </c>
      <c r="AA53" s="5">
        <v>1677</v>
      </c>
      <c r="AB53" s="3" t="s">
        <v>4854</v>
      </c>
      <c r="AC53" s="5">
        <v>1826</v>
      </c>
      <c r="AD53" s="3" t="s">
        <v>4854</v>
      </c>
      <c r="AE53" s="99" t="s">
        <v>4854</v>
      </c>
      <c r="AF53" s="90">
        <v>1.8169999999999999</v>
      </c>
      <c r="AG53" s="99" t="s">
        <v>4854</v>
      </c>
      <c r="AH53" s="99" t="s">
        <v>4854</v>
      </c>
      <c r="AI53" s="90">
        <v>1.78</v>
      </c>
      <c r="AJ53" s="99" t="s">
        <v>4854</v>
      </c>
      <c r="AK53" s="90">
        <v>2.7160000000000002</v>
      </c>
      <c r="AL53" s="99" t="s">
        <v>4854</v>
      </c>
      <c r="AM53" s="102" t="s">
        <v>4854</v>
      </c>
      <c r="AN53" s="21">
        <v>0.76759999999999995</v>
      </c>
      <c r="AO53" s="102" t="s">
        <v>4854</v>
      </c>
      <c r="AP53" s="102" t="s">
        <v>4854</v>
      </c>
      <c r="AQ53" s="21">
        <v>0.2422</v>
      </c>
      <c r="AR53" s="102" t="s">
        <v>4854</v>
      </c>
      <c r="AS53" s="21">
        <v>0.32800000000000001</v>
      </c>
      <c r="AT53" s="102" t="s">
        <v>4854</v>
      </c>
      <c r="AU53" s="102" t="s">
        <v>4854</v>
      </c>
      <c r="AV53" s="21">
        <v>0.128</v>
      </c>
      <c r="AW53" s="102" t="s">
        <v>4854</v>
      </c>
      <c r="AX53" s="102" t="s">
        <v>4854</v>
      </c>
      <c r="AY53" s="21">
        <v>0.309</v>
      </c>
      <c r="AZ53" s="102" t="s">
        <v>4854</v>
      </c>
      <c r="BA53" s="21">
        <v>0.23200000000000001</v>
      </c>
      <c r="BB53" s="102" t="s">
        <v>4854</v>
      </c>
      <c r="BC53" s="3" t="s">
        <v>4854</v>
      </c>
      <c r="BD53" s="5">
        <v>3</v>
      </c>
      <c r="BE53" s="3" t="s">
        <v>4854</v>
      </c>
      <c r="BF53" s="3" t="s">
        <v>4854</v>
      </c>
      <c r="BG53" s="5">
        <v>1</v>
      </c>
      <c r="BH53" s="3" t="s">
        <v>4854</v>
      </c>
      <c r="BI53" s="5">
        <v>1</v>
      </c>
      <c r="BJ53" s="3" t="s">
        <v>4854</v>
      </c>
      <c r="BK53" s="99" t="s">
        <v>4854</v>
      </c>
      <c r="BL53" s="90">
        <v>0.96299999999999997</v>
      </c>
      <c r="BM53" s="99" t="s">
        <v>4854</v>
      </c>
      <c r="BN53" s="99" t="s">
        <v>4854</v>
      </c>
      <c r="BO53" s="90">
        <v>0.997</v>
      </c>
      <c r="BP53" s="99" t="s">
        <v>4854</v>
      </c>
      <c r="BQ53" s="90">
        <v>0.999</v>
      </c>
      <c r="BR53" s="99" t="s">
        <v>4854</v>
      </c>
      <c r="BS53" s="5" t="s">
        <v>4857</v>
      </c>
    </row>
    <row r="54" spans="1:71" s="30" customFormat="1" ht="17.100000000000001" customHeight="1">
      <c r="A54" s="14">
        <v>43</v>
      </c>
      <c r="B54" s="5" t="s">
        <v>4699</v>
      </c>
      <c r="C54" s="3" t="s">
        <v>4798</v>
      </c>
      <c r="D54" s="3" t="s">
        <v>4686</v>
      </c>
      <c r="E54" s="6" t="s">
        <v>4687</v>
      </c>
      <c r="F54" s="5" t="s">
        <v>4670</v>
      </c>
      <c r="G54" s="3" t="s">
        <v>4688</v>
      </c>
      <c r="H54" s="6" t="s">
        <v>4689</v>
      </c>
      <c r="I54" s="3" t="s">
        <v>4690</v>
      </c>
      <c r="J54" s="5" t="s">
        <v>4672</v>
      </c>
      <c r="K54" s="3" t="s">
        <v>5355</v>
      </c>
      <c r="L54" s="3" t="s">
        <v>4698</v>
      </c>
      <c r="M54" s="5">
        <v>2</v>
      </c>
      <c r="N54" s="21">
        <v>711.35069999999996</v>
      </c>
      <c r="O54" s="35" t="s">
        <v>4854</v>
      </c>
      <c r="P54" s="35" t="s">
        <v>4854</v>
      </c>
      <c r="Q54" s="35" t="s">
        <v>4854</v>
      </c>
      <c r="R54" s="35" t="s">
        <v>4854</v>
      </c>
      <c r="S54" s="35" t="s">
        <v>4854</v>
      </c>
      <c r="T54" s="35" t="s">
        <v>4854</v>
      </c>
      <c r="U54" s="36" t="str">
        <f>HYPERLINK("http://ms.phosphosite.org:5080/cgi-bin/plot-msms.cgi?MassType=1&amp;NumAxis=1&amp;Mod2=147&amp;Mod9=170&amp;Pep=TMADGNEKKLEK&amp;Dta=/var/www/html/dta/S01/10564.2498.2.dta&amp;Global_Mod=CS57.0215", "2498")</f>
        <v>2498</v>
      </c>
      <c r="V54" s="35" t="s">
        <v>4854</v>
      </c>
      <c r="W54" s="3" t="s">
        <v>4854</v>
      </c>
      <c r="X54" s="3" t="s">
        <v>4854</v>
      </c>
      <c r="Y54" s="3" t="s">
        <v>4854</v>
      </c>
      <c r="Z54" s="3" t="s">
        <v>4854</v>
      </c>
      <c r="AA54" s="3" t="s">
        <v>4854</v>
      </c>
      <c r="AB54" s="3" t="s">
        <v>4854</v>
      </c>
      <c r="AC54" s="5">
        <v>2500</v>
      </c>
      <c r="AD54" s="3" t="s">
        <v>4854</v>
      </c>
      <c r="AE54" s="99" t="s">
        <v>4854</v>
      </c>
      <c r="AF54" s="99" t="s">
        <v>4854</v>
      </c>
      <c r="AG54" s="99" t="s">
        <v>4854</v>
      </c>
      <c r="AH54" s="99" t="s">
        <v>4854</v>
      </c>
      <c r="AI54" s="99" t="s">
        <v>4854</v>
      </c>
      <c r="AJ54" s="99" t="s">
        <v>4854</v>
      </c>
      <c r="AK54" s="90">
        <v>3.4180000000000001</v>
      </c>
      <c r="AL54" s="99" t="s">
        <v>4854</v>
      </c>
      <c r="AM54" s="102" t="s">
        <v>4854</v>
      </c>
      <c r="AN54" s="102" t="s">
        <v>4854</v>
      </c>
      <c r="AO54" s="102" t="s">
        <v>4854</v>
      </c>
      <c r="AP54" s="102" t="s">
        <v>4854</v>
      </c>
      <c r="AQ54" s="102" t="s">
        <v>4854</v>
      </c>
      <c r="AR54" s="102" t="s">
        <v>4854</v>
      </c>
      <c r="AS54" s="21">
        <v>2.5499999999999998E-2</v>
      </c>
      <c r="AT54" s="102" t="s">
        <v>4854</v>
      </c>
      <c r="AU54" s="102" t="s">
        <v>4854</v>
      </c>
      <c r="AV54" s="102" t="s">
        <v>4854</v>
      </c>
      <c r="AW54" s="102" t="s">
        <v>4854</v>
      </c>
      <c r="AX54" s="102" t="s">
        <v>4854</v>
      </c>
      <c r="AY54" s="102" t="s">
        <v>4854</v>
      </c>
      <c r="AZ54" s="102" t="s">
        <v>4854</v>
      </c>
      <c r="BA54" s="21">
        <v>0.33400000000000002</v>
      </c>
      <c r="BB54" s="102" t="s">
        <v>4854</v>
      </c>
      <c r="BC54" s="3" t="s">
        <v>4854</v>
      </c>
      <c r="BD54" s="3" t="s">
        <v>4854</v>
      </c>
      <c r="BE54" s="3" t="s">
        <v>4854</v>
      </c>
      <c r="BF54" s="3" t="s">
        <v>4854</v>
      </c>
      <c r="BG54" s="3" t="s">
        <v>4854</v>
      </c>
      <c r="BH54" s="3" t="s">
        <v>4854</v>
      </c>
      <c r="BI54" s="5">
        <v>1</v>
      </c>
      <c r="BJ54" s="3" t="s">
        <v>4854</v>
      </c>
      <c r="BK54" s="99" t="s">
        <v>4854</v>
      </c>
      <c r="BL54" s="99" t="s">
        <v>4854</v>
      </c>
      <c r="BM54" s="99" t="s">
        <v>4854</v>
      </c>
      <c r="BN54" s="99" t="s">
        <v>4854</v>
      </c>
      <c r="BO54" s="99" t="s">
        <v>4854</v>
      </c>
      <c r="BP54" s="99" t="s">
        <v>4854</v>
      </c>
      <c r="BQ54" s="90">
        <v>1</v>
      </c>
      <c r="BR54" s="99" t="s">
        <v>4854</v>
      </c>
      <c r="BS54" s="5" t="s">
        <v>4857</v>
      </c>
    </row>
    <row r="55" spans="1:71" s="30" customFormat="1" ht="17.100000000000001" customHeight="1">
      <c r="A55" s="14">
        <v>44</v>
      </c>
      <c r="B55" s="5" t="s">
        <v>4700</v>
      </c>
      <c r="C55" s="3" t="s">
        <v>4798</v>
      </c>
      <c r="D55" s="3" t="s">
        <v>4686</v>
      </c>
      <c r="E55" s="6" t="s">
        <v>4687</v>
      </c>
      <c r="F55" s="5" t="s">
        <v>4670</v>
      </c>
      <c r="G55" s="3" t="s">
        <v>4688</v>
      </c>
      <c r="H55" s="6" t="s">
        <v>4689</v>
      </c>
      <c r="I55" s="3" t="s">
        <v>4690</v>
      </c>
      <c r="J55" s="5" t="s">
        <v>4672</v>
      </c>
      <c r="K55" s="3" t="s">
        <v>5355</v>
      </c>
      <c r="L55" s="3" t="s">
        <v>4698</v>
      </c>
      <c r="M55" s="5">
        <v>3</v>
      </c>
      <c r="N55" s="21">
        <v>474.56950000000001</v>
      </c>
      <c r="O55" s="35" t="s">
        <v>4854</v>
      </c>
      <c r="P55" s="35" t="s">
        <v>4854</v>
      </c>
      <c r="Q55" s="35" t="s">
        <v>4854</v>
      </c>
      <c r="R55" s="35" t="s">
        <v>4854</v>
      </c>
      <c r="S55" s="36" t="str">
        <f>HYPERLINK("http://ms.phosphosite.org:5080/cgi-bin/plot-msms.cgi?MassType=1&amp;NumAxis=1&amp;Mod2=147&amp;Mod9=170&amp;Pep=TMADGNEKKLEK&amp;Dta=/var/www/html/dta/S01/10562.2273.3.dta&amp;Global_Mod=CS57.0215", "2273")</f>
        <v>2273</v>
      </c>
      <c r="T55" s="35" t="s">
        <v>4854</v>
      </c>
      <c r="U55" s="35" t="s">
        <v>4854</v>
      </c>
      <c r="V55" s="35" t="s">
        <v>4854</v>
      </c>
      <c r="W55" s="3" t="s">
        <v>4854</v>
      </c>
      <c r="X55" s="3" t="s">
        <v>4854</v>
      </c>
      <c r="Y55" s="3" t="s">
        <v>4854</v>
      </c>
      <c r="Z55" s="3" t="s">
        <v>4854</v>
      </c>
      <c r="AA55" s="3" t="s">
        <v>4854</v>
      </c>
      <c r="AB55" s="3" t="s">
        <v>4854</v>
      </c>
      <c r="AC55" s="3" t="s">
        <v>4854</v>
      </c>
      <c r="AD55" s="3" t="s">
        <v>4854</v>
      </c>
      <c r="AE55" s="99" t="s">
        <v>4854</v>
      </c>
      <c r="AF55" s="99" t="s">
        <v>4854</v>
      </c>
      <c r="AG55" s="99" t="s">
        <v>4854</v>
      </c>
      <c r="AH55" s="99" t="s">
        <v>4854</v>
      </c>
      <c r="AI55" s="90">
        <v>2.0739999999999998</v>
      </c>
      <c r="AJ55" s="99" t="s">
        <v>4854</v>
      </c>
      <c r="AK55" s="99" t="s">
        <v>4854</v>
      </c>
      <c r="AL55" s="99" t="s">
        <v>4854</v>
      </c>
      <c r="AM55" s="102" t="s">
        <v>4854</v>
      </c>
      <c r="AN55" s="102" t="s">
        <v>4854</v>
      </c>
      <c r="AO55" s="102" t="s">
        <v>4854</v>
      </c>
      <c r="AP55" s="102" t="s">
        <v>4854</v>
      </c>
      <c r="AQ55" s="21">
        <v>0.67049999999999998</v>
      </c>
      <c r="AR55" s="102" t="s">
        <v>4854</v>
      </c>
      <c r="AS55" s="102" t="s">
        <v>4854</v>
      </c>
      <c r="AT55" s="102" t="s">
        <v>4854</v>
      </c>
      <c r="AU55" s="102" t="s">
        <v>4854</v>
      </c>
      <c r="AV55" s="102" t="s">
        <v>4854</v>
      </c>
      <c r="AW55" s="102" t="s">
        <v>4854</v>
      </c>
      <c r="AX55" s="102" t="s">
        <v>4854</v>
      </c>
      <c r="AY55" s="21">
        <v>1.2999999999999999E-2</v>
      </c>
      <c r="AZ55" s="102" t="s">
        <v>4854</v>
      </c>
      <c r="BA55" s="102" t="s">
        <v>4854</v>
      </c>
      <c r="BB55" s="102" t="s">
        <v>4854</v>
      </c>
      <c r="BC55" s="3" t="s">
        <v>4854</v>
      </c>
      <c r="BD55" s="3" t="s">
        <v>4854</v>
      </c>
      <c r="BE55" s="3" t="s">
        <v>4854</v>
      </c>
      <c r="BF55" s="3" t="s">
        <v>4854</v>
      </c>
      <c r="BG55" s="5">
        <v>253</v>
      </c>
      <c r="BH55" s="3" t="s">
        <v>4854</v>
      </c>
      <c r="BI55" s="3" t="s">
        <v>4854</v>
      </c>
      <c r="BJ55" s="3" t="s">
        <v>4854</v>
      </c>
      <c r="BK55" s="99" t="s">
        <v>4854</v>
      </c>
      <c r="BL55" s="99" t="s">
        <v>4854</v>
      </c>
      <c r="BM55" s="99" t="s">
        <v>4854</v>
      </c>
      <c r="BN55" s="99" t="s">
        <v>4854</v>
      </c>
      <c r="BO55" s="90">
        <v>0.8</v>
      </c>
      <c r="BP55" s="99" t="s">
        <v>4854</v>
      </c>
      <c r="BQ55" s="99" t="s">
        <v>4854</v>
      </c>
      <c r="BR55" s="99" t="s">
        <v>4854</v>
      </c>
      <c r="BS55" s="5" t="s">
        <v>4857</v>
      </c>
    </row>
    <row r="56" spans="1:71" s="30" customFormat="1" ht="17.100000000000001" customHeight="1">
      <c r="A56" s="10">
        <v>45</v>
      </c>
      <c r="B56" s="10" t="s">
        <v>4701</v>
      </c>
      <c r="C56" s="4" t="s">
        <v>4798</v>
      </c>
      <c r="D56" s="4" t="s">
        <v>4702</v>
      </c>
      <c r="E56" s="7" t="s">
        <v>4703</v>
      </c>
      <c r="F56" s="10" t="s">
        <v>5170</v>
      </c>
      <c r="G56" s="4" t="s">
        <v>4704</v>
      </c>
      <c r="H56" s="7" t="s">
        <v>4705</v>
      </c>
      <c r="I56" s="4" t="s">
        <v>4706</v>
      </c>
      <c r="J56" s="10" t="s">
        <v>4672</v>
      </c>
      <c r="K56" s="4" t="s">
        <v>5356</v>
      </c>
      <c r="L56" s="4" t="s">
        <v>4707</v>
      </c>
      <c r="M56" s="10">
        <v>2</v>
      </c>
      <c r="N56" s="95">
        <v>1012.0486</v>
      </c>
      <c r="O56" s="37" t="str">
        <f>HYPERLINK("http://ms.phosphosite.org:5080/cgi-bin/plot-msms.cgi?MassType=1&amp;NumAxis=1&amp;Mod12=170&amp;Pep=FLIPNASQPESKVFYLK&amp;Dta=/var/www/html/dta/S01/10558.11825.2.dta&amp;Global_Mod=CS57.0215", "11825")</f>
        <v>11825</v>
      </c>
      <c r="P56" s="38" t="s">
        <v>4854</v>
      </c>
      <c r="Q56" s="38" t="s">
        <v>4854</v>
      </c>
      <c r="R56" s="38" t="s">
        <v>4854</v>
      </c>
      <c r="S56" s="38" t="s">
        <v>4854</v>
      </c>
      <c r="T56" s="38" t="s">
        <v>4854</v>
      </c>
      <c r="U56" s="37" t="str">
        <f>HYPERLINK("http://ms.phosphosite.org:5080/cgi-bin/plot-msms.cgi?MassType=1&amp;NumAxis=1&amp;Mod12=170&amp;Pep=FLIPNASQPESKVFYLK&amp;Dta=/var/www/html/dta/S01/10564.12563.2.dta&amp;Global_Mod=CS57.0215", "12563")</f>
        <v>12563</v>
      </c>
      <c r="V56" s="38" t="s">
        <v>4854</v>
      </c>
      <c r="W56" s="10">
        <v>11834</v>
      </c>
      <c r="X56" s="4" t="s">
        <v>4854</v>
      </c>
      <c r="Y56" s="4" t="s">
        <v>4854</v>
      </c>
      <c r="Z56" s="4" t="s">
        <v>4854</v>
      </c>
      <c r="AA56" s="4" t="s">
        <v>4854</v>
      </c>
      <c r="AB56" s="4" t="s">
        <v>4854</v>
      </c>
      <c r="AC56" s="10">
        <v>12571</v>
      </c>
      <c r="AD56" s="4" t="s">
        <v>4854</v>
      </c>
      <c r="AE56" s="91">
        <v>2.1669999999999998</v>
      </c>
      <c r="AF56" s="100" t="s">
        <v>4854</v>
      </c>
      <c r="AG56" s="100" t="s">
        <v>4854</v>
      </c>
      <c r="AH56" s="100" t="s">
        <v>4854</v>
      </c>
      <c r="AI56" s="100" t="s">
        <v>4854</v>
      </c>
      <c r="AJ56" s="100" t="s">
        <v>4854</v>
      </c>
      <c r="AK56" s="91">
        <v>1.736</v>
      </c>
      <c r="AL56" s="100" t="s">
        <v>4854</v>
      </c>
      <c r="AM56" s="95">
        <v>0.74619999999999997</v>
      </c>
      <c r="AN56" s="103" t="s">
        <v>4854</v>
      </c>
      <c r="AO56" s="103" t="s">
        <v>4854</v>
      </c>
      <c r="AP56" s="103" t="s">
        <v>4854</v>
      </c>
      <c r="AQ56" s="103" t="s">
        <v>4854</v>
      </c>
      <c r="AR56" s="103" t="s">
        <v>4854</v>
      </c>
      <c r="AS56" s="95">
        <v>0.25530000000000003</v>
      </c>
      <c r="AT56" s="103" t="s">
        <v>4854</v>
      </c>
      <c r="AU56" s="95">
        <v>0.33100000000000002</v>
      </c>
      <c r="AV56" s="103" t="s">
        <v>4854</v>
      </c>
      <c r="AW56" s="103" t="s">
        <v>4854</v>
      </c>
      <c r="AX56" s="103" t="s">
        <v>4854</v>
      </c>
      <c r="AY56" s="103" t="s">
        <v>4854</v>
      </c>
      <c r="AZ56" s="103" t="s">
        <v>4854</v>
      </c>
      <c r="BA56" s="95">
        <v>0.28899999999999998</v>
      </c>
      <c r="BB56" s="103" t="s">
        <v>4854</v>
      </c>
      <c r="BC56" s="10">
        <v>2</v>
      </c>
      <c r="BD56" s="4" t="s">
        <v>4854</v>
      </c>
      <c r="BE56" s="4" t="s">
        <v>4854</v>
      </c>
      <c r="BF56" s="4" t="s">
        <v>4854</v>
      </c>
      <c r="BG56" s="4" t="s">
        <v>4854</v>
      </c>
      <c r="BH56" s="4" t="s">
        <v>4854</v>
      </c>
      <c r="BI56" s="10">
        <v>27</v>
      </c>
      <c r="BJ56" s="4" t="s">
        <v>4854</v>
      </c>
      <c r="BK56" s="91">
        <v>0.998</v>
      </c>
      <c r="BL56" s="100" t="s">
        <v>4854</v>
      </c>
      <c r="BM56" s="100" t="s">
        <v>4854</v>
      </c>
      <c r="BN56" s="100" t="s">
        <v>4854</v>
      </c>
      <c r="BO56" s="100" t="s">
        <v>4854</v>
      </c>
      <c r="BP56" s="100" t="s">
        <v>4854</v>
      </c>
      <c r="BQ56" s="91">
        <v>0.98299999999999998</v>
      </c>
      <c r="BR56" s="100" t="s">
        <v>4854</v>
      </c>
      <c r="BS56" s="10" t="s">
        <v>4857</v>
      </c>
    </row>
    <row r="57" spans="1:71" s="30" customFormat="1" ht="17.100000000000001" customHeight="1">
      <c r="A57" s="10">
        <v>46</v>
      </c>
      <c r="B57" s="10" t="s">
        <v>4708</v>
      </c>
      <c r="C57" s="4" t="s">
        <v>4798</v>
      </c>
      <c r="D57" s="4" t="s">
        <v>4702</v>
      </c>
      <c r="E57" s="7" t="s">
        <v>4703</v>
      </c>
      <c r="F57" s="10" t="s">
        <v>5170</v>
      </c>
      <c r="G57" s="4" t="s">
        <v>4704</v>
      </c>
      <c r="H57" s="7" t="s">
        <v>4705</v>
      </c>
      <c r="I57" s="4" t="s">
        <v>4706</v>
      </c>
      <c r="J57" s="10" t="s">
        <v>4672</v>
      </c>
      <c r="K57" s="4" t="s">
        <v>5356</v>
      </c>
      <c r="L57" s="4" t="s">
        <v>4707</v>
      </c>
      <c r="M57" s="10">
        <v>3</v>
      </c>
      <c r="N57" s="95">
        <v>675.03480000000002</v>
      </c>
      <c r="O57" s="38" t="s">
        <v>4854</v>
      </c>
      <c r="P57" s="38" t="s">
        <v>4854</v>
      </c>
      <c r="Q57" s="37" t="str">
        <f>HYPERLINK("http://ms.phosphosite.org:5080/cgi-bin/plot-msms.cgi?MassType=1&amp;NumAxis=1&amp;Mod12=170&amp;Pep=FLIPNASQPESKVFYLK&amp;Dta=/var/www/html/dta/S01/10560.11916.3.dta&amp;Global_Mod=CS57.0215", "11916")</f>
        <v>11916</v>
      </c>
      <c r="R57" s="37" t="str">
        <f>HYPERLINK("http://ms.phosphosite.org:5080/cgi-bin/plot-msms.cgi?MassType=1&amp;NumAxis=1&amp;Mod12=170&amp;Pep=FLIPNASQPESKVFYLK&amp;Dta=/var/www/html/dta/S01/10561.11941.3.dta&amp;Global_Mod=CS57.0215", "11941")</f>
        <v>11941</v>
      </c>
      <c r="S57" s="38" t="s">
        <v>4854</v>
      </c>
      <c r="T57" s="38" t="s">
        <v>4854</v>
      </c>
      <c r="U57" s="37" t="str">
        <f>HYPERLINK("http://ms.phosphosite.org:5080/cgi-bin/plot-msms.cgi?MassType=1&amp;NumAxis=1&amp;Mod12=170&amp;Pep=FLIPNASQPESKVFYLK&amp;Dta=/var/www/html/dta/S01/10564.12595.3.dta&amp;Global_Mod=CS57.0215", "12595")</f>
        <v>12595</v>
      </c>
      <c r="V57" s="38" t="s">
        <v>4854</v>
      </c>
      <c r="W57" s="4" t="s">
        <v>4854</v>
      </c>
      <c r="X57" s="4" t="s">
        <v>4854</v>
      </c>
      <c r="Y57" s="10">
        <v>11912</v>
      </c>
      <c r="Z57" s="10">
        <v>11940</v>
      </c>
      <c r="AA57" s="4" t="s">
        <v>4854</v>
      </c>
      <c r="AB57" s="4" t="s">
        <v>4854</v>
      </c>
      <c r="AC57" s="4" t="s">
        <v>4854</v>
      </c>
      <c r="AD57" s="4" t="s">
        <v>4854</v>
      </c>
      <c r="AE57" s="100" t="s">
        <v>4854</v>
      </c>
      <c r="AF57" s="100" t="s">
        <v>4854</v>
      </c>
      <c r="AG57" s="91">
        <v>3.8010000000000002</v>
      </c>
      <c r="AH57" s="91">
        <v>3.3650000000000002</v>
      </c>
      <c r="AI57" s="100" t="s">
        <v>4854</v>
      </c>
      <c r="AJ57" s="100" t="s">
        <v>4854</v>
      </c>
      <c r="AK57" s="91">
        <v>2.7879999999999998</v>
      </c>
      <c r="AL57" s="100" t="s">
        <v>4854</v>
      </c>
      <c r="AM57" s="103" t="s">
        <v>4854</v>
      </c>
      <c r="AN57" s="103" t="s">
        <v>4854</v>
      </c>
      <c r="AO57" s="95">
        <v>-1.2310000000000001</v>
      </c>
      <c r="AP57" s="95">
        <v>-0.95069999999999999</v>
      </c>
      <c r="AQ57" s="103" t="s">
        <v>4854</v>
      </c>
      <c r="AR57" s="103" t="s">
        <v>4854</v>
      </c>
      <c r="AS57" s="95">
        <v>-1.0026999999999999</v>
      </c>
      <c r="AT57" s="103" t="s">
        <v>4854</v>
      </c>
      <c r="AU57" s="103" t="s">
        <v>4854</v>
      </c>
      <c r="AV57" s="103" t="s">
        <v>4854</v>
      </c>
      <c r="AW57" s="95">
        <v>0.4</v>
      </c>
      <c r="AX57" s="95">
        <v>0.19700000000000001</v>
      </c>
      <c r="AY57" s="103" t="s">
        <v>4854</v>
      </c>
      <c r="AZ57" s="103" t="s">
        <v>4854</v>
      </c>
      <c r="BA57" s="95">
        <v>2.7E-2</v>
      </c>
      <c r="BB57" s="103" t="s">
        <v>4854</v>
      </c>
      <c r="BC57" s="4" t="s">
        <v>4854</v>
      </c>
      <c r="BD57" s="4" t="s">
        <v>4854</v>
      </c>
      <c r="BE57" s="10">
        <v>1</v>
      </c>
      <c r="BF57" s="10">
        <v>1</v>
      </c>
      <c r="BG57" s="4" t="s">
        <v>4854</v>
      </c>
      <c r="BH57" s="4" t="s">
        <v>4854</v>
      </c>
      <c r="BI57" s="10">
        <v>3</v>
      </c>
      <c r="BJ57" s="4" t="s">
        <v>4854</v>
      </c>
      <c r="BK57" s="100" t="s">
        <v>4854</v>
      </c>
      <c r="BL57" s="100" t="s">
        <v>4854</v>
      </c>
      <c r="BM57" s="91">
        <v>1</v>
      </c>
      <c r="BN57" s="91">
        <v>0.98699999999999999</v>
      </c>
      <c r="BO57" s="100" t="s">
        <v>4854</v>
      </c>
      <c r="BP57" s="100" t="s">
        <v>4854</v>
      </c>
      <c r="BQ57" s="91">
        <v>0.71299999999999997</v>
      </c>
      <c r="BR57" s="100" t="s">
        <v>4854</v>
      </c>
      <c r="BS57" s="10" t="s">
        <v>4857</v>
      </c>
    </row>
    <row r="58" spans="1:71" s="30" customFormat="1" ht="17.100000000000001" customHeight="1">
      <c r="A58" s="14">
        <v>47</v>
      </c>
      <c r="B58" s="5" t="s">
        <v>4841</v>
      </c>
      <c r="C58" s="3" t="s">
        <v>4798</v>
      </c>
      <c r="D58" s="3" t="s">
        <v>4702</v>
      </c>
      <c r="E58" s="6" t="s">
        <v>4703</v>
      </c>
      <c r="F58" s="5" t="s">
        <v>4709</v>
      </c>
      <c r="G58" s="3" t="s">
        <v>4704</v>
      </c>
      <c r="H58" s="6" t="s">
        <v>4705</v>
      </c>
      <c r="I58" s="3" t="s">
        <v>4706</v>
      </c>
      <c r="J58" s="5" t="s">
        <v>4672</v>
      </c>
      <c r="K58" s="3" t="s">
        <v>5357</v>
      </c>
      <c r="L58" s="3" t="s">
        <v>4710</v>
      </c>
      <c r="M58" s="5">
        <v>3</v>
      </c>
      <c r="N58" s="21">
        <v>737.70240000000001</v>
      </c>
      <c r="O58" s="35" t="s">
        <v>4854</v>
      </c>
      <c r="P58" s="35" t="s">
        <v>4854</v>
      </c>
      <c r="Q58" s="36" t="str">
        <f>HYPERLINK("http://ms.phosphosite.org:5080/cgi-bin/plot-msms.cgi?MassType=1&amp;NumAxis=1&amp;Mod18=170&amp;Pep=GIVDQSQQAYQEAFEISKK&amp;Dta=/var/www/html/dta/S01/10560.10433.3.dta&amp;Global_Mod=CS57.0215", "10433")</f>
        <v>10433</v>
      </c>
      <c r="R58" s="35" t="s">
        <v>4854</v>
      </c>
      <c r="S58" s="35" t="s">
        <v>4854</v>
      </c>
      <c r="T58" s="35" t="s">
        <v>4854</v>
      </c>
      <c r="U58" s="35" t="s">
        <v>4854</v>
      </c>
      <c r="V58" s="35" t="s">
        <v>4854</v>
      </c>
      <c r="W58" s="3" t="s">
        <v>4854</v>
      </c>
      <c r="X58" s="3" t="s">
        <v>4854</v>
      </c>
      <c r="Y58" s="5">
        <v>10436</v>
      </c>
      <c r="Z58" s="3" t="s">
        <v>4854</v>
      </c>
      <c r="AA58" s="3" t="s">
        <v>4854</v>
      </c>
      <c r="AB58" s="3" t="s">
        <v>4854</v>
      </c>
      <c r="AC58" s="3" t="s">
        <v>4854</v>
      </c>
      <c r="AD58" s="3" t="s">
        <v>4854</v>
      </c>
      <c r="AE58" s="99" t="s">
        <v>4854</v>
      </c>
      <c r="AF58" s="99" t="s">
        <v>4854</v>
      </c>
      <c r="AG58" s="90">
        <v>4.0540000000000003</v>
      </c>
      <c r="AH58" s="99" t="s">
        <v>4854</v>
      </c>
      <c r="AI58" s="99" t="s">
        <v>4854</v>
      </c>
      <c r="AJ58" s="99" t="s">
        <v>4854</v>
      </c>
      <c r="AK58" s="99" t="s">
        <v>4854</v>
      </c>
      <c r="AL58" s="99" t="s">
        <v>4854</v>
      </c>
      <c r="AM58" s="102" t="s">
        <v>4854</v>
      </c>
      <c r="AN58" s="102" t="s">
        <v>4854</v>
      </c>
      <c r="AO58" s="21">
        <v>0.23849999999999999</v>
      </c>
      <c r="AP58" s="102" t="s">
        <v>4854</v>
      </c>
      <c r="AQ58" s="102" t="s">
        <v>4854</v>
      </c>
      <c r="AR58" s="102" t="s">
        <v>4854</v>
      </c>
      <c r="AS58" s="102" t="s">
        <v>4854</v>
      </c>
      <c r="AT58" s="102" t="s">
        <v>4854</v>
      </c>
      <c r="AU58" s="102" t="s">
        <v>4854</v>
      </c>
      <c r="AV58" s="102" t="s">
        <v>4854</v>
      </c>
      <c r="AW58" s="21">
        <v>0.35499999999999998</v>
      </c>
      <c r="AX58" s="102" t="s">
        <v>4854</v>
      </c>
      <c r="AY58" s="102" t="s">
        <v>4854</v>
      </c>
      <c r="AZ58" s="102" t="s">
        <v>4854</v>
      </c>
      <c r="BA58" s="102" t="s">
        <v>4854</v>
      </c>
      <c r="BB58" s="102" t="s">
        <v>4854</v>
      </c>
      <c r="BC58" s="3" t="s">
        <v>4854</v>
      </c>
      <c r="BD58" s="3" t="s">
        <v>4854</v>
      </c>
      <c r="BE58" s="5">
        <v>1</v>
      </c>
      <c r="BF58" s="3" t="s">
        <v>4854</v>
      </c>
      <c r="BG58" s="3" t="s">
        <v>4854</v>
      </c>
      <c r="BH58" s="3" t="s">
        <v>4854</v>
      </c>
      <c r="BI58" s="3" t="s">
        <v>4854</v>
      </c>
      <c r="BJ58" s="3" t="s">
        <v>4854</v>
      </c>
      <c r="BK58" s="99" t="s">
        <v>4854</v>
      </c>
      <c r="BL58" s="99" t="s">
        <v>4854</v>
      </c>
      <c r="BM58" s="90">
        <v>1</v>
      </c>
      <c r="BN58" s="99" t="s">
        <v>4854</v>
      </c>
      <c r="BO58" s="99" t="s">
        <v>4854</v>
      </c>
      <c r="BP58" s="99" t="s">
        <v>4854</v>
      </c>
      <c r="BQ58" s="99" t="s">
        <v>4854</v>
      </c>
      <c r="BR58" s="99" t="s">
        <v>4854</v>
      </c>
      <c r="BS58" s="5" t="s">
        <v>4857</v>
      </c>
    </row>
    <row r="59" spans="1:71" s="30" customFormat="1" ht="17.100000000000001" customHeight="1">
      <c r="A59" s="10">
        <v>48</v>
      </c>
      <c r="B59" s="10" t="s">
        <v>4711</v>
      </c>
      <c r="C59" s="4" t="s">
        <v>4798</v>
      </c>
      <c r="D59" s="4" t="s">
        <v>4702</v>
      </c>
      <c r="E59" s="7" t="s">
        <v>4703</v>
      </c>
      <c r="F59" s="10" t="s">
        <v>5249</v>
      </c>
      <c r="G59" s="4" t="s">
        <v>4704</v>
      </c>
      <c r="H59" s="7" t="s">
        <v>4705</v>
      </c>
      <c r="I59" s="4" t="s">
        <v>4706</v>
      </c>
      <c r="J59" s="10" t="s">
        <v>4672</v>
      </c>
      <c r="K59" s="4" t="s">
        <v>5358</v>
      </c>
      <c r="L59" s="4" t="s">
        <v>4712</v>
      </c>
      <c r="M59" s="10">
        <v>2</v>
      </c>
      <c r="N59" s="95">
        <v>581.79229999999995</v>
      </c>
      <c r="O59" s="38" t="s">
        <v>4854</v>
      </c>
      <c r="P59" s="38" t="s">
        <v>4854</v>
      </c>
      <c r="Q59" s="38" t="s">
        <v>4854</v>
      </c>
      <c r="R59" s="38" t="s">
        <v>4854</v>
      </c>
      <c r="S59" s="38" t="s">
        <v>4854</v>
      </c>
      <c r="T59" s="37" t="str">
        <f>HYPERLINK("http://ms.phosphosite.org:5080/cgi-bin/plot-msms.cgi?MassType=1&amp;NumAxis=1&amp;Mod1=147&amp;Mod3=170&amp;Pep=MDKNELVQK&amp;Dta=/var/www/html/dta/S01/10563.2152.2.dta&amp;Global_Mod=CS57.0215", "2152")</f>
        <v>2152</v>
      </c>
      <c r="U59" s="38" t="s">
        <v>4854</v>
      </c>
      <c r="V59" s="38" t="s">
        <v>4854</v>
      </c>
      <c r="W59" s="4" t="s">
        <v>4854</v>
      </c>
      <c r="X59" s="4" t="s">
        <v>4854</v>
      </c>
      <c r="Y59" s="4" t="s">
        <v>4854</v>
      </c>
      <c r="Z59" s="4" t="s">
        <v>4854</v>
      </c>
      <c r="AA59" s="4" t="s">
        <v>4854</v>
      </c>
      <c r="AB59" s="4" t="s">
        <v>4854</v>
      </c>
      <c r="AC59" s="4" t="s">
        <v>4854</v>
      </c>
      <c r="AD59" s="4" t="s">
        <v>4854</v>
      </c>
      <c r="AE59" s="100" t="s">
        <v>4854</v>
      </c>
      <c r="AF59" s="100" t="s">
        <v>4854</v>
      </c>
      <c r="AG59" s="100" t="s">
        <v>4854</v>
      </c>
      <c r="AH59" s="100" t="s">
        <v>4854</v>
      </c>
      <c r="AI59" s="100" t="s">
        <v>4854</v>
      </c>
      <c r="AJ59" s="91">
        <v>2.3370000000000002</v>
      </c>
      <c r="AK59" s="100" t="s">
        <v>4854</v>
      </c>
      <c r="AL59" s="100" t="s">
        <v>4854</v>
      </c>
      <c r="AM59" s="103" t="s">
        <v>4854</v>
      </c>
      <c r="AN59" s="103" t="s">
        <v>4854</v>
      </c>
      <c r="AO59" s="103" t="s">
        <v>4854</v>
      </c>
      <c r="AP59" s="103" t="s">
        <v>4854</v>
      </c>
      <c r="AQ59" s="103" t="s">
        <v>4854</v>
      </c>
      <c r="AR59" s="95">
        <v>1.0166999999999999</v>
      </c>
      <c r="AS59" s="103" t="s">
        <v>4854</v>
      </c>
      <c r="AT59" s="103" t="s">
        <v>4854</v>
      </c>
      <c r="AU59" s="103" t="s">
        <v>4854</v>
      </c>
      <c r="AV59" s="103" t="s">
        <v>4854</v>
      </c>
      <c r="AW59" s="103" t="s">
        <v>4854</v>
      </c>
      <c r="AX59" s="103" t="s">
        <v>4854</v>
      </c>
      <c r="AY59" s="103" t="s">
        <v>4854</v>
      </c>
      <c r="AZ59" s="95">
        <v>0.02</v>
      </c>
      <c r="BA59" s="103" t="s">
        <v>4854</v>
      </c>
      <c r="BB59" s="103" t="s">
        <v>4854</v>
      </c>
      <c r="BC59" s="4" t="s">
        <v>4854</v>
      </c>
      <c r="BD59" s="4" t="s">
        <v>4854</v>
      </c>
      <c r="BE59" s="4" t="s">
        <v>4854</v>
      </c>
      <c r="BF59" s="4" t="s">
        <v>4854</v>
      </c>
      <c r="BG59" s="4" t="s">
        <v>4854</v>
      </c>
      <c r="BH59" s="10">
        <v>31</v>
      </c>
      <c r="BI59" s="4" t="s">
        <v>4854</v>
      </c>
      <c r="BJ59" s="4" t="s">
        <v>4854</v>
      </c>
      <c r="BK59" s="100" t="s">
        <v>4854</v>
      </c>
      <c r="BL59" s="100" t="s">
        <v>4854</v>
      </c>
      <c r="BM59" s="100" t="s">
        <v>4854</v>
      </c>
      <c r="BN59" s="100" t="s">
        <v>4854</v>
      </c>
      <c r="BO59" s="100" t="s">
        <v>4854</v>
      </c>
      <c r="BP59" s="91">
        <v>0.94199999999999995</v>
      </c>
      <c r="BQ59" s="100" t="s">
        <v>4854</v>
      </c>
      <c r="BR59" s="100" t="s">
        <v>4854</v>
      </c>
      <c r="BS59" s="10" t="s">
        <v>4857</v>
      </c>
    </row>
    <row r="60" spans="1:71" s="30" customFormat="1" ht="17.100000000000001" customHeight="1">
      <c r="A60" s="14">
        <v>49</v>
      </c>
      <c r="B60" s="5" t="s">
        <v>4713</v>
      </c>
      <c r="C60" s="3" t="s">
        <v>4798</v>
      </c>
      <c r="D60" s="3" t="s">
        <v>4702</v>
      </c>
      <c r="E60" s="6" t="s">
        <v>4703</v>
      </c>
      <c r="F60" s="5" t="s">
        <v>5126</v>
      </c>
      <c r="G60" s="3" t="s">
        <v>4704</v>
      </c>
      <c r="H60" s="6" t="s">
        <v>4705</v>
      </c>
      <c r="I60" s="3" t="s">
        <v>4706</v>
      </c>
      <c r="J60" s="5" t="s">
        <v>4672</v>
      </c>
      <c r="K60" s="3" t="s">
        <v>5359</v>
      </c>
      <c r="L60" s="3" t="s">
        <v>4714</v>
      </c>
      <c r="M60" s="5">
        <v>2</v>
      </c>
      <c r="N60" s="21">
        <v>773.90160000000003</v>
      </c>
      <c r="O60" s="36" t="str">
        <f>HYPERLINK("http://ms.phosphosite.org:5080/cgi-bin/plot-msms.cgi?MassType=1&amp;NumAxis=1&amp;Mod8=170&amp;Pep=VVSSIEQKTEGAEK&amp;Dta=/var/www/html/dta/S01/10558.4605.2.dta&amp;Global_Mod=CS57.0215", "4605")</f>
        <v>4605</v>
      </c>
      <c r="P60" s="36" t="str">
        <f>HYPERLINK("http://ms.phosphosite.org:5080/cgi-bin/plot-msms.cgi?MassType=1&amp;NumAxis=1&amp;Mod8=170&amp;Pep=VVSSIEQKTEGAEK&amp;Dta=/var/www/html/dta/S01/10559.4533.2.dta&amp;Global_Mod=CS57.0215", "4533")</f>
        <v>4533</v>
      </c>
      <c r="Q60" s="36" t="str">
        <f>HYPERLINK("http://ms.phosphosite.org:5080/cgi-bin/plot-msms.cgi?MassType=1&amp;NumAxis=1&amp;Mod8=170&amp;Pep=VVSSIEQKTEGAEK&amp;Dta=/var/www/html/dta/S01/10560.4506.2.dta&amp;Global_Mod=CS57.0215", "4506")</f>
        <v>4506</v>
      </c>
      <c r="R60" s="36" t="str">
        <f>HYPERLINK("http://ms.phosphosite.org:5080/cgi-bin/plot-msms.cgi?MassType=1&amp;NumAxis=1&amp;Mod8=170&amp;Pep=VVSSIEQKTEGAEK&amp;Dta=/var/www/html/dta/S01/10561.4539.2.dta&amp;Global_Mod=CS57.0215", "4539")</f>
        <v>4539</v>
      </c>
      <c r="S60" s="36" t="str">
        <f>HYPERLINK("http://ms.phosphosite.org:5080/cgi-bin/plot-msms.cgi?MassType=1&amp;NumAxis=1&amp;Mod8=170&amp;Pep=VVSSIEQKTEGAEK&amp;Dta=/var/www/html/dta/S01/10562.4656.2.dta&amp;Global_Mod=CS57.0215", "4656")</f>
        <v>4656</v>
      </c>
      <c r="T60" s="36" t="str">
        <f>HYPERLINK("http://ms.phosphosite.org:5080/cgi-bin/plot-msms.cgi?MassType=1&amp;NumAxis=1&amp;Mod8=170&amp;Pep=VVSSIEQKTEGAEK&amp;Dta=/var/www/html/dta/S01/10563.4582.2.dta&amp;Global_Mod=CS57.0215", "4582")</f>
        <v>4582</v>
      </c>
      <c r="U60" s="36" t="str">
        <f>HYPERLINK("http://ms.phosphosite.org:5080/cgi-bin/plot-msms.cgi?MassType=1&amp;NumAxis=1&amp;Mod8=170&amp;Pep=VVSSIEQKTEGAEK&amp;Dta=/var/www/html/dta/S01/10564.4907.2.dta&amp;Global_Mod=CS57.0215", "4907")</f>
        <v>4907</v>
      </c>
      <c r="V60" s="36" t="str">
        <f>HYPERLINK("http://ms.phosphosite.org:5080/cgi-bin/plot-msms.cgi?MassType=1&amp;NumAxis=1&amp;Mod8=170&amp;Pep=VVSSIEQKTEGAEK&amp;Dta=/var/www/html/dta/S01/10565.5022.2.dta&amp;Global_Mod=CS57.0215", "5022")</f>
        <v>5022</v>
      </c>
      <c r="W60" s="5">
        <v>4608</v>
      </c>
      <c r="X60" s="5">
        <v>4547</v>
      </c>
      <c r="Y60" s="5">
        <v>4510</v>
      </c>
      <c r="Z60" s="5">
        <v>4545</v>
      </c>
      <c r="AA60" s="5">
        <v>4669</v>
      </c>
      <c r="AB60" s="5">
        <v>4585</v>
      </c>
      <c r="AC60" s="5">
        <v>4901</v>
      </c>
      <c r="AD60" s="5">
        <v>5023</v>
      </c>
      <c r="AE60" s="90">
        <v>4.22</v>
      </c>
      <c r="AF60" s="90">
        <v>3.407</v>
      </c>
      <c r="AG60" s="90">
        <v>3.7229999999999999</v>
      </c>
      <c r="AH60" s="90">
        <v>4.5789999999999997</v>
      </c>
      <c r="AI60" s="90">
        <v>3.85</v>
      </c>
      <c r="AJ60" s="90">
        <v>3.5230000000000001</v>
      </c>
      <c r="AK60" s="90">
        <v>3.69</v>
      </c>
      <c r="AL60" s="90">
        <v>3.6160000000000001</v>
      </c>
      <c r="AM60" s="21">
        <v>0.15240000000000001</v>
      </c>
      <c r="AN60" s="21">
        <v>0.83899999999999997</v>
      </c>
      <c r="AO60" s="21">
        <v>0.59330000000000005</v>
      </c>
      <c r="AP60" s="21">
        <v>0.80279999999999996</v>
      </c>
      <c r="AQ60" s="21">
        <v>0.87129999999999996</v>
      </c>
      <c r="AR60" s="21">
        <v>-0.32729999999999998</v>
      </c>
      <c r="AS60" s="21">
        <v>0.31140000000000001</v>
      </c>
      <c r="AT60" s="21">
        <v>0.38640000000000002</v>
      </c>
      <c r="AU60" s="21">
        <v>0.32200000000000001</v>
      </c>
      <c r="AV60" s="21">
        <v>0.29399999999999998</v>
      </c>
      <c r="AW60" s="21">
        <v>0.34599999999999997</v>
      </c>
      <c r="AX60" s="21">
        <v>0.31900000000000001</v>
      </c>
      <c r="AY60" s="21">
        <v>0.33700000000000002</v>
      </c>
      <c r="AZ60" s="21">
        <v>0.317</v>
      </c>
      <c r="BA60" s="21">
        <v>0.26500000000000001</v>
      </c>
      <c r="BB60" s="21">
        <v>0.315</v>
      </c>
      <c r="BC60" s="5">
        <v>1</v>
      </c>
      <c r="BD60" s="5">
        <v>1</v>
      </c>
      <c r="BE60" s="5">
        <v>1</v>
      </c>
      <c r="BF60" s="5">
        <v>1</v>
      </c>
      <c r="BG60" s="5">
        <v>1</v>
      </c>
      <c r="BH60" s="5">
        <v>1</v>
      </c>
      <c r="BI60" s="5">
        <v>1</v>
      </c>
      <c r="BJ60" s="5">
        <v>1</v>
      </c>
      <c r="BK60" s="90">
        <v>1</v>
      </c>
      <c r="BL60" s="90">
        <v>1</v>
      </c>
      <c r="BM60" s="90">
        <v>1</v>
      </c>
      <c r="BN60" s="90">
        <v>1</v>
      </c>
      <c r="BO60" s="90">
        <v>1</v>
      </c>
      <c r="BP60" s="90">
        <v>1</v>
      </c>
      <c r="BQ60" s="90">
        <v>1</v>
      </c>
      <c r="BR60" s="90">
        <v>1</v>
      </c>
      <c r="BS60" s="5" t="s">
        <v>4857</v>
      </c>
    </row>
    <row r="61" spans="1:71" ht="17.100000000000001" customHeight="1">
      <c r="A61" s="31">
        <v>50</v>
      </c>
      <c r="B61" s="2" t="s">
        <v>4715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94"/>
      <c r="O61" s="34"/>
      <c r="P61" s="34"/>
      <c r="Q61" s="34"/>
      <c r="R61" s="34"/>
      <c r="S61" s="34"/>
      <c r="T61" s="34"/>
      <c r="U61" s="34"/>
      <c r="V61" s="34"/>
      <c r="W61" s="1"/>
      <c r="X61" s="1"/>
      <c r="Y61" s="1"/>
      <c r="Z61" s="1"/>
      <c r="AA61" s="1"/>
      <c r="AB61" s="1"/>
      <c r="AC61" s="1"/>
      <c r="AD61" s="1"/>
      <c r="AE61" s="89"/>
      <c r="AF61" s="89"/>
      <c r="AG61" s="89"/>
      <c r="AH61" s="89"/>
      <c r="AI61" s="89"/>
      <c r="AJ61" s="89"/>
      <c r="AK61" s="89"/>
      <c r="AL61" s="89"/>
      <c r="AM61" s="94"/>
      <c r="AN61" s="94"/>
      <c r="AO61" s="94"/>
      <c r="AP61" s="94"/>
      <c r="AQ61" s="94"/>
      <c r="AR61" s="94"/>
      <c r="AS61" s="94"/>
      <c r="AT61" s="94"/>
      <c r="AU61" s="94"/>
      <c r="AV61" s="94"/>
      <c r="AW61" s="94"/>
      <c r="AX61" s="94"/>
      <c r="AY61" s="94"/>
      <c r="AZ61" s="94"/>
      <c r="BA61" s="94"/>
      <c r="BB61" s="94"/>
      <c r="BC61" s="1"/>
      <c r="BD61" s="1"/>
      <c r="BE61" s="1"/>
      <c r="BF61" s="1"/>
      <c r="BG61" s="1"/>
      <c r="BH61" s="1"/>
      <c r="BI61" s="1"/>
      <c r="BJ61" s="1"/>
      <c r="BK61" s="89"/>
      <c r="BL61" s="89"/>
      <c r="BM61" s="89"/>
      <c r="BN61" s="89"/>
      <c r="BO61" s="89"/>
      <c r="BP61" s="89"/>
      <c r="BQ61" s="89"/>
      <c r="BR61" s="89"/>
      <c r="BS61" s="1"/>
    </row>
    <row r="62" spans="1:71" s="30" customFormat="1" ht="17.100000000000001" customHeight="1">
      <c r="A62" s="10">
        <v>51</v>
      </c>
      <c r="B62" s="10" t="s">
        <v>4716</v>
      </c>
      <c r="C62" s="4" t="s">
        <v>4715</v>
      </c>
      <c r="D62" s="4" t="s">
        <v>4717</v>
      </c>
      <c r="E62" s="7" t="s">
        <v>4718</v>
      </c>
      <c r="F62" s="10" t="s">
        <v>4958</v>
      </c>
      <c r="G62" s="4" t="s">
        <v>4719</v>
      </c>
      <c r="H62" s="7" t="s">
        <v>4720</v>
      </c>
      <c r="I62" s="4" t="s">
        <v>4721</v>
      </c>
      <c r="J62" s="10" t="s">
        <v>4722</v>
      </c>
      <c r="K62" s="4" t="s">
        <v>5360</v>
      </c>
      <c r="L62" s="4" t="s">
        <v>4723</v>
      </c>
      <c r="M62" s="10">
        <v>2</v>
      </c>
      <c r="N62" s="95">
        <v>834.92930000000001</v>
      </c>
      <c r="O62" s="38" t="s">
        <v>4854</v>
      </c>
      <c r="P62" s="37" t="str">
        <f>HYPERLINK("http://ms.phosphosite.org:5080/cgi-bin/plot-msms.cgi?MassType=1&amp;NumAxis=1&amp;Mod7=147&amp;Mod8=170&amp;Pep=DLTDYLMKILTER&amp;Dta=/var/www/html/dta/S01/10559.15731.2.dta&amp;Global_Mod=CS57.0215", "15731")</f>
        <v>15731</v>
      </c>
      <c r="Q62" s="38" t="s">
        <v>4854</v>
      </c>
      <c r="R62" s="38" t="s">
        <v>4854</v>
      </c>
      <c r="S62" s="38" t="s">
        <v>4854</v>
      </c>
      <c r="T62" s="38" t="s">
        <v>4854</v>
      </c>
      <c r="U62" s="38" t="s">
        <v>4854</v>
      </c>
      <c r="V62" s="38" t="s">
        <v>4854</v>
      </c>
      <c r="W62" s="4" t="s">
        <v>4854</v>
      </c>
      <c r="X62" s="10">
        <v>15750</v>
      </c>
      <c r="Y62" s="4" t="s">
        <v>4854</v>
      </c>
      <c r="Z62" s="4" t="s">
        <v>4854</v>
      </c>
      <c r="AA62" s="4" t="s">
        <v>4854</v>
      </c>
      <c r="AB62" s="4" t="s">
        <v>4854</v>
      </c>
      <c r="AC62" s="4" t="s">
        <v>4854</v>
      </c>
      <c r="AD62" s="4" t="s">
        <v>4854</v>
      </c>
      <c r="AE62" s="100" t="s">
        <v>4854</v>
      </c>
      <c r="AF62" s="91">
        <v>2.0790000000000002</v>
      </c>
      <c r="AG62" s="100" t="s">
        <v>4854</v>
      </c>
      <c r="AH62" s="100" t="s">
        <v>4854</v>
      </c>
      <c r="AI62" s="100" t="s">
        <v>4854</v>
      </c>
      <c r="AJ62" s="100" t="s">
        <v>4854</v>
      </c>
      <c r="AK62" s="100" t="s">
        <v>4854</v>
      </c>
      <c r="AL62" s="100" t="s">
        <v>4854</v>
      </c>
      <c r="AM62" s="103" t="s">
        <v>4854</v>
      </c>
      <c r="AN62" s="95">
        <v>0.46039999999999998</v>
      </c>
      <c r="AO62" s="103" t="s">
        <v>4854</v>
      </c>
      <c r="AP62" s="103" t="s">
        <v>4854</v>
      </c>
      <c r="AQ62" s="103" t="s">
        <v>4854</v>
      </c>
      <c r="AR62" s="103" t="s">
        <v>4854</v>
      </c>
      <c r="AS62" s="103" t="s">
        <v>4854</v>
      </c>
      <c r="AT62" s="103" t="s">
        <v>4854</v>
      </c>
      <c r="AU62" s="103" t="s">
        <v>4854</v>
      </c>
      <c r="AV62" s="95">
        <v>0.13100000000000001</v>
      </c>
      <c r="AW62" s="103" t="s">
        <v>4854</v>
      </c>
      <c r="AX62" s="103" t="s">
        <v>4854</v>
      </c>
      <c r="AY62" s="103" t="s">
        <v>4854</v>
      </c>
      <c r="AZ62" s="103" t="s">
        <v>4854</v>
      </c>
      <c r="BA62" s="103" t="s">
        <v>4854</v>
      </c>
      <c r="BB62" s="103" t="s">
        <v>4854</v>
      </c>
      <c r="BC62" s="4" t="s">
        <v>4854</v>
      </c>
      <c r="BD62" s="10">
        <v>7</v>
      </c>
      <c r="BE62" s="4" t="s">
        <v>4854</v>
      </c>
      <c r="BF62" s="4" t="s">
        <v>4854</v>
      </c>
      <c r="BG62" s="4" t="s">
        <v>4854</v>
      </c>
      <c r="BH62" s="4" t="s">
        <v>4854</v>
      </c>
      <c r="BI62" s="4" t="s">
        <v>4854</v>
      </c>
      <c r="BJ62" s="4" t="s">
        <v>4854</v>
      </c>
      <c r="BK62" s="100" t="s">
        <v>4854</v>
      </c>
      <c r="BL62" s="91">
        <v>0.97299999999999998</v>
      </c>
      <c r="BM62" s="100" t="s">
        <v>4854</v>
      </c>
      <c r="BN62" s="100" t="s">
        <v>4854</v>
      </c>
      <c r="BO62" s="100" t="s">
        <v>4854</v>
      </c>
      <c r="BP62" s="100" t="s">
        <v>4854</v>
      </c>
      <c r="BQ62" s="100" t="s">
        <v>4854</v>
      </c>
      <c r="BR62" s="100" t="s">
        <v>4854</v>
      </c>
      <c r="BS62" s="10" t="s">
        <v>4857</v>
      </c>
    </row>
    <row r="63" spans="1:71" s="30" customFormat="1" ht="17.100000000000001" customHeight="1">
      <c r="A63" s="10">
        <v>52</v>
      </c>
      <c r="B63" s="10" t="s">
        <v>4724</v>
      </c>
      <c r="C63" s="4" t="s">
        <v>4715</v>
      </c>
      <c r="D63" s="4" t="s">
        <v>4717</v>
      </c>
      <c r="E63" s="7" t="s">
        <v>4718</v>
      </c>
      <c r="F63" s="10" t="s">
        <v>4958</v>
      </c>
      <c r="G63" s="4" t="s">
        <v>4719</v>
      </c>
      <c r="H63" s="7" t="s">
        <v>4720</v>
      </c>
      <c r="I63" s="4" t="s">
        <v>4721</v>
      </c>
      <c r="J63" s="10" t="s">
        <v>4722</v>
      </c>
      <c r="K63" s="4" t="s">
        <v>5360</v>
      </c>
      <c r="L63" s="4" t="s">
        <v>4723</v>
      </c>
      <c r="M63" s="10">
        <v>3</v>
      </c>
      <c r="N63" s="95">
        <v>556.95529999999997</v>
      </c>
      <c r="O63" s="37" t="str">
        <f>HYPERLINK("http://ms.phosphosite.org:5080/cgi-bin/plot-msms.cgi?MassType=1&amp;NumAxis=1&amp;Mod7=147&amp;Mod8=170&amp;Pep=DLTDYLMKILTER&amp;Dta=/var/www/html/dta/S01/10558.15702.3.dta&amp;Global_Mod=CS57.0215", "15702")</f>
        <v>15702</v>
      </c>
      <c r="P63" s="37" t="str">
        <f>HYPERLINK("http://ms.phosphosite.org:5080/cgi-bin/plot-msms.cgi?MassType=1&amp;NumAxis=1&amp;Mod7=147&amp;Mod8=170&amp;Pep=DLTDYLMKILTER&amp;Dta=/var/www/html/dta/S01/10559.15721.3.dta&amp;Global_Mod=CS57.0215", "15721")</f>
        <v>15721</v>
      </c>
      <c r="Q63" s="37" t="str">
        <f>HYPERLINK("http://ms.phosphosite.org:5080/cgi-bin/plot-msms.cgi?MassType=1&amp;NumAxis=1&amp;Mod7=147&amp;Mod8=170&amp;Pep=DLTDYLMKILTER&amp;Dta=/var/www/html/dta/S01/10560.15727.3.dta&amp;Global_Mod=CS57.0215", "15727")</f>
        <v>15727</v>
      </c>
      <c r="R63" s="37" t="str">
        <f>HYPERLINK("http://ms.phosphosite.org:5080/cgi-bin/plot-msms.cgi?MassType=1&amp;NumAxis=1&amp;Mod7=147&amp;Mod8=170&amp;Pep=DLTDYLMKILTER&amp;Dta=/var/www/html/dta/S01/10561.15684.3.dta&amp;Global_Mod=CS57.0215", "15684")</f>
        <v>15684</v>
      </c>
      <c r="S63" s="37" t="str">
        <f>HYPERLINK("http://ms.phosphosite.org:5080/cgi-bin/plot-msms.cgi?MassType=1&amp;NumAxis=1&amp;Mod7=147&amp;Mod8=170&amp;Pep=DLTDYLMKILTER&amp;Dta=/var/www/html/dta/S01/10562.15872.3.dta&amp;Global_Mod=CS57.0215", "15872")</f>
        <v>15872</v>
      </c>
      <c r="T63" s="37" t="str">
        <f>HYPERLINK("http://ms.phosphosite.org:5080/cgi-bin/plot-msms.cgi?MassType=1&amp;NumAxis=1&amp;Mod7=147&amp;Mod8=170&amp;Pep=DLTDYLMKILTER&amp;Dta=/var/www/html/dta/S01/10563.15858.3.dta&amp;Global_Mod=CS57.0215", "15858")</f>
        <v>15858</v>
      </c>
      <c r="U63" s="37" t="str">
        <f>HYPERLINK("http://ms.phosphosite.org:5080/cgi-bin/plot-msms.cgi?MassType=1&amp;NumAxis=1&amp;Mod7=147&amp;Mod8=170&amp;Pep=DLTDYLMKILTER&amp;Dta=/var/www/html/dta/S01/10564.16428.3.dta&amp;Global_Mod=CS57.0215", "16428")</f>
        <v>16428</v>
      </c>
      <c r="V63" s="37" t="str">
        <f>HYPERLINK("http://ms.phosphosite.org:5080/cgi-bin/plot-msms.cgi?MassType=1&amp;NumAxis=1&amp;Mod7=147&amp;Mod8=170&amp;Pep=DLTDYLMKILTER&amp;Dta=/var/www/html/dta/S01/10565.16428.3.dta&amp;Global_Mod=CS57.0215", "16428")</f>
        <v>16428</v>
      </c>
      <c r="W63" s="10">
        <v>15717</v>
      </c>
      <c r="X63" s="10">
        <v>15739</v>
      </c>
      <c r="Y63" s="10">
        <v>15740</v>
      </c>
      <c r="Z63" s="10">
        <v>15691</v>
      </c>
      <c r="AA63" s="10">
        <v>15878</v>
      </c>
      <c r="AB63" s="10">
        <v>15887</v>
      </c>
      <c r="AC63" s="4" t="s">
        <v>4854</v>
      </c>
      <c r="AD63" s="10">
        <v>16419</v>
      </c>
      <c r="AE63" s="91">
        <v>2.8580000000000001</v>
      </c>
      <c r="AF63" s="91">
        <v>3.5419999999999998</v>
      </c>
      <c r="AG63" s="91">
        <v>1.978</v>
      </c>
      <c r="AH63" s="91">
        <v>3.7450000000000001</v>
      </c>
      <c r="AI63" s="91">
        <v>2.9489999999999998</v>
      </c>
      <c r="AJ63" s="91">
        <v>2.8730000000000002</v>
      </c>
      <c r="AK63" s="91">
        <v>2.1110000000000002</v>
      </c>
      <c r="AL63" s="91">
        <v>2.0950000000000002</v>
      </c>
      <c r="AM63" s="95">
        <v>9.5500000000000002E-2</v>
      </c>
      <c r="AN63" s="95">
        <v>0.72770000000000001</v>
      </c>
      <c r="AO63" s="95">
        <v>0.64729999999999999</v>
      </c>
      <c r="AP63" s="95">
        <v>0.437</v>
      </c>
      <c r="AQ63" s="95">
        <v>0.55689999999999995</v>
      </c>
      <c r="AR63" s="95">
        <v>0.28839999999999999</v>
      </c>
      <c r="AS63" s="95">
        <v>0.5</v>
      </c>
      <c r="AT63" s="95">
        <v>0.32079999999999997</v>
      </c>
      <c r="AU63" s="95">
        <v>0.26200000000000001</v>
      </c>
      <c r="AV63" s="95">
        <v>0.20399999999999999</v>
      </c>
      <c r="AW63" s="95">
        <v>0.107</v>
      </c>
      <c r="AX63" s="95">
        <v>0.20100000000000001</v>
      </c>
      <c r="AY63" s="95">
        <v>0.24399999999999999</v>
      </c>
      <c r="AZ63" s="95">
        <v>0.18</v>
      </c>
      <c r="BA63" s="95">
        <v>3.7999999999999999E-2</v>
      </c>
      <c r="BB63" s="95">
        <v>7.0999999999999994E-2</v>
      </c>
      <c r="BC63" s="10">
        <v>2</v>
      </c>
      <c r="BD63" s="10">
        <v>2</v>
      </c>
      <c r="BE63" s="10">
        <v>2</v>
      </c>
      <c r="BF63" s="10">
        <v>1</v>
      </c>
      <c r="BG63" s="10">
        <v>2</v>
      </c>
      <c r="BH63" s="10">
        <v>1</v>
      </c>
      <c r="BI63" s="10">
        <v>2</v>
      </c>
      <c r="BJ63" s="10">
        <v>3</v>
      </c>
      <c r="BK63" s="91">
        <v>0.999</v>
      </c>
      <c r="BL63" s="91">
        <v>0.999</v>
      </c>
      <c r="BM63" s="91">
        <v>0.97399999999999998</v>
      </c>
      <c r="BN63" s="91">
        <v>1</v>
      </c>
      <c r="BO63" s="91">
        <v>0.999</v>
      </c>
      <c r="BP63" s="91">
        <v>0.998</v>
      </c>
      <c r="BQ63" s="91">
        <v>0.94599999999999995</v>
      </c>
      <c r="BR63" s="91">
        <v>0.96099999999999997</v>
      </c>
      <c r="BS63" s="10" t="s">
        <v>4857</v>
      </c>
    </row>
    <row r="64" spans="1:71" s="30" customFormat="1" ht="17.100000000000001" customHeight="1">
      <c r="A64" s="14">
        <v>53</v>
      </c>
      <c r="B64" s="5" t="s">
        <v>4594</v>
      </c>
      <c r="C64" s="3" t="s">
        <v>4715</v>
      </c>
      <c r="D64" s="3" t="s">
        <v>4717</v>
      </c>
      <c r="E64" s="6" t="s">
        <v>4718</v>
      </c>
      <c r="F64" s="5" t="s">
        <v>5326</v>
      </c>
      <c r="G64" s="3" t="s">
        <v>4719</v>
      </c>
      <c r="H64" s="6" t="s">
        <v>4720</v>
      </c>
      <c r="I64" s="3" t="s">
        <v>4721</v>
      </c>
      <c r="J64" s="5" t="s">
        <v>4722</v>
      </c>
      <c r="K64" s="3" t="s">
        <v>5361</v>
      </c>
      <c r="L64" s="3" t="s">
        <v>4595</v>
      </c>
      <c r="M64" s="5">
        <v>3</v>
      </c>
      <c r="N64" s="21">
        <v>402.92380000000003</v>
      </c>
      <c r="O64" s="35" t="s">
        <v>4854</v>
      </c>
      <c r="P64" s="35" t="s">
        <v>4854</v>
      </c>
      <c r="Q64" s="36" t="str">
        <f>HYPERLINK("http://ms.phosphosite.org:5080/cgi-bin/plot-msms.cgi?MassType=1&amp;NumAxis=1&amp;Mod2=170&amp;Pep=IKIIAPPERK&amp;Dta=/var/www/html/dta/S01/10560.4364.3.dta&amp;Global_Mod=CS57.0215", "4364")</f>
        <v>4364</v>
      </c>
      <c r="R64" s="35" t="s">
        <v>4854</v>
      </c>
      <c r="S64" s="35" t="s">
        <v>4854</v>
      </c>
      <c r="T64" s="35" t="s">
        <v>4854</v>
      </c>
      <c r="U64" s="35" t="s">
        <v>4854</v>
      </c>
      <c r="V64" s="35" t="s">
        <v>4854</v>
      </c>
      <c r="W64" s="3" t="s">
        <v>4854</v>
      </c>
      <c r="X64" s="3" t="s">
        <v>4854</v>
      </c>
      <c r="Y64" s="5">
        <v>4323</v>
      </c>
      <c r="Z64" s="3" t="s">
        <v>4854</v>
      </c>
      <c r="AA64" s="3" t="s">
        <v>4854</v>
      </c>
      <c r="AB64" s="3" t="s">
        <v>4854</v>
      </c>
      <c r="AC64" s="3" t="s">
        <v>4854</v>
      </c>
      <c r="AD64" s="3" t="s">
        <v>4854</v>
      </c>
      <c r="AE64" s="99" t="s">
        <v>4854</v>
      </c>
      <c r="AF64" s="99" t="s">
        <v>4854</v>
      </c>
      <c r="AG64" s="90">
        <v>2.08</v>
      </c>
      <c r="AH64" s="99" t="s">
        <v>4854</v>
      </c>
      <c r="AI64" s="99" t="s">
        <v>4854</v>
      </c>
      <c r="AJ64" s="99" t="s">
        <v>4854</v>
      </c>
      <c r="AK64" s="99" t="s">
        <v>4854</v>
      </c>
      <c r="AL64" s="99" t="s">
        <v>4854</v>
      </c>
      <c r="AM64" s="102" t="s">
        <v>4854</v>
      </c>
      <c r="AN64" s="102" t="s">
        <v>4854</v>
      </c>
      <c r="AO64" s="21">
        <v>0.58140000000000003</v>
      </c>
      <c r="AP64" s="102" t="s">
        <v>4854</v>
      </c>
      <c r="AQ64" s="102" t="s">
        <v>4854</v>
      </c>
      <c r="AR64" s="102" t="s">
        <v>4854</v>
      </c>
      <c r="AS64" s="102" t="s">
        <v>4854</v>
      </c>
      <c r="AT64" s="102" t="s">
        <v>4854</v>
      </c>
      <c r="AU64" s="102" t="s">
        <v>4854</v>
      </c>
      <c r="AV64" s="102" t="s">
        <v>4854</v>
      </c>
      <c r="AW64" s="21">
        <v>0.111</v>
      </c>
      <c r="AX64" s="102" t="s">
        <v>4854</v>
      </c>
      <c r="AY64" s="102" t="s">
        <v>4854</v>
      </c>
      <c r="AZ64" s="102" t="s">
        <v>4854</v>
      </c>
      <c r="BA64" s="102" t="s">
        <v>4854</v>
      </c>
      <c r="BB64" s="102" t="s">
        <v>4854</v>
      </c>
      <c r="BC64" s="3" t="s">
        <v>4854</v>
      </c>
      <c r="BD64" s="3" t="s">
        <v>4854</v>
      </c>
      <c r="BE64" s="5">
        <v>2</v>
      </c>
      <c r="BF64" s="3" t="s">
        <v>4854</v>
      </c>
      <c r="BG64" s="3" t="s">
        <v>4854</v>
      </c>
      <c r="BH64" s="3" t="s">
        <v>4854</v>
      </c>
      <c r="BI64" s="3" t="s">
        <v>4854</v>
      </c>
      <c r="BJ64" s="3" t="s">
        <v>4854</v>
      </c>
      <c r="BK64" s="99" t="s">
        <v>4854</v>
      </c>
      <c r="BL64" s="99" t="s">
        <v>4854</v>
      </c>
      <c r="BM64" s="90">
        <v>0.98299999999999998</v>
      </c>
      <c r="BN64" s="99" t="s">
        <v>4854</v>
      </c>
      <c r="BO64" s="99" t="s">
        <v>4854</v>
      </c>
      <c r="BP64" s="99" t="s">
        <v>4854</v>
      </c>
      <c r="BQ64" s="99" t="s">
        <v>4854</v>
      </c>
      <c r="BR64" s="99" t="s">
        <v>4854</v>
      </c>
      <c r="BS64" s="5" t="s">
        <v>4857</v>
      </c>
    </row>
    <row r="65" spans="1:71" s="30" customFormat="1" ht="17.100000000000001" customHeight="1">
      <c r="A65" s="10">
        <v>54</v>
      </c>
      <c r="B65" s="10" t="s">
        <v>4823</v>
      </c>
      <c r="C65" s="4" t="s">
        <v>4715</v>
      </c>
      <c r="D65" s="4" t="s">
        <v>4596</v>
      </c>
      <c r="E65" s="7" t="s">
        <v>4597</v>
      </c>
      <c r="F65" s="10" t="s">
        <v>5235</v>
      </c>
      <c r="G65" s="4" t="s">
        <v>4719</v>
      </c>
      <c r="H65" s="7" t="s">
        <v>4598</v>
      </c>
      <c r="I65" s="4" t="s">
        <v>4721</v>
      </c>
      <c r="J65" s="10" t="s">
        <v>4599</v>
      </c>
      <c r="K65" s="4" t="s">
        <v>5362</v>
      </c>
      <c r="L65" s="4" t="s">
        <v>4600</v>
      </c>
      <c r="M65" s="10">
        <v>3</v>
      </c>
      <c r="N65" s="95">
        <v>882.11580000000004</v>
      </c>
      <c r="O65" s="38" t="s">
        <v>4854</v>
      </c>
      <c r="P65" s="38" t="s">
        <v>4854</v>
      </c>
      <c r="Q65" s="37" t="str">
        <f>HYPERLINK("http://ms.phosphosite.org:5080/cgi-bin/plot-msms.cgi?MassType=1&amp;NumAxis=1&amp;Mod6=170&amp;Mod20=147&amp;Pep=GILTLKYPIEHGIITNWDDMEK&amp;Dta=/var/www/html/dta/S01/10560.12381.3.dta&amp;Global_Mod=CS57.0215", "12381")</f>
        <v>12381</v>
      </c>
      <c r="R65" s="37" t="str">
        <f>HYPERLINK("http://ms.phosphosite.org:5080/cgi-bin/plot-msms.cgi?MassType=1&amp;NumAxis=1&amp;Mod6=170&amp;Mod20=147&amp;Pep=GILTLKYPIEHGIITNWDDMEK&amp;Dta=/var/www/html/dta/S01/10561.12412.3.dta&amp;Global_Mod=CS57.0215", "12412")</f>
        <v>12412</v>
      </c>
      <c r="S65" s="38" t="s">
        <v>4854</v>
      </c>
      <c r="T65" s="38" t="s">
        <v>4854</v>
      </c>
      <c r="U65" s="37" t="str">
        <f>HYPERLINK("http://ms.phosphosite.org:5080/cgi-bin/plot-msms.cgi?MassType=1&amp;NumAxis=1&amp;Mod6=170&amp;Mod20=147&amp;Pep=GILTLKYPIEHGIITNWDDMEK&amp;Dta=/var/www/html/dta/S01/10564.13071.3.dta&amp;Global_Mod=CS57.0215", "13071")</f>
        <v>13071</v>
      </c>
      <c r="V65" s="37" t="str">
        <f>HYPERLINK("http://ms.phosphosite.org:5080/cgi-bin/plot-msms.cgi?MassType=1&amp;NumAxis=1&amp;Mod6=170&amp;Mod20=147&amp;Pep=GILTLKYPIEHGIITNWDDMEK&amp;Dta=/var/www/html/dta/S01/10565.12996.3.dta&amp;Global_Mod=CS57.0215", "12996")</f>
        <v>12996</v>
      </c>
      <c r="W65" s="4" t="s">
        <v>4854</v>
      </c>
      <c r="X65" s="4" t="s">
        <v>4854</v>
      </c>
      <c r="Y65" s="10">
        <v>12385</v>
      </c>
      <c r="Z65" s="10">
        <v>12413</v>
      </c>
      <c r="AA65" s="4" t="s">
        <v>4854</v>
      </c>
      <c r="AB65" s="4" t="s">
        <v>4854</v>
      </c>
      <c r="AC65" s="4" t="s">
        <v>4854</v>
      </c>
      <c r="AD65" s="10">
        <v>13020</v>
      </c>
      <c r="AE65" s="100" t="s">
        <v>4854</v>
      </c>
      <c r="AF65" s="100" t="s">
        <v>4854</v>
      </c>
      <c r="AG65" s="91">
        <v>3.0990000000000002</v>
      </c>
      <c r="AH65" s="91">
        <v>2.7029999999999998</v>
      </c>
      <c r="AI65" s="100" t="s">
        <v>4854</v>
      </c>
      <c r="AJ65" s="100" t="s">
        <v>4854</v>
      </c>
      <c r="AK65" s="91">
        <v>2.3359999999999999</v>
      </c>
      <c r="AL65" s="91">
        <v>2.8820000000000001</v>
      </c>
      <c r="AM65" s="103" t="s">
        <v>4854</v>
      </c>
      <c r="AN65" s="103" t="s">
        <v>4854</v>
      </c>
      <c r="AO65" s="95">
        <v>0.16669999999999999</v>
      </c>
      <c r="AP65" s="95">
        <v>0.34710000000000002</v>
      </c>
      <c r="AQ65" s="103" t="s">
        <v>4854</v>
      </c>
      <c r="AR65" s="103" t="s">
        <v>4854</v>
      </c>
      <c r="AS65" s="95">
        <v>0.2321</v>
      </c>
      <c r="AT65" s="95">
        <v>1.6199999999999999E-2</v>
      </c>
      <c r="AU65" s="103" t="s">
        <v>4854</v>
      </c>
      <c r="AV65" s="103" t="s">
        <v>4854</v>
      </c>
      <c r="AW65" s="95">
        <v>0.32600000000000001</v>
      </c>
      <c r="AX65" s="95">
        <v>0.185</v>
      </c>
      <c r="AY65" s="103" t="s">
        <v>4854</v>
      </c>
      <c r="AZ65" s="103" t="s">
        <v>4854</v>
      </c>
      <c r="BA65" s="95">
        <v>5.8000000000000003E-2</v>
      </c>
      <c r="BB65" s="95">
        <v>0.16400000000000001</v>
      </c>
      <c r="BC65" s="4" t="s">
        <v>4854</v>
      </c>
      <c r="BD65" s="4" t="s">
        <v>4854</v>
      </c>
      <c r="BE65" s="10">
        <v>1</v>
      </c>
      <c r="BF65" s="10">
        <v>1</v>
      </c>
      <c r="BG65" s="4" t="s">
        <v>4854</v>
      </c>
      <c r="BH65" s="4" t="s">
        <v>4854</v>
      </c>
      <c r="BI65" s="10">
        <v>6</v>
      </c>
      <c r="BJ65" s="10">
        <v>1</v>
      </c>
      <c r="BK65" s="100" t="s">
        <v>4854</v>
      </c>
      <c r="BL65" s="100" t="s">
        <v>4854</v>
      </c>
      <c r="BM65" s="91">
        <v>1</v>
      </c>
      <c r="BN65" s="91">
        <v>0.997</v>
      </c>
      <c r="BO65" s="100" t="s">
        <v>4854</v>
      </c>
      <c r="BP65" s="100" t="s">
        <v>4854</v>
      </c>
      <c r="BQ65" s="91">
        <v>0.94499999999999995</v>
      </c>
      <c r="BR65" s="91">
        <v>0.996</v>
      </c>
      <c r="BS65" s="10" t="s">
        <v>4857</v>
      </c>
    </row>
    <row r="66" spans="1:71" s="30" customFormat="1" ht="17.100000000000001" customHeight="1">
      <c r="A66" s="14">
        <v>55</v>
      </c>
      <c r="B66" s="5" t="s">
        <v>4601</v>
      </c>
      <c r="C66" s="3" t="s">
        <v>4715</v>
      </c>
      <c r="D66" s="3" t="s">
        <v>4602</v>
      </c>
      <c r="E66" s="3" t="s">
        <v>4603</v>
      </c>
      <c r="F66" s="5" t="s">
        <v>5029</v>
      </c>
      <c r="G66" s="3" t="s">
        <v>4604</v>
      </c>
      <c r="H66" s="6" t="s">
        <v>4605</v>
      </c>
      <c r="I66" s="3" t="s">
        <v>4606</v>
      </c>
      <c r="J66" s="5" t="s">
        <v>4594</v>
      </c>
      <c r="K66" s="3" t="s">
        <v>5363</v>
      </c>
      <c r="L66" s="3" t="s">
        <v>4607</v>
      </c>
      <c r="M66" s="5">
        <v>2</v>
      </c>
      <c r="N66" s="21">
        <v>508.2928</v>
      </c>
      <c r="O66" s="36" t="str">
        <f>HYPERLINK("http://ms.phosphosite.org:5080/cgi-bin/plot-msms.cgi?MassType=1&amp;NumAxis=1&amp;Mod6=170&amp;Pep=IVEDIKTR&amp;Dta=/var/www/html/dta/S01/10558.4261.2.dta&amp;Global_Mod=CS57.0215", "4261")</f>
        <v>4261</v>
      </c>
      <c r="P66" s="36" t="str">
        <f>HYPERLINK("http://ms.phosphosite.org:5080/cgi-bin/plot-msms.cgi?MassType=1&amp;NumAxis=1&amp;Mod6=170&amp;Pep=IVEDIKTR&amp;Dta=/var/www/html/dta/S01/10559.4210.2.dta&amp;Global_Mod=CS57.0215", "4210")</f>
        <v>4210</v>
      </c>
      <c r="Q66" s="36" t="str">
        <f>HYPERLINK("http://ms.phosphosite.org:5080/cgi-bin/plot-msms.cgi?MassType=1&amp;NumAxis=1&amp;Mod6=170&amp;Pep=IVEDIKTR&amp;Dta=/var/www/html/dta/S01/10560.4184.2.dta&amp;Global_Mod=CS57.0215", "4184")</f>
        <v>4184</v>
      </c>
      <c r="R66" s="36" t="str">
        <f>HYPERLINK("http://ms.phosphosite.org:5080/cgi-bin/plot-msms.cgi?MassType=1&amp;NumAxis=1&amp;Mod6=170&amp;Pep=IVEDIKTR&amp;Dta=/var/www/html/dta/S01/10561.4213.2.dta&amp;Global_Mod=CS57.0215", "4213")</f>
        <v>4213</v>
      </c>
      <c r="S66" s="36" t="str">
        <f>HYPERLINK("http://ms.phosphosite.org:5080/cgi-bin/plot-msms.cgi?MassType=1&amp;NumAxis=1&amp;Mod6=170&amp;Pep=IVEDIKTR&amp;Dta=/var/www/html/dta/S01/10562.4328.2.dta&amp;Global_Mod=CS57.0215", "4328")</f>
        <v>4328</v>
      </c>
      <c r="T66" s="36" t="str">
        <f>HYPERLINK("http://ms.phosphosite.org:5080/cgi-bin/plot-msms.cgi?MassType=1&amp;NumAxis=1&amp;Mod6=170&amp;Pep=IVEDIKTR&amp;Dta=/var/www/html/dta/S01/10563.4252.2.dta&amp;Global_Mod=CS57.0215", "4252")</f>
        <v>4252</v>
      </c>
      <c r="U66" s="36" t="str">
        <f>HYPERLINK("http://ms.phosphosite.org:5080/cgi-bin/plot-msms.cgi?MassType=1&amp;NumAxis=1&amp;Mod6=170&amp;Pep=IVEDIKTR&amp;Dta=/var/www/html/dta/S01/10564.4598.2.dta&amp;Global_Mod=CS57.0215", "4598")</f>
        <v>4598</v>
      </c>
      <c r="V66" s="36" t="str">
        <f>HYPERLINK("http://ms.phosphosite.org:5080/cgi-bin/plot-msms.cgi?MassType=1&amp;NumAxis=1&amp;Mod6=170&amp;Pep=IVEDIKTR&amp;Dta=/var/www/html/dta/S01/10565.4687.2.dta&amp;Global_Mod=CS57.0215", "4687")</f>
        <v>4687</v>
      </c>
      <c r="W66" s="3" t="s">
        <v>4854</v>
      </c>
      <c r="X66" s="3" t="s">
        <v>4854</v>
      </c>
      <c r="Y66" s="3" t="s">
        <v>4854</v>
      </c>
      <c r="Z66" s="3" t="s">
        <v>4854</v>
      </c>
      <c r="AA66" s="3" t="s">
        <v>4854</v>
      </c>
      <c r="AB66" s="3" t="s">
        <v>4854</v>
      </c>
      <c r="AC66" s="3" t="s">
        <v>4854</v>
      </c>
      <c r="AD66" s="3" t="s">
        <v>4854</v>
      </c>
      <c r="AE66" s="90">
        <v>2.129</v>
      </c>
      <c r="AF66" s="90">
        <v>2.7410000000000001</v>
      </c>
      <c r="AG66" s="90">
        <v>1.9930000000000001</v>
      </c>
      <c r="AH66" s="90">
        <v>2.2429999999999999</v>
      </c>
      <c r="AI66" s="90">
        <v>2.1720000000000002</v>
      </c>
      <c r="AJ66" s="90">
        <v>2.4329999999999998</v>
      </c>
      <c r="AK66" s="90">
        <v>2.6059999999999999</v>
      </c>
      <c r="AL66" s="90">
        <v>2.2599999999999998</v>
      </c>
      <c r="AM66" s="21">
        <v>-5.2499999999999998E-2</v>
      </c>
      <c r="AN66" s="21">
        <v>-9.1899999999999996E-2</v>
      </c>
      <c r="AO66" s="21">
        <v>0.1149</v>
      </c>
      <c r="AP66" s="21">
        <v>0.32069999999999999</v>
      </c>
      <c r="AQ66" s="21">
        <v>0.109</v>
      </c>
      <c r="AR66" s="21">
        <v>0.18179999999999999</v>
      </c>
      <c r="AS66" s="21">
        <v>-0.1234</v>
      </c>
      <c r="AT66" s="21">
        <v>-0.38729999999999998</v>
      </c>
      <c r="AU66" s="21">
        <v>9.1999999999999998E-2</v>
      </c>
      <c r="AV66" s="21">
        <v>6.8000000000000005E-2</v>
      </c>
      <c r="AW66" s="21">
        <v>7.9000000000000001E-2</v>
      </c>
      <c r="AX66" s="21">
        <v>6.7000000000000004E-2</v>
      </c>
      <c r="AY66" s="21">
        <v>7.0999999999999994E-2</v>
      </c>
      <c r="AZ66" s="21">
        <v>9.4E-2</v>
      </c>
      <c r="BA66" s="21">
        <v>6.6000000000000003E-2</v>
      </c>
      <c r="BB66" s="21">
        <v>2.4E-2</v>
      </c>
      <c r="BC66" s="5">
        <v>1</v>
      </c>
      <c r="BD66" s="5">
        <v>1</v>
      </c>
      <c r="BE66" s="5">
        <v>1</v>
      </c>
      <c r="BF66" s="5">
        <v>1</v>
      </c>
      <c r="BG66" s="5">
        <v>1</v>
      </c>
      <c r="BH66" s="5">
        <v>1</v>
      </c>
      <c r="BI66" s="5">
        <v>1</v>
      </c>
      <c r="BJ66" s="5">
        <v>1</v>
      </c>
      <c r="BK66" s="90">
        <v>0.41599999999999998</v>
      </c>
      <c r="BL66" s="90">
        <v>0.67900000000000005</v>
      </c>
      <c r="BM66" s="90">
        <v>0.29699999999999999</v>
      </c>
      <c r="BN66" s="90">
        <v>0.41299999999999998</v>
      </c>
      <c r="BO66" s="90">
        <v>0.38200000000000001</v>
      </c>
      <c r="BP66" s="90">
        <v>0.60199999999999998</v>
      </c>
      <c r="BQ66" s="90">
        <v>0.61199999999999999</v>
      </c>
      <c r="BR66" s="90">
        <v>0.30399999999999999</v>
      </c>
      <c r="BS66" s="5" t="s">
        <v>4857</v>
      </c>
    </row>
    <row r="67" spans="1:71" s="30" customFormat="1" ht="17.100000000000001" customHeight="1">
      <c r="A67" s="10">
        <v>56</v>
      </c>
      <c r="B67" s="10" t="s">
        <v>4608</v>
      </c>
      <c r="C67" s="4" t="s">
        <v>4715</v>
      </c>
      <c r="D67" s="4" t="s">
        <v>4609</v>
      </c>
      <c r="E67" s="7" t="s">
        <v>4610</v>
      </c>
      <c r="F67" s="10" t="s">
        <v>5063</v>
      </c>
      <c r="G67" s="4" t="s">
        <v>4611</v>
      </c>
      <c r="H67" s="7" t="s">
        <v>4612</v>
      </c>
      <c r="I67" s="4" t="s">
        <v>4613</v>
      </c>
      <c r="J67" s="10" t="s">
        <v>4716</v>
      </c>
      <c r="K67" s="4" t="s">
        <v>5364</v>
      </c>
      <c r="L67" s="4" t="s">
        <v>4614</v>
      </c>
      <c r="M67" s="10">
        <v>2</v>
      </c>
      <c r="N67" s="95">
        <v>673.29899999999998</v>
      </c>
      <c r="O67" s="37" t="str">
        <f>HYPERLINK("http://ms.phosphosite.org:5080/cgi-bin/plot-msms.cgi?MassType=1&amp;NumAxis=1&amp;Mod4=170&amp;Pep=EFNKYDTDGSK&amp;Dta=/var/www/html/dta/S01/10558.3664.2.dta&amp;Global_Mod=CS57.0215", "3664")</f>
        <v>3664</v>
      </c>
      <c r="P67" s="37" t="str">
        <f>HYPERLINK("http://ms.phosphosite.org:5080/cgi-bin/plot-msms.cgi?MassType=1&amp;NumAxis=1&amp;Mod4=170&amp;Pep=EFNKYDTDGSK&amp;Dta=/var/www/html/dta/S01/10559.3582.2.dta&amp;Global_Mod=CS57.0215", "3582")</f>
        <v>3582</v>
      </c>
      <c r="Q67" s="37" t="str">
        <f>HYPERLINK("http://ms.phosphosite.org:5080/cgi-bin/plot-msms.cgi?MassType=1&amp;NumAxis=1&amp;Mod4=170&amp;Pep=EFNKYDTDGSK&amp;Dta=/var/www/html/dta/S01/10560.3574.2.dta&amp;Global_Mod=CS57.0215", "3574")</f>
        <v>3574</v>
      </c>
      <c r="R67" s="37" t="str">
        <f>HYPERLINK("http://ms.phosphosite.org:5080/cgi-bin/plot-msms.cgi?MassType=1&amp;NumAxis=1&amp;Mod4=170&amp;Pep=EFNKYDTDGSK&amp;Dta=/var/www/html/dta/S01/10561.3585.2.dta&amp;Global_Mod=CS57.0215", "3585")</f>
        <v>3585</v>
      </c>
      <c r="S67" s="37" t="str">
        <f>HYPERLINK("http://ms.phosphosite.org:5080/cgi-bin/plot-msms.cgi?MassType=1&amp;NumAxis=1&amp;Mod4=170&amp;Pep=EFNKYDTDGSK&amp;Dta=/var/www/html/dta/S01/10562.3689.2.dta&amp;Global_Mod=CS57.0215", "3689")</f>
        <v>3689</v>
      </c>
      <c r="T67" s="37" t="str">
        <f>HYPERLINK("http://ms.phosphosite.org:5080/cgi-bin/plot-msms.cgi?MassType=1&amp;NumAxis=1&amp;Mod4=170&amp;Pep=EFNKYDTDGSK&amp;Dta=/var/www/html/dta/S01/10563.3602.2.dta&amp;Global_Mod=CS57.0215", "3602")</f>
        <v>3602</v>
      </c>
      <c r="U67" s="37" t="str">
        <f>HYPERLINK("http://ms.phosphosite.org:5080/cgi-bin/plot-msms.cgi?MassType=1&amp;NumAxis=1&amp;Mod4=170&amp;Pep=EFNKYDTDGSK&amp;Dta=/var/www/html/dta/S01/10564.3971.2.dta&amp;Global_Mod=CS57.0215", "3971")</f>
        <v>3971</v>
      </c>
      <c r="V67" s="37" t="str">
        <f>HYPERLINK("http://ms.phosphosite.org:5080/cgi-bin/plot-msms.cgi?MassType=1&amp;NumAxis=1&amp;Mod4=170&amp;Pep=EFNKYDTDGSK&amp;Dta=/var/www/html/dta/S01/10565.4067.2.dta&amp;Global_Mod=CS57.0215", "4067")</f>
        <v>4067</v>
      </c>
      <c r="W67" s="10">
        <v>3671</v>
      </c>
      <c r="X67" s="10">
        <v>3585</v>
      </c>
      <c r="Y67" s="10">
        <v>3580</v>
      </c>
      <c r="Z67" s="10">
        <v>3588</v>
      </c>
      <c r="AA67" s="10">
        <v>3697</v>
      </c>
      <c r="AB67" s="10">
        <v>3626</v>
      </c>
      <c r="AC67" s="10">
        <v>3988</v>
      </c>
      <c r="AD67" s="10">
        <v>4070</v>
      </c>
      <c r="AE67" s="91">
        <v>2.5579999999999998</v>
      </c>
      <c r="AF67" s="91">
        <v>2.6949999999999998</v>
      </c>
      <c r="AG67" s="91">
        <v>2.8839999999999999</v>
      </c>
      <c r="AH67" s="91">
        <v>2.9990000000000001</v>
      </c>
      <c r="AI67" s="91">
        <v>2.5390000000000001</v>
      </c>
      <c r="AJ67" s="91">
        <v>2.3149999999999999</v>
      </c>
      <c r="AK67" s="91">
        <v>2.4460000000000002</v>
      </c>
      <c r="AL67" s="91">
        <v>2.5569999999999999</v>
      </c>
      <c r="AM67" s="95">
        <v>0.20319999999999999</v>
      </c>
      <c r="AN67" s="95">
        <v>8.2100000000000006E-2</v>
      </c>
      <c r="AO67" s="95">
        <v>0.25750000000000001</v>
      </c>
      <c r="AP67" s="95">
        <v>0.4299</v>
      </c>
      <c r="AQ67" s="95">
        <v>0.39500000000000002</v>
      </c>
      <c r="AR67" s="95">
        <v>0.45150000000000001</v>
      </c>
      <c r="AS67" s="95">
        <v>0.34670000000000001</v>
      </c>
      <c r="AT67" s="95">
        <v>-0.1022</v>
      </c>
      <c r="AU67" s="95">
        <v>0.36599999999999999</v>
      </c>
      <c r="AV67" s="95">
        <v>0.41799999999999998</v>
      </c>
      <c r="AW67" s="95">
        <v>0.41299999999999998</v>
      </c>
      <c r="AX67" s="95">
        <v>0.48</v>
      </c>
      <c r="AY67" s="95">
        <v>0.38300000000000001</v>
      </c>
      <c r="AZ67" s="95">
        <v>0.441</v>
      </c>
      <c r="BA67" s="95">
        <v>0.42599999999999999</v>
      </c>
      <c r="BB67" s="95">
        <v>0.40400000000000003</v>
      </c>
      <c r="BC67" s="10">
        <v>1</v>
      </c>
      <c r="BD67" s="10">
        <v>1</v>
      </c>
      <c r="BE67" s="10">
        <v>1</v>
      </c>
      <c r="BF67" s="10">
        <v>1</v>
      </c>
      <c r="BG67" s="10">
        <v>1</v>
      </c>
      <c r="BH67" s="10">
        <v>1</v>
      </c>
      <c r="BI67" s="10">
        <v>1</v>
      </c>
      <c r="BJ67" s="10">
        <v>1</v>
      </c>
      <c r="BK67" s="91">
        <v>1</v>
      </c>
      <c r="BL67" s="91">
        <v>1</v>
      </c>
      <c r="BM67" s="91">
        <v>1</v>
      </c>
      <c r="BN67" s="91">
        <v>1</v>
      </c>
      <c r="BO67" s="91">
        <v>1</v>
      </c>
      <c r="BP67" s="91">
        <v>1</v>
      </c>
      <c r="BQ67" s="91">
        <v>1</v>
      </c>
      <c r="BR67" s="91">
        <v>1</v>
      </c>
      <c r="BS67" s="10" t="s">
        <v>4857</v>
      </c>
    </row>
    <row r="68" spans="1:71" s="30" customFormat="1" ht="17.100000000000001" customHeight="1">
      <c r="A68" s="14">
        <v>57</v>
      </c>
      <c r="B68" s="5" t="s">
        <v>4845</v>
      </c>
      <c r="C68" s="3" t="s">
        <v>4715</v>
      </c>
      <c r="D68" s="3" t="s">
        <v>4615</v>
      </c>
      <c r="E68" s="6" t="s">
        <v>4616</v>
      </c>
      <c r="F68" s="5" t="s">
        <v>5120</v>
      </c>
      <c r="G68" s="3" t="s">
        <v>4617</v>
      </c>
      <c r="H68" s="6" t="s">
        <v>4618</v>
      </c>
      <c r="I68" s="3" t="s">
        <v>4619</v>
      </c>
      <c r="J68" s="5" t="s">
        <v>4697</v>
      </c>
      <c r="K68" s="3" t="s">
        <v>5365</v>
      </c>
      <c r="L68" s="3" t="s">
        <v>4620</v>
      </c>
      <c r="M68" s="5">
        <v>2</v>
      </c>
      <c r="N68" s="21">
        <v>722.87189999999998</v>
      </c>
      <c r="O68" s="36" t="str">
        <f>HYPERLINK("http://ms.phosphosite.org:5080/cgi-bin/plot-msms.cgi?MassType=1&amp;NumAxis=1&amp;Mod3=160&amp;Mod7=170&amp;Pep=SVCHLQKVFER&amp;Dta=/var/www/html/dta/S01/10558.5671.2.dta&amp;Global_Mod=CS57.0215", "5671")</f>
        <v>5671</v>
      </c>
      <c r="P68" s="36" t="str">
        <f>HYPERLINK("http://ms.phosphosite.org:5080/cgi-bin/plot-msms.cgi?MassType=1&amp;NumAxis=1&amp;Mod3=160&amp;Mod7=170&amp;Pep=SVCHLQKVFER&amp;Dta=/var/www/html/dta/S01/10559.5608.2.dta&amp;Global_Mod=CS57.0215", "5608")</f>
        <v>5608</v>
      </c>
      <c r="Q68" s="36" t="str">
        <f>HYPERLINK("http://ms.phosphosite.org:5080/cgi-bin/plot-msms.cgi?MassType=1&amp;NumAxis=1&amp;Mod3=160&amp;Mod7=170&amp;Pep=SVCHLQKVFER&amp;Dta=/var/www/html/dta/S01/10560.5505.2.dta&amp;Global_Mod=CS57.0215", "5505")</f>
        <v>5505</v>
      </c>
      <c r="R68" s="36" t="str">
        <f>HYPERLINK("http://ms.phosphosite.org:5080/cgi-bin/plot-msms.cgi?MassType=1&amp;NumAxis=1&amp;Mod3=160&amp;Mod7=170&amp;Pep=SVCHLQKVFER&amp;Dta=/var/www/html/dta/S01/10561.5560.2.dta&amp;Global_Mod=CS57.0215", "5560")</f>
        <v>5560</v>
      </c>
      <c r="S68" s="36" t="str">
        <f>HYPERLINK("http://ms.phosphosite.org:5080/cgi-bin/plot-msms.cgi?MassType=1&amp;NumAxis=1&amp;Mod3=160&amp;Mod7=170&amp;Pep=SVCHLQKVFER&amp;Dta=/var/www/html/dta/S01/10562.5641.2.dta&amp;Global_Mod=CS57.0215", "5641")</f>
        <v>5641</v>
      </c>
      <c r="T68" s="36" t="str">
        <f>HYPERLINK("http://ms.phosphosite.org:5080/cgi-bin/plot-msms.cgi?MassType=1&amp;NumAxis=1&amp;Mod3=160&amp;Mod7=170&amp;Pep=SVCHLQKVFER&amp;Dta=/var/www/html/dta/S01/10563.5605.2.dta&amp;Global_Mod=CS57.0215", "5605")</f>
        <v>5605</v>
      </c>
      <c r="U68" s="36" t="str">
        <f>HYPERLINK("http://ms.phosphosite.org:5080/cgi-bin/plot-msms.cgi?MassType=1&amp;NumAxis=1&amp;Mod3=160&amp;Mod7=170&amp;Pep=SVCHLQKVFER&amp;Dta=/var/www/html/dta/S01/10564.5955.2.dta&amp;Global_Mod=CS57.0215", "5955")</f>
        <v>5955</v>
      </c>
      <c r="V68" s="36" t="str">
        <f>HYPERLINK("http://ms.phosphosite.org:5080/cgi-bin/plot-msms.cgi?MassType=1&amp;NumAxis=1&amp;Mod3=160&amp;Mod7=170&amp;Pep=SVCHLQKVFER&amp;Dta=/var/www/html/dta/S01/10565.6059.2.dta&amp;Global_Mod=CS57.0215", "6059")</f>
        <v>6059</v>
      </c>
      <c r="W68" s="5">
        <v>5635</v>
      </c>
      <c r="X68" s="5">
        <v>5568</v>
      </c>
      <c r="Y68" s="5">
        <v>5552</v>
      </c>
      <c r="Z68" s="5">
        <v>5601</v>
      </c>
      <c r="AA68" s="5">
        <v>5677</v>
      </c>
      <c r="AB68" s="5">
        <v>5650</v>
      </c>
      <c r="AC68" s="5">
        <v>5990</v>
      </c>
      <c r="AD68" s="5">
        <v>6097</v>
      </c>
      <c r="AE68" s="90">
        <v>3.218</v>
      </c>
      <c r="AF68" s="90">
        <v>3.4390000000000001</v>
      </c>
      <c r="AG68" s="90">
        <v>3.2879999999999998</v>
      </c>
      <c r="AH68" s="90">
        <v>3.496</v>
      </c>
      <c r="AI68" s="90">
        <v>2.794</v>
      </c>
      <c r="AJ68" s="90">
        <v>3.2440000000000002</v>
      </c>
      <c r="AK68" s="90">
        <v>3.3420000000000001</v>
      </c>
      <c r="AL68" s="90">
        <v>3.1219999999999999</v>
      </c>
      <c r="AM68" s="21">
        <v>0.3145</v>
      </c>
      <c r="AN68" s="21">
        <v>0.23899999999999999</v>
      </c>
      <c r="AO68" s="21">
        <v>0.49099999999999999</v>
      </c>
      <c r="AP68" s="21">
        <v>0.49790000000000001</v>
      </c>
      <c r="AQ68" s="21">
        <v>0.50900000000000001</v>
      </c>
      <c r="AR68" s="21">
        <v>0.28610000000000002</v>
      </c>
      <c r="AS68" s="21">
        <v>0.25629999999999997</v>
      </c>
      <c r="AT68" s="21">
        <v>0.1124</v>
      </c>
      <c r="AU68" s="21">
        <v>0.39600000000000002</v>
      </c>
      <c r="AV68" s="21">
        <v>0.48499999999999999</v>
      </c>
      <c r="AW68" s="21">
        <v>0.36599999999999999</v>
      </c>
      <c r="AX68" s="21">
        <v>0.44500000000000001</v>
      </c>
      <c r="AY68" s="21">
        <v>0.318</v>
      </c>
      <c r="AZ68" s="21">
        <v>0.39700000000000002</v>
      </c>
      <c r="BA68" s="21">
        <v>0.38500000000000001</v>
      </c>
      <c r="BB68" s="21">
        <v>0.32600000000000001</v>
      </c>
      <c r="BC68" s="5">
        <v>1</v>
      </c>
      <c r="BD68" s="5">
        <v>1</v>
      </c>
      <c r="BE68" s="5">
        <v>1</v>
      </c>
      <c r="BF68" s="5">
        <v>1</v>
      </c>
      <c r="BG68" s="5">
        <v>1</v>
      </c>
      <c r="BH68" s="5">
        <v>1</v>
      </c>
      <c r="BI68" s="5">
        <v>1</v>
      </c>
      <c r="BJ68" s="5">
        <v>1</v>
      </c>
      <c r="BK68" s="90">
        <v>1</v>
      </c>
      <c r="BL68" s="90">
        <v>1</v>
      </c>
      <c r="BM68" s="90">
        <v>1</v>
      </c>
      <c r="BN68" s="90">
        <v>1</v>
      </c>
      <c r="BO68" s="90">
        <v>1</v>
      </c>
      <c r="BP68" s="90">
        <v>1</v>
      </c>
      <c r="BQ68" s="90">
        <v>1</v>
      </c>
      <c r="BR68" s="90">
        <v>1</v>
      </c>
      <c r="BS68" s="5" t="s">
        <v>4857</v>
      </c>
    </row>
    <row r="69" spans="1:71" s="30" customFormat="1" ht="17.100000000000001" customHeight="1">
      <c r="A69" s="14">
        <v>58</v>
      </c>
      <c r="B69" s="5" t="s">
        <v>4621</v>
      </c>
      <c r="C69" s="3" t="s">
        <v>4715</v>
      </c>
      <c r="D69" s="3" t="s">
        <v>4615</v>
      </c>
      <c r="E69" s="6" t="s">
        <v>4616</v>
      </c>
      <c r="F69" s="5" t="s">
        <v>5120</v>
      </c>
      <c r="G69" s="3" t="s">
        <v>4617</v>
      </c>
      <c r="H69" s="6" t="s">
        <v>4618</v>
      </c>
      <c r="I69" s="3" t="s">
        <v>4619</v>
      </c>
      <c r="J69" s="5" t="s">
        <v>4697</v>
      </c>
      <c r="K69" s="3" t="s">
        <v>5365</v>
      </c>
      <c r="L69" s="3" t="s">
        <v>4620</v>
      </c>
      <c r="M69" s="5">
        <v>2</v>
      </c>
      <c r="N69" s="21">
        <v>722.87189999999998</v>
      </c>
      <c r="O69" s="36" t="str">
        <f>HYPERLINK("http://ms.phosphosite.org:5080/cgi-bin/plot-msms.cgi?MassType=1&amp;NumAxis=1&amp;Mod3=160&amp;Mod7=170&amp;Pep=SVCHLQKVFER&amp;Dta=/var/www/html/dta/S01/10558.5587.2.dta&amp;Global_Mod=CS57.0215", "5587")</f>
        <v>5587</v>
      </c>
      <c r="P69" s="36" t="str">
        <f>HYPERLINK("http://ms.phosphosite.org:5080/cgi-bin/plot-msms.cgi?MassType=1&amp;NumAxis=1&amp;Mod3=160&amp;Mod7=170&amp;Pep=SVCHLQKVFER&amp;Dta=/var/www/html/dta/S01/10559.5522.2.dta&amp;Global_Mod=CS57.0215", "5522")</f>
        <v>5522</v>
      </c>
      <c r="Q69" s="36" t="str">
        <f>HYPERLINK("http://ms.phosphosite.org:5080/cgi-bin/plot-msms.cgi?MassType=1&amp;NumAxis=1&amp;Mod3=160&amp;Mod7=170&amp;Pep=SVCHLQKVFER&amp;Dta=/var/www/html/dta/S01/10560.5588.2.dta&amp;Global_Mod=CS57.0215", "5588")</f>
        <v>5588</v>
      </c>
      <c r="R69" s="35" t="s">
        <v>4854</v>
      </c>
      <c r="S69" s="35" t="s">
        <v>4854</v>
      </c>
      <c r="T69" s="35" t="s">
        <v>4854</v>
      </c>
      <c r="U69" s="35" t="s">
        <v>4854</v>
      </c>
      <c r="V69" s="35" t="s">
        <v>4854</v>
      </c>
      <c r="W69" s="5">
        <v>5635</v>
      </c>
      <c r="X69" s="5">
        <v>5568</v>
      </c>
      <c r="Y69" s="5">
        <v>5552</v>
      </c>
      <c r="Z69" s="3" t="s">
        <v>4854</v>
      </c>
      <c r="AA69" s="3" t="s">
        <v>4854</v>
      </c>
      <c r="AB69" s="3" t="s">
        <v>4854</v>
      </c>
      <c r="AC69" s="3" t="s">
        <v>4854</v>
      </c>
      <c r="AD69" s="3" t="s">
        <v>4854</v>
      </c>
      <c r="AE69" s="90">
        <v>3.1949999999999998</v>
      </c>
      <c r="AF69" s="90">
        <v>3.4049999999999998</v>
      </c>
      <c r="AG69" s="90">
        <v>3.2029999999999998</v>
      </c>
      <c r="AH69" s="99" t="s">
        <v>4854</v>
      </c>
      <c r="AI69" s="99" t="s">
        <v>4854</v>
      </c>
      <c r="AJ69" s="99" t="s">
        <v>4854</v>
      </c>
      <c r="AK69" s="99" t="s">
        <v>4854</v>
      </c>
      <c r="AL69" s="99" t="s">
        <v>4854</v>
      </c>
      <c r="AM69" s="21">
        <v>0.4501</v>
      </c>
      <c r="AN69" s="21">
        <v>0.36499999999999999</v>
      </c>
      <c r="AO69" s="21">
        <v>0.33110000000000001</v>
      </c>
      <c r="AP69" s="102" t="s">
        <v>4854</v>
      </c>
      <c r="AQ69" s="102" t="s">
        <v>4854</v>
      </c>
      <c r="AR69" s="102" t="s">
        <v>4854</v>
      </c>
      <c r="AS69" s="102" t="s">
        <v>4854</v>
      </c>
      <c r="AT69" s="102" t="s">
        <v>4854</v>
      </c>
      <c r="AU69" s="21">
        <v>0.44500000000000001</v>
      </c>
      <c r="AV69" s="21">
        <v>0.41899999999999998</v>
      </c>
      <c r="AW69" s="21">
        <v>0.36499999999999999</v>
      </c>
      <c r="AX69" s="102" t="s">
        <v>4854</v>
      </c>
      <c r="AY69" s="102" t="s">
        <v>4854</v>
      </c>
      <c r="AZ69" s="102" t="s">
        <v>4854</v>
      </c>
      <c r="BA69" s="102" t="s">
        <v>4854</v>
      </c>
      <c r="BB69" s="102" t="s">
        <v>4854</v>
      </c>
      <c r="BC69" s="5">
        <v>1</v>
      </c>
      <c r="BD69" s="5">
        <v>1</v>
      </c>
      <c r="BE69" s="5">
        <v>1</v>
      </c>
      <c r="BF69" s="3" t="s">
        <v>4854</v>
      </c>
      <c r="BG69" s="3" t="s">
        <v>4854</v>
      </c>
      <c r="BH69" s="3" t="s">
        <v>4854</v>
      </c>
      <c r="BI69" s="3" t="s">
        <v>4854</v>
      </c>
      <c r="BJ69" s="3" t="s">
        <v>4854</v>
      </c>
      <c r="BK69" s="90">
        <v>1</v>
      </c>
      <c r="BL69" s="90">
        <v>1</v>
      </c>
      <c r="BM69" s="90">
        <v>1</v>
      </c>
      <c r="BN69" s="99" t="s">
        <v>4854</v>
      </c>
      <c r="BO69" s="99" t="s">
        <v>4854</v>
      </c>
      <c r="BP69" s="99" t="s">
        <v>4854</v>
      </c>
      <c r="BQ69" s="99" t="s">
        <v>4854</v>
      </c>
      <c r="BR69" s="99" t="s">
        <v>4854</v>
      </c>
      <c r="BS69" s="5" t="s">
        <v>4857</v>
      </c>
    </row>
    <row r="70" spans="1:71" s="30" customFormat="1" ht="17.100000000000001" customHeight="1">
      <c r="A70" s="14">
        <v>59</v>
      </c>
      <c r="B70" s="5" t="s">
        <v>4622</v>
      </c>
      <c r="C70" s="3" t="s">
        <v>4715</v>
      </c>
      <c r="D70" s="3" t="s">
        <v>4615</v>
      </c>
      <c r="E70" s="6" t="s">
        <v>4616</v>
      </c>
      <c r="F70" s="5" t="s">
        <v>5120</v>
      </c>
      <c r="G70" s="3" t="s">
        <v>4617</v>
      </c>
      <c r="H70" s="6" t="s">
        <v>4618</v>
      </c>
      <c r="I70" s="3" t="s">
        <v>4619</v>
      </c>
      <c r="J70" s="5" t="s">
        <v>4697</v>
      </c>
      <c r="K70" s="3" t="s">
        <v>5365</v>
      </c>
      <c r="L70" s="3" t="s">
        <v>4620</v>
      </c>
      <c r="M70" s="5">
        <v>3</v>
      </c>
      <c r="N70" s="21">
        <v>482.25040000000001</v>
      </c>
      <c r="O70" s="36" t="str">
        <f>HYPERLINK("http://ms.phosphosite.org:5080/cgi-bin/plot-msms.cgi?MassType=1&amp;NumAxis=1&amp;Mod3=160&amp;Mod7=170&amp;Pep=SVCHLQKVFER&amp;Dta=/var/www/html/dta/S01/10558.5647.3.dta&amp;Global_Mod=CS57.0215", "5647")</f>
        <v>5647</v>
      </c>
      <c r="P70" s="36" t="str">
        <f>HYPERLINK("http://ms.phosphosite.org:5080/cgi-bin/plot-msms.cgi?MassType=1&amp;NumAxis=1&amp;Mod3=160&amp;Mod7=170&amp;Pep=SVCHLQKVFER&amp;Dta=/var/www/html/dta/S01/10559.5580.3.dta&amp;Global_Mod=CS57.0215", "5580")</f>
        <v>5580</v>
      </c>
      <c r="Q70" s="36" t="str">
        <f>HYPERLINK("http://ms.phosphosite.org:5080/cgi-bin/plot-msms.cgi?MassType=1&amp;NumAxis=1&amp;Mod3=160&amp;Mod7=170&amp;Pep=SVCHLQKVFER&amp;Dta=/var/www/html/dta/S01/10560.5564.3.dta&amp;Global_Mod=CS57.0215", "5564")</f>
        <v>5564</v>
      </c>
      <c r="R70" s="36" t="str">
        <f>HYPERLINK("http://ms.phosphosite.org:5080/cgi-bin/plot-msms.cgi?MassType=1&amp;NumAxis=1&amp;Mod3=160&amp;Mod7=170&amp;Pep=SVCHLQKVFER&amp;Dta=/var/www/html/dta/S01/10561.5626.3.dta&amp;Global_Mod=CS57.0215", "5626")</f>
        <v>5626</v>
      </c>
      <c r="S70" s="36" t="str">
        <f>HYPERLINK("http://ms.phosphosite.org:5080/cgi-bin/plot-msms.cgi?MassType=1&amp;NumAxis=1&amp;Mod3=160&amp;Mod7=170&amp;Pep=SVCHLQKVFER&amp;Dta=/var/www/html/dta/S01/10562.5629.3.dta&amp;Global_Mod=CS57.0215", "5629")</f>
        <v>5629</v>
      </c>
      <c r="T70" s="36" t="str">
        <f>HYPERLINK("http://ms.phosphosite.org:5080/cgi-bin/plot-msms.cgi?MassType=1&amp;NumAxis=1&amp;Mod3=160&amp;Mod7=170&amp;Pep=SVCHLQKVFER&amp;Dta=/var/www/html/dta/S01/10563.5675.3.dta&amp;Global_Mod=CS57.0215", "5675")</f>
        <v>5675</v>
      </c>
      <c r="U70" s="36" t="str">
        <f>HYPERLINK("http://ms.phosphosite.org:5080/cgi-bin/plot-msms.cgi?MassType=1&amp;NumAxis=1&amp;Mod3=160&amp;Mod7=170&amp;Pep=SVCHLQKVFER&amp;Dta=/var/www/html/dta/S01/10564.5941.3.dta&amp;Global_Mod=CS57.0215", "5941")</f>
        <v>5941</v>
      </c>
      <c r="V70" s="36" t="str">
        <f>HYPERLINK("http://ms.phosphosite.org:5080/cgi-bin/plot-msms.cgi?MassType=1&amp;NumAxis=1&amp;Mod3=160&amp;Mod7=170&amp;Pep=SVCHLQKVFER&amp;Dta=/var/www/html/dta/S01/10565.6133.3.dta&amp;Global_Mod=CS57.0215", "6133")</f>
        <v>6133</v>
      </c>
      <c r="W70" s="5">
        <v>5635</v>
      </c>
      <c r="X70" s="5">
        <v>5557</v>
      </c>
      <c r="Y70" s="5">
        <v>5552</v>
      </c>
      <c r="Z70" s="5">
        <v>5601</v>
      </c>
      <c r="AA70" s="5">
        <v>5677</v>
      </c>
      <c r="AB70" s="5">
        <v>5650</v>
      </c>
      <c r="AC70" s="5">
        <v>5979</v>
      </c>
      <c r="AD70" s="5">
        <v>6097</v>
      </c>
      <c r="AE70" s="90">
        <v>4.423</v>
      </c>
      <c r="AF70" s="90">
        <v>4.3550000000000004</v>
      </c>
      <c r="AG70" s="90">
        <v>4.149</v>
      </c>
      <c r="AH70" s="90">
        <v>3.8889999999999998</v>
      </c>
      <c r="AI70" s="90">
        <v>3.444</v>
      </c>
      <c r="AJ70" s="90">
        <v>3.4660000000000002</v>
      </c>
      <c r="AK70" s="90">
        <v>3.448</v>
      </c>
      <c r="AL70" s="90">
        <v>3.944</v>
      </c>
      <c r="AM70" s="21">
        <v>7.7999999999999996E-3</v>
      </c>
      <c r="AN70" s="21">
        <v>7.6399999999999996E-2</v>
      </c>
      <c r="AO70" s="21">
        <v>0.20649999999999999</v>
      </c>
      <c r="AP70" s="21">
        <v>0.29720000000000002</v>
      </c>
      <c r="AQ70" s="21">
        <v>0.2321</v>
      </c>
      <c r="AR70" s="21">
        <v>0.22309999999999999</v>
      </c>
      <c r="AS70" s="21">
        <v>0.185</v>
      </c>
      <c r="AT70" s="21">
        <v>-8.5599999999999996E-2</v>
      </c>
      <c r="AU70" s="21">
        <v>0.29099999999999998</v>
      </c>
      <c r="AV70" s="21">
        <v>0.35499999999999998</v>
      </c>
      <c r="AW70" s="21">
        <v>0.33100000000000002</v>
      </c>
      <c r="AX70" s="21">
        <v>0.253</v>
      </c>
      <c r="AY70" s="21">
        <v>0.315</v>
      </c>
      <c r="AZ70" s="21">
        <v>0.22900000000000001</v>
      </c>
      <c r="BA70" s="21">
        <v>0.27400000000000002</v>
      </c>
      <c r="BB70" s="21">
        <v>0.248</v>
      </c>
      <c r="BC70" s="5">
        <v>1</v>
      </c>
      <c r="BD70" s="5">
        <v>1</v>
      </c>
      <c r="BE70" s="5">
        <v>1</v>
      </c>
      <c r="BF70" s="5">
        <v>1</v>
      </c>
      <c r="BG70" s="5">
        <v>1</v>
      </c>
      <c r="BH70" s="5">
        <v>1</v>
      </c>
      <c r="BI70" s="5">
        <v>1</v>
      </c>
      <c r="BJ70" s="5">
        <v>1</v>
      </c>
      <c r="BK70" s="90">
        <v>1</v>
      </c>
      <c r="BL70" s="90">
        <v>1</v>
      </c>
      <c r="BM70" s="90">
        <v>1</v>
      </c>
      <c r="BN70" s="90">
        <v>1</v>
      </c>
      <c r="BO70" s="90">
        <v>1</v>
      </c>
      <c r="BP70" s="90">
        <v>1</v>
      </c>
      <c r="BQ70" s="90">
        <v>1</v>
      </c>
      <c r="BR70" s="90">
        <v>1</v>
      </c>
      <c r="BS70" s="5" t="s">
        <v>4857</v>
      </c>
    </row>
    <row r="71" spans="1:71" s="30" customFormat="1" ht="17.100000000000001" customHeight="1">
      <c r="A71" s="14">
        <v>60</v>
      </c>
      <c r="B71" s="5" t="s">
        <v>4623</v>
      </c>
      <c r="C71" s="3" t="s">
        <v>4715</v>
      </c>
      <c r="D71" s="3" t="s">
        <v>4615</v>
      </c>
      <c r="E71" s="6" t="s">
        <v>4616</v>
      </c>
      <c r="F71" s="5" t="s">
        <v>5120</v>
      </c>
      <c r="G71" s="3" t="s">
        <v>4617</v>
      </c>
      <c r="H71" s="6" t="s">
        <v>4618</v>
      </c>
      <c r="I71" s="3" t="s">
        <v>4619</v>
      </c>
      <c r="J71" s="5" t="s">
        <v>4697</v>
      </c>
      <c r="K71" s="3" t="s">
        <v>5365</v>
      </c>
      <c r="L71" s="3" t="s">
        <v>4620</v>
      </c>
      <c r="M71" s="5">
        <v>3</v>
      </c>
      <c r="N71" s="21">
        <v>482.25040000000001</v>
      </c>
      <c r="O71" s="36" t="str">
        <f>HYPERLINK("http://ms.phosphosite.org:5080/cgi-bin/plot-msms.cgi?MassType=1&amp;NumAxis=1&amp;Mod3=160&amp;Mod7=170&amp;Pep=SVCHLQKVFER&amp;Dta=/var/www/html/dta/S01/10558.5565.3.dta&amp;Global_Mod=CS57.0215", "5565")</f>
        <v>5565</v>
      </c>
      <c r="P71" s="36" t="str">
        <f>HYPERLINK("http://ms.phosphosite.org:5080/cgi-bin/plot-msms.cgi?MassType=1&amp;NumAxis=1&amp;Mod3=160&amp;Mod7=170&amp;Pep=SVCHLQKVFER&amp;Dta=/var/www/html/dta/S01/10559.5499.3.dta&amp;Global_Mod=CS57.0215", "5499")</f>
        <v>5499</v>
      </c>
      <c r="Q71" s="36" t="str">
        <f>HYPERLINK("http://ms.phosphosite.org:5080/cgi-bin/plot-msms.cgi?MassType=1&amp;NumAxis=1&amp;Mod3=160&amp;Mod7=170&amp;Pep=SVCHLQKVFER&amp;Dta=/var/www/html/dta/S01/10560.5480.3.dta&amp;Global_Mod=CS57.0215", "5480")</f>
        <v>5480</v>
      </c>
      <c r="R71" s="36" t="str">
        <f>HYPERLINK("http://ms.phosphosite.org:5080/cgi-bin/plot-msms.cgi?MassType=1&amp;NumAxis=1&amp;Mod3=160&amp;Mod7=170&amp;Pep=SVCHLQKVFER&amp;Dta=/var/www/html/dta/S01/10561.5541.3.dta&amp;Global_Mod=CS57.0215", "5541")</f>
        <v>5541</v>
      </c>
      <c r="S71" s="36" t="str">
        <f>HYPERLINK("http://ms.phosphosite.org:5080/cgi-bin/plot-msms.cgi?MassType=1&amp;NumAxis=1&amp;Mod3=160&amp;Mod7=170&amp;Pep=SVCHLQKVFER&amp;Dta=/var/www/html/dta/S01/10562.5726.3.dta&amp;Global_Mod=CS57.0215", "5726")</f>
        <v>5726</v>
      </c>
      <c r="T71" s="36" t="str">
        <f>HYPERLINK("http://ms.phosphosite.org:5080/cgi-bin/plot-msms.cgi?MassType=1&amp;NumAxis=1&amp;Mod3=160&amp;Mod7=170&amp;Pep=SVCHLQKVFER&amp;Dta=/var/www/html/dta/S01/10563.5577.3.dta&amp;Global_Mod=CS57.0215", "5577")</f>
        <v>5577</v>
      </c>
      <c r="U71" s="36" t="str">
        <f>HYPERLINK("http://ms.phosphosite.org:5080/cgi-bin/plot-msms.cgi?MassType=1&amp;NumAxis=1&amp;Mod3=160&amp;Mod7=170&amp;Pep=SVCHLQKVFER&amp;Dta=/var/www/html/dta/S01/10564.6025.3.dta&amp;Global_Mod=CS57.0215", "6025")</f>
        <v>6025</v>
      </c>
      <c r="V71" s="36" t="str">
        <f>HYPERLINK("http://ms.phosphosite.org:5080/cgi-bin/plot-msms.cgi?MassType=1&amp;NumAxis=1&amp;Mod3=160&amp;Mod7=170&amp;Pep=SVCHLQKVFER&amp;Dta=/var/www/html/dta/S01/10565.6041.3.dta&amp;Global_Mod=CS57.0215", "6041")</f>
        <v>6041</v>
      </c>
      <c r="W71" s="5">
        <v>5635</v>
      </c>
      <c r="X71" s="5">
        <v>5557</v>
      </c>
      <c r="Y71" s="5">
        <v>5552</v>
      </c>
      <c r="Z71" s="5">
        <v>5601</v>
      </c>
      <c r="AA71" s="5">
        <v>5677</v>
      </c>
      <c r="AB71" s="5">
        <v>5650</v>
      </c>
      <c r="AC71" s="5">
        <v>5979</v>
      </c>
      <c r="AD71" s="5">
        <v>6097</v>
      </c>
      <c r="AE71" s="90">
        <v>3.3780000000000001</v>
      </c>
      <c r="AF71" s="90">
        <v>2.9729999999999999</v>
      </c>
      <c r="AG71" s="90">
        <v>3.1880000000000002</v>
      </c>
      <c r="AH71" s="90">
        <v>3.121</v>
      </c>
      <c r="AI71" s="90">
        <v>2.0339999999999998</v>
      </c>
      <c r="AJ71" s="90">
        <v>3.2989999999999999</v>
      </c>
      <c r="AK71" s="90">
        <v>3.4159999999999999</v>
      </c>
      <c r="AL71" s="90">
        <v>3.5579999999999998</v>
      </c>
      <c r="AM71" s="21">
        <v>7.7999999999999996E-3</v>
      </c>
      <c r="AN71" s="21">
        <v>7.6399999999999996E-2</v>
      </c>
      <c r="AO71" s="21">
        <v>0.2155</v>
      </c>
      <c r="AP71" s="21">
        <v>0.3034</v>
      </c>
      <c r="AQ71" s="21">
        <v>0.2321</v>
      </c>
      <c r="AR71" s="21">
        <v>0.21829999999999999</v>
      </c>
      <c r="AS71" s="21">
        <v>0.18990000000000001</v>
      </c>
      <c r="AT71" s="21">
        <v>-7.3800000000000004E-2</v>
      </c>
      <c r="AU71" s="21">
        <v>0.191</v>
      </c>
      <c r="AV71" s="21">
        <v>0.253</v>
      </c>
      <c r="AW71" s="21">
        <v>0.31900000000000001</v>
      </c>
      <c r="AX71" s="21">
        <v>0.23799999999999999</v>
      </c>
      <c r="AY71" s="21">
        <v>0.13300000000000001</v>
      </c>
      <c r="AZ71" s="21">
        <v>0.26900000000000002</v>
      </c>
      <c r="BA71" s="21">
        <v>0.23400000000000001</v>
      </c>
      <c r="BB71" s="21">
        <v>0.27600000000000002</v>
      </c>
      <c r="BC71" s="5">
        <v>1</v>
      </c>
      <c r="BD71" s="5">
        <v>1</v>
      </c>
      <c r="BE71" s="5">
        <v>2</v>
      </c>
      <c r="BF71" s="5">
        <v>1</v>
      </c>
      <c r="BG71" s="5">
        <v>19</v>
      </c>
      <c r="BH71" s="5">
        <v>1</v>
      </c>
      <c r="BI71" s="5">
        <v>1</v>
      </c>
      <c r="BJ71" s="5">
        <v>1</v>
      </c>
      <c r="BK71" s="90">
        <v>0.999</v>
      </c>
      <c r="BL71" s="90">
        <v>1</v>
      </c>
      <c r="BM71" s="90">
        <v>1</v>
      </c>
      <c r="BN71" s="90">
        <v>1</v>
      </c>
      <c r="BO71" s="90">
        <v>0.97399999999999998</v>
      </c>
      <c r="BP71" s="90">
        <v>1</v>
      </c>
      <c r="BQ71" s="90">
        <v>1</v>
      </c>
      <c r="BR71" s="90">
        <v>1</v>
      </c>
      <c r="BS71" s="5" t="s">
        <v>4857</v>
      </c>
    </row>
    <row r="72" spans="1:71" s="30" customFormat="1" ht="17.100000000000001" customHeight="1">
      <c r="A72" s="10">
        <v>61</v>
      </c>
      <c r="B72" s="10" t="s">
        <v>4624</v>
      </c>
      <c r="C72" s="4" t="s">
        <v>4715</v>
      </c>
      <c r="D72" s="4" t="s">
        <v>4625</v>
      </c>
      <c r="E72" s="7" t="s">
        <v>4626</v>
      </c>
      <c r="F72" s="10" t="s">
        <v>5087</v>
      </c>
      <c r="G72" s="4" t="s">
        <v>4627</v>
      </c>
      <c r="H72" s="7" t="s">
        <v>4628</v>
      </c>
      <c r="I72" s="4" t="s">
        <v>4629</v>
      </c>
      <c r="J72" s="10" t="s">
        <v>4780</v>
      </c>
      <c r="K72" s="4" t="s">
        <v>5366</v>
      </c>
      <c r="L72" s="4" t="s">
        <v>4630</v>
      </c>
      <c r="M72" s="10">
        <v>2</v>
      </c>
      <c r="N72" s="95">
        <v>483.75380000000001</v>
      </c>
      <c r="O72" s="38" t="s">
        <v>4854</v>
      </c>
      <c r="P72" s="38" t="s">
        <v>4854</v>
      </c>
      <c r="Q72" s="37" t="str">
        <f>HYPERLINK("http://ms.phosphosite.org:5080/cgi-bin/plot-msms.cgi?MassType=1&amp;NumAxis=1&amp;Mod6=170&amp;Pep=GSYNIKSR&amp;Dta=/var/www/html/dta/S01/10560.2815.2.dta&amp;Global_Mod=CS57.0215", "2815")</f>
        <v>2815</v>
      </c>
      <c r="R72" s="38" t="s">
        <v>4854</v>
      </c>
      <c r="S72" s="38" t="s">
        <v>4854</v>
      </c>
      <c r="T72" s="38" t="s">
        <v>4854</v>
      </c>
      <c r="U72" s="38" t="s">
        <v>4854</v>
      </c>
      <c r="V72" s="38" t="s">
        <v>4854</v>
      </c>
      <c r="W72" s="4" t="s">
        <v>4854</v>
      </c>
      <c r="X72" s="4" t="s">
        <v>4854</v>
      </c>
      <c r="Y72" s="10">
        <v>2827</v>
      </c>
      <c r="Z72" s="4" t="s">
        <v>4854</v>
      </c>
      <c r="AA72" s="4" t="s">
        <v>4854</v>
      </c>
      <c r="AB72" s="4" t="s">
        <v>4854</v>
      </c>
      <c r="AC72" s="4" t="s">
        <v>4854</v>
      </c>
      <c r="AD72" s="4" t="s">
        <v>4854</v>
      </c>
      <c r="AE72" s="100" t="s">
        <v>4854</v>
      </c>
      <c r="AF72" s="100" t="s">
        <v>4854</v>
      </c>
      <c r="AG72" s="91">
        <v>2.5259999999999998</v>
      </c>
      <c r="AH72" s="100" t="s">
        <v>4854</v>
      </c>
      <c r="AI72" s="100" t="s">
        <v>4854</v>
      </c>
      <c r="AJ72" s="100" t="s">
        <v>4854</v>
      </c>
      <c r="AK72" s="100" t="s">
        <v>4854</v>
      </c>
      <c r="AL72" s="100" t="s">
        <v>4854</v>
      </c>
      <c r="AM72" s="103" t="s">
        <v>4854</v>
      </c>
      <c r="AN72" s="103" t="s">
        <v>4854</v>
      </c>
      <c r="AO72" s="95">
        <v>-1.9E-2</v>
      </c>
      <c r="AP72" s="103" t="s">
        <v>4854</v>
      </c>
      <c r="AQ72" s="103" t="s">
        <v>4854</v>
      </c>
      <c r="AR72" s="103" t="s">
        <v>4854</v>
      </c>
      <c r="AS72" s="103" t="s">
        <v>4854</v>
      </c>
      <c r="AT72" s="103" t="s">
        <v>4854</v>
      </c>
      <c r="AU72" s="103" t="s">
        <v>4854</v>
      </c>
      <c r="AV72" s="103" t="s">
        <v>4854</v>
      </c>
      <c r="AW72" s="95">
        <v>0.17499999999999999</v>
      </c>
      <c r="AX72" s="103" t="s">
        <v>4854</v>
      </c>
      <c r="AY72" s="103" t="s">
        <v>4854</v>
      </c>
      <c r="AZ72" s="103" t="s">
        <v>4854</v>
      </c>
      <c r="BA72" s="103" t="s">
        <v>4854</v>
      </c>
      <c r="BB72" s="103" t="s">
        <v>4854</v>
      </c>
      <c r="BC72" s="4" t="s">
        <v>4854</v>
      </c>
      <c r="BD72" s="4" t="s">
        <v>4854</v>
      </c>
      <c r="BE72" s="10">
        <v>4</v>
      </c>
      <c r="BF72" s="4" t="s">
        <v>4854</v>
      </c>
      <c r="BG72" s="4" t="s">
        <v>4854</v>
      </c>
      <c r="BH72" s="4" t="s">
        <v>4854</v>
      </c>
      <c r="BI72" s="4" t="s">
        <v>4854</v>
      </c>
      <c r="BJ72" s="4" t="s">
        <v>4854</v>
      </c>
      <c r="BK72" s="100" t="s">
        <v>4854</v>
      </c>
      <c r="BL72" s="100" t="s">
        <v>4854</v>
      </c>
      <c r="BM72" s="91">
        <v>0.997</v>
      </c>
      <c r="BN72" s="100" t="s">
        <v>4854</v>
      </c>
      <c r="BO72" s="100" t="s">
        <v>4854</v>
      </c>
      <c r="BP72" s="100" t="s">
        <v>4854</v>
      </c>
      <c r="BQ72" s="100" t="s">
        <v>4854</v>
      </c>
      <c r="BR72" s="100" t="s">
        <v>4854</v>
      </c>
      <c r="BS72" s="10" t="s">
        <v>4857</v>
      </c>
    </row>
    <row r="73" spans="1:71" s="30" customFormat="1" ht="17.100000000000001" customHeight="1">
      <c r="A73" s="14">
        <v>62</v>
      </c>
      <c r="B73" s="5" t="s">
        <v>4631</v>
      </c>
      <c r="C73" s="3" t="s">
        <v>4715</v>
      </c>
      <c r="D73" s="3" t="s">
        <v>4632</v>
      </c>
      <c r="E73" s="3" t="s">
        <v>4633</v>
      </c>
      <c r="F73" s="5" t="s">
        <v>5026</v>
      </c>
      <c r="G73" s="3" t="s">
        <v>4634</v>
      </c>
      <c r="H73" s="6" t="s">
        <v>4635</v>
      </c>
      <c r="I73" s="3" t="s">
        <v>4636</v>
      </c>
      <c r="J73" s="5" t="s">
        <v>4765</v>
      </c>
      <c r="K73" s="3" t="s">
        <v>5367</v>
      </c>
      <c r="L73" s="3" t="s">
        <v>4637</v>
      </c>
      <c r="M73" s="5">
        <v>2</v>
      </c>
      <c r="N73" s="21">
        <v>647.30709999999999</v>
      </c>
      <c r="O73" s="35" t="s">
        <v>4854</v>
      </c>
      <c r="P73" s="35" t="s">
        <v>4854</v>
      </c>
      <c r="Q73" s="36" t="str">
        <f>HYPERLINK("http://ms.phosphosite.org:5080/cgi-bin/plot-msms.cgi?MassType=1&amp;NumAxis=1&amp;Mod5=170&amp;Pep=NYEIKNEADR&amp;Dta=/var/www/html/dta/S01/10560.3777.2.dta&amp;Global_Mod=CS57.0215", "3777")</f>
        <v>3777</v>
      </c>
      <c r="R73" s="35" t="s">
        <v>4854</v>
      </c>
      <c r="S73" s="35" t="s">
        <v>4854</v>
      </c>
      <c r="T73" s="35" t="s">
        <v>4854</v>
      </c>
      <c r="U73" s="35" t="s">
        <v>4854</v>
      </c>
      <c r="V73" s="35" t="s">
        <v>4854</v>
      </c>
      <c r="W73" s="3" t="s">
        <v>4854</v>
      </c>
      <c r="X73" s="3" t="s">
        <v>4854</v>
      </c>
      <c r="Y73" s="5">
        <v>3778</v>
      </c>
      <c r="Z73" s="3" t="s">
        <v>4854</v>
      </c>
      <c r="AA73" s="3" t="s">
        <v>4854</v>
      </c>
      <c r="AB73" s="3" t="s">
        <v>4854</v>
      </c>
      <c r="AC73" s="3" t="s">
        <v>4854</v>
      </c>
      <c r="AD73" s="3" t="s">
        <v>4854</v>
      </c>
      <c r="AE73" s="99" t="s">
        <v>4854</v>
      </c>
      <c r="AF73" s="99" t="s">
        <v>4854</v>
      </c>
      <c r="AG73" s="90">
        <v>2.9529999999999998</v>
      </c>
      <c r="AH73" s="99" t="s">
        <v>4854</v>
      </c>
      <c r="AI73" s="99" t="s">
        <v>4854</v>
      </c>
      <c r="AJ73" s="99" t="s">
        <v>4854</v>
      </c>
      <c r="AK73" s="99" t="s">
        <v>4854</v>
      </c>
      <c r="AL73" s="99" t="s">
        <v>4854</v>
      </c>
      <c r="AM73" s="102" t="s">
        <v>4854</v>
      </c>
      <c r="AN73" s="102" t="s">
        <v>4854</v>
      </c>
      <c r="AO73" s="21">
        <v>-0.15329999999999999</v>
      </c>
      <c r="AP73" s="102" t="s">
        <v>4854</v>
      </c>
      <c r="AQ73" s="102" t="s">
        <v>4854</v>
      </c>
      <c r="AR73" s="102" t="s">
        <v>4854</v>
      </c>
      <c r="AS73" s="102" t="s">
        <v>4854</v>
      </c>
      <c r="AT73" s="102" t="s">
        <v>4854</v>
      </c>
      <c r="AU73" s="102" t="s">
        <v>4854</v>
      </c>
      <c r="AV73" s="102" t="s">
        <v>4854</v>
      </c>
      <c r="AW73" s="21">
        <v>0.28899999999999998</v>
      </c>
      <c r="AX73" s="102" t="s">
        <v>4854</v>
      </c>
      <c r="AY73" s="102" t="s">
        <v>4854</v>
      </c>
      <c r="AZ73" s="102" t="s">
        <v>4854</v>
      </c>
      <c r="BA73" s="102" t="s">
        <v>4854</v>
      </c>
      <c r="BB73" s="102" t="s">
        <v>4854</v>
      </c>
      <c r="BC73" s="3" t="s">
        <v>4854</v>
      </c>
      <c r="BD73" s="3" t="s">
        <v>4854</v>
      </c>
      <c r="BE73" s="5">
        <v>1</v>
      </c>
      <c r="BF73" s="3" t="s">
        <v>4854</v>
      </c>
      <c r="BG73" s="3" t="s">
        <v>4854</v>
      </c>
      <c r="BH73" s="3" t="s">
        <v>4854</v>
      </c>
      <c r="BI73" s="3" t="s">
        <v>4854</v>
      </c>
      <c r="BJ73" s="3" t="s">
        <v>4854</v>
      </c>
      <c r="BK73" s="99" t="s">
        <v>4854</v>
      </c>
      <c r="BL73" s="99" t="s">
        <v>4854</v>
      </c>
      <c r="BM73" s="90">
        <v>1</v>
      </c>
      <c r="BN73" s="99" t="s">
        <v>4854</v>
      </c>
      <c r="BO73" s="99" t="s">
        <v>4854</v>
      </c>
      <c r="BP73" s="99" t="s">
        <v>4854</v>
      </c>
      <c r="BQ73" s="99" t="s">
        <v>4854</v>
      </c>
      <c r="BR73" s="99" t="s">
        <v>4854</v>
      </c>
      <c r="BS73" s="5" t="s">
        <v>4857</v>
      </c>
    </row>
    <row r="74" spans="1:71" s="30" customFormat="1" ht="17.100000000000001" customHeight="1">
      <c r="A74" s="10">
        <v>63</v>
      </c>
      <c r="B74" s="10" t="s">
        <v>4638</v>
      </c>
      <c r="C74" s="4" t="s">
        <v>4715</v>
      </c>
      <c r="D74" s="4" t="s">
        <v>4639</v>
      </c>
      <c r="E74" s="4" t="s">
        <v>4639</v>
      </c>
      <c r="F74" s="10" t="s">
        <v>4640</v>
      </c>
      <c r="G74" s="4" t="s">
        <v>4641</v>
      </c>
      <c r="H74" s="7" t="s">
        <v>4642</v>
      </c>
      <c r="I74" s="4" t="s">
        <v>4643</v>
      </c>
      <c r="J74" s="10" t="s">
        <v>4644</v>
      </c>
      <c r="K74" s="4" t="s">
        <v>5368</v>
      </c>
      <c r="L74" s="4" t="s">
        <v>4645</v>
      </c>
      <c r="M74" s="10">
        <v>4</v>
      </c>
      <c r="N74" s="95">
        <v>844.44979999999998</v>
      </c>
      <c r="O74" s="38" t="s">
        <v>4854</v>
      </c>
      <c r="P74" s="38" t="s">
        <v>4854</v>
      </c>
      <c r="Q74" s="38" t="s">
        <v>4854</v>
      </c>
      <c r="R74" s="38" t="s">
        <v>4854</v>
      </c>
      <c r="S74" s="38" t="s">
        <v>4854</v>
      </c>
      <c r="T74" s="38" t="s">
        <v>4854</v>
      </c>
      <c r="U74" s="37" t="str">
        <f>HYPERLINK("http://ms.phosphosite.org:5080/cgi-bin/plot-msms.cgi?MassType=1&amp;NumAxis=1&amp;Mod28=170&amp;Pep=HLQAAVDRTTELSRQRIASQELGPAVDKDK&amp;Dta=/var/www/html/dta/S01/10564.16342.4.dta&amp;Global_Mod=CS57.0215", "16342")</f>
        <v>16342</v>
      </c>
      <c r="V74" s="38" t="s">
        <v>4854</v>
      </c>
      <c r="W74" s="4" t="s">
        <v>4854</v>
      </c>
      <c r="X74" s="4" t="s">
        <v>4854</v>
      </c>
      <c r="Y74" s="4" t="s">
        <v>4854</v>
      </c>
      <c r="Z74" s="4" t="s">
        <v>4854</v>
      </c>
      <c r="AA74" s="4" t="s">
        <v>4854</v>
      </c>
      <c r="AB74" s="4" t="s">
        <v>4854</v>
      </c>
      <c r="AC74" s="4" t="s">
        <v>4854</v>
      </c>
      <c r="AD74" s="4" t="s">
        <v>4854</v>
      </c>
      <c r="AE74" s="100" t="s">
        <v>4854</v>
      </c>
      <c r="AF74" s="100" t="s">
        <v>4854</v>
      </c>
      <c r="AG74" s="100" t="s">
        <v>4854</v>
      </c>
      <c r="AH74" s="100" t="s">
        <v>4854</v>
      </c>
      <c r="AI74" s="100" t="s">
        <v>4854</v>
      </c>
      <c r="AJ74" s="100" t="s">
        <v>4854</v>
      </c>
      <c r="AK74" s="91">
        <v>2.8679999999999999</v>
      </c>
      <c r="AL74" s="100" t="s">
        <v>4854</v>
      </c>
      <c r="AM74" s="103" t="s">
        <v>4854</v>
      </c>
      <c r="AN74" s="103" t="s">
        <v>4854</v>
      </c>
      <c r="AO74" s="103" t="s">
        <v>4854</v>
      </c>
      <c r="AP74" s="103" t="s">
        <v>4854</v>
      </c>
      <c r="AQ74" s="103" t="s">
        <v>4854</v>
      </c>
      <c r="AR74" s="103" t="s">
        <v>4854</v>
      </c>
      <c r="AS74" s="95">
        <v>2.2555999999999998</v>
      </c>
      <c r="AT74" s="103" t="s">
        <v>4854</v>
      </c>
      <c r="AU74" s="103" t="s">
        <v>4854</v>
      </c>
      <c r="AV74" s="103" t="s">
        <v>4854</v>
      </c>
      <c r="AW74" s="103" t="s">
        <v>4854</v>
      </c>
      <c r="AX74" s="103" t="s">
        <v>4854</v>
      </c>
      <c r="AY74" s="103" t="s">
        <v>4854</v>
      </c>
      <c r="AZ74" s="103" t="s">
        <v>4854</v>
      </c>
      <c r="BA74" s="95">
        <v>0.128</v>
      </c>
      <c r="BB74" s="103" t="s">
        <v>4854</v>
      </c>
      <c r="BC74" s="4" t="s">
        <v>4854</v>
      </c>
      <c r="BD74" s="4" t="s">
        <v>4854</v>
      </c>
      <c r="BE74" s="4" t="s">
        <v>4854</v>
      </c>
      <c r="BF74" s="4" t="s">
        <v>4854</v>
      </c>
      <c r="BG74" s="4" t="s">
        <v>4854</v>
      </c>
      <c r="BH74" s="4" t="s">
        <v>4854</v>
      </c>
      <c r="BI74" s="10">
        <v>168</v>
      </c>
      <c r="BJ74" s="4" t="s">
        <v>4854</v>
      </c>
      <c r="BK74" s="100" t="s">
        <v>4854</v>
      </c>
      <c r="BL74" s="100" t="s">
        <v>4854</v>
      </c>
      <c r="BM74" s="100" t="s">
        <v>4854</v>
      </c>
      <c r="BN74" s="100" t="s">
        <v>4854</v>
      </c>
      <c r="BO74" s="100" t="s">
        <v>4854</v>
      </c>
      <c r="BP74" s="100" t="s">
        <v>4854</v>
      </c>
      <c r="BQ74" s="91">
        <v>0.30599999999999999</v>
      </c>
      <c r="BR74" s="100" t="s">
        <v>4854</v>
      </c>
      <c r="BS74" s="10" t="s">
        <v>4857</v>
      </c>
    </row>
    <row r="75" spans="1:71" s="30" customFormat="1" ht="17.100000000000001" customHeight="1">
      <c r="A75" s="14">
        <v>64</v>
      </c>
      <c r="B75" s="5" t="s">
        <v>4646</v>
      </c>
      <c r="C75" s="3" t="s">
        <v>4715</v>
      </c>
      <c r="D75" s="3" t="s">
        <v>4647</v>
      </c>
      <c r="E75" s="3" t="s">
        <v>4648</v>
      </c>
      <c r="F75" s="5" t="s">
        <v>5255</v>
      </c>
      <c r="G75" s="3" t="s">
        <v>4649</v>
      </c>
      <c r="H75" s="6" t="s">
        <v>4650</v>
      </c>
      <c r="I75" s="3" t="s">
        <v>4651</v>
      </c>
      <c r="J75" s="5" t="s">
        <v>4646</v>
      </c>
      <c r="K75" s="3" t="s">
        <v>5369</v>
      </c>
      <c r="L75" s="3" t="s">
        <v>4652</v>
      </c>
      <c r="M75" s="5">
        <v>2</v>
      </c>
      <c r="N75" s="21">
        <v>537.29060000000004</v>
      </c>
      <c r="O75" s="35" t="s">
        <v>4854</v>
      </c>
      <c r="P75" s="36" t="str">
        <f>HYPERLINK("http://ms.phosphosite.org:5080/cgi-bin/plot-msms.cgi?MassType=1&amp;NumAxis=1&amp;Mod4=170&amp;Pep=LNSKWDLR&amp;Dta=/var/www/html/dta/S01/10559.6771.2.dta&amp;Global_Mod=CS57.0215", "6771")</f>
        <v>6771</v>
      </c>
      <c r="Q75" s="35" t="s">
        <v>4854</v>
      </c>
      <c r="R75" s="36" t="str">
        <f>HYPERLINK("http://ms.phosphosite.org:5080/cgi-bin/plot-msms.cgi?MassType=1&amp;NumAxis=1&amp;Mod4=170&amp;Pep=LNSKWDLR&amp;Dta=/var/www/html/dta/S01/10561.6814.2.dta&amp;Global_Mod=CS57.0215", "6814")</f>
        <v>6814</v>
      </c>
      <c r="S75" s="36" t="str">
        <f>HYPERLINK("http://ms.phosphosite.org:5080/cgi-bin/plot-msms.cgi?MassType=1&amp;NumAxis=1&amp;Mod4=170&amp;Pep=LNSKWDLR&amp;Dta=/var/www/html/dta/S01/10562.6920.2.dta&amp;Global_Mod=CS57.0215", "6920")</f>
        <v>6920</v>
      </c>
      <c r="T75" s="35" t="s">
        <v>4854</v>
      </c>
      <c r="U75" s="35" t="s">
        <v>4854</v>
      </c>
      <c r="V75" s="35" t="s">
        <v>4854</v>
      </c>
      <c r="W75" s="3" t="s">
        <v>4854</v>
      </c>
      <c r="X75" s="5">
        <v>6778</v>
      </c>
      <c r="Y75" s="3" t="s">
        <v>4854</v>
      </c>
      <c r="Z75" s="5">
        <v>6811</v>
      </c>
      <c r="AA75" s="5">
        <v>6917</v>
      </c>
      <c r="AB75" s="3" t="s">
        <v>4854</v>
      </c>
      <c r="AC75" s="3" t="s">
        <v>4854</v>
      </c>
      <c r="AD75" s="3" t="s">
        <v>4854</v>
      </c>
      <c r="AE75" s="99" t="s">
        <v>4854</v>
      </c>
      <c r="AF75" s="90">
        <v>2.2949999999999999</v>
      </c>
      <c r="AG75" s="99" t="s">
        <v>4854</v>
      </c>
      <c r="AH75" s="90">
        <v>2.7240000000000002</v>
      </c>
      <c r="AI75" s="90">
        <v>2.3119999999999998</v>
      </c>
      <c r="AJ75" s="99" t="s">
        <v>4854</v>
      </c>
      <c r="AK75" s="99" t="s">
        <v>4854</v>
      </c>
      <c r="AL75" s="99" t="s">
        <v>4854</v>
      </c>
      <c r="AM75" s="102" t="s">
        <v>4854</v>
      </c>
      <c r="AN75" s="21">
        <v>0.16800000000000001</v>
      </c>
      <c r="AO75" s="102" t="s">
        <v>4854</v>
      </c>
      <c r="AP75" s="21">
        <v>0.4083</v>
      </c>
      <c r="AQ75" s="21">
        <v>0.18099999999999999</v>
      </c>
      <c r="AR75" s="102" t="s">
        <v>4854</v>
      </c>
      <c r="AS75" s="102" t="s">
        <v>4854</v>
      </c>
      <c r="AT75" s="102" t="s">
        <v>4854</v>
      </c>
      <c r="AU75" s="102" t="s">
        <v>4854</v>
      </c>
      <c r="AV75" s="21">
        <v>0.14099999999999999</v>
      </c>
      <c r="AW75" s="102" t="s">
        <v>4854</v>
      </c>
      <c r="AX75" s="21">
        <v>0.184</v>
      </c>
      <c r="AY75" s="21">
        <v>5.2999999999999999E-2</v>
      </c>
      <c r="AZ75" s="102" t="s">
        <v>4854</v>
      </c>
      <c r="BA75" s="102" t="s">
        <v>4854</v>
      </c>
      <c r="BB75" s="102" t="s">
        <v>4854</v>
      </c>
      <c r="BC75" s="3" t="s">
        <v>4854</v>
      </c>
      <c r="BD75" s="5">
        <v>4</v>
      </c>
      <c r="BE75" s="3" t="s">
        <v>4854</v>
      </c>
      <c r="BF75" s="5">
        <v>1</v>
      </c>
      <c r="BG75" s="5">
        <v>3</v>
      </c>
      <c r="BH75" s="3" t="s">
        <v>4854</v>
      </c>
      <c r="BI75" s="3" t="s">
        <v>4854</v>
      </c>
      <c r="BJ75" s="3" t="s">
        <v>4854</v>
      </c>
      <c r="BK75" s="99" t="s">
        <v>4854</v>
      </c>
      <c r="BL75" s="90">
        <v>0.99299999999999999</v>
      </c>
      <c r="BM75" s="99" t="s">
        <v>4854</v>
      </c>
      <c r="BN75" s="90">
        <v>0.999</v>
      </c>
      <c r="BO75" s="90">
        <v>0.98399999999999999</v>
      </c>
      <c r="BP75" s="99" t="s">
        <v>4854</v>
      </c>
      <c r="BQ75" s="99" t="s">
        <v>4854</v>
      </c>
      <c r="BR75" s="99" t="s">
        <v>4854</v>
      </c>
      <c r="BS75" s="5" t="s">
        <v>4857</v>
      </c>
    </row>
    <row r="76" spans="1:71" s="30" customFormat="1" ht="17.100000000000001" customHeight="1">
      <c r="A76" s="10">
        <v>65</v>
      </c>
      <c r="B76" s="10" t="s">
        <v>4653</v>
      </c>
      <c r="C76" s="4" t="s">
        <v>4715</v>
      </c>
      <c r="D76" s="7" t="s">
        <v>4654</v>
      </c>
      <c r="E76" s="7" t="s">
        <v>4655</v>
      </c>
      <c r="F76" s="10" t="s">
        <v>4517</v>
      </c>
      <c r="G76" s="4" t="s">
        <v>4518</v>
      </c>
      <c r="H76" s="7" t="s">
        <v>4519</v>
      </c>
      <c r="I76" s="4" t="s">
        <v>4520</v>
      </c>
      <c r="J76" s="10" t="s">
        <v>4521</v>
      </c>
      <c r="K76" s="4" t="s">
        <v>5370</v>
      </c>
      <c r="L76" s="4" t="s">
        <v>4522</v>
      </c>
      <c r="M76" s="10">
        <v>2</v>
      </c>
      <c r="N76" s="95">
        <v>634.83140000000003</v>
      </c>
      <c r="O76" s="37" t="str">
        <f>HYPERLINK("http://ms.phosphosite.org:5080/cgi-bin/plot-msms.cgi?MassType=1&amp;NumAxis=1&amp;Mod7=170&amp;Pep=MIYASSKDAIK&amp;Dta=/var/www/html/dta/S01/10558.5282.2.dta&amp;Global_Mod=CS57.0215", "5282")</f>
        <v>5282</v>
      </c>
      <c r="P76" s="37" t="str">
        <f>HYPERLINK("http://ms.phosphosite.org:5080/cgi-bin/plot-msms.cgi?MassType=1&amp;NumAxis=1&amp;Mod7=170&amp;Pep=MIYASSKDAIK&amp;Dta=/var/www/html/dta/S01/10559.5203.2.dta&amp;Global_Mod=CS57.0215", "5203")</f>
        <v>5203</v>
      </c>
      <c r="Q76" s="37" t="str">
        <f>HYPERLINK("http://ms.phosphosite.org:5080/cgi-bin/plot-msms.cgi?MassType=1&amp;NumAxis=1&amp;Mod7=170&amp;Pep=MIYASSKDAIK&amp;Dta=/var/www/html/dta/S01/10560.5209.2.dta&amp;Global_Mod=CS57.0215", "5209")</f>
        <v>5209</v>
      </c>
      <c r="R76" s="38" t="s">
        <v>4854</v>
      </c>
      <c r="S76" s="38" t="s">
        <v>4854</v>
      </c>
      <c r="T76" s="38" t="s">
        <v>4854</v>
      </c>
      <c r="U76" s="37" t="str">
        <f>HYPERLINK("http://ms.phosphosite.org:5080/cgi-bin/plot-msms.cgi?MassType=1&amp;NumAxis=1&amp;Mod7=170&amp;Pep=MIYASSKDAIK&amp;Dta=/var/www/html/dta/S01/10564.5601.2.dta&amp;Global_Mod=CS57.0215", "5601")</f>
        <v>5601</v>
      </c>
      <c r="V76" s="37" t="str">
        <f>HYPERLINK("http://ms.phosphosite.org:5080/cgi-bin/plot-msms.cgi?MassType=1&amp;NumAxis=1&amp;Mod7=170&amp;Pep=MIYASSKDAIK&amp;Dta=/var/www/html/dta/S01/10565.5707.2.dta&amp;Global_Mod=CS57.0215", "5707")</f>
        <v>5707</v>
      </c>
      <c r="W76" s="10">
        <v>5272</v>
      </c>
      <c r="X76" s="10">
        <v>5196</v>
      </c>
      <c r="Y76" s="10">
        <v>5189</v>
      </c>
      <c r="Z76" s="4" t="s">
        <v>4854</v>
      </c>
      <c r="AA76" s="4" t="s">
        <v>4854</v>
      </c>
      <c r="AB76" s="4" t="s">
        <v>4854</v>
      </c>
      <c r="AC76" s="10">
        <v>5594</v>
      </c>
      <c r="AD76" s="10">
        <v>5713</v>
      </c>
      <c r="AE76" s="91">
        <v>2.7029999999999998</v>
      </c>
      <c r="AF76" s="91">
        <v>2.407</v>
      </c>
      <c r="AG76" s="91">
        <v>2.2149999999999999</v>
      </c>
      <c r="AH76" s="100" t="s">
        <v>4854</v>
      </c>
      <c r="AI76" s="100" t="s">
        <v>4854</v>
      </c>
      <c r="AJ76" s="100" t="s">
        <v>4854</v>
      </c>
      <c r="AK76" s="91">
        <v>2.907</v>
      </c>
      <c r="AL76" s="91">
        <v>2.6019999999999999</v>
      </c>
      <c r="AM76" s="95">
        <v>0.20150000000000001</v>
      </c>
      <c r="AN76" s="95">
        <v>0.80210000000000004</v>
      </c>
      <c r="AO76" s="95">
        <v>0.75639999999999996</v>
      </c>
      <c r="AP76" s="103" t="s">
        <v>4854</v>
      </c>
      <c r="AQ76" s="103" t="s">
        <v>4854</v>
      </c>
      <c r="AR76" s="103" t="s">
        <v>4854</v>
      </c>
      <c r="AS76" s="95">
        <v>0.73829999999999996</v>
      </c>
      <c r="AT76" s="95">
        <v>-6.7299999999999999E-2</v>
      </c>
      <c r="AU76" s="95">
        <v>0.33100000000000002</v>
      </c>
      <c r="AV76" s="95">
        <v>0.38300000000000001</v>
      </c>
      <c r="AW76" s="95">
        <v>0.27800000000000002</v>
      </c>
      <c r="AX76" s="103" t="s">
        <v>4854</v>
      </c>
      <c r="AY76" s="103" t="s">
        <v>4854</v>
      </c>
      <c r="AZ76" s="103" t="s">
        <v>4854</v>
      </c>
      <c r="BA76" s="95">
        <v>0.33100000000000002</v>
      </c>
      <c r="BB76" s="95">
        <v>0.39</v>
      </c>
      <c r="BC76" s="10">
        <v>1</v>
      </c>
      <c r="BD76" s="10">
        <v>1</v>
      </c>
      <c r="BE76" s="10">
        <v>3</v>
      </c>
      <c r="BF76" s="4" t="s">
        <v>4854</v>
      </c>
      <c r="BG76" s="4" t="s">
        <v>4854</v>
      </c>
      <c r="BH76" s="4" t="s">
        <v>4854</v>
      </c>
      <c r="BI76" s="10">
        <v>1</v>
      </c>
      <c r="BJ76" s="10">
        <v>1</v>
      </c>
      <c r="BK76" s="91">
        <v>1</v>
      </c>
      <c r="BL76" s="91">
        <v>1</v>
      </c>
      <c r="BM76" s="91">
        <v>0.998</v>
      </c>
      <c r="BN76" s="100" t="s">
        <v>4854</v>
      </c>
      <c r="BO76" s="100" t="s">
        <v>4854</v>
      </c>
      <c r="BP76" s="100" t="s">
        <v>4854</v>
      </c>
      <c r="BQ76" s="91">
        <v>1</v>
      </c>
      <c r="BR76" s="91">
        <v>1</v>
      </c>
      <c r="BS76" s="10" t="s">
        <v>4857</v>
      </c>
    </row>
    <row r="77" spans="1:71" s="30" customFormat="1" ht="17.100000000000001" customHeight="1">
      <c r="A77" s="14">
        <v>66</v>
      </c>
      <c r="B77" s="5" t="s">
        <v>4523</v>
      </c>
      <c r="C77" s="3" t="s">
        <v>4715</v>
      </c>
      <c r="D77" s="6" t="s">
        <v>4524</v>
      </c>
      <c r="E77" s="6" t="s">
        <v>4525</v>
      </c>
      <c r="F77" s="5" t="s">
        <v>5325</v>
      </c>
      <c r="G77" s="3" t="s">
        <v>4518</v>
      </c>
      <c r="H77" s="6" t="s">
        <v>4526</v>
      </c>
      <c r="I77" s="3" t="s">
        <v>4520</v>
      </c>
      <c r="J77" s="5" t="s">
        <v>4747</v>
      </c>
      <c r="K77" s="3" t="s">
        <v>5371</v>
      </c>
      <c r="L77" s="3" t="s">
        <v>4527</v>
      </c>
      <c r="M77" s="5">
        <v>4</v>
      </c>
      <c r="N77" s="21">
        <v>619.06799999999998</v>
      </c>
      <c r="O77" s="35" t="s">
        <v>4854</v>
      </c>
      <c r="P77" s="35" t="s">
        <v>4854</v>
      </c>
      <c r="Q77" s="35" t="s">
        <v>4854</v>
      </c>
      <c r="R77" s="35" t="s">
        <v>4854</v>
      </c>
      <c r="S77" s="35" t="s">
        <v>4854</v>
      </c>
      <c r="T77" s="35" t="s">
        <v>4854</v>
      </c>
      <c r="U77" s="36" t="str">
        <f>HYPERLINK("http://ms.phosphosite.org:5080/cgi-bin/plot-msms.cgi?MassType=1&amp;NumAxis=1&amp;Mod6=170&amp;Mod13=160&amp;Pep=KLTGIKHELQANCYEEVKDR&amp;Dta=/var/www/html/dta/S01/10564.5888.4.dta&amp;Global_Mod=CS57.0215", "5888")</f>
        <v>5888</v>
      </c>
      <c r="V77" s="35" t="s">
        <v>4854</v>
      </c>
      <c r="W77" s="3" t="s">
        <v>4854</v>
      </c>
      <c r="X77" s="3" t="s">
        <v>4854</v>
      </c>
      <c r="Y77" s="3" t="s">
        <v>4854</v>
      </c>
      <c r="Z77" s="3" t="s">
        <v>4854</v>
      </c>
      <c r="AA77" s="3" t="s">
        <v>4854</v>
      </c>
      <c r="AB77" s="3" t="s">
        <v>4854</v>
      </c>
      <c r="AC77" s="5">
        <v>5869</v>
      </c>
      <c r="AD77" s="3" t="s">
        <v>4854</v>
      </c>
      <c r="AE77" s="99" t="s">
        <v>4854</v>
      </c>
      <c r="AF77" s="99" t="s">
        <v>4854</v>
      </c>
      <c r="AG77" s="99" t="s">
        <v>4854</v>
      </c>
      <c r="AH77" s="99" t="s">
        <v>4854</v>
      </c>
      <c r="AI77" s="99" t="s">
        <v>4854</v>
      </c>
      <c r="AJ77" s="99" t="s">
        <v>4854</v>
      </c>
      <c r="AK77" s="90">
        <v>4.0090000000000003</v>
      </c>
      <c r="AL77" s="99" t="s">
        <v>4854</v>
      </c>
      <c r="AM77" s="102" t="s">
        <v>4854</v>
      </c>
      <c r="AN77" s="102" t="s">
        <v>4854</v>
      </c>
      <c r="AO77" s="102" t="s">
        <v>4854</v>
      </c>
      <c r="AP77" s="102" t="s">
        <v>4854</v>
      </c>
      <c r="AQ77" s="102" t="s">
        <v>4854</v>
      </c>
      <c r="AR77" s="102" t="s">
        <v>4854</v>
      </c>
      <c r="AS77" s="21">
        <v>8.7900000000000006E-2</v>
      </c>
      <c r="AT77" s="102" t="s">
        <v>4854</v>
      </c>
      <c r="AU77" s="102" t="s">
        <v>4854</v>
      </c>
      <c r="AV77" s="102" t="s">
        <v>4854</v>
      </c>
      <c r="AW77" s="102" t="s">
        <v>4854</v>
      </c>
      <c r="AX77" s="102" t="s">
        <v>4854</v>
      </c>
      <c r="AY77" s="102" t="s">
        <v>4854</v>
      </c>
      <c r="AZ77" s="102" t="s">
        <v>4854</v>
      </c>
      <c r="BA77" s="21">
        <v>0.34399999999999997</v>
      </c>
      <c r="BB77" s="102" t="s">
        <v>4854</v>
      </c>
      <c r="BC77" s="3" t="s">
        <v>4854</v>
      </c>
      <c r="BD77" s="3" t="s">
        <v>4854</v>
      </c>
      <c r="BE77" s="3" t="s">
        <v>4854</v>
      </c>
      <c r="BF77" s="3" t="s">
        <v>4854</v>
      </c>
      <c r="BG77" s="3" t="s">
        <v>4854</v>
      </c>
      <c r="BH77" s="3" t="s">
        <v>4854</v>
      </c>
      <c r="BI77" s="5">
        <v>1</v>
      </c>
      <c r="BJ77" s="3" t="s">
        <v>4854</v>
      </c>
      <c r="BK77" s="99" t="s">
        <v>4854</v>
      </c>
      <c r="BL77" s="99" t="s">
        <v>4854</v>
      </c>
      <c r="BM77" s="99" t="s">
        <v>4854</v>
      </c>
      <c r="BN77" s="99" t="s">
        <v>4854</v>
      </c>
      <c r="BO77" s="99" t="s">
        <v>4854</v>
      </c>
      <c r="BP77" s="99" t="s">
        <v>4854</v>
      </c>
      <c r="BQ77" s="90">
        <v>1</v>
      </c>
      <c r="BR77" s="99" t="s">
        <v>4854</v>
      </c>
      <c r="BS77" s="5" t="s">
        <v>4857</v>
      </c>
    </row>
    <row r="78" spans="1:71" s="30" customFormat="1" ht="17.100000000000001" customHeight="1">
      <c r="A78" s="10">
        <v>67</v>
      </c>
      <c r="B78" s="10" t="s">
        <v>4528</v>
      </c>
      <c r="C78" s="4" t="s">
        <v>4715</v>
      </c>
      <c r="D78" s="7" t="s">
        <v>4524</v>
      </c>
      <c r="E78" s="7" t="s">
        <v>4525</v>
      </c>
      <c r="F78" s="10" t="s">
        <v>5081</v>
      </c>
      <c r="G78" s="4" t="s">
        <v>4518</v>
      </c>
      <c r="H78" s="7" t="s">
        <v>4526</v>
      </c>
      <c r="I78" s="4" t="s">
        <v>4520</v>
      </c>
      <c r="J78" s="10" t="s">
        <v>4747</v>
      </c>
      <c r="K78" s="4" t="s">
        <v>5372</v>
      </c>
      <c r="L78" s="4" t="s">
        <v>4529</v>
      </c>
      <c r="M78" s="10">
        <v>3</v>
      </c>
      <c r="N78" s="95">
        <v>611.61260000000004</v>
      </c>
      <c r="O78" s="37" t="str">
        <f>HYPERLINK("http://ms.phosphosite.org:5080/cgi-bin/plot-msms.cgi?MassType=1&amp;NumAxis=1&amp;Mod7=160&amp;Mod12=170&amp;Pep=HELQANCYEEVKDR&amp;Dta=/var/www/html/dta/S01/10558.4299.3.dta&amp;Global_Mod=CS57.0215", "4299")</f>
        <v>4299</v>
      </c>
      <c r="P78" s="37" t="str">
        <f>HYPERLINK("http://ms.phosphosite.org:5080/cgi-bin/plot-msms.cgi?MassType=1&amp;NumAxis=1&amp;Mod7=160&amp;Mod12=170&amp;Pep=HELQANCYEEVKDR&amp;Dta=/var/www/html/dta/S01/10559.4200.3.dta&amp;Global_Mod=CS57.0215", "4200")</f>
        <v>4200</v>
      </c>
      <c r="Q78" s="37" t="str">
        <f>HYPERLINK("http://ms.phosphosite.org:5080/cgi-bin/plot-msms.cgi?MassType=1&amp;NumAxis=1&amp;Mod7=160&amp;Mod12=170&amp;Pep=HELQANCYEEVKDR&amp;Dta=/var/www/html/dta/S01/10560.4178.3.dta&amp;Global_Mod=CS57.0215", "4178")</f>
        <v>4178</v>
      </c>
      <c r="R78" s="37" t="str">
        <f>HYPERLINK("http://ms.phosphosite.org:5080/cgi-bin/plot-msms.cgi?MassType=1&amp;NumAxis=1&amp;Mod7=160&amp;Mod12=170&amp;Pep=HELQANCYEEVKDR&amp;Dta=/var/www/html/dta/S01/10561.4200.3.dta&amp;Global_Mod=CS57.0215", "4200")</f>
        <v>4200</v>
      </c>
      <c r="S78" s="37" t="str">
        <f>HYPERLINK("http://ms.phosphosite.org:5080/cgi-bin/plot-msms.cgi?MassType=1&amp;NumAxis=1&amp;Mod7=160&amp;Mod12=170&amp;Pep=HELQANCYEEVKDR&amp;Dta=/var/www/html/dta/S01/10562.4329.3.dta&amp;Global_Mod=CS57.0215", "4329")</f>
        <v>4329</v>
      </c>
      <c r="T78" s="37" t="str">
        <f>HYPERLINK("http://ms.phosphosite.org:5080/cgi-bin/plot-msms.cgi?MassType=1&amp;NumAxis=1&amp;Mod7=160&amp;Mod12=170&amp;Pep=HELQANCYEEVKDR&amp;Dta=/var/www/html/dta/S01/10563.4251.3.dta&amp;Global_Mod=CS57.0215", "4251")</f>
        <v>4251</v>
      </c>
      <c r="U78" s="37" t="str">
        <f>HYPERLINK("http://ms.phosphosite.org:5080/cgi-bin/plot-msms.cgi?MassType=1&amp;NumAxis=1&amp;Mod7=160&amp;Mod12=170&amp;Pep=HELQANCYEEVKDR&amp;Dta=/var/www/html/dta/S01/10564.4577.3.dta&amp;Global_Mod=CS57.0215", "4577")</f>
        <v>4577</v>
      </c>
      <c r="V78" s="37" t="str">
        <f>HYPERLINK("http://ms.phosphosite.org:5080/cgi-bin/plot-msms.cgi?MassType=1&amp;NumAxis=1&amp;Mod7=160&amp;Mod12=170&amp;Pep=HELQANCYEEVKDR&amp;Dta=/var/www/html/dta/S01/10565.4680.3.dta&amp;Global_Mod=CS57.0215", "4680")</f>
        <v>4680</v>
      </c>
      <c r="W78" s="10">
        <v>4311</v>
      </c>
      <c r="X78" s="10">
        <v>4206</v>
      </c>
      <c r="Y78" s="10">
        <v>4191</v>
      </c>
      <c r="Z78" s="10">
        <v>4204</v>
      </c>
      <c r="AA78" s="10">
        <v>4344</v>
      </c>
      <c r="AB78" s="10">
        <v>4255</v>
      </c>
      <c r="AC78" s="10">
        <v>4582</v>
      </c>
      <c r="AD78" s="10">
        <v>4693</v>
      </c>
      <c r="AE78" s="91">
        <v>3.6339999999999999</v>
      </c>
      <c r="AF78" s="91">
        <v>3.3039999999999998</v>
      </c>
      <c r="AG78" s="91">
        <v>4.84</v>
      </c>
      <c r="AH78" s="91">
        <v>3.9340000000000002</v>
      </c>
      <c r="AI78" s="91">
        <v>3.16</v>
      </c>
      <c r="AJ78" s="91">
        <v>3.2679999999999998</v>
      </c>
      <c r="AK78" s="91">
        <v>3.7549999999999999</v>
      </c>
      <c r="AL78" s="91">
        <v>3.2330000000000001</v>
      </c>
      <c r="AM78" s="95">
        <v>0.22559999999999999</v>
      </c>
      <c r="AN78" s="95">
        <v>0.14219999999999999</v>
      </c>
      <c r="AO78" s="95">
        <v>0.76029999999999998</v>
      </c>
      <c r="AP78" s="95">
        <v>0.67410000000000003</v>
      </c>
      <c r="AQ78" s="95">
        <v>0.50770000000000004</v>
      </c>
      <c r="AR78" s="95">
        <v>0.55630000000000002</v>
      </c>
      <c r="AS78" s="95">
        <v>0.5383</v>
      </c>
      <c r="AT78" s="95">
        <v>-1.3899999999999999E-2</v>
      </c>
      <c r="AU78" s="95">
        <v>0.26800000000000002</v>
      </c>
      <c r="AV78" s="95">
        <v>0.29099999999999998</v>
      </c>
      <c r="AW78" s="95">
        <v>0.33700000000000002</v>
      </c>
      <c r="AX78" s="95">
        <v>0.28399999999999997</v>
      </c>
      <c r="AY78" s="95">
        <v>0.17899999999999999</v>
      </c>
      <c r="AZ78" s="95">
        <v>0.29499999999999998</v>
      </c>
      <c r="BA78" s="95">
        <v>0.34</v>
      </c>
      <c r="BB78" s="95">
        <v>0.36299999999999999</v>
      </c>
      <c r="BC78" s="10">
        <v>1</v>
      </c>
      <c r="BD78" s="10">
        <v>1</v>
      </c>
      <c r="BE78" s="10">
        <v>1</v>
      </c>
      <c r="BF78" s="10">
        <v>1</v>
      </c>
      <c r="BG78" s="10">
        <v>2</v>
      </c>
      <c r="BH78" s="10">
        <v>1</v>
      </c>
      <c r="BI78" s="10">
        <v>1</v>
      </c>
      <c r="BJ78" s="10">
        <v>1</v>
      </c>
      <c r="BK78" s="91">
        <v>1</v>
      </c>
      <c r="BL78" s="91">
        <v>1</v>
      </c>
      <c r="BM78" s="91">
        <v>1</v>
      </c>
      <c r="BN78" s="91">
        <v>1</v>
      </c>
      <c r="BO78" s="91">
        <v>0.998</v>
      </c>
      <c r="BP78" s="91">
        <v>1</v>
      </c>
      <c r="BQ78" s="91">
        <v>1</v>
      </c>
      <c r="BR78" s="91">
        <v>1</v>
      </c>
      <c r="BS78" s="10" t="s">
        <v>4857</v>
      </c>
    </row>
    <row r="79" spans="1:71" s="30" customFormat="1" ht="17.100000000000001" customHeight="1">
      <c r="A79" s="10">
        <v>68</v>
      </c>
      <c r="B79" s="10" t="s">
        <v>4530</v>
      </c>
      <c r="C79" s="4" t="s">
        <v>4715</v>
      </c>
      <c r="D79" s="7" t="s">
        <v>4524</v>
      </c>
      <c r="E79" s="7" t="s">
        <v>4525</v>
      </c>
      <c r="F79" s="10" t="s">
        <v>5081</v>
      </c>
      <c r="G79" s="4" t="s">
        <v>4518</v>
      </c>
      <c r="H79" s="7" t="s">
        <v>4526</v>
      </c>
      <c r="I79" s="4" t="s">
        <v>4520</v>
      </c>
      <c r="J79" s="10" t="s">
        <v>4747</v>
      </c>
      <c r="K79" s="4" t="s">
        <v>5372</v>
      </c>
      <c r="L79" s="4" t="s">
        <v>4529</v>
      </c>
      <c r="M79" s="10">
        <v>3</v>
      </c>
      <c r="N79" s="95">
        <v>611.61260000000004</v>
      </c>
      <c r="O79" s="38" t="s">
        <v>4854</v>
      </c>
      <c r="P79" s="38" t="s">
        <v>4854</v>
      </c>
      <c r="Q79" s="37" t="str">
        <f>HYPERLINK("http://ms.phosphosite.org:5080/cgi-bin/plot-msms.cgi?MassType=1&amp;NumAxis=1&amp;Mod7=160&amp;Mod12=170&amp;Pep=HELQANCYEEVKDR&amp;Dta=/var/www/html/dta/S01/10560.4183.3.dta&amp;Global_Mod=CS57.0215", "4183")</f>
        <v>4183</v>
      </c>
      <c r="R79" s="38" t="s">
        <v>4854</v>
      </c>
      <c r="S79" s="38" t="s">
        <v>4854</v>
      </c>
      <c r="T79" s="38" t="s">
        <v>4854</v>
      </c>
      <c r="U79" s="38" t="s">
        <v>4854</v>
      </c>
      <c r="V79" s="38" t="s">
        <v>4854</v>
      </c>
      <c r="W79" s="4" t="s">
        <v>4854</v>
      </c>
      <c r="X79" s="4" t="s">
        <v>4854</v>
      </c>
      <c r="Y79" s="10">
        <v>4191</v>
      </c>
      <c r="Z79" s="4" t="s">
        <v>4854</v>
      </c>
      <c r="AA79" s="4" t="s">
        <v>4854</v>
      </c>
      <c r="AB79" s="4" t="s">
        <v>4854</v>
      </c>
      <c r="AC79" s="4" t="s">
        <v>4854</v>
      </c>
      <c r="AD79" s="4" t="s">
        <v>4854</v>
      </c>
      <c r="AE79" s="100" t="s">
        <v>4854</v>
      </c>
      <c r="AF79" s="100" t="s">
        <v>4854</v>
      </c>
      <c r="AG79" s="91">
        <v>4.1849999999999996</v>
      </c>
      <c r="AH79" s="100" t="s">
        <v>4854</v>
      </c>
      <c r="AI79" s="100" t="s">
        <v>4854</v>
      </c>
      <c r="AJ79" s="100" t="s">
        <v>4854</v>
      </c>
      <c r="AK79" s="100" t="s">
        <v>4854</v>
      </c>
      <c r="AL79" s="100" t="s">
        <v>4854</v>
      </c>
      <c r="AM79" s="103" t="s">
        <v>4854</v>
      </c>
      <c r="AN79" s="103" t="s">
        <v>4854</v>
      </c>
      <c r="AO79" s="95">
        <v>0.76029999999999998</v>
      </c>
      <c r="AP79" s="103" t="s">
        <v>4854</v>
      </c>
      <c r="AQ79" s="103" t="s">
        <v>4854</v>
      </c>
      <c r="AR79" s="103" t="s">
        <v>4854</v>
      </c>
      <c r="AS79" s="103" t="s">
        <v>4854</v>
      </c>
      <c r="AT79" s="103" t="s">
        <v>4854</v>
      </c>
      <c r="AU79" s="103" t="s">
        <v>4854</v>
      </c>
      <c r="AV79" s="103" t="s">
        <v>4854</v>
      </c>
      <c r="AW79" s="95">
        <v>0.28599999999999998</v>
      </c>
      <c r="AX79" s="103" t="s">
        <v>4854</v>
      </c>
      <c r="AY79" s="103" t="s">
        <v>4854</v>
      </c>
      <c r="AZ79" s="103" t="s">
        <v>4854</v>
      </c>
      <c r="BA79" s="103" t="s">
        <v>4854</v>
      </c>
      <c r="BB79" s="103" t="s">
        <v>4854</v>
      </c>
      <c r="BC79" s="4" t="s">
        <v>4854</v>
      </c>
      <c r="BD79" s="4" t="s">
        <v>4854</v>
      </c>
      <c r="BE79" s="10">
        <v>1</v>
      </c>
      <c r="BF79" s="4" t="s">
        <v>4854</v>
      </c>
      <c r="BG79" s="4" t="s">
        <v>4854</v>
      </c>
      <c r="BH79" s="4" t="s">
        <v>4854</v>
      </c>
      <c r="BI79" s="4" t="s">
        <v>4854</v>
      </c>
      <c r="BJ79" s="4" t="s">
        <v>4854</v>
      </c>
      <c r="BK79" s="100" t="s">
        <v>4854</v>
      </c>
      <c r="BL79" s="100" t="s">
        <v>4854</v>
      </c>
      <c r="BM79" s="91">
        <v>1</v>
      </c>
      <c r="BN79" s="100" t="s">
        <v>4854</v>
      </c>
      <c r="BO79" s="100" t="s">
        <v>4854</v>
      </c>
      <c r="BP79" s="100" t="s">
        <v>4854</v>
      </c>
      <c r="BQ79" s="100" t="s">
        <v>4854</v>
      </c>
      <c r="BR79" s="100" t="s">
        <v>4854</v>
      </c>
      <c r="BS79" s="10" t="s">
        <v>4857</v>
      </c>
    </row>
    <row r="80" spans="1:71" s="30" customFormat="1" ht="17.100000000000001" customHeight="1">
      <c r="A80" s="10">
        <v>69</v>
      </c>
      <c r="B80" s="10" t="s">
        <v>4531</v>
      </c>
      <c r="C80" s="4" t="s">
        <v>4715</v>
      </c>
      <c r="D80" s="7" t="s">
        <v>4524</v>
      </c>
      <c r="E80" s="7" t="s">
        <v>4525</v>
      </c>
      <c r="F80" s="10" t="s">
        <v>5081</v>
      </c>
      <c r="G80" s="4" t="s">
        <v>4518</v>
      </c>
      <c r="H80" s="7" t="s">
        <v>4526</v>
      </c>
      <c r="I80" s="4" t="s">
        <v>4520</v>
      </c>
      <c r="J80" s="10" t="s">
        <v>4747</v>
      </c>
      <c r="K80" s="4" t="s">
        <v>5372</v>
      </c>
      <c r="L80" s="4" t="s">
        <v>4532</v>
      </c>
      <c r="M80" s="10">
        <v>3</v>
      </c>
      <c r="N80" s="95">
        <v>782.39</v>
      </c>
      <c r="O80" s="37" t="str">
        <f>HYPERLINK("http://ms.phosphosite.org:5080/cgi-bin/plot-msms.cgi?MassType=1&amp;NumAxis=1&amp;Mod12=160&amp;Mod17=170&amp;Pep=LTGIKHELQANCYEEVKDR&amp;Dta=/var/www/html/dta/S01/10558.5359.3.dta&amp;Global_Mod=CS57.0215", "5359")</f>
        <v>5359</v>
      </c>
      <c r="P80" s="38" t="s">
        <v>4854</v>
      </c>
      <c r="Q80" s="38" t="s">
        <v>4854</v>
      </c>
      <c r="R80" s="37" t="str">
        <f>HYPERLINK("http://ms.phosphosite.org:5080/cgi-bin/plot-msms.cgi?MassType=1&amp;NumAxis=1&amp;Mod12=160&amp;Mod17=170&amp;Pep=LTGIKHELQANCYEEVKDR&amp;Dta=/var/www/html/dta/S01/10561.5281.3.dta&amp;Global_Mod=CS57.0215", "5281")</f>
        <v>5281</v>
      </c>
      <c r="S80" s="38" t="s">
        <v>4854</v>
      </c>
      <c r="T80" s="38" t="s">
        <v>4854</v>
      </c>
      <c r="U80" s="37" t="str">
        <f>HYPERLINK("http://ms.phosphosite.org:5080/cgi-bin/plot-msms.cgi?MassType=1&amp;NumAxis=1&amp;Mod12=160&amp;Mod17=170&amp;Pep=LTGIKHELQANCYEEVKDR&amp;Dta=/var/www/html/dta/S01/10564.5626.3.dta&amp;Global_Mod=CS57.0215", "5626")</f>
        <v>5626</v>
      </c>
      <c r="V80" s="38" t="s">
        <v>4854</v>
      </c>
      <c r="W80" s="10">
        <v>5316</v>
      </c>
      <c r="X80" s="4" t="s">
        <v>4854</v>
      </c>
      <c r="Y80" s="4" t="s">
        <v>4854</v>
      </c>
      <c r="Z80" s="4" t="s">
        <v>4854</v>
      </c>
      <c r="AA80" s="4" t="s">
        <v>4854</v>
      </c>
      <c r="AB80" s="4" t="s">
        <v>4854</v>
      </c>
      <c r="AC80" s="10">
        <v>5594</v>
      </c>
      <c r="AD80" s="4" t="s">
        <v>4854</v>
      </c>
      <c r="AE80" s="91">
        <v>4.2869999999999999</v>
      </c>
      <c r="AF80" s="100" t="s">
        <v>4854</v>
      </c>
      <c r="AG80" s="100" t="s">
        <v>4854</v>
      </c>
      <c r="AH80" s="91">
        <v>2.79</v>
      </c>
      <c r="AI80" s="100" t="s">
        <v>4854</v>
      </c>
      <c r="AJ80" s="100" t="s">
        <v>4854</v>
      </c>
      <c r="AK80" s="91">
        <v>4.4749999999999996</v>
      </c>
      <c r="AL80" s="100" t="s">
        <v>4854</v>
      </c>
      <c r="AM80" s="95">
        <v>2.9645999999999999</v>
      </c>
      <c r="AN80" s="103" t="s">
        <v>4854</v>
      </c>
      <c r="AO80" s="103" t="s">
        <v>4854</v>
      </c>
      <c r="AP80" s="95">
        <v>2.3058000000000001</v>
      </c>
      <c r="AQ80" s="103" t="s">
        <v>4854</v>
      </c>
      <c r="AR80" s="103" t="s">
        <v>4854</v>
      </c>
      <c r="AS80" s="95">
        <v>0.86370000000000002</v>
      </c>
      <c r="AT80" s="103" t="s">
        <v>4854</v>
      </c>
      <c r="AU80" s="95">
        <v>0.29799999999999999</v>
      </c>
      <c r="AV80" s="103" t="s">
        <v>4854</v>
      </c>
      <c r="AW80" s="103" t="s">
        <v>4854</v>
      </c>
      <c r="AX80" s="95">
        <v>8.2000000000000003E-2</v>
      </c>
      <c r="AY80" s="103" t="s">
        <v>4854</v>
      </c>
      <c r="AZ80" s="103" t="s">
        <v>4854</v>
      </c>
      <c r="BA80" s="95">
        <v>0.35799999999999998</v>
      </c>
      <c r="BB80" s="103" t="s">
        <v>4854</v>
      </c>
      <c r="BC80" s="10">
        <v>1</v>
      </c>
      <c r="BD80" s="4" t="s">
        <v>4854</v>
      </c>
      <c r="BE80" s="4" t="s">
        <v>4854</v>
      </c>
      <c r="BF80" s="10">
        <v>2</v>
      </c>
      <c r="BG80" s="4" t="s">
        <v>4854</v>
      </c>
      <c r="BH80" s="4" t="s">
        <v>4854</v>
      </c>
      <c r="BI80" s="10">
        <v>2</v>
      </c>
      <c r="BJ80" s="4" t="s">
        <v>4854</v>
      </c>
      <c r="BK80" s="91">
        <v>0.998</v>
      </c>
      <c r="BL80" s="100" t="s">
        <v>4854</v>
      </c>
      <c r="BM80" s="100" t="s">
        <v>4854</v>
      </c>
      <c r="BN80" s="91">
        <v>0.94499999999999995</v>
      </c>
      <c r="BO80" s="100" t="s">
        <v>4854</v>
      </c>
      <c r="BP80" s="100" t="s">
        <v>4854</v>
      </c>
      <c r="BQ80" s="91">
        <v>1</v>
      </c>
      <c r="BR80" s="100" t="s">
        <v>4854</v>
      </c>
      <c r="BS80" s="10" t="s">
        <v>4857</v>
      </c>
    </row>
    <row r="81" spans="1:71" s="30" customFormat="1" ht="17.100000000000001" customHeight="1">
      <c r="A81" s="14">
        <v>70</v>
      </c>
      <c r="B81" s="5" t="s">
        <v>4533</v>
      </c>
      <c r="C81" s="3" t="s">
        <v>4715</v>
      </c>
      <c r="D81" s="6" t="s">
        <v>4524</v>
      </c>
      <c r="E81" s="6" t="s">
        <v>4525</v>
      </c>
      <c r="F81" s="5" t="s">
        <v>4841</v>
      </c>
      <c r="G81" s="3" t="s">
        <v>4518</v>
      </c>
      <c r="H81" s="6" t="s">
        <v>4526</v>
      </c>
      <c r="I81" s="3" t="s">
        <v>4520</v>
      </c>
      <c r="J81" s="5" t="s">
        <v>4747</v>
      </c>
      <c r="K81" s="3" t="s">
        <v>5373</v>
      </c>
      <c r="L81" s="3" t="s">
        <v>4534</v>
      </c>
      <c r="M81" s="5">
        <v>2</v>
      </c>
      <c r="N81" s="21">
        <v>676.35</v>
      </c>
      <c r="O81" s="36" t="str">
        <f>HYPERLINK("http://ms.phosphosite.org:5080/cgi-bin/plot-msms.cgi?MassType=1&amp;NumAxis=1&amp;Mod5=160&amp;Mod10=170&amp;Pep=AVLFCLSEDKK&amp;Dta=/var/www/html/dta/S01/10558.8617.2.dta&amp;Global_Mod=CS57.0215", "8617")</f>
        <v>8617</v>
      </c>
      <c r="P81" s="36" t="str">
        <f>HYPERLINK("http://ms.phosphosite.org:5080/cgi-bin/plot-msms.cgi?MassType=1&amp;NumAxis=1&amp;Mod5=160&amp;Mod10=170&amp;Pep=AVLFCLSEDKK&amp;Dta=/var/www/html/dta/S01/10559.8597.2.dta&amp;Global_Mod=CS57.0215", "8597")</f>
        <v>8597</v>
      </c>
      <c r="Q81" s="36" t="str">
        <f>HYPERLINK("http://ms.phosphosite.org:5080/cgi-bin/plot-msms.cgi?MassType=1&amp;NumAxis=1&amp;Mod5=160&amp;Mod10=170&amp;Pep=AVLFCLSEDKK&amp;Dta=/var/www/html/dta/S01/10560.8603.2.dta&amp;Global_Mod=CS57.0215", "8603")</f>
        <v>8603</v>
      </c>
      <c r="R81" s="36" t="str">
        <f>HYPERLINK("http://ms.phosphosite.org:5080/cgi-bin/plot-msms.cgi?MassType=1&amp;NumAxis=1&amp;Mod5=160&amp;Mod10=170&amp;Pep=AVLFCLSEDKK&amp;Dta=/var/www/html/dta/S01/10561.8650.2.dta&amp;Global_Mod=CS57.0215", "8650")</f>
        <v>8650</v>
      </c>
      <c r="S81" s="36" t="str">
        <f>HYPERLINK("http://ms.phosphosite.org:5080/cgi-bin/plot-msms.cgi?MassType=1&amp;NumAxis=1&amp;Mod5=160&amp;Mod10=170&amp;Pep=AVLFCLSEDKK&amp;Dta=/var/www/html/dta/S01/10562.8763.2.dta&amp;Global_Mod=CS57.0215", "8763")</f>
        <v>8763</v>
      </c>
      <c r="T81" s="36" t="str">
        <f>HYPERLINK("http://ms.phosphosite.org:5080/cgi-bin/plot-msms.cgi?MassType=1&amp;NumAxis=1&amp;Mod5=160&amp;Mod10=170&amp;Pep=AVLFCLSEDKK&amp;Dta=/var/www/html/dta/S01/10563.8729.2.dta&amp;Global_Mod=CS57.0215", "8729")</f>
        <v>8729</v>
      </c>
      <c r="U81" s="36" t="str">
        <f>HYPERLINK("http://ms.phosphosite.org:5080/cgi-bin/plot-msms.cgi?MassType=1&amp;NumAxis=1&amp;Mod5=160&amp;Mod10=170&amp;Pep=AVLFCLSEDKK&amp;Dta=/var/www/html/dta/S01/10564.9195.2.dta&amp;Global_Mod=CS57.0215", "9195")</f>
        <v>9195</v>
      </c>
      <c r="V81" s="36" t="str">
        <f>HYPERLINK("http://ms.phosphosite.org:5080/cgi-bin/plot-msms.cgi?MassType=1&amp;NumAxis=1&amp;Mod5=160&amp;Mod10=170&amp;Pep=AVLFCLSEDKK&amp;Dta=/var/www/html/dta/S01/10565.9214.2.dta&amp;Global_Mod=CS57.0215", "9214")</f>
        <v>9214</v>
      </c>
      <c r="W81" s="5">
        <v>8656</v>
      </c>
      <c r="X81" s="5">
        <v>8593</v>
      </c>
      <c r="Y81" s="5">
        <v>8588</v>
      </c>
      <c r="Z81" s="5">
        <v>8637</v>
      </c>
      <c r="AA81" s="5">
        <v>8743</v>
      </c>
      <c r="AB81" s="5">
        <v>8741</v>
      </c>
      <c r="AC81" s="5">
        <v>9213</v>
      </c>
      <c r="AD81" s="5">
        <v>9221</v>
      </c>
      <c r="AE81" s="90">
        <v>2.6349999999999998</v>
      </c>
      <c r="AF81" s="90">
        <v>2.87</v>
      </c>
      <c r="AG81" s="90">
        <v>2.9260000000000002</v>
      </c>
      <c r="AH81" s="90">
        <v>3.0579999999999998</v>
      </c>
      <c r="AI81" s="90">
        <v>2.78</v>
      </c>
      <c r="AJ81" s="90">
        <v>3.0950000000000002</v>
      </c>
      <c r="AK81" s="90">
        <v>2.6150000000000002</v>
      </c>
      <c r="AL81" s="90">
        <v>2.7250000000000001</v>
      </c>
      <c r="AM81" s="21">
        <v>-0.32269999999999999</v>
      </c>
      <c r="AN81" s="21">
        <v>-0.1666</v>
      </c>
      <c r="AO81" s="21">
        <v>0.67979999999999996</v>
      </c>
      <c r="AP81" s="21">
        <v>0.3372</v>
      </c>
      <c r="AQ81" s="21">
        <v>-0.1081</v>
      </c>
      <c r="AR81" s="21">
        <v>-0.25829999999999997</v>
      </c>
      <c r="AS81" s="21">
        <v>-0.1769</v>
      </c>
      <c r="AT81" s="21">
        <v>2.4299999999999999E-2</v>
      </c>
      <c r="AU81" s="21">
        <v>0.245</v>
      </c>
      <c r="AV81" s="21">
        <v>0.29199999999999998</v>
      </c>
      <c r="AW81" s="21">
        <v>0.29099999999999998</v>
      </c>
      <c r="AX81" s="21">
        <v>0.35799999999999998</v>
      </c>
      <c r="AY81" s="21">
        <v>0.27700000000000002</v>
      </c>
      <c r="AZ81" s="21">
        <v>0.27700000000000002</v>
      </c>
      <c r="BA81" s="21">
        <v>0.27900000000000003</v>
      </c>
      <c r="BB81" s="21">
        <v>0.29799999999999999</v>
      </c>
      <c r="BC81" s="5">
        <v>1</v>
      </c>
      <c r="BD81" s="5">
        <v>2</v>
      </c>
      <c r="BE81" s="5">
        <v>2</v>
      </c>
      <c r="BF81" s="5">
        <v>1</v>
      </c>
      <c r="BG81" s="5">
        <v>3</v>
      </c>
      <c r="BH81" s="5">
        <v>1</v>
      </c>
      <c r="BI81" s="5">
        <v>1</v>
      </c>
      <c r="BJ81" s="5">
        <v>1</v>
      </c>
      <c r="BK81" s="90">
        <v>1</v>
      </c>
      <c r="BL81" s="90">
        <v>1</v>
      </c>
      <c r="BM81" s="90">
        <v>1</v>
      </c>
      <c r="BN81" s="90">
        <v>1</v>
      </c>
      <c r="BO81" s="90">
        <v>1</v>
      </c>
      <c r="BP81" s="90">
        <v>1</v>
      </c>
      <c r="BQ81" s="90">
        <v>1</v>
      </c>
      <c r="BR81" s="90">
        <v>1</v>
      </c>
      <c r="BS81" s="5" t="s">
        <v>4857</v>
      </c>
    </row>
    <row r="82" spans="1:71" s="30" customFormat="1" ht="17.100000000000001" customHeight="1">
      <c r="A82" s="10">
        <v>71</v>
      </c>
      <c r="B82" s="10" t="s">
        <v>4535</v>
      </c>
      <c r="C82" s="4" t="s">
        <v>4715</v>
      </c>
      <c r="D82" s="7" t="s">
        <v>4524</v>
      </c>
      <c r="E82" s="7" t="s">
        <v>4525</v>
      </c>
      <c r="F82" s="10" t="s">
        <v>4670</v>
      </c>
      <c r="G82" s="4" t="s">
        <v>4518</v>
      </c>
      <c r="H82" s="7" t="s">
        <v>4526</v>
      </c>
      <c r="I82" s="4" t="s">
        <v>4520</v>
      </c>
      <c r="J82" s="10" t="s">
        <v>4747</v>
      </c>
      <c r="K82" s="4" t="s">
        <v>5374</v>
      </c>
      <c r="L82" s="4" t="s">
        <v>4536</v>
      </c>
      <c r="M82" s="10">
        <v>2</v>
      </c>
      <c r="N82" s="95">
        <v>538.74680000000001</v>
      </c>
      <c r="O82" s="38" t="s">
        <v>4854</v>
      </c>
      <c r="P82" s="38" t="s">
        <v>4854</v>
      </c>
      <c r="Q82" s="38" t="s">
        <v>4854</v>
      </c>
      <c r="R82" s="38" t="s">
        <v>4854</v>
      </c>
      <c r="S82" s="38" t="s">
        <v>4854</v>
      </c>
      <c r="T82" s="38" t="s">
        <v>4854</v>
      </c>
      <c r="U82" s="38" t="s">
        <v>4854</v>
      </c>
      <c r="V82" s="37" t="str">
        <f>HYPERLINK("http://ms.phosphosite.org:5080/cgi-bin/plot-msms.cgi?MassType=1&amp;NumAxis=1&amp;Mod5=170&amp;Mod7=160&amp;Pep=MLPDKDCR&amp;Dta=/var/www/html/dta/S01/10565.3614.2.dta&amp;Global_Mod=CS57.0215", "3614")</f>
        <v>3614</v>
      </c>
      <c r="W82" s="4" t="s">
        <v>4854</v>
      </c>
      <c r="X82" s="4" t="s">
        <v>4854</v>
      </c>
      <c r="Y82" s="4" t="s">
        <v>4854</v>
      </c>
      <c r="Z82" s="4" t="s">
        <v>4854</v>
      </c>
      <c r="AA82" s="4" t="s">
        <v>4854</v>
      </c>
      <c r="AB82" s="4" t="s">
        <v>4854</v>
      </c>
      <c r="AC82" s="4" t="s">
        <v>4854</v>
      </c>
      <c r="AD82" s="4" t="s">
        <v>4854</v>
      </c>
      <c r="AE82" s="100" t="s">
        <v>4854</v>
      </c>
      <c r="AF82" s="100" t="s">
        <v>4854</v>
      </c>
      <c r="AG82" s="100" t="s">
        <v>4854</v>
      </c>
      <c r="AH82" s="100" t="s">
        <v>4854</v>
      </c>
      <c r="AI82" s="100" t="s">
        <v>4854</v>
      </c>
      <c r="AJ82" s="100" t="s">
        <v>4854</v>
      </c>
      <c r="AK82" s="100" t="s">
        <v>4854</v>
      </c>
      <c r="AL82" s="91">
        <v>1.54</v>
      </c>
      <c r="AM82" s="103" t="s">
        <v>4854</v>
      </c>
      <c r="AN82" s="103" t="s">
        <v>4854</v>
      </c>
      <c r="AO82" s="103" t="s">
        <v>4854</v>
      </c>
      <c r="AP82" s="103" t="s">
        <v>4854</v>
      </c>
      <c r="AQ82" s="103" t="s">
        <v>4854</v>
      </c>
      <c r="AR82" s="103" t="s">
        <v>4854</v>
      </c>
      <c r="AS82" s="103" t="s">
        <v>4854</v>
      </c>
      <c r="AT82" s="95">
        <v>0.1119</v>
      </c>
      <c r="AU82" s="103" t="s">
        <v>4854</v>
      </c>
      <c r="AV82" s="103" t="s">
        <v>4854</v>
      </c>
      <c r="AW82" s="103" t="s">
        <v>4854</v>
      </c>
      <c r="AX82" s="103" t="s">
        <v>4854</v>
      </c>
      <c r="AY82" s="103" t="s">
        <v>4854</v>
      </c>
      <c r="AZ82" s="103" t="s">
        <v>4854</v>
      </c>
      <c r="BA82" s="103" t="s">
        <v>4854</v>
      </c>
      <c r="BB82" s="95">
        <v>9.9000000000000005E-2</v>
      </c>
      <c r="BC82" s="4" t="s">
        <v>4854</v>
      </c>
      <c r="BD82" s="4" t="s">
        <v>4854</v>
      </c>
      <c r="BE82" s="4" t="s">
        <v>4854</v>
      </c>
      <c r="BF82" s="4" t="s">
        <v>4854</v>
      </c>
      <c r="BG82" s="4" t="s">
        <v>4854</v>
      </c>
      <c r="BH82" s="4" t="s">
        <v>4854</v>
      </c>
      <c r="BI82" s="4" t="s">
        <v>4854</v>
      </c>
      <c r="BJ82" s="10">
        <v>95</v>
      </c>
      <c r="BK82" s="100" t="s">
        <v>4854</v>
      </c>
      <c r="BL82" s="100" t="s">
        <v>4854</v>
      </c>
      <c r="BM82" s="100" t="s">
        <v>4854</v>
      </c>
      <c r="BN82" s="100" t="s">
        <v>4854</v>
      </c>
      <c r="BO82" s="100" t="s">
        <v>4854</v>
      </c>
      <c r="BP82" s="100" t="s">
        <v>4854</v>
      </c>
      <c r="BQ82" s="100" t="s">
        <v>4854</v>
      </c>
      <c r="BR82" s="91">
        <v>0.78600000000000003</v>
      </c>
      <c r="BS82" s="10" t="s">
        <v>4857</v>
      </c>
    </row>
    <row r="83" spans="1:71" s="30" customFormat="1" ht="17.100000000000001" customHeight="1">
      <c r="A83" s="10">
        <v>72</v>
      </c>
      <c r="B83" s="10" t="s">
        <v>4537</v>
      </c>
      <c r="C83" s="4" t="s">
        <v>4715</v>
      </c>
      <c r="D83" s="7" t="s">
        <v>4524</v>
      </c>
      <c r="E83" s="7" t="s">
        <v>4525</v>
      </c>
      <c r="F83" s="10" t="s">
        <v>4670</v>
      </c>
      <c r="G83" s="4" t="s">
        <v>4518</v>
      </c>
      <c r="H83" s="7" t="s">
        <v>4526</v>
      </c>
      <c r="I83" s="4" t="s">
        <v>4520</v>
      </c>
      <c r="J83" s="10" t="s">
        <v>4747</v>
      </c>
      <c r="K83" s="4" t="s">
        <v>5374</v>
      </c>
      <c r="L83" s="4" t="s">
        <v>4538</v>
      </c>
      <c r="M83" s="10">
        <v>2</v>
      </c>
      <c r="N83" s="95">
        <v>546.74429999999995</v>
      </c>
      <c r="O83" s="37" t="str">
        <f>HYPERLINK("http://ms.phosphosite.org:5080/cgi-bin/plot-msms.cgi?MassType=1&amp;NumAxis=1&amp;Mod1=147&amp;Mod5=170&amp;Mod7=160&amp;Pep=MLPDKDCR&amp;Dta=/var/www/html/dta/S01/10558.2649.2.dta&amp;Global_Mod=CS57.0215", "2649")</f>
        <v>2649</v>
      </c>
      <c r="P83" s="38" t="s">
        <v>4854</v>
      </c>
      <c r="Q83" s="38" t="s">
        <v>4854</v>
      </c>
      <c r="R83" s="38" t="s">
        <v>4854</v>
      </c>
      <c r="S83" s="38" t="s">
        <v>4854</v>
      </c>
      <c r="T83" s="38" t="s">
        <v>4854</v>
      </c>
      <c r="U83" s="38" t="s">
        <v>4854</v>
      </c>
      <c r="V83" s="38" t="s">
        <v>4854</v>
      </c>
      <c r="W83" s="4" t="s">
        <v>4854</v>
      </c>
      <c r="X83" s="4" t="s">
        <v>4854</v>
      </c>
      <c r="Y83" s="4" t="s">
        <v>4854</v>
      </c>
      <c r="Z83" s="4" t="s">
        <v>4854</v>
      </c>
      <c r="AA83" s="4" t="s">
        <v>4854</v>
      </c>
      <c r="AB83" s="4" t="s">
        <v>4854</v>
      </c>
      <c r="AC83" s="4" t="s">
        <v>4854</v>
      </c>
      <c r="AD83" s="4" t="s">
        <v>4854</v>
      </c>
      <c r="AE83" s="91">
        <v>1.786</v>
      </c>
      <c r="AF83" s="100" t="s">
        <v>4854</v>
      </c>
      <c r="AG83" s="100" t="s">
        <v>4854</v>
      </c>
      <c r="AH83" s="100" t="s">
        <v>4854</v>
      </c>
      <c r="AI83" s="100" t="s">
        <v>4854</v>
      </c>
      <c r="AJ83" s="100" t="s">
        <v>4854</v>
      </c>
      <c r="AK83" s="100" t="s">
        <v>4854</v>
      </c>
      <c r="AL83" s="100" t="s">
        <v>4854</v>
      </c>
      <c r="AM83" s="95">
        <v>-0.29310000000000003</v>
      </c>
      <c r="AN83" s="103" t="s">
        <v>4854</v>
      </c>
      <c r="AO83" s="103" t="s">
        <v>4854</v>
      </c>
      <c r="AP83" s="103" t="s">
        <v>4854</v>
      </c>
      <c r="AQ83" s="103" t="s">
        <v>4854</v>
      </c>
      <c r="AR83" s="103" t="s">
        <v>4854</v>
      </c>
      <c r="AS83" s="103" t="s">
        <v>4854</v>
      </c>
      <c r="AT83" s="103" t="s">
        <v>4854</v>
      </c>
      <c r="AU83" s="95">
        <v>1.9E-2</v>
      </c>
      <c r="AV83" s="103" t="s">
        <v>4854</v>
      </c>
      <c r="AW83" s="103" t="s">
        <v>4854</v>
      </c>
      <c r="AX83" s="103" t="s">
        <v>4854</v>
      </c>
      <c r="AY83" s="103" t="s">
        <v>4854</v>
      </c>
      <c r="AZ83" s="103" t="s">
        <v>4854</v>
      </c>
      <c r="BA83" s="103" t="s">
        <v>4854</v>
      </c>
      <c r="BB83" s="103" t="s">
        <v>4854</v>
      </c>
      <c r="BC83" s="10">
        <v>15</v>
      </c>
      <c r="BD83" s="4" t="s">
        <v>4854</v>
      </c>
      <c r="BE83" s="4" t="s">
        <v>4854</v>
      </c>
      <c r="BF83" s="4" t="s">
        <v>4854</v>
      </c>
      <c r="BG83" s="4" t="s">
        <v>4854</v>
      </c>
      <c r="BH83" s="4" t="s">
        <v>4854</v>
      </c>
      <c r="BI83" s="4" t="s">
        <v>4854</v>
      </c>
      <c r="BJ83" s="4" t="s">
        <v>4854</v>
      </c>
      <c r="BK83" s="91">
        <v>0.85</v>
      </c>
      <c r="BL83" s="100" t="s">
        <v>4854</v>
      </c>
      <c r="BM83" s="100" t="s">
        <v>4854</v>
      </c>
      <c r="BN83" s="100" t="s">
        <v>4854</v>
      </c>
      <c r="BO83" s="100" t="s">
        <v>4854</v>
      </c>
      <c r="BP83" s="100" t="s">
        <v>4854</v>
      </c>
      <c r="BQ83" s="100" t="s">
        <v>4854</v>
      </c>
      <c r="BR83" s="100" t="s">
        <v>4854</v>
      </c>
      <c r="BS83" s="10" t="s">
        <v>4857</v>
      </c>
    </row>
    <row r="84" spans="1:71" s="30" customFormat="1" ht="17.100000000000001" customHeight="1">
      <c r="A84" s="14">
        <v>73</v>
      </c>
      <c r="B84" s="5" t="s">
        <v>4539</v>
      </c>
      <c r="C84" s="3" t="s">
        <v>4715</v>
      </c>
      <c r="D84" s="3" t="s">
        <v>4540</v>
      </c>
      <c r="E84" s="3" t="s">
        <v>4541</v>
      </c>
      <c r="F84" s="5" t="s">
        <v>4542</v>
      </c>
      <c r="G84" s="3" t="s">
        <v>4543</v>
      </c>
      <c r="H84" s="6" t="s">
        <v>4544</v>
      </c>
      <c r="I84" s="3" t="s">
        <v>4545</v>
      </c>
      <c r="J84" s="5" t="s">
        <v>4546</v>
      </c>
      <c r="K84" s="3" t="s">
        <v>5375</v>
      </c>
      <c r="L84" s="3" t="s">
        <v>4547</v>
      </c>
      <c r="M84" s="5">
        <v>2</v>
      </c>
      <c r="N84" s="21">
        <v>702.42899999999997</v>
      </c>
      <c r="O84" s="35" t="s">
        <v>4854</v>
      </c>
      <c r="P84" s="35" t="s">
        <v>4854</v>
      </c>
      <c r="Q84" s="36" t="str">
        <f>HYPERLINK("http://ms.phosphosite.org:5080/cgi-bin/plot-msms.cgi?MassType=1&amp;NumAxis=1&amp;Mod5=170&amp;Pep=VAILKYIETLAK&amp;Dta=/var/www/html/dta/S01/10560.14502.2.dta&amp;Global_Mod=CS57.0215", "14502")</f>
        <v>14502</v>
      </c>
      <c r="R84" s="36" t="str">
        <f>HYPERLINK("http://ms.phosphosite.org:5080/cgi-bin/plot-msms.cgi?MassType=1&amp;NumAxis=1&amp;Mod5=170&amp;Pep=VAILKYIETLAK&amp;Dta=/var/www/html/dta/S01/10561.14502.2.dta&amp;Global_Mod=CS57.0215", "14502")</f>
        <v>14502</v>
      </c>
      <c r="S84" s="36" t="str">
        <f>HYPERLINK("http://ms.phosphosite.org:5080/cgi-bin/plot-msms.cgi?MassType=1&amp;NumAxis=1&amp;Mod5=170&amp;Pep=VAILKYIETLAK&amp;Dta=/var/www/html/dta/S01/10562.14713.2.dta&amp;Global_Mod=CS57.0215", "14713")</f>
        <v>14713</v>
      </c>
      <c r="T84" s="35" t="s">
        <v>4854</v>
      </c>
      <c r="U84" s="35" t="s">
        <v>4854</v>
      </c>
      <c r="V84" s="35" t="s">
        <v>4854</v>
      </c>
      <c r="W84" s="3" t="s">
        <v>4854</v>
      </c>
      <c r="X84" s="3" t="s">
        <v>4854</v>
      </c>
      <c r="Y84" s="5">
        <v>14519</v>
      </c>
      <c r="Z84" s="5">
        <v>14503</v>
      </c>
      <c r="AA84" s="5">
        <v>14723</v>
      </c>
      <c r="AB84" s="3" t="s">
        <v>4854</v>
      </c>
      <c r="AC84" s="3" t="s">
        <v>4854</v>
      </c>
      <c r="AD84" s="3" t="s">
        <v>4854</v>
      </c>
      <c r="AE84" s="99" t="s">
        <v>4854</v>
      </c>
      <c r="AF84" s="99" t="s">
        <v>4854</v>
      </c>
      <c r="AG84" s="90">
        <v>3.0750000000000002</v>
      </c>
      <c r="AH84" s="90">
        <v>2.1429999999999998</v>
      </c>
      <c r="AI84" s="90">
        <v>2.5760000000000001</v>
      </c>
      <c r="AJ84" s="99" t="s">
        <v>4854</v>
      </c>
      <c r="AK84" s="99" t="s">
        <v>4854</v>
      </c>
      <c r="AL84" s="99" t="s">
        <v>4854</v>
      </c>
      <c r="AM84" s="102" t="s">
        <v>4854</v>
      </c>
      <c r="AN84" s="102" t="s">
        <v>4854</v>
      </c>
      <c r="AO84" s="21">
        <v>0.62870000000000004</v>
      </c>
      <c r="AP84" s="21">
        <v>1.1273</v>
      </c>
      <c r="AQ84" s="21">
        <v>0.78690000000000004</v>
      </c>
      <c r="AR84" s="102" t="s">
        <v>4854</v>
      </c>
      <c r="AS84" s="102" t="s">
        <v>4854</v>
      </c>
      <c r="AT84" s="102" t="s">
        <v>4854</v>
      </c>
      <c r="AU84" s="102" t="s">
        <v>4854</v>
      </c>
      <c r="AV84" s="102" t="s">
        <v>4854</v>
      </c>
      <c r="AW84" s="21">
        <v>0.31</v>
      </c>
      <c r="AX84" s="21">
        <v>2.7E-2</v>
      </c>
      <c r="AY84" s="21">
        <v>0.255</v>
      </c>
      <c r="AZ84" s="102" t="s">
        <v>4854</v>
      </c>
      <c r="BA84" s="102" t="s">
        <v>4854</v>
      </c>
      <c r="BB84" s="102" t="s">
        <v>4854</v>
      </c>
      <c r="BC84" s="3" t="s">
        <v>4854</v>
      </c>
      <c r="BD84" s="3" t="s">
        <v>4854</v>
      </c>
      <c r="BE84" s="5">
        <v>1</v>
      </c>
      <c r="BF84" s="5">
        <v>2</v>
      </c>
      <c r="BG84" s="5">
        <v>1</v>
      </c>
      <c r="BH84" s="3" t="s">
        <v>4854</v>
      </c>
      <c r="BI84" s="3" t="s">
        <v>4854</v>
      </c>
      <c r="BJ84" s="3" t="s">
        <v>4854</v>
      </c>
      <c r="BK84" s="99" t="s">
        <v>4854</v>
      </c>
      <c r="BL84" s="99" t="s">
        <v>4854</v>
      </c>
      <c r="BM84" s="90">
        <v>1</v>
      </c>
      <c r="BN84" s="90">
        <v>0.95</v>
      </c>
      <c r="BO84" s="90">
        <v>0.999</v>
      </c>
      <c r="BP84" s="99" t="s">
        <v>4854</v>
      </c>
      <c r="BQ84" s="99" t="s">
        <v>4854</v>
      </c>
      <c r="BR84" s="99" t="s">
        <v>4854</v>
      </c>
      <c r="BS84" s="5" t="s">
        <v>4857</v>
      </c>
    </row>
    <row r="85" spans="1:71" s="30" customFormat="1" ht="17.100000000000001" customHeight="1">
      <c r="A85" s="10">
        <v>74</v>
      </c>
      <c r="B85" s="10" t="s">
        <v>4548</v>
      </c>
      <c r="C85" s="4" t="s">
        <v>4715</v>
      </c>
      <c r="D85" s="4" t="s">
        <v>4549</v>
      </c>
      <c r="E85" s="7" t="s">
        <v>4550</v>
      </c>
      <c r="F85" s="10" t="s">
        <v>5051</v>
      </c>
      <c r="G85" s="4" t="s">
        <v>4551</v>
      </c>
      <c r="H85" s="7" t="s">
        <v>4552</v>
      </c>
      <c r="I85" s="4" t="s">
        <v>4553</v>
      </c>
      <c r="J85" s="10" t="s">
        <v>4554</v>
      </c>
      <c r="K85" s="4" t="s">
        <v>5376</v>
      </c>
      <c r="L85" s="4" t="s">
        <v>4555</v>
      </c>
      <c r="M85" s="10">
        <v>2</v>
      </c>
      <c r="N85" s="95">
        <v>549.30309999999997</v>
      </c>
      <c r="O85" s="37" t="str">
        <f>HYPERLINK("http://ms.phosphosite.org:5080/cgi-bin/plot-msms.cgi?MassType=1&amp;NumAxis=1&amp;Mod7=170&amp;Pep=AVNYFSKVK&amp;Dta=/var/www/html/dta/S01/10558.6682.2.dta&amp;Global_Mod=CS57.0215", "6682")</f>
        <v>6682</v>
      </c>
      <c r="P85" s="37" t="str">
        <f>HYPERLINK("http://ms.phosphosite.org:5080/cgi-bin/plot-msms.cgi?MassType=1&amp;NumAxis=1&amp;Mod7=170&amp;Pep=AVNYFSKVK&amp;Dta=/var/www/html/dta/S01/10559.6606.2.dta&amp;Global_Mod=CS57.0215", "6606")</f>
        <v>6606</v>
      </c>
      <c r="Q85" s="37" t="str">
        <f>HYPERLINK("http://ms.phosphosite.org:5080/cgi-bin/plot-msms.cgi?MassType=1&amp;NumAxis=1&amp;Mod7=170&amp;Pep=AVNYFSKVK&amp;Dta=/var/www/html/dta/S01/10560.6599.2.dta&amp;Global_Mod=CS57.0215", "6599")</f>
        <v>6599</v>
      </c>
      <c r="R85" s="37" t="str">
        <f>HYPERLINK("http://ms.phosphosite.org:5080/cgi-bin/plot-msms.cgi?MassType=1&amp;NumAxis=1&amp;Mod7=170&amp;Pep=AVNYFSKVK&amp;Dta=/var/www/html/dta/S01/10561.6648.2.dta&amp;Global_Mod=CS57.0215", "6648")</f>
        <v>6648</v>
      </c>
      <c r="S85" s="38" t="s">
        <v>4854</v>
      </c>
      <c r="T85" s="37" t="str">
        <f>HYPERLINK("http://ms.phosphosite.org:5080/cgi-bin/plot-msms.cgi?MassType=1&amp;NumAxis=1&amp;Mod7=170&amp;Pep=AVNYFSKVK&amp;Dta=/var/www/html/dta/S01/10563.6718.2.dta&amp;Global_Mod=CS57.0215", "6718")</f>
        <v>6718</v>
      </c>
      <c r="U85" s="37" t="str">
        <f>HYPERLINK("http://ms.phosphosite.org:5080/cgi-bin/plot-msms.cgi?MassType=1&amp;NumAxis=1&amp;Mod7=170&amp;Pep=AVNYFSKVK&amp;Dta=/var/www/html/dta/S01/10564.7118.2.dta&amp;Global_Mod=CS57.0215", "7118")</f>
        <v>7118</v>
      </c>
      <c r="V85" s="38" t="s">
        <v>4854</v>
      </c>
      <c r="W85" s="10">
        <v>6699</v>
      </c>
      <c r="X85" s="10">
        <v>6613</v>
      </c>
      <c r="Y85" s="10">
        <v>6619</v>
      </c>
      <c r="Z85" s="10">
        <v>6668</v>
      </c>
      <c r="AA85" s="4" t="s">
        <v>4854</v>
      </c>
      <c r="AB85" s="10">
        <v>6728</v>
      </c>
      <c r="AC85" s="10">
        <v>7123</v>
      </c>
      <c r="AD85" s="4" t="s">
        <v>4854</v>
      </c>
      <c r="AE85" s="91">
        <v>2.6280000000000001</v>
      </c>
      <c r="AF85" s="91">
        <v>2.2690000000000001</v>
      </c>
      <c r="AG85" s="91">
        <v>2.1720000000000002</v>
      </c>
      <c r="AH85" s="91">
        <v>2.1440000000000001</v>
      </c>
      <c r="AI85" s="100" t="s">
        <v>4854</v>
      </c>
      <c r="AJ85" s="91">
        <v>2.056</v>
      </c>
      <c r="AK85" s="91">
        <v>2.0630000000000002</v>
      </c>
      <c r="AL85" s="100" t="s">
        <v>4854</v>
      </c>
      <c r="AM85" s="95">
        <v>0.2107</v>
      </c>
      <c r="AN85" s="95">
        <v>0.2772</v>
      </c>
      <c r="AO85" s="95">
        <v>0.3054</v>
      </c>
      <c r="AP85" s="95">
        <v>0.46210000000000001</v>
      </c>
      <c r="AQ85" s="103" t="s">
        <v>4854</v>
      </c>
      <c r="AR85" s="95">
        <v>0.1769</v>
      </c>
      <c r="AS85" s="95">
        <v>0.19239999999999999</v>
      </c>
      <c r="AT85" s="103" t="s">
        <v>4854</v>
      </c>
      <c r="AU85" s="95">
        <v>0.17599999999999999</v>
      </c>
      <c r="AV85" s="95">
        <v>0.16300000000000001</v>
      </c>
      <c r="AW85" s="95">
        <v>0.187</v>
      </c>
      <c r="AX85" s="95">
        <v>0.23899999999999999</v>
      </c>
      <c r="AY85" s="103" t="s">
        <v>4854</v>
      </c>
      <c r="AZ85" s="95">
        <v>0.19600000000000001</v>
      </c>
      <c r="BA85" s="95">
        <v>0.17299999999999999</v>
      </c>
      <c r="BB85" s="103" t="s">
        <v>4854</v>
      </c>
      <c r="BC85" s="10">
        <v>1</v>
      </c>
      <c r="BD85" s="10">
        <v>1</v>
      </c>
      <c r="BE85" s="10">
        <v>1</v>
      </c>
      <c r="BF85" s="10">
        <v>1</v>
      </c>
      <c r="BG85" s="4" t="s">
        <v>4854</v>
      </c>
      <c r="BH85" s="10">
        <v>1</v>
      </c>
      <c r="BI85" s="10">
        <v>1</v>
      </c>
      <c r="BJ85" s="4" t="s">
        <v>4854</v>
      </c>
      <c r="BK85" s="91">
        <v>0.998</v>
      </c>
      <c r="BL85" s="91">
        <v>0.996</v>
      </c>
      <c r="BM85" s="91">
        <v>0.996</v>
      </c>
      <c r="BN85" s="91">
        <v>0.998</v>
      </c>
      <c r="BO85" s="100" t="s">
        <v>4854</v>
      </c>
      <c r="BP85" s="91">
        <v>0.995</v>
      </c>
      <c r="BQ85" s="91">
        <v>0.99399999999999999</v>
      </c>
      <c r="BR85" s="100" t="s">
        <v>4854</v>
      </c>
      <c r="BS85" s="10" t="s">
        <v>4857</v>
      </c>
    </row>
    <row r="86" spans="1:71" s="30" customFormat="1" ht="17.100000000000001" customHeight="1">
      <c r="A86" s="14">
        <v>75</v>
      </c>
      <c r="B86" s="5" t="s">
        <v>4556</v>
      </c>
      <c r="C86" s="3" t="s">
        <v>4715</v>
      </c>
      <c r="D86" s="3" t="s">
        <v>4549</v>
      </c>
      <c r="E86" s="6" t="s">
        <v>4550</v>
      </c>
      <c r="F86" s="5" t="s">
        <v>4557</v>
      </c>
      <c r="G86" s="3" t="s">
        <v>4551</v>
      </c>
      <c r="H86" s="6" t="s">
        <v>4552</v>
      </c>
      <c r="I86" s="3" t="s">
        <v>4553</v>
      </c>
      <c r="J86" s="5" t="s">
        <v>4554</v>
      </c>
      <c r="K86" s="3" t="s">
        <v>5377</v>
      </c>
      <c r="L86" s="3" t="s">
        <v>4558</v>
      </c>
      <c r="M86" s="5">
        <v>2</v>
      </c>
      <c r="N86" s="21">
        <v>847.95920000000001</v>
      </c>
      <c r="O86" s="35" t="s">
        <v>4854</v>
      </c>
      <c r="P86" s="35" t="s">
        <v>4854</v>
      </c>
      <c r="Q86" s="35" t="s">
        <v>4854</v>
      </c>
      <c r="R86" s="36" t="str">
        <f>HYPERLINK("http://ms.phosphosite.org:5080/cgi-bin/plot-msms.cgi?MassType=1&amp;NumAxis=1&amp;Mod5=170&amp;Pep=NNLQKYIEIYVQK&amp;Dta=/var/www/html/dta/S01/10561.11310.2.dta&amp;Global_Mod=CS57.0215", "11310")</f>
        <v>11310</v>
      </c>
      <c r="S86" s="35" t="s">
        <v>4854</v>
      </c>
      <c r="T86" s="35" t="s">
        <v>4854</v>
      </c>
      <c r="U86" s="35" t="s">
        <v>4854</v>
      </c>
      <c r="V86" s="35" t="s">
        <v>4854</v>
      </c>
      <c r="W86" s="3" t="s">
        <v>4854</v>
      </c>
      <c r="X86" s="3" t="s">
        <v>4854</v>
      </c>
      <c r="Y86" s="3" t="s">
        <v>4854</v>
      </c>
      <c r="Z86" s="3" t="s">
        <v>4854</v>
      </c>
      <c r="AA86" s="3" t="s">
        <v>4854</v>
      </c>
      <c r="AB86" s="3" t="s">
        <v>4854</v>
      </c>
      <c r="AC86" s="3" t="s">
        <v>4854</v>
      </c>
      <c r="AD86" s="3" t="s">
        <v>4854</v>
      </c>
      <c r="AE86" s="99" t="s">
        <v>4854</v>
      </c>
      <c r="AF86" s="99" t="s">
        <v>4854</v>
      </c>
      <c r="AG86" s="99" t="s">
        <v>4854</v>
      </c>
      <c r="AH86" s="90">
        <v>1.5860000000000001</v>
      </c>
      <c r="AI86" s="99" t="s">
        <v>4854</v>
      </c>
      <c r="AJ86" s="99" t="s">
        <v>4854</v>
      </c>
      <c r="AK86" s="99" t="s">
        <v>4854</v>
      </c>
      <c r="AL86" s="99" t="s">
        <v>4854</v>
      </c>
      <c r="AM86" s="102" t="s">
        <v>4854</v>
      </c>
      <c r="AN86" s="102" t="s">
        <v>4854</v>
      </c>
      <c r="AO86" s="102" t="s">
        <v>4854</v>
      </c>
      <c r="AP86" s="21">
        <v>0.92110000000000003</v>
      </c>
      <c r="AQ86" s="102" t="s">
        <v>4854</v>
      </c>
      <c r="AR86" s="102" t="s">
        <v>4854</v>
      </c>
      <c r="AS86" s="102" t="s">
        <v>4854</v>
      </c>
      <c r="AT86" s="102" t="s">
        <v>4854</v>
      </c>
      <c r="AU86" s="102" t="s">
        <v>4854</v>
      </c>
      <c r="AV86" s="102" t="s">
        <v>4854</v>
      </c>
      <c r="AW86" s="102" t="s">
        <v>4854</v>
      </c>
      <c r="AX86" s="21">
        <v>0.156</v>
      </c>
      <c r="AY86" s="102" t="s">
        <v>4854</v>
      </c>
      <c r="AZ86" s="102" t="s">
        <v>4854</v>
      </c>
      <c r="BA86" s="102" t="s">
        <v>4854</v>
      </c>
      <c r="BB86" s="102" t="s">
        <v>4854</v>
      </c>
      <c r="BC86" s="3" t="s">
        <v>4854</v>
      </c>
      <c r="BD86" s="3" t="s">
        <v>4854</v>
      </c>
      <c r="BE86" s="3" t="s">
        <v>4854</v>
      </c>
      <c r="BF86" s="5">
        <v>11</v>
      </c>
      <c r="BG86" s="3" t="s">
        <v>4854</v>
      </c>
      <c r="BH86" s="3" t="s">
        <v>4854</v>
      </c>
      <c r="BI86" s="3" t="s">
        <v>4854</v>
      </c>
      <c r="BJ86" s="3" t="s">
        <v>4854</v>
      </c>
      <c r="BK86" s="99" t="s">
        <v>4854</v>
      </c>
      <c r="BL86" s="99" t="s">
        <v>4854</v>
      </c>
      <c r="BM86" s="99" t="s">
        <v>4854</v>
      </c>
      <c r="BN86" s="90">
        <v>0.92</v>
      </c>
      <c r="BO86" s="99" t="s">
        <v>4854</v>
      </c>
      <c r="BP86" s="99" t="s">
        <v>4854</v>
      </c>
      <c r="BQ86" s="99" t="s">
        <v>4854</v>
      </c>
      <c r="BR86" s="99" t="s">
        <v>4854</v>
      </c>
      <c r="BS86" s="5" t="s">
        <v>4857</v>
      </c>
    </row>
    <row r="87" spans="1:71" s="30" customFormat="1" ht="17.100000000000001" customHeight="1">
      <c r="A87" s="14">
        <v>76</v>
      </c>
      <c r="B87" s="5" t="s">
        <v>4559</v>
      </c>
      <c r="C87" s="3" t="s">
        <v>4715</v>
      </c>
      <c r="D87" s="3" t="s">
        <v>4549</v>
      </c>
      <c r="E87" s="6" t="s">
        <v>4550</v>
      </c>
      <c r="F87" s="5" t="s">
        <v>4557</v>
      </c>
      <c r="G87" s="3" t="s">
        <v>4551</v>
      </c>
      <c r="H87" s="6" t="s">
        <v>4552</v>
      </c>
      <c r="I87" s="3" t="s">
        <v>4553</v>
      </c>
      <c r="J87" s="5" t="s">
        <v>4554</v>
      </c>
      <c r="K87" s="3" t="s">
        <v>5377</v>
      </c>
      <c r="L87" s="3" t="s">
        <v>4558</v>
      </c>
      <c r="M87" s="5">
        <v>3</v>
      </c>
      <c r="N87" s="21">
        <v>565.64189999999996</v>
      </c>
      <c r="O87" s="36" t="str">
        <f>HYPERLINK("http://ms.phosphosite.org:5080/cgi-bin/plot-msms.cgi?MassType=1&amp;NumAxis=1&amp;Mod5=170&amp;Pep=NNLQKYIEIYVQK&amp;Dta=/var/www/html/dta/S01/10558.11255.3.dta&amp;Global_Mod=CS57.0215", "11255")</f>
        <v>11255</v>
      </c>
      <c r="P87" s="36" t="str">
        <f>HYPERLINK("http://ms.phosphosite.org:5080/cgi-bin/plot-msms.cgi?MassType=1&amp;NumAxis=1&amp;Mod5=170&amp;Pep=NNLQKYIEIYVQK&amp;Dta=/var/www/html/dta/S01/10559.11236.3.dta&amp;Global_Mod=CS57.0215", "11236")</f>
        <v>11236</v>
      </c>
      <c r="Q87" s="36" t="str">
        <f>HYPERLINK("http://ms.phosphosite.org:5080/cgi-bin/plot-msms.cgi?MassType=1&amp;NumAxis=1&amp;Mod5=170&amp;Pep=NNLQKYIEIYVQK&amp;Dta=/var/www/html/dta/S01/10560.11271.3.dta&amp;Global_Mod=CS57.0215", "11271")</f>
        <v>11271</v>
      </c>
      <c r="R87" s="36" t="str">
        <f>HYPERLINK("http://ms.phosphosite.org:5080/cgi-bin/plot-msms.cgi?MassType=1&amp;NumAxis=1&amp;Mod5=170&amp;Pep=NNLQKYIEIYVQK&amp;Dta=/var/www/html/dta/S01/10561.11308.3.dta&amp;Global_Mod=CS57.0215", "11308")</f>
        <v>11308</v>
      </c>
      <c r="S87" s="36" t="str">
        <f>HYPERLINK("http://ms.phosphosite.org:5080/cgi-bin/plot-msms.cgi?MassType=1&amp;NumAxis=1&amp;Mod5=170&amp;Pep=NNLQKYIEIYVQK&amp;Dta=/var/www/html/dta/S01/10562.11473.3.dta&amp;Global_Mod=CS57.0215", "11473")</f>
        <v>11473</v>
      </c>
      <c r="T87" s="36" t="str">
        <f>HYPERLINK("http://ms.phosphosite.org:5080/cgi-bin/plot-msms.cgi?MassType=1&amp;NumAxis=1&amp;Mod5=170&amp;Pep=NNLQKYIEIYVQK&amp;Dta=/var/www/html/dta/S01/10563.11408.3.dta&amp;Global_Mod=CS57.0215", "11408")</f>
        <v>11408</v>
      </c>
      <c r="U87" s="36" t="str">
        <f>HYPERLINK("http://ms.phosphosite.org:5080/cgi-bin/plot-msms.cgi?MassType=1&amp;NumAxis=1&amp;Mod5=170&amp;Pep=NNLQKYIEIYVQK&amp;Dta=/var/www/html/dta/S01/10564.11997.3.dta&amp;Global_Mod=CS57.0215", "11997")</f>
        <v>11997</v>
      </c>
      <c r="V87" s="36" t="str">
        <f>HYPERLINK("http://ms.phosphosite.org:5080/cgi-bin/plot-msms.cgi?MassType=1&amp;NumAxis=1&amp;Mod5=170&amp;Pep=NNLQKYIEIYVQK&amp;Dta=/var/www/html/dta/S01/10565.11899.3.dta&amp;Global_Mod=CS57.0215", "11899")</f>
        <v>11899</v>
      </c>
      <c r="W87" s="5">
        <v>11251</v>
      </c>
      <c r="X87" s="5">
        <v>11240</v>
      </c>
      <c r="Y87" s="5">
        <v>11274</v>
      </c>
      <c r="Z87" s="5">
        <v>11302</v>
      </c>
      <c r="AA87" s="5">
        <v>11489</v>
      </c>
      <c r="AB87" s="5">
        <v>11399</v>
      </c>
      <c r="AC87" s="5">
        <v>11988</v>
      </c>
      <c r="AD87" s="5">
        <v>11898</v>
      </c>
      <c r="AE87" s="90">
        <v>4.2160000000000002</v>
      </c>
      <c r="AF87" s="90">
        <v>4.1529999999999996</v>
      </c>
      <c r="AG87" s="90">
        <v>4.3890000000000002</v>
      </c>
      <c r="AH87" s="90">
        <v>4.649</v>
      </c>
      <c r="AI87" s="90">
        <v>3.9820000000000002</v>
      </c>
      <c r="AJ87" s="90">
        <v>3.3239999999999998</v>
      </c>
      <c r="AK87" s="90">
        <v>4.1829999999999998</v>
      </c>
      <c r="AL87" s="90">
        <v>3.6469999999999998</v>
      </c>
      <c r="AM87" s="21">
        <v>0.91520000000000001</v>
      </c>
      <c r="AN87" s="21">
        <v>0.74119999999999997</v>
      </c>
      <c r="AO87" s="21">
        <v>0.70689999999999997</v>
      </c>
      <c r="AP87" s="21">
        <v>1.1216999999999999</v>
      </c>
      <c r="AQ87" s="21">
        <v>0.20430000000000001</v>
      </c>
      <c r="AR87" s="21">
        <v>0.31459999999999999</v>
      </c>
      <c r="AS87" s="21">
        <v>0.89400000000000002</v>
      </c>
      <c r="AT87" s="21">
        <v>0.314</v>
      </c>
      <c r="AU87" s="21">
        <v>0.34</v>
      </c>
      <c r="AV87" s="21">
        <v>0.18099999999999999</v>
      </c>
      <c r="AW87" s="21">
        <v>0.311</v>
      </c>
      <c r="AX87" s="21">
        <v>0.33900000000000002</v>
      </c>
      <c r="AY87" s="21">
        <v>0.28499999999999998</v>
      </c>
      <c r="AZ87" s="21">
        <v>0.154</v>
      </c>
      <c r="BA87" s="21">
        <v>0.30599999999999999</v>
      </c>
      <c r="BB87" s="21">
        <v>0.22800000000000001</v>
      </c>
      <c r="BC87" s="5">
        <v>1</v>
      </c>
      <c r="BD87" s="5">
        <v>1</v>
      </c>
      <c r="BE87" s="5">
        <v>1</v>
      </c>
      <c r="BF87" s="5">
        <v>1</v>
      </c>
      <c r="BG87" s="5">
        <v>1</v>
      </c>
      <c r="BH87" s="5">
        <v>2</v>
      </c>
      <c r="BI87" s="5">
        <v>1</v>
      </c>
      <c r="BJ87" s="5">
        <v>1</v>
      </c>
      <c r="BK87" s="90">
        <v>1</v>
      </c>
      <c r="BL87" s="90">
        <v>1</v>
      </c>
      <c r="BM87" s="90">
        <v>1</v>
      </c>
      <c r="BN87" s="90">
        <v>1</v>
      </c>
      <c r="BO87" s="90">
        <v>1</v>
      </c>
      <c r="BP87" s="90">
        <v>0.998</v>
      </c>
      <c r="BQ87" s="90">
        <v>1</v>
      </c>
      <c r="BR87" s="90">
        <v>1</v>
      </c>
      <c r="BS87" s="5" t="s">
        <v>4857</v>
      </c>
    </row>
    <row r="88" spans="1:71" s="30" customFormat="1" ht="17.100000000000001" customHeight="1">
      <c r="A88" s="10">
        <v>77</v>
      </c>
      <c r="B88" s="10" t="s">
        <v>4667</v>
      </c>
      <c r="C88" s="4" t="s">
        <v>4715</v>
      </c>
      <c r="D88" s="4" t="s">
        <v>4549</v>
      </c>
      <c r="E88" s="7" t="s">
        <v>4550</v>
      </c>
      <c r="F88" s="10" t="s">
        <v>4560</v>
      </c>
      <c r="G88" s="4" t="s">
        <v>4551</v>
      </c>
      <c r="H88" s="7" t="s">
        <v>4552</v>
      </c>
      <c r="I88" s="4" t="s">
        <v>4553</v>
      </c>
      <c r="J88" s="10" t="s">
        <v>4554</v>
      </c>
      <c r="K88" s="4" t="s">
        <v>5378</v>
      </c>
      <c r="L88" s="4" t="s">
        <v>4561</v>
      </c>
      <c r="M88" s="10">
        <v>2</v>
      </c>
      <c r="N88" s="95">
        <v>512.76020000000005</v>
      </c>
      <c r="O88" s="37" t="str">
        <f>HYPERLINK("http://ms.phosphosite.org:5080/cgi-bin/plot-msms.cgi?MassType=1&amp;NumAxis=1&amp;Mod4=170&amp;Mod6=160&amp;Pep=VVGKYCEK&amp;Dta=/var/www/html/dta/S01/10558.2291.2.dta&amp;Global_Mod=CS57.0215", "2291")</f>
        <v>2291</v>
      </c>
      <c r="P88" s="37" t="str">
        <f>HYPERLINK("http://ms.phosphosite.org:5080/cgi-bin/plot-msms.cgi?MassType=1&amp;NumAxis=1&amp;Mod4=170&amp;Mod6=160&amp;Pep=VVGKYCEK&amp;Dta=/var/www/html/dta/S01/10559.2249.2.dta&amp;Global_Mod=CS57.0215", "2249")</f>
        <v>2249</v>
      </c>
      <c r="Q88" s="38" t="s">
        <v>4854</v>
      </c>
      <c r="R88" s="37" t="str">
        <f>HYPERLINK("http://ms.phosphosite.org:5080/cgi-bin/plot-msms.cgi?MassType=1&amp;NumAxis=1&amp;Mod4=170&amp;Mod6=160&amp;Pep=VVGKYCEK&amp;Dta=/var/www/html/dta/S01/10561.2281.2.dta&amp;Global_Mod=CS57.0215", "2281")</f>
        <v>2281</v>
      </c>
      <c r="S88" s="37" t="str">
        <f>HYPERLINK("http://ms.phosphosite.org:5080/cgi-bin/plot-msms.cgi?MassType=1&amp;NumAxis=1&amp;Mod4=170&amp;Mod6=160&amp;Pep=VVGKYCEK&amp;Dta=/var/www/html/dta/S01/10562.2331.2.dta&amp;Global_Mod=CS57.0215", "2331")</f>
        <v>2331</v>
      </c>
      <c r="T88" s="38" t="s">
        <v>4854</v>
      </c>
      <c r="U88" s="38" t="s">
        <v>4854</v>
      </c>
      <c r="V88" s="37" t="str">
        <f>HYPERLINK("http://ms.phosphosite.org:5080/cgi-bin/plot-msms.cgi?MassType=1&amp;NumAxis=1&amp;Mod4=170&amp;Mod6=160&amp;Pep=VVGKYCEK&amp;Dta=/var/www/html/dta/S01/10565.2641.2.dta&amp;Global_Mod=CS57.0215", "2641")</f>
        <v>2641</v>
      </c>
      <c r="W88" s="10">
        <v>2295</v>
      </c>
      <c r="X88" s="10">
        <v>2244</v>
      </c>
      <c r="Y88" s="4" t="s">
        <v>4854</v>
      </c>
      <c r="Z88" s="4" t="s">
        <v>4854</v>
      </c>
      <c r="AA88" s="10">
        <v>2338</v>
      </c>
      <c r="AB88" s="4" t="s">
        <v>4854</v>
      </c>
      <c r="AC88" s="4" t="s">
        <v>4854</v>
      </c>
      <c r="AD88" s="10">
        <v>2643</v>
      </c>
      <c r="AE88" s="91">
        <v>1.9350000000000001</v>
      </c>
      <c r="AF88" s="91">
        <v>1.9419999999999999</v>
      </c>
      <c r="AG88" s="100" t="s">
        <v>4854</v>
      </c>
      <c r="AH88" s="91">
        <v>1.6879999999999999</v>
      </c>
      <c r="AI88" s="91">
        <v>1.972</v>
      </c>
      <c r="AJ88" s="100" t="s">
        <v>4854</v>
      </c>
      <c r="AK88" s="100" t="s">
        <v>4854</v>
      </c>
      <c r="AL88" s="91">
        <v>1.7829999999999999</v>
      </c>
      <c r="AM88" s="95">
        <v>1.4307000000000001</v>
      </c>
      <c r="AN88" s="95">
        <v>1.7050000000000001</v>
      </c>
      <c r="AO88" s="103" t="s">
        <v>4854</v>
      </c>
      <c r="AP88" s="95">
        <v>2.8948</v>
      </c>
      <c r="AQ88" s="95">
        <v>1.0187999999999999</v>
      </c>
      <c r="AR88" s="103" t="s">
        <v>4854</v>
      </c>
      <c r="AS88" s="103" t="s">
        <v>4854</v>
      </c>
      <c r="AT88" s="95">
        <v>0.14319999999999999</v>
      </c>
      <c r="AU88" s="95">
        <v>8.5000000000000006E-2</v>
      </c>
      <c r="AV88" s="95">
        <v>0.17599999999999999</v>
      </c>
      <c r="AW88" s="103" t="s">
        <v>4854</v>
      </c>
      <c r="AX88" s="95">
        <v>0.13800000000000001</v>
      </c>
      <c r="AY88" s="95">
        <v>0.129</v>
      </c>
      <c r="AZ88" s="103" t="s">
        <v>4854</v>
      </c>
      <c r="BA88" s="103" t="s">
        <v>4854</v>
      </c>
      <c r="BB88" s="95">
        <v>5.7000000000000002E-2</v>
      </c>
      <c r="BC88" s="10">
        <v>3</v>
      </c>
      <c r="BD88" s="10">
        <v>1</v>
      </c>
      <c r="BE88" s="4" t="s">
        <v>4854</v>
      </c>
      <c r="BF88" s="10">
        <v>1</v>
      </c>
      <c r="BG88" s="10">
        <v>14</v>
      </c>
      <c r="BH88" s="4" t="s">
        <v>4854</v>
      </c>
      <c r="BI88" s="4" t="s">
        <v>4854</v>
      </c>
      <c r="BJ88" s="10">
        <v>1</v>
      </c>
      <c r="BK88" s="91">
        <v>0.97099999999999997</v>
      </c>
      <c r="BL88" s="91">
        <v>0.99299999999999999</v>
      </c>
      <c r="BM88" s="100" t="s">
        <v>4854</v>
      </c>
      <c r="BN88" s="91">
        <v>0.93400000000000005</v>
      </c>
      <c r="BO88" s="91">
        <v>0.97399999999999998</v>
      </c>
      <c r="BP88" s="100" t="s">
        <v>4854</v>
      </c>
      <c r="BQ88" s="100" t="s">
        <v>4854</v>
      </c>
      <c r="BR88" s="91">
        <v>0.95499999999999996</v>
      </c>
      <c r="BS88" s="10" t="s">
        <v>4857</v>
      </c>
    </row>
    <row r="89" spans="1:71" s="30" customFormat="1" ht="17.100000000000001" customHeight="1">
      <c r="A89" s="14">
        <v>78</v>
      </c>
      <c r="B89" s="5" t="s">
        <v>4562</v>
      </c>
      <c r="C89" s="3" t="s">
        <v>4715</v>
      </c>
      <c r="D89" s="3" t="s">
        <v>4563</v>
      </c>
      <c r="E89" s="3" t="s">
        <v>4564</v>
      </c>
      <c r="F89" s="5" t="s">
        <v>4565</v>
      </c>
      <c r="G89" s="3" t="s">
        <v>4566</v>
      </c>
      <c r="H89" s="6" t="s">
        <v>4567</v>
      </c>
      <c r="I89" s="3" t="s">
        <v>4568</v>
      </c>
      <c r="J89" s="5" t="s">
        <v>4569</v>
      </c>
      <c r="K89" s="3" t="s">
        <v>5379</v>
      </c>
      <c r="L89" s="3" t="s">
        <v>4570</v>
      </c>
      <c r="M89" s="5">
        <v>2</v>
      </c>
      <c r="N89" s="21">
        <v>657.83609999999999</v>
      </c>
      <c r="O89" s="35" t="s">
        <v>4854</v>
      </c>
      <c r="P89" s="35" t="s">
        <v>4854</v>
      </c>
      <c r="Q89" s="35" t="s">
        <v>4854</v>
      </c>
      <c r="R89" s="35" t="s">
        <v>4854</v>
      </c>
      <c r="S89" s="36" t="str">
        <f>HYPERLINK("http://ms.phosphosite.org:5080/cgi-bin/plot-msms.cgi?MassType=1&amp;NumAxis=1&amp;Mod7=170&amp;Pep=SGPKGEKGEQGAK&amp;Dta=/var/www/html/dta/S01/10562.1712.2.dta&amp;Global_Mod=CS57.0215", "1712")</f>
        <v>1712</v>
      </c>
      <c r="T89" s="36" t="str">
        <f>HYPERLINK("http://ms.phosphosite.org:5080/cgi-bin/plot-msms.cgi?MassType=1&amp;NumAxis=1&amp;Mod7=170&amp;Pep=SGPKGEKGEQGAK&amp;Dta=/var/www/html/dta/S01/10563.1641.2.dta&amp;Global_Mod=CS57.0215", "1641")</f>
        <v>1641</v>
      </c>
      <c r="U89" s="36" t="str">
        <f>HYPERLINK("http://ms.phosphosite.org:5080/cgi-bin/plot-msms.cgi?MassType=1&amp;NumAxis=1&amp;Mod7=170&amp;Pep=SGPKGEKGEQGAK&amp;Dta=/var/www/html/dta/S01/10564.1873.2.dta&amp;Global_Mod=CS57.0215", "1873")</f>
        <v>1873</v>
      </c>
      <c r="V89" s="35" t="s">
        <v>4854</v>
      </c>
      <c r="W89" s="3" t="s">
        <v>4854</v>
      </c>
      <c r="X89" s="3" t="s">
        <v>4854</v>
      </c>
      <c r="Y89" s="3" t="s">
        <v>4854</v>
      </c>
      <c r="Z89" s="3" t="s">
        <v>4854</v>
      </c>
      <c r="AA89" s="3" t="s">
        <v>4854</v>
      </c>
      <c r="AB89" s="3" t="s">
        <v>4854</v>
      </c>
      <c r="AC89" s="3" t="s">
        <v>4854</v>
      </c>
      <c r="AD89" s="3" t="s">
        <v>4854</v>
      </c>
      <c r="AE89" s="99" t="s">
        <v>4854</v>
      </c>
      <c r="AF89" s="99" t="s">
        <v>4854</v>
      </c>
      <c r="AG89" s="99" t="s">
        <v>4854</v>
      </c>
      <c r="AH89" s="99" t="s">
        <v>4854</v>
      </c>
      <c r="AI89" s="90">
        <v>2.085</v>
      </c>
      <c r="AJ89" s="90">
        <v>1.895</v>
      </c>
      <c r="AK89" s="90">
        <v>2.0350000000000001</v>
      </c>
      <c r="AL89" s="99" t="s">
        <v>4854</v>
      </c>
      <c r="AM89" s="102" t="s">
        <v>4854</v>
      </c>
      <c r="AN89" s="102" t="s">
        <v>4854</v>
      </c>
      <c r="AO89" s="102" t="s">
        <v>4854</v>
      </c>
      <c r="AP89" s="102" t="s">
        <v>4854</v>
      </c>
      <c r="AQ89" s="21">
        <v>-0.26279999999999998</v>
      </c>
      <c r="AR89" s="21">
        <v>0.26429999999999998</v>
      </c>
      <c r="AS89" s="21">
        <v>0.58609999999999995</v>
      </c>
      <c r="AT89" s="102" t="s">
        <v>4854</v>
      </c>
      <c r="AU89" s="102" t="s">
        <v>4854</v>
      </c>
      <c r="AV89" s="102" t="s">
        <v>4854</v>
      </c>
      <c r="AW89" s="102" t="s">
        <v>4854</v>
      </c>
      <c r="AX89" s="102" t="s">
        <v>4854</v>
      </c>
      <c r="AY89" s="21">
        <v>0.06</v>
      </c>
      <c r="AZ89" s="21">
        <v>7.9000000000000001E-2</v>
      </c>
      <c r="BA89" s="21">
        <v>8.2000000000000003E-2</v>
      </c>
      <c r="BB89" s="102" t="s">
        <v>4854</v>
      </c>
      <c r="BC89" s="3" t="s">
        <v>4854</v>
      </c>
      <c r="BD89" s="3" t="s">
        <v>4854</v>
      </c>
      <c r="BE89" s="3" t="s">
        <v>4854</v>
      </c>
      <c r="BF89" s="3" t="s">
        <v>4854</v>
      </c>
      <c r="BG89" s="5">
        <v>17</v>
      </c>
      <c r="BH89" s="5">
        <v>23</v>
      </c>
      <c r="BI89" s="5">
        <v>45</v>
      </c>
      <c r="BJ89" s="3" t="s">
        <v>4854</v>
      </c>
      <c r="BK89" s="99" t="s">
        <v>4854</v>
      </c>
      <c r="BL89" s="99" t="s">
        <v>4854</v>
      </c>
      <c r="BM89" s="99" t="s">
        <v>4854</v>
      </c>
      <c r="BN89" s="99" t="s">
        <v>4854</v>
      </c>
      <c r="BO89" s="90">
        <v>8.4000000000000005E-2</v>
      </c>
      <c r="BP89" s="90">
        <v>6.3E-2</v>
      </c>
      <c r="BQ89" s="90">
        <v>7.1999999999999995E-2</v>
      </c>
      <c r="BR89" s="99" t="s">
        <v>4854</v>
      </c>
      <c r="BS89" s="5" t="s">
        <v>4857</v>
      </c>
    </row>
    <row r="90" spans="1:71" s="30" customFormat="1" ht="17.100000000000001" customHeight="1">
      <c r="A90" s="10">
        <v>79</v>
      </c>
      <c r="B90" s="10" t="s">
        <v>4571</v>
      </c>
      <c r="C90" s="4" t="s">
        <v>4715</v>
      </c>
      <c r="D90" s="4" t="s">
        <v>4572</v>
      </c>
      <c r="E90" s="4" t="s">
        <v>4573</v>
      </c>
      <c r="F90" s="10" t="s">
        <v>4574</v>
      </c>
      <c r="G90" s="4" t="s">
        <v>4575</v>
      </c>
      <c r="H90" s="7" t="s">
        <v>4576</v>
      </c>
      <c r="I90" s="4" t="s">
        <v>4577</v>
      </c>
      <c r="J90" s="10" t="s">
        <v>4578</v>
      </c>
      <c r="K90" s="4" t="s">
        <v>5380</v>
      </c>
      <c r="L90" s="4" t="s">
        <v>4579</v>
      </c>
      <c r="M90" s="10">
        <v>2</v>
      </c>
      <c r="N90" s="95">
        <v>551.81640000000004</v>
      </c>
      <c r="O90" s="37" t="str">
        <f>HYPERLINK("http://ms.phosphosite.org:5080/cgi-bin/plot-msms.cgi?MassType=1&amp;NumAxis=1&amp;Mod6=170&amp;Pep=TPVPSKYIR&amp;Dta=/var/www/html/dta/S01/10558.5325.2.dta&amp;Global_Mod=CS57.0215", "5325")</f>
        <v>5325</v>
      </c>
      <c r="P90" s="38" t="s">
        <v>4854</v>
      </c>
      <c r="Q90" s="38" t="s">
        <v>4854</v>
      </c>
      <c r="R90" s="37" t="str">
        <f>HYPERLINK("http://ms.phosphosite.org:5080/cgi-bin/plot-msms.cgi?MassType=1&amp;NumAxis=1&amp;Mod6=170&amp;Pep=TPVPSKYIR&amp;Dta=/var/www/html/dta/S01/10561.5287.2.dta&amp;Global_Mod=CS57.0215", "5287")</f>
        <v>5287</v>
      </c>
      <c r="S90" s="38" t="s">
        <v>4854</v>
      </c>
      <c r="T90" s="38" t="s">
        <v>4854</v>
      </c>
      <c r="U90" s="38" t="s">
        <v>4854</v>
      </c>
      <c r="V90" s="38" t="s">
        <v>4854</v>
      </c>
      <c r="W90" s="4" t="s">
        <v>4854</v>
      </c>
      <c r="X90" s="4" t="s">
        <v>4854</v>
      </c>
      <c r="Y90" s="4" t="s">
        <v>4854</v>
      </c>
      <c r="Z90" s="10">
        <v>5304</v>
      </c>
      <c r="AA90" s="4" t="s">
        <v>4854</v>
      </c>
      <c r="AB90" s="4" t="s">
        <v>4854</v>
      </c>
      <c r="AC90" s="4" t="s">
        <v>4854</v>
      </c>
      <c r="AD90" s="4" t="s">
        <v>4854</v>
      </c>
      <c r="AE90" s="91">
        <v>1.6359999999999999</v>
      </c>
      <c r="AF90" s="100" t="s">
        <v>4854</v>
      </c>
      <c r="AG90" s="100" t="s">
        <v>4854</v>
      </c>
      <c r="AH90" s="91">
        <v>2.14</v>
      </c>
      <c r="AI90" s="100" t="s">
        <v>4854</v>
      </c>
      <c r="AJ90" s="100" t="s">
        <v>4854</v>
      </c>
      <c r="AK90" s="100" t="s">
        <v>4854</v>
      </c>
      <c r="AL90" s="100" t="s">
        <v>4854</v>
      </c>
      <c r="AM90" s="95">
        <v>-0.23300000000000001</v>
      </c>
      <c r="AN90" s="103" t="s">
        <v>4854</v>
      </c>
      <c r="AO90" s="103" t="s">
        <v>4854</v>
      </c>
      <c r="AP90" s="95">
        <v>-8.8800000000000004E-2</v>
      </c>
      <c r="AQ90" s="103" t="s">
        <v>4854</v>
      </c>
      <c r="AR90" s="103" t="s">
        <v>4854</v>
      </c>
      <c r="AS90" s="103" t="s">
        <v>4854</v>
      </c>
      <c r="AT90" s="103" t="s">
        <v>4854</v>
      </c>
      <c r="AU90" s="95">
        <v>1.9E-2</v>
      </c>
      <c r="AV90" s="103" t="s">
        <v>4854</v>
      </c>
      <c r="AW90" s="103" t="s">
        <v>4854</v>
      </c>
      <c r="AX90" s="95">
        <v>0.14499999999999999</v>
      </c>
      <c r="AY90" s="103" t="s">
        <v>4854</v>
      </c>
      <c r="AZ90" s="103" t="s">
        <v>4854</v>
      </c>
      <c r="BA90" s="103" t="s">
        <v>4854</v>
      </c>
      <c r="BB90" s="103" t="s">
        <v>4854</v>
      </c>
      <c r="BC90" s="10">
        <v>98</v>
      </c>
      <c r="BD90" s="4" t="s">
        <v>4854</v>
      </c>
      <c r="BE90" s="4" t="s">
        <v>4854</v>
      </c>
      <c r="BF90" s="10">
        <v>2</v>
      </c>
      <c r="BG90" s="4" t="s">
        <v>4854</v>
      </c>
      <c r="BH90" s="4" t="s">
        <v>4854</v>
      </c>
      <c r="BI90" s="4" t="s">
        <v>4854</v>
      </c>
      <c r="BJ90" s="4" t="s">
        <v>4854</v>
      </c>
      <c r="BK90" s="91">
        <v>0.65</v>
      </c>
      <c r="BL90" s="100" t="s">
        <v>4854</v>
      </c>
      <c r="BM90" s="100" t="s">
        <v>4854</v>
      </c>
      <c r="BN90" s="91">
        <v>0.99099999999999999</v>
      </c>
      <c r="BO90" s="100" t="s">
        <v>4854</v>
      </c>
      <c r="BP90" s="100" t="s">
        <v>4854</v>
      </c>
      <c r="BQ90" s="100" t="s">
        <v>4854</v>
      </c>
      <c r="BR90" s="100" t="s">
        <v>4854</v>
      </c>
      <c r="BS90" s="10" t="s">
        <v>4857</v>
      </c>
    </row>
    <row r="91" spans="1:71" s="30" customFormat="1" ht="17.100000000000001" customHeight="1">
      <c r="A91" s="14">
        <v>80</v>
      </c>
      <c r="B91" s="5" t="s">
        <v>4580</v>
      </c>
      <c r="C91" s="3" t="s">
        <v>4715</v>
      </c>
      <c r="D91" s="3" t="s">
        <v>4572</v>
      </c>
      <c r="E91" s="3" t="s">
        <v>4573</v>
      </c>
      <c r="F91" s="5" t="s">
        <v>4581</v>
      </c>
      <c r="G91" s="3" t="s">
        <v>4575</v>
      </c>
      <c r="H91" s="6" t="s">
        <v>4576</v>
      </c>
      <c r="I91" s="3" t="s">
        <v>4577</v>
      </c>
      <c r="J91" s="5" t="s">
        <v>4578</v>
      </c>
      <c r="K91" s="3" t="s">
        <v>5381</v>
      </c>
      <c r="L91" s="3" t="s">
        <v>4582</v>
      </c>
      <c r="M91" s="5">
        <v>3</v>
      </c>
      <c r="N91" s="21">
        <v>698.00670000000002</v>
      </c>
      <c r="O91" s="35" t="s">
        <v>4854</v>
      </c>
      <c r="P91" s="35" t="s">
        <v>4854</v>
      </c>
      <c r="Q91" s="35" t="s">
        <v>4854</v>
      </c>
      <c r="R91" s="35" t="s">
        <v>4854</v>
      </c>
      <c r="S91" s="35" t="s">
        <v>4854</v>
      </c>
      <c r="T91" s="36" t="str">
        <f>HYPERLINK("http://ms.phosphosite.org:5080/cgi-bin/plot-msms.cgi?MassType=1&amp;NumAxis=1&amp;Mod12=170&amp;Mod16=147&amp;Pep=ALHQYTLEPSEKPFDMK&amp;Dta=/var/www/html/dta/S01/10563.6967.3.dta&amp;Global_Mod=CS57.0215", "6967")</f>
        <v>6967</v>
      </c>
      <c r="U91" s="36" t="str">
        <f>HYPERLINK("http://ms.phosphosite.org:5080/cgi-bin/plot-msms.cgi?MassType=1&amp;NumAxis=1&amp;Mod12=170&amp;Mod16=147&amp;Pep=ALHQYTLEPSEKPFDMK&amp;Dta=/var/www/html/dta/S01/10564.7316.3.dta&amp;Global_Mod=CS57.0215", "7316")</f>
        <v>7316</v>
      </c>
      <c r="V91" s="35" t="s">
        <v>4854</v>
      </c>
      <c r="W91" s="3" t="s">
        <v>4854</v>
      </c>
      <c r="X91" s="3" t="s">
        <v>4854</v>
      </c>
      <c r="Y91" s="3" t="s">
        <v>4854</v>
      </c>
      <c r="Z91" s="3" t="s">
        <v>4854</v>
      </c>
      <c r="AA91" s="3" t="s">
        <v>4854</v>
      </c>
      <c r="AB91" s="5">
        <v>6970</v>
      </c>
      <c r="AC91" s="5">
        <v>7277</v>
      </c>
      <c r="AD91" s="3" t="s">
        <v>4854</v>
      </c>
      <c r="AE91" s="99" t="s">
        <v>4854</v>
      </c>
      <c r="AF91" s="99" t="s">
        <v>4854</v>
      </c>
      <c r="AG91" s="99" t="s">
        <v>4854</v>
      </c>
      <c r="AH91" s="99" t="s">
        <v>4854</v>
      </c>
      <c r="AI91" s="99" t="s">
        <v>4854</v>
      </c>
      <c r="AJ91" s="90">
        <v>2.831</v>
      </c>
      <c r="AK91" s="90">
        <v>3.3239999999999998</v>
      </c>
      <c r="AL91" s="99" t="s">
        <v>4854</v>
      </c>
      <c r="AM91" s="102" t="s">
        <v>4854</v>
      </c>
      <c r="AN91" s="102" t="s">
        <v>4854</v>
      </c>
      <c r="AO91" s="102" t="s">
        <v>4854</v>
      </c>
      <c r="AP91" s="102" t="s">
        <v>4854</v>
      </c>
      <c r="AQ91" s="102" t="s">
        <v>4854</v>
      </c>
      <c r="AR91" s="21">
        <v>0.375</v>
      </c>
      <c r="AS91" s="21">
        <v>0.93910000000000005</v>
      </c>
      <c r="AT91" s="102" t="s">
        <v>4854</v>
      </c>
      <c r="AU91" s="102" t="s">
        <v>4854</v>
      </c>
      <c r="AV91" s="102" t="s">
        <v>4854</v>
      </c>
      <c r="AW91" s="102" t="s">
        <v>4854</v>
      </c>
      <c r="AX91" s="102" t="s">
        <v>4854</v>
      </c>
      <c r="AY91" s="102" t="s">
        <v>4854</v>
      </c>
      <c r="AZ91" s="21">
        <v>0.246</v>
      </c>
      <c r="BA91" s="21">
        <v>0.27700000000000002</v>
      </c>
      <c r="BB91" s="102" t="s">
        <v>4854</v>
      </c>
      <c r="BC91" s="3" t="s">
        <v>4854</v>
      </c>
      <c r="BD91" s="3" t="s">
        <v>4854</v>
      </c>
      <c r="BE91" s="3" t="s">
        <v>4854</v>
      </c>
      <c r="BF91" s="3" t="s">
        <v>4854</v>
      </c>
      <c r="BG91" s="3" t="s">
        <v>4854</v>
      </c>
      <c r="BH91" s="5">
        <v>1</v>
      </c>
      <c r="BI91" s="5">
        <v>1</v>
      </c>
      <c r="BJ91" s="3" t="s">
        <v>4854</v>
      </c>
      <c r="BK91" s="99" t="s">
        <v>4854</v>
      </c>
      <c r="BL91" s="99" t="s">
        <v>4854</v>
      </c>
      <c r="BM91" s="99" t="s">
        <v>4854</v>
      </c>
      <c r="BN91" s="99" t="s">
        <v>4854</v>
      </c>
      <c r="BO91" s="99" t="s">
        <v>4854</v>
      </c>
      <c r="BP91" s="90">
        <v>1</v>
      </c>
      <c r="BQ91" s="90">
        <v>1</v>
      </c>
      <c r="BR91" s="99" t="s">
        <v>4854</v>
      </c>
      <c r="BS91" s="5" t="s">
        <v>4857</v>
      </c>
    </row>
    <row r="92" spans="1:71" s="30" customFormat="1" ht="17.100000000000001" customHeight="1">
      <c r="A92" s="10">
        <v>81</v>
      </c>
      <c r="B92" s="10" t="s">
        <v>4675</v>
      </c>
      <c r="C92" s="4" t="s">
        <v>4715</v>
      </c>
      <c r="D92" s="4" t="s">
        <v>4583</v>
      </c>
      <c r="E92" s="7" t="s">
        <v>4584</v>
      </c>
      <c r="F92" s="10" t="s">
        <v>5115</v>
      </c>
      <c r="G92" s="4" t="s">
        <v>4585</v>
      </c>
      <c r="H92" s="7" t="s">
        <v>4586</v>
      </c>
      <c r="I92" s="4" t="s">
        <v>4587</v>
      </c>
      <c r="J92" s="10" t="s">
        <v>4588</v>
      </c>
      <c r="K92" s="4" t="s">
        <v>5382</v>
      </c>
      <c r="L92" s="4" t="s">
        <v>4589</v>
      </c>
      <c r="M92" s="10">
        <v>3</v>
      </c>
      <c r="N92" s="95">
        <v>753.00829999999996</v>
      </c>
      <c r="O92" s="37" t="str">
        <f>HYPERLINK("http://ms.phosphosite.org:5080/cgi-bin/plot-msms.cgi?MassType=1&amp;NumAxis=1&amp;Mod16=170&amp;Pep=TEVQTDDAEPEPTESKGEPR&amp;Dta=/var/www/html/dta/S01/10558.3687.3.dta&amp;Global_Mod=CS57.0215", "3687")</f>
        <v>3687</v>
      </c>
      <c r="P92" s="37" t="str">
        <f>HYPERLINK("http://ms.phosphosite.org:5080/cgi-bin/plot-msms.cgi?MassType=1&amp;NumAxis=1&amp;Mod16=170&amp;Pep=TEVQTDDAEPEPTESKGEPR&amp;Dta=/var/www/html/dta/S01/10559.3620.3.dta&amp;Global_Mod=CS57.0215", "3620")</f>
        <v>3620</v>
      </c>
      <c r="Q92" s="37" t="str">
        <f>HYPERLINK("http://ms.phosphosite.org:5080/cgi-bin/plot-msms.cgi?MassType=1&amp;NumAxis=1&amp;Mod16=170&amp;Pep=TEVQTDDAEPEPTESKGEPR&amp;Dta=/var/www/html/dta/S01/10560.3621.3.dta&amp;Global_Mod=CS57.0215", "3621")</f>
        <v>3621</v>
      </c>
      <c r="R92" s="37" t="str">
        <f>HYPERLINK("http://ms.phosphosite.org:5080/cgi-bin/plot-msms.cgi?MassType=1&amp;NumAxis=1&amp;Mod16=170&amp;Pep=TEVQTDDAEPEPTESKGEPR&amp;Dta=/var/www/html/dta/S01/10561.3619.3.dta&amp;Global_Mod=CS57.0215", "3619")</f>
        <v>3619</v>
      </c>
      <c r="S92" s="37" t="str">
        <f>HYPERLINK("http://ms.phosphosite.org:5080/cgi-bin/plot-msms.cgi?MassType=1&amp;NumAxis=1&amp;Mod16=170&amp;Pep=TEVQTDDAEPEPTESKGEPR&amp;Dta=/var/www/html/dta/S01/10562.3723.3.dta&amp;Global_Mod=CS57.0215", "3723")</f>
        <v>3723</v>
      </c>
      <c r="T92" s="37" t="str">
        <f>HYPERLINK("http://ms.phosphosite.org:5080/cgi-bin/plot-msms.cgi?MassType=1&amp;NumAxis=1&amp;Mod16=170&amp;Pep=TEVQTDDAEPEPTESKGEPR&amp;Dta=/var/www/html/dta/S01/10563.3652.3.dta&amp;Global_Mod=CS57.0215", "3652")</f>
        <v>3652</v>
      </c>
      <c r="U92" s="37" t="str">
        <f>HYPERLINK("http://ms.phosphosite.org:5080/cgi-bin/plot-msms.cgi?MassType=1&amp;NumAxis=1&amp;Mod16=170&amp;Pep=TEVQTDDAEPEPTESKGEPR&amp;Dta=/var/www/html/dta/S01/10564.3952.3.dta&amp;Global_Mod=CS57.0215", "3952")</f>
        <v>3952</v>
      </c>
      <c r="V92" s="37" t="str">
        <f>HYPERLINK("http://ms.phosphosite.org:5080/cgi-bin/plot-msms.cgi?MassType=1&amp;NumAxis=1&amp;Mod16=170&amp;Pep=TEVQTDDAEPEPTESKGEPR&amp;Dta=/var/www/html/dta/S01/10565.4031.3.dta&amp;Global_Mod=CS57.0215", "4031")</f>
        <v>4031</v>
      </c>
      <c r="W92" s="10">
        <v>3704</v>
      </c>
      <c r="X92" s="10">
        <v>3640</v>
      </c>
      <c r="Y92" s="10">
        <v>3657</v>
      </c>
      <c r="Z92" s="10">
        <v>3665</v>
      </c>
      <c r="AA92" s="10">
        <v>3741</v>
      </c>
      <c r="AB92" s="10">
        <v>3692</v>
      </c>
      <c r="AC92" s="10">
        <v>3977</v>
      </c>
      <c r="AD92" s="10">
        <v>4059</v>
      </c>
      <c r="AE92" s="91">
        <v>2.9510000000000001</v>
      </c>
      <c r="AF92" s="91">
        <v>3.222</v>
      </c>
      <c r="AG92" s="91">
        <v>2.9089999999999998</v>
      </c>
      <c r="AH92" s="91">
        <v>3.137</v>
      </c>
      <c r="AI92" s="91">
        <v>3.5619999999999998</v>
      </c>
      <c r="AJ92" s="91">
        <v>3.38</v>
      </c>
      <c r="AK92" s="91">
        <v>2.8359999999999999</v>
      </c>
      <c r="AL92" s="91">
        <v>3.09</v>
      </c>
      <c r="AM92" s="95">
        <v>0.35010000000000002</v>
      </c>
      <c r="AN92" s="95">
        <v>0.24959999999999999</v>
      </c>
      <c r="AO92" s="95">
        <v>0.40989999999999999</v>
      </c>
      <c r="AP92" s="95">
        <v>0.63549999999999995</v>
      </c>
      <c r="AQ92" s="95">
        <v>0.72719999999999996</v>
      </c>
      <c r="AR92" s="95">
        <v>0.50209999999999999</v>
      </c>
      <c r="AS92" s="95">
        <v>0.28899999999999998</v>
      </c>
      <c r="AT92" s="95">
        <v>0.21940000000000001</v>
      </c>
      <c r="AU92" s="95">
        <v>0.16600000000000001</v>
      </c>
      <c r="AV92" s="95">
        <v>0.218</v>
      </c>
      <c r="AW92" s="95">
        <v>0.221</v>
      </c>
      <c r="AX92" s="95">
        <v>0.27500000000000002</v>
      </c>
      <c r="AY92" s="95">
        <v>0.33500000000000002</v>
      </c>
      <c r="AZ92" s="95">
        <v>0.129</v>
      </c>
      <c r="BA92" s="95">
        <v>0.216</v>
      </c>
      <c r="BB92" s="95">
        <v>0.24099999999999999</v>
      </c>
      <c r="BC92" s="10">
        <v>1</v>
      </c>
      <c r="BD92" s="10">
        <v>1</v>
      </c>
      <c r="BE92" s="10">
        <v>1</v>
      </c>
      <c r="BF92" s="10">
        <v>1</v>
      </c>
      <c r="BG92" s="10">
        <v>1</v>
      </c>
      <c r="BH92" s="10">
        <v>1</v>
      </c>
      <c r="BI92" s="10">
        <v>1</v>
      </c>
      <c r="BJ92" s="10">
        <v>1</v>
      </c>
      <c r="BK92" s="91">
        <v>0.997</v>
      </c>
      <c r="BL92" s="91">
        <v>0.999</v>
      </c>
      <c r="BM92" s="91">
        <v>0.999</v>
      </c>
      <c r="BN92" s="91">
        <v>0.999</v>
      </c>
      <c r="BO92" s="91">
        <v>1</v>
      </c>
      <c r="BP92" s="91">
        <v>0.997</v>
      </c>
      <c r="BQ92" s="91">
        <v>0.998</v>
      </c>
      <c r="BR92" s="91">
        <v>0.999</v>
      </c>
      <c r="BS92" s="10" t="s">
        <v>4857</v>
      </c>
    </row>
    <row r="93" spans="1:71" s="30" customFormat="1" ht="17.100000000000001" customHeight="1">
      <c r="A93" s="10">
        <v>82</v>
      </c>
      <c r="B93" s="10" t="s">
        <v>4670</v>
      </c>
      <c r="C93" s="4" t="s">
        <v>4715</v>
      </c>
      <c r="D93" s="4" t="s">
        <v>4583</v>
      </c>
      <c r="E93" s="7" t="s">
        <v>4584</v>
      </c>
      <c r="F93" s="10" t="s">
        <v>5115</v>
      </c>
      <c r="G93" s="4" t="s">
        <v>4585</v>
      </c>
      <c r="H93" s="7" t="s">
        <v>4586</v>
      </c>
      <c r="I93" s="4" t="s">
        <v>4587</v>
      </c>
      <c r="J93" s="10" t="s">
        <v>4588</v>
      </c>
      <c r="K93" s="4" t="s">
        <v>5382</v>
      </c>
      <c r="L93" s="4" t="s">
        <v>4589</v>
      </c>
      <c r="M93" s="10">
        <v>3</v>
      </c>
      <c r="N93" s="95">
        <v>753.00829999999996</v>
      </c>
      <c r="O93" s="38" t="s">
        <v>4854</v>
      </c>
      <c r="P93" s="38" t="s">
        <v>4854</v>
      </c>
      <c r="Q93" s="38" t="s">
        <v>4854</v>
      </c>
      <c r="R93" s="37" t="str">
        <f>HYPERLINK("http://ms.phosphosite.org:5080/cgi-bin/plot-msms.cgi?MassType=1&amp;NumAxis=1&amp;Mod16=170&amp;Pep=TEVQTDDAEPEPTESKGEPR&amp;Dta=/var/www/html/dta/S01/10561.3701.3.dta&amp;Global_Mod=CS57.0215", "3701")</f>
        <v>3701</v>
      </c>
      <c r="S93" s="38" t="s">
        <v>4854</v>
      </c>
      <c r="T93" s="38" t="s">
        <v>4854</v>
      </c>
      <c r="U93" s="38" t="s">
        <v>4854</v>
      </c>
      <c r="V93" s="38" t="s">
        <v>4854</v>
      </c>
      <c r="W93" s="4" t="s">
        <v>4854</v>
      </c>
      <c r="X93" s="4" t="s">
        <v>4854</v>
      </c>
      <c r="Y93" s="4" t="s">
        <v>4854</v>
      </c>
      <c r="Z93" s="10">
        <v>3665</v>
      </c>
      <c r="AA93" s="4" t="s">
        <v>4854</v>
      </c>
      <c r="AB93" s="4" t="s">
        <v>4854</v>
      </c>
      <c r="AC93" s="4" t="s">
        <v>4854</v>
      </c>
      <c r="AD93" s="4" t="s">
        <v>4854</v>
      </c>
      <c r="AE93" s="100" t="s">
        <v>4854</v>
      </c>
      <c r="AF93" s="100" t="s">
        <v>4854</v>
      </c>
      <c r="AG93" s="100" t="s">
        <v>4854</v>
      </c>
      <c r="AH93" s="91">
        <v>2.4580000000000002</v>
      </c>
      <c r="AI93" s="100" t="s">
        <v>4854</v>
      </c>
      <c r="AJ93" s="100" t="s">
        <v>4854</v>
      </c>
      <c r="AK93" s="100" t="s">
        <v>4854</v>
      </c>
      <c r="AL93" s="100" t="s">
        <v>4854</v>
      </c>
      <c r="AM93" s="103" t="s">
        <v>4854</v>
      </c>
      <c r="AN93" s="103" t="s">
        <v>4854</v>
      </c>
      <c r="AO93" s="103" t="s">
        <v>4854</v>
      </c>
      <c r="AP93" s="95">
        <v>0.624</v>
      </c>
      <c r="AQ93" s="103" t="s">
        <v>4854</v>
      </c>
      <c r="AR93" s="103" t="s">
        <v>4854</v>
      </c>
      <c r="AS93" s="103" t="s">
        <v>4854</v>
      </c>
      <c r="AT93" s="103" t="s">
        <v>4854</v>
      </c>
      <c r="AU93" s="103" t="s">
        <v>4854</v>
      </c>
      <c r="AV93" s="103" t="s">
        <v>4854</v>
      </c>
      <c r="AW93" s="103" t="s">
        <v>4854</v>
      </c>
      <c r="AX93" s="95">
        <v>0.17</v>
      </c>
      <c r="AY93" s="103" t="s">
        <v>4854</v>
      </c>
      <c r="AZ93" s="103" t="s">
        <v>4854</v>
      </c>
      <c r="BA93" s="103" t="s">
        <v>4854</v>
      </c>
      <c r="BB93" s="103" t="s">
        <v>4854</v>
      </c>
      <c r="BC93" s="4" t="s">
        <v>4854</v>
      </c>
      <c r="BD93" s="4" t="s">
        <v>4854</v>
      </c>
      <c r="BE93" s="4" t="s">
        <v>4854</v>
      </c>
      <c r="BF93" s="10">
        <v>6</v>
      </c>
      <c r="BG93" s="4" t="s">
        <v>4854</v>
      </c>
      <c r="BH93" s="4" t="s">
        <v>4854</v>
      </c>
      <c r="BI93" s="4" t="s">
        <v>4854</v>
      </c>
      <c r="BJ93" s="4" t="s">
        <v>4854</v>
      </c>
      <c r="BK93" s="100" t="s">
        <v>4854</v>
      </c>
      <c r="BL93" s="100" t="s">
        <v>4854</v>
      </c>
      <c r="BM93" s="100" t="s">
        <v>4854</v>
      </c>
      <c r="BN93" s="91">
        <v>0.99099999999999999</v>
      </c>
      <c r="BO93" s="100" t="s">
        <v>4854</v>
      </c>
      <c r="BP93" s="100" t="s">
        <v>4854</v>
      </c>
      <c r="BQ93" s="100" t="s">
        <v>4854</v>
      </c>
      <c r="BR93" s="100" t="s">
        <v>4854</v>
      </c>
      <c r="BS93" s="10" t="s">
        <v>4857</v>
      </c>
    </row>
    <row r="94" spans="1:71" s="30" customFormat="1" ht="17.100000000000001" customHeight="1">
      <c r="A94" s="14">
        <v>83</v>
      </c>
      <c r="B94" s="5" t="s">
        <v>4590</v>
      </c>
      <c r="C94" s="3" t="s">
        <v>4715</v>
      </c>
      <c r="D94" s="3" t="s">
        <v>4583</v>
      </c>
      <c r="E94" s="6" t="s">
        <v>4584</v>
      </c>
      <c r="F94" s="5" t="s">
        <v>5283</v>
      </c>
      <c r="G94" s="3" t="s">
        <v>4585</v>
      </c>
      <c r="H94" s="6" t="s">
        <v>4586</v>
      </c>
      <c r="I94" s="3" t="s">
        <v>4587</v>
      </c>
      <c r="J94" s="5" t="s">
        <v>4588</v>
      </c>
      <c r="K94" s="3" t="s">
        <v>5383</v>
      </c>
      <c r="L94" s="3" t="s">
        <v>4591</v>
      </c>
      <c r="M94" s="5">
        <v>3</v>
      </c>
      <c r="N94" s="21">
        <v>897.76239999999996</v>
      </c>
      <c r="O94" s="36" t="str">
        <f>HYPERLINK("http://ms.phosphosite.org:5080/cgi-bin/plot-msms.cgi?MassType=1&amp;NumAxis=1&amp;Mod10=160&amp;Mod11=160&amp;Mod14=170&amp;Mod17=160&amp;Pep=KYEFSPQTLCCYGKQLCTIPR&amp;Dta=/var/www/html/dta/S01/10558.10298.3.dta&amp;Global_Mod=CS57.0215", "10298")</f>
        <v>10298</v>
      </c>
      <c r="P94" s="36" t="str">
        <f>HYPERLINK("http://ms.phosphosite.org:5080/cgi-bin/plot-msms.cgi?MassType=1&amp;NumAxis=1&amp;Mod10=160&amp;Mod11=160&amp;Mod14=170&amp;Mod17=160&amp;Pep=KYEFSPQTLCCYGKQLCTIPR&amp;Dta=/var/www/html/dta/S01/10559.10255.3.dta&amp;Global_Mod=CS57.0215", "10255")</f>
        <v>10255</v>
      </c>
      <c r="Q94" s="35" t="s">
        <v>4854</v>
      </c>
      <c r="R94" s="36" t="str">
        <f>HYPERLINK("http://ms.phosphosite.org:5080/cgi-bin/plot-msms.cgi?MassType=1&amp;NumAxis=1&amp;Mod10=160&amp;Mod11=160&amp;Mod14=170&amp;Mod17=160&amp;Pep=KYEFSPQTLCCYGKQLCTIPR&amp;Dta=/var/www/html/dta/S01/10561.10313.3.dta&amp;Global_Mod=CS57.0215", "10313")</f>
        <v>10313</v>
      </c>
      <c r="S94" s="36" t="str">
        <f>HYPERLINK("http://ms.phosphosite.org:5080/cgi-bin/plot-msms.cgi?MassType=1&amp;NumAxis=1&amp;Mod10=160&amp;Mod11=160&amp;Mod14=170&amp;Mod17=160&amp;Pep=KYEFSPQTLCCYGKQLCTIPR&amp;Dta=/var/www/html/dta/S01/10562.10482.3.dta&amp;Global_Mod=CS57.0215", "10482")</f>
        <v>10482</v>
      </c>
      <c r="T94" s="36" t="str">
        <f>HYPERLINK("http://ms.phosphosite.org:5080/cgi-bin/plot-msms.cgi?MassType=1&amp;NumAxis=1&amp;Mod10=160&amp;Mod11=160&amp;Mod14=170&amp;Mod17=160&amp;Pep=KYEFSPQTLCCYGKQLCTIPR&amp;Dta=/var/www/html/dta/S01/10563.10434.3.dta&amp;Global_Mod=CS57.0215", "10434")</f>
        <v>10434</v>
      </c>
      <c r="U94" s="36" t="str">
        <f>HYPERLINK("http://ms.phosphosite.org:5080/cgi-bin/plot-msms.cgi?MassType=1&amp;NumAxis=1&amp;Mod10=160&amp;Mod11=160&amp;Mod14=170&amp;Mod17=160&amp;Pep=KYEFSPQTLCCYGKQLCTIPR&amp;Dta=/var/www/html/dta/S01/10564.10851.3.dta&amp;Global_Mod=CS57.0215", "10851")</f>
        <v>10851</v>
      </c>
      <c r="V94" s="36" t="str">
        <f>HYPERLINK("http://ms.phosphosite.org:5080/cgi-bin/plot-msms.cgi?MassType=1&amp;NumAxis=1&amp;Mod10=160&amp;Mod11=160&amp;Mod14=170&amp;Mod17=160&amp;Pep=KYEFSPQTLCCYGKQLCTIPR&amp;Dta=/var/www/html/dta/S01/10565.10836.3.dta&amp;Global_Mod=CS57.0215", "10836")</f>
        <v>10836</v>
      </c>
      <c r="W94" s="5">
        <v>10317</v>
      </c>
      <c r="X94" s="5">
        <v>10278</v>
      </c>
      <c r="Y94" s="3" t="s">
        <v>4854</v>
      </c>
      <c r="Z94" s="5">
        <v>10319</v>
      </c>
      <c r="AA94" s="5">
        <v>10488</v>
      </c>
      <c r="AB94" s="5">
        <v>10435</v>
      </c>
      <c r="AC94" s="5">
        <v>10896</v>
      </c>
      <c r="AD94" s="5">
        <v>10860</v>
      </c>
      <c r="AE94" s="90">
        <v>3.9319999999999999</v>
      </c>
      <c r="AF94" s="90">
        <v>4.2670000000000003</v>
      </c>
      <c r="AG94" s="99" t="s">
        <v>4854</v>
      </c>
      <c r="AH94" s="90">
        <v>4.3650000000000002</v>
      </c>
      <c r="AI94" s="90">
        <v>4.26</v>
      </c>
      <c r="AJ94" s="90">
        <v>3.8540000000000001</v>
      </c>
      <c r="AK94" s="90">
        <v>5.0119999999999996</v>
      </c>
      <c r="AL94" s="90">
        <v>4.3010000000000002</v>
      </c>
      <c r="AM94" s="21">
        <v>0.97750000000000004</v>
      </c>
      <c r="AN94" s="21">
        <v>0.8891</v>
      </c>
      <c r="AO94" s="102" t="s">
        <v>4854</v>
      </c>
      <c r="AP94" s="21">
        <v>0.73780000000000001</v>
      </c>
      <c r="AQ94" s="21">
        <v>0.69030000000000002</v>
      </c>
      <c r="AR94" s="21">
        <v>1.2605999999999999</v>
      </c>
      <c r="AS94" s="21">
        <v>0.88829999999999998</v>
      </c>
      <c r="AT94" s="21">
        <v>0.64459999999999995</v>
      </c>
      <c r="AU94" s="21">
        <v>0.35899999999999999</v>
      </c>
      <c r="AV94" s="21">
        <v>0.46</v>
      </c>
      <c r="AW94" s="102" t="s">
        <v>4854</v>
      </c>
      <c r="AX94" s="21">
        <v>0.47399999999999998</v>
      </c>
      <c r="AY94" s="21">
        <v>0.48599999999999999</v>
      </c>
      <c r="AZ94" s="21">
        <v>0.38600000000000001</v>
      </c>
      <c r="BA94" s="21">
        <v>0.504</v>
      </c>
      <c r="BB94" s="21">
        <v>0.52400000000000002</v>
      </c>
      <c r="BC94" s="5">
        <v>1</v>
      </c>
      <c r="BD94" s="5">
        <v>1</v>
      </c>
      <c r="BE94" s="3" t="s">
        <v>4854</v>
      </c>
      <c r="BF94" s="5">
        <v>1</v>
      </c>
      <c r="BG94" s="5">
        <v>1</v>
      </c>
      <c r="BH94" s="5">
        <v>1</v>
      </c>
      <c r="BI94" s="5">
        <v>1</v>
      </c>
      <c r="BJ94" s="5">
        <v>1</v>
      </c>
      <c r="BK94" s="90">
        <v>1</v>
      </c>
      <c r="BL94" s="90">
        <v>1</v>
      </c>
      <c r="BM94" s="99" t="s">
        <v>4854</v>
      </c>
      <c r="BN94" s="90">
        <v>1</v>
      </c>
      <c r="BO94" s="90">
        <v>1</v>
      </c>
      <c r="BP94" s="90">
        <v>1</v>
      </c>
      <c r="BQ94" s="90">
        <v>1</v>
      </c>
      <c r="BR94" s="90">
        <v>1</v>
      </c>
      <c r="BS94" s="5" t="s">
        <v>4857</v>
      </c>
    </row>
    <row r="95" spans="1:71" s="30" customFormat="1" ht="17.100000000000001" customHeight="1">
      <c r="A95" s="14">
        <v>84</v>
      </c>
      <c r="B95" s="5" t="s">
        <v>4592</v>
      </c>
      <c r="C95" s="3" t="s">
        <v>4715</v>
      </c>
      <c r="D95" s="3" t="s">
        <v>4583</v>
      </c>
      <c r="E95" s="6" t="s">
        <v>4584</v>
      </c>
      <c r="F95" s="5" t="s">
        <v>5283</v>
      </c>
      <c r="G95" s="3" t="s">
        <v>4585</v>
      </c>
      <c r="H95" s="6" t="s">
        <v>4586</v>
      </c>
      <c r="I95" s="3" t="s">
        <v>4587</v>
      </c>
      <c r="J95" s="5" t="s">
        <v>4588</v>
      </c>
      <c r="K95" s="3" t="s">
        <v>5383</v>
      </c>
      <c r="L95" s="3" t="s">
        <v>4591</v>
      </c>
      <c r="M95" s="5">
        <v>3</v>
      </c>
      <c r="N95" s="21">
        <v>897.76239999999996</v>
      </c>
      <c r="O95" s="35" t="s">
        <v>4854</v>
      </c>
      <c r="P95" s="36" t="str">
        <f>HYPERLINK("http://ms.phosphosite.org:5080/cgi-bin/plot-msms.cgi?MassType=1&amp;NumAxis=1&amp;Mod10=160&amp;Mod11=160&amp;Mod14=170&amp;Mod17=160&amp;Pep=KYEFSPQTLCCYGKQLCTIPR&amp;Dta=/var/www/html/dta/S01/10559.10285.3.dta&amp;Global_Mod=CS57.0215", "10285")</f>
        <v>10285</v>
      </c>
      <c r="Q95" s="35" t="s">
        <v>4854</v>
      </c>
      <c r="R95" s="35" t="s">
        <v>4854</v>
      </c>
      <c r="S95" s="35" t="s">
        <v>4854</v>
      </c>
      <c r="T95" s="35" t="s">
        <v>4854</v>
      </c>
      <c r="U95" s="36" t="str">
        <f>HYPERLINK("http://ms.phosphosite.org:5080/cgi-bin/plot-msms.cgi?MassType=1&amp;NumAxis=1&amp;Mod10=160&amp;Mod11=160&amp;Mod14=170&amp;Mod17=160&amp;Pep=KYEFSPQTLCCYGKQLCTIPR&amp;Dta=/var/www/html/dta/S01/10564.10892.3.dta&amp;Global_Mod=CS57.0215", "10892")</f>
        <v>10892</v>
      </c>
      <c r="V95" s="35" t="s">
        <v>4854</v>
      </c>
      <c r="W95" s="3" t="s">
        <v>4854</v>
      </c>
      <c r="X95" s="5">
        <v>10278</v>
      </c>
      <c r="Y95" s="3" t="s">
        <v>4854</v>
      </c>
      <c r="Z95" s="3" t="s">
        <v>4854</v>
      </c>
      <c r="AA95" s="3" t="s">
        <v>4854</v>
      </c>
      <c r="AB95" s="3" t="s">
        <v>4854</v>
      </c>
      <c r="AC95" s="5">
        <v>10896</v>
      </c>
      <c r="AD95" s="3" t="s">
        <v>4854</v>
      </c>
      <c r="AE95" s="99" t="s">
        <v>4854</v>
      </c>
      <c r="AF95" s="90">
        <v>3.153</v>
      </c>
      <c r="AG95" s="99" t="s">
        <v>4854</v>
      </c>
      <c r="AH95" s="99" t="s">
        <v>4854</v>
      </c>
      <c r="AI95" s="99" t="s">
        <v>4854</v>
      </c>
      <c r="AJ95" s="99" t="s">
        <v>4854</v>
      </c>
      <c r="AK95" s="90">
        <v>2.867</v>
      </c>
      <c r="AL95" s="99" t="s">
        <v>4854</v>
      </c>
      <c r="AM95" s="102" t="s">
        <v>4854</v>
      </c>
      <c r="AN95" s="21">
        <v>0.8891</v>
      </c>
      <c r="AO95" s="102" t="s">
        <v>4854</v>
      </c>
      <c r="AP95" s="102" t="s">
        <v>4854</v>
      </c>
      <c r="AQ95" s="102" t="s">
        <v>4854</v>
      </c>
      <c r="AR95" s="102" t="s">
        <v>4854</v>
      </c>
      <c r="AS95" s="21">
        <v>0.88829999999999998</v>
      </c>
      <c r="AT95" s="102" t="s">
        <v>4854</v>
      </c>
      <c r="AU95" s="102" t="s">
        <v>4854</v>
      </c>
      <c r="AV95" s="21">
        <v>0.47099999999999997</v>
      </c>
      <c r="AW95" s="102" t="s">
        <v>4854</v>
      </c>
      <c r="AX95" s="102" t="s">
        <v>4854</v>
      </c>
      <c r="AY95" s="102" t="s">
        <v>4854</v>
      </c>
      <c r="AZ95" s="102" t="s">
        <v>4854</v>
      </c>
      <c r="BA95" s="21">
        <v>0.19800000000000001</v>
      </c>
      <c r="BB95" s="102" t="s">
        <v>4854</v>
      </c>
      <c r="BC95" s="3" t="s">
        <v>4854</v>
      </c>
      <c r="BD95" s="5">
        <v>1</v>
      </c>
      <c r="BE95" s="3" t="s">
        <v>4854</v>
      </c>
      <c r="BF95" s="3" t="s">
        <v>4854</v>
      </c>
      <c r="BG95" s="3" t="s">
        <v>4854</v>
      </c>
      <c r="BH95" s="3" t="s">
        <v>4854</v>
      </c>
      <c r="BI95" s="5">
        <v>1239</v>
      </c>
      <c r="BJ95" s="3" t="s">
        <v>4854</v>
      </c>
      <c r="BK95" s="99" t="s">
        <v>4854</v>
      </c>
      <c r="BL95" s="90">
        <v>1</v>
      </c>
      <c r="BM95" s="99" t="s">
        <v>4854</v>
      </c>
      <c r="BN95" s="99" t="s">
        <v>4854</v>
      </c>
      <c r="BO95" s="99" t="s">
        <v>4854</v>
      </c>
      <c r="BP95" s="99" t="s">
        <v>4854</v>
      </c>
      <c r="BQ95" s="90">
        <v>0.98499999999999999</v>
      </c>
      <c r="BR95" s="99" t="s">
        <v>4854</v>
      </c>
      <c r="BS95" s="5" t="s">
        <v>4857</v>
      </c>
    </row>
    <row r="96" spans="1:71" s="30" customFormat="1" ht="17.100000000000001" customHeight="1">
      <c r="A96" s="10">
        <v>85</v>
      </c>
      <c r="B96" s="10" t="s">
        <v>4593</v>
      </c>
      <c r="C96" s="4" t="s">
        <v>4715</v>
      </c>
      <c r="D96" s="4" t="s">
        <v>4583</v>
      </c>
      <c r="E96" s="7" t="s">
        <v>4584</v>
      </c>
      <c r="F96" s="10" t="s">
        <v>5109</v>
      </c>
      <c r="G96" s="4" t="s">
        <v>4585</v>
      </c>
      <c r="H96" s="7" t="s">
        <v>4586</v>
      </c>
      <c r="I96" s="4" t="s">
        <v>4587</v>
      </c>
      <c r="J96" s="10" t="s">
        <v>4588</v>
      </c>
      <c r="K96" s="4" t="s">
        <v>5384</v>
      </c>
      <c r="L96" s="4" t="s">
        <v>4460</v>
      </c>
      <c r="M96" s="10">
        <v>3</v>
      </c>
      <c r="N96" s="95">
        <v>864.41920000000005</v>
      </c>
      <c r="O96" s="37" t="str">
        <f>HYPERLINK("http://ms.phosphosite.org:5080/cgi-bin/plot-msms.cgi?MassType=1&amp;NumAxis=1&amp;Mod20=170&amp;Mod24=170&amp;Pep=KKEESTAASETPEGSQGDSKNAKK&amp;Dta=/var/www/html/dta/S01/10558.1588.3.dta&amp;Global_Mod=CS57.0215", "1588")</f>
        <v>1588</v>
      </c>
      <c r="P96" s="38" t="s">
        <v>4854</v>
      </c>
      <c r="Q96" s="38" t="s">
        <v>4854</v>
      </c>
      <c r="R96" s="38" t="s">
        <v>4854</v>
      </c>
      <c r="S96" s="38" t="s">
        <v>4854</v>
      </c>
      <c r="T96" s="38" t="s">
        <v>4854</v>
      </c>
      <c r="U96" s="38" t="s">
        <v>4854</v>
      </c>
      <c r="V96" s="38" t="s">
        <v>4854</v>
      </c>
      <c r="W96" s="10">
        <v>1578</v>
      </c>
      <c r="X96" s="4" t="s">
        <v>4854</v>
      </c>
      <c r="Y96" s="4" t="s">
        <v>4854</v>
      </c>
      <c r="Z96" s="4" t="s">
        <v>4854</v>
      </c>
      <c r="AA96" s="4" t="s">
        <v>4854</v>
      </c>
      <c r="AB96" s="4" t="s">
        <v>4854</v>
      </c>
      <c r="AC96" s="4" t="s">
        <v>4854</v>
      </c>
      <c r="AD96" s="4" t="s">
        <v>4854</v>
      </c>
      <c r="AE96" s="91">
        <v>2.3660000000000001</v>
      </c>
      <c r="AF96" s="100" t="s">
        <v>4854</v>
      </c>
      <c r="AG96" s="100" t="s">
        <v>4854</v>
      </c>
      <c r="AH96" s="100" t="s">
        <v>4854</v>
      </c>
      <c r="AI96" s="100" t="s">
        <v>4854</v>
      </c>
      <c r="AJ96" s="100" t="s">
        <v>4854</v>
      </c>
      <c r="AK96" s="100" t="s">
        <v>4854</v>
      </c>
      <c r="AL96" s="100" t="s">
        <v>4854</v>
      </c>
      <c r="AM96" s="95">
        <v>0.87749999999999995</v>
      </c>
      <c r="AN96" s="103" t="s">
        <v>4854</v>
      </c>
      <c r="AO96" s="103" t="s">
        <v>4854</v>
      </c>
      <c r="AP96" s="103" t="s">
        <v>4854</v>
      </c>
      <c r="AQ96" s="103" t="s">
        <v>4854</v>
      </c>
      <c r="AR96" s="103" t="s">
        <v>4854</v>
      </c>
      <c r="AS96" s="103" t="s">
        <v>4854</v>
      </c>
      <c r="AT96" s="103" t="s">
        <v>4854</v>
      </c>
      <c r="AU96" s="95">
        <v>0.154</v>
      </c>
      <c r="AV96" s="103" t="s">
        <v>4854</v>
      </c>
      <c r="AW96" s="103" t="s">
        <v>4854</v>
      </c>
      <c r="AX96" s="103" t="s">
        <v>4854</v>
      </c>
      <c r="AY96" s="103" t="s">
        <v>4854</v>
      </c>
      <c r="AZ96" s="103" t="s">
        <v>4854</v>
      </c>
      <c r="BA96" s="103" t="s">
        <v>4854</v>
      </c>
      <c r="BB96" s="103" t="s">
        <v>4854</v>
      </c>
      <c r="BC96" s="10">
        <v>49</v>
      </c>
      <c r="BD96" s="4" t="s">
        <v>4854</v>
      </c>
      <c r="BE96" s="4" t="s">
        <v>4854</v>
      </c>
      <c r="BF96" s="4" t="s">
        <v>4854</v>
      </c>
      <c r="BG96" s="4" t="s">
        <v>4854</v>
      </c>
      <c r="BH96" s="4" t="s">
        <v>4854</v>
      </c>
      <c r="BI96" s="4" t="s">
        <v>4854</v>
      </c>
      <c r="BJ96" s="4" t="s">
        <v>4854</v>
      </c>
      <c r="BK96" s="91">
        <v>0.97499999999999998</v>
      </c>
      <c r="BL96" s="100" t="s">
        <v>4854</v>
      </c>
      <c r="BM96" s="100" t="s">
        <v>4854</v>
      </c>
      <c r="BN96" s="100" t="s">
        <v>4854</v>
      </c>
      <c r="BO96" s="100" t="s">
        <v>4854</v>
      </c>
      <c r="BP96" s="100" t="s">
        <v>4854</v>
      </c>
      <c r="BQ96" s="100" t="s">
        <v>4854</v>
      </c>
      <c r="BR96" s="100" t="s">
        <v>4854</v>
      </c>
      <c r="BS96" s="10" t="s">
        <v>4857</v>
      </c>
    </row>
    <row r="97" spans="1:71" s="30" customFormat="1" ht="17.100000000000001" customHeight="1">
      <c r="A97" s="14">
        <v>86</v>
      </c>
      <c r="B97" s="5" t="s">
        <v>4461</v>
      </c>
      <c r="C97" s="3" t="s">
        <v>4715</v>
      </c>
      <c r="D97" s="3" t="s">
        <v>4583</v>
      </c>
      <c r="E97" s="6" t="s">
        <v>4584</v>
      </c>
      <c r="F97" s="5" t="s">
        <v>5158</v>
      </c>
      <c r="G97" s="3" t="s">
        <v>4585</v>
      </c>
      <c r="H97" s="6" t="s">
        <v>4586</v>
      </c>
      <c r="I97" s="3" t="s">
        <v>4587</v>
      </c>
      <c r="J97" s="5" t="s">
        <v>4588</v>
      </c>
      <c r="K97" s="3" t="s">
        <v>5385</v>
      </c>
      <c r="L97" s="3" t="s">
        <v>4462</v>
      </c>
      <c r="M97" s="5">
        <v>3</v>
      </c>
      <c r="N97" s="21">
        <v>596.3184</v>
      </c>
      <c r="O97" s="36" t="str">
        <f>HYPERLINK("http://ms.phosphosite.org:5080/cgi-bin/plot-msms.cgi?MassType=1&amp;NumAxis=1&amp;Mod3=170&amp;Mod4=170&amp;Mod7=170&amp;Mod9=170&amp;Pep=NNKKTNKNKSSISR&amp;Dta=/var/www/html/dta/S01/10558.3174.3.dta&amp;Global_Mod=CS57.0215", "3174")</f>
        <v>3174</v>
      </c>
      <c r="P97" s="36" t="str">
        <f>HYPERLINK("http://ms.phosphosite.org:5080/cgi-bin/plot-msms.cgi?MassType=1&amp;NumAxis=1&amp;Mod3=170&amp;Mod4=170&amp;Mod7=170&amp;Mod9=170&amp;Pep=NNKKTNKNKSSISR&amp;Dta=/var/www/html/dta/S01/10559.3138.3.dta&amp;Global_Mod=CS57.0215", "3138")</f>
        <v>3138</v>
      </c>
      <c r="Q97" s="36" t="str">
        <f>HYPERLINK("http://ms.phosphosite.org:5080/cgi-bin/plot-msms.cgi?MassType=1&amp;NumAxis=1&amp;Mod3=170&amp;Mod4=170&amp;Mod7=170&amp;Mod9=170&amp;Pep=NNKKTNKNKSSISR&amp;Dta=/var/www/html/dta/S01/10560.3096.3.dta&amp;Global_Mod=CS57.0215", "3096")</f>
        <v>3096</v>
      </c>
      <c r="R97" s="36" t="str">
        <f>HYPERLINK("http://ms.phosphosite.org:5080/cgi-bin/plot-msms.cgi?MassType=1&amp;NumAxis=1&amp;Mod3=170&amp;Mod4=170&amp;Mod7=170&amp;Mod9=170&amp;Pep=NNKKTNKNKSSISR&amp;Dta=/var/www/html/dta/S01/10561.3115.3.dta&amp;Global_Mod=CS57.0215", "3115")</f>
        <v>3115</v>
      </c>
      <c r="S97" s="35" t="s">
        <v>4854</v>
      </c>
      <c r="T97" s="35" t="s">
        <v>4854</v>
      </c>
      <c r="U97" s="36" t="str">
        <f>HYPERLINK("http://ms.phosphosite.org:5080/cgi-bin/plot-msms.cgi?MassType=1&amp;NumAxis=1&amp;Mod3=170&amp;Mod4=170&amp;Mod7=170&amp;Mod9=170&amp;Pep=NNKKTNKNKSSISR&amp;Dta=/var/www/html/dta/S01/10564.3444.3.dta&amp;Global_Mod=CS57.0215", "3444")</f>
        <v>3444</v>
      </c>
      <c r="V97" s="35" t="s">
        <v>4854</v>
      </c>
      <c r="W97" s="5">
        <v>3173</v>
      </c>
      <c r="X97" s="5">
        <v>3145</v>
      </c>
      <c r="Y97" s="5">
        <v>3091</v>
      </c>
      <c r="Z97" s="5">
        <v>3119</v>
      </c>
      <c r="AA97" s="3" t="s">
        <v>4854</v>
      </c>
      <c r="AB97" s="3" t="s">
        <v>4854</v>
      </c>
      <c r="AC97" s="5">
        <v>3440</v>
      </c>
      <c r="AD97" s="3" t="s">
        <v>4854</v>
      </c>
      <c r="AE97" s="90">
        <v>4.05</v>
      </c>
      <c r="AF97" s="90">
        <v>3.3370000000000002</v>
      </c>
      <c r="AG97" s="90">
        <v>3.6549999999999998</v>
      </c>
      <c r="AH97" s="90">
        <v>3.6859999999999999</v>
      </c>
      <c r="AI97" s="99" t="s">
        <v>4854</v>
      </c>
      <c r="AJ97" s="99" t="s">
        <v>4854</v>
      </c>
      <c r="AK97" s="90">
        <v>3.4239999999999999</v>
      </c>
      <c r="AL97" s="99" t="s">
        <v>4854</v>
      </c>
      <c r="AM97" s="21">
        <v>0.1956</v>
      </c>
      <c r="AN97" s="21">
        <v>0.56999999999999995</v>
      </c>
      <c r="AO97" s="21">
        <v>0.8649</v>
      </c>
      <c r="AP97" s="21">
        <v>0.60019999999999996</v>
      </c>
      <c r="AQ97" s="102" t="s">
        <v>4854</v>
      </c>
      <c r="AR97" s="102" t="s">
        <v>4854</v>
      </c>
      <c r="AS97" s="21">
        <v>4.5600000000000002E-2</v>
      </c>
      <c r="AT97" s="102" t="s">
        <v>4854</v>
      </c>
      <c r="AU97" s="21">
        <v>0.439</v>
      </c>
      <c r="AV97" s="21">
        <v>0.26300000000000001</v>
      </c>
      <c r="AW97" s="21">
        <v>0.314</v>
      </c>
      <c r="AX97" s="21">
        <v>0.31900000000000001</v>
      </c>
      <c r="AY97" s="102" t="s">
        <v>4854</v>
      </c>
      <c r="AZ97" s="102" t="s">
        <v>4854</v>
      </c>
      <c r="BA97" s="21">
        <v>0.29899999999999999</v>
      </c>
      <c r="BB97" s="102" t="s">
        <v>4854</v>
      </c>
      <c r="BC97" s="5">
        <v>1</v>
      </c>
      <c r="BD97" s="5">
        <v>2</v>
      </c>
      <c r="BE97" s="5">
        <v>1</v>
      </c>
      <c r="BF97" s="5">
        <v>1</v>
      </c>
      <c r="BG97" s="3" t="s">
        <v>4854</v>
      </c>
      <c r="BH97" s="3" t="s">
        <v>4854</v>
      </c>
      <c r="BI97" s="5">
        <v>1</v>
      </c>
      <c r="BJ97" s="3" t="s">
        <v>4854</v>
      </c>
      <c r="BK97" s="90">
        <v>1</v>
      </c>
      <c r="BL97" s="90">
        <v>0.99399999999999999</v>
      </c>
      <c r="BM97" s="90">
        <v>0.998</v>
      </c>
      <c r="BN97" s="90">
        <v>0.998</v>
      </c>
      <c r="BO97" s="99" t="s">
        <v>4854</v>
      </c>
      <c r="BP97" s="99" t="s">
        <v>4854</v>
      </c>
      <c r="BQ97" s="90">
        <v>0.997</v>
      </c>
      <c r="BR97" s="99" t="s">
        <v>4854</v>
      </c>
      <c r="BS97" s="5" t="s">
        <v>4857</v>
      </c>
    </row>
    <row r="98" spans="1:71" s="30" customFormat="1" ht="17.100000000000001" customHeight="1">
      <c r="A98" s="14">
        <v>87</v>
      </c>
      <c r="B98" s="5" t="s">
        <v>4463</v>
      </c>
      <c r="C98" s="3" t="s">
        <v>4715</v>
      </c>
      <c r="D98" s="3" t="s">
        <v>4583</v>
      </c>
      <c r="E98" s="6" t="s">
        <v>4584</v>
      </c>
      <c r="F98" s="5" t="s">
        <v>5158</v>
      </c>
      <c r="G98" s="3" t="s">
        <v>4585</v>
      </c>
      <c r="H98" s="6" t="s">
        <v>4586</v>
      </c>
      <c r="I98" s="3" t="s">
        <v>4587</v>
      </c>
      <c r="J98" s="5" t="s">
        <v>4588</v>
      </c>
      <c r="K98" s="3" t="s">
        <v>5385</v>
      </c>
      <c r="L98" s="3" t="s">
        <v>4462</v>
      </c>
      <c r="M98" s="5">
        <v>3</v>
      </c>
      <c r="N98" s="21">
        <v>596.3184</v>
      </c>
      <c r="O98" s="35" t="s">
        <v>4854</v>
      </c>
      <c r="P98" s="35" t="s">
        <v>4854</v>
      </c>
      <c r="Q98" s="36" t="str">
        <f>HYPERLINK("http://ms.phosphosite.org:5080/cgi-bin/plot-msms.cgi?MassType=1&amp;NumAxis=1&amp;Mod3=170&amp;Mod4=170&amp;Mod7=170&amp;Mod9=170&amp;Pep=NNKKTNKNKSSISR&amp;Dta=/var/www/html/dta/S01/10560.3123.3.dta&amp;Global_Mod=CS57.0215", "3123")</f>
        <v>3123</v>
      </c>
      <c r="R98" s="36" t="str">
        <f>HYPERLINK("http://ms.phosphosite.org:5080/cgi-bin/plot-msms.cgi?MassType=1&amp;NumAxis=1&amp;Mod3=170&amp;Mod4=170&amp;Mod7=170&amp;Mod9=170&amp;Pep=NNKKTNKNKSSISR&amp;Dta=/var/www/html/dta/S01/10561.3136.3.dta&amp;Global_Mod=CS57.0215", "3136")</f>
        <v>3136</v>
      </c>
      <c r="S98" s="35" t="s">
        <v>4854</v>
      </c>
      <c r="T98" s="35" t="s">
        <v>4854</v>
      </c>
      <c r="U98" s="35" t="s">
        <v>4854</v>
      </c>
      <c r="V98" s="35" t="s">
        <v>4854</v>
      </c>
      <c r="W98" s="3" t="s">
        <v>4854</v>
      </c>
      <c r="X98" s="3" t="s">
        <v>4854</v>
      </c>
      <c r="Y98" s="3" t="s">
        <v>4854</v>
      </c>
      <c r="Z98" s="3" t="s">
        <v>4854</v>
      </c>
      <c r="AA98" s="3" t="s">
        <v>4854</v>
      </c>
      <c r="AB98" s="3" t="s">
        <v>4854</v>
      </c>
      <c r="AC98" s="3" t="s">
        <v>4854</v>
      </c>
      <c r="AD98" s="3" t="s">
        <v>4854</v>
      </c>
      <c r="AE98" s="99" t="s">
        <v>4854</v>
      </c>
      <c r="AF98" s="99" t="s">
        <v>4854</v>
      </c>
      <c r="AG98" s="90">
        <v>2.6539999999999999</v>
      </c>
      <c r="AH98" s="90">
        <v>2.238</v>
      </c>
      <c r="AI98" s="99" t="s">
        <v>4854</v>
      </c>
      <c r="AJ98" s="99" t="s">
        <v>4854</v>
      </c>
      <c r="AK98" s="99" t="s">
        <v>4854</v>
      </c>
      <c r="AL98" s="99" t="s">
        <v>4854</v>
      </c>
      <c r="AM98" s="102" t="s">
        <v>4854</v>
      </c>
      <c r="AN98" s="102" t="s">
        <v>4854</v>
      </c>
      <c r="AO98" s="21">
        <v>0.8649</v>
      </c>
      <c r="AP98" s="21">
        <v>0.60019999999999996</v>
      </c>
      <c r="AQ98" s="102" t="s">
        <v>4854</v>
      </c>
      <c r="AR98" s="102" t="s">
        <v>4854</v>
      </c>
      <c r="AS98" s="102" t="s">
        <v>4854</v>
      </c>
      <c r="AT98" s="102" t="s">
        <v>4854</v>
      </c>
      <c r="AU98" s="102" t="s">
        <v>4854</v>
      </c>
      <c r="AV98" s="102" t="s">
        <v>4854</v>
      </c>
      <c r="AW98" s="21">
        <v>0.123</v>
      </c>
      <c r="AX98" s="21">
        <v>0.17499999999999999</v>
      </c>
      <c r="AY98" s="102" t="s">
        <v>4854</v>
      </c>
      <c r="AZ98" s="102" t="s">
        <v>4854</v>
      </c>
      <c r="BA98" s="102" t="s">
        <v>4854</v>
      </c>
      <c r="BB98" s="102" t="s">
        <v>4854</v>
      </c>
      <c r="BC98" s="3" t="s">
        <v>4854</v>
      </c>
      <c r="BD98" s="3" t="s">
        <v>4854</v>
      </c>
      <c r="BE98" s="5">
        <v>3</v>
      </c>
      <c r="BF98" s="5">
        <v>6</v>
      </c>
      <c r="BG98" s="3" t="s">
        <v>4854</v>
      </c>
      <c r="BH98" s="3" t="s">
        <v>4854</v>
      </c>
      <c r="BI98" s="3" t="s">
        <v>4854</v>
      </c>
      <c r="BJ98" s="3" t="s">
        <v>4854</v>
      </c>
      <c r="BK98" s="99" t="s">
        <v>4854</v>
      </c>
      <c r="BL98" s="99" t="s">
        <v>4854</v>
      </c>
      <c r="BM98" s="90">
        <v>0.89700000000000002</v>
      </c>
      <c r="BN98" s="90">
        <v>0.89200000000000002</v>
      </c>
      <c r="BO98" s="99" t="s">
        <v>4854</v>
      </c>
      <c r="BP98" s="99" t="s">
        <v>4854</v>
      </c>
      <c r="BQ98" s="99" t="s">
        <v>4854</v>
      </c>
      <c r="BR98" s="99" t="s">
        <v>4854</v>
      </c>
      <c r="BS98" s="5" t="s">
        <v>4857</v>
      </c>
    </row>
    <row r="99" spans="1:71" s="30" customFormat="1" ht="17.100000000000001" customHeight="1">
      <c r="A99" s="10">
        <v>88</v>
      </c>
      <c r="B99" s="10" t="s">
        <v>4464</v>
      </c>
      <c r="C99" s="4" t="s">
        <v>4715</v>
      </c>
      <c r="D99" s="4" t="s">
        <v>4465</v>
      </c>
      <c r="E99" s="7" t="s">
        <v>4466</v>
      </c>
      <c r="F99" s="10" t="s">
        <v>5302</v>
      </c>
      <c r="G99" s="4" t="s">
        <v>4585</v>
      </c>
      <c r="H99" s="7" t="s">
        <v>4467</v>
      </c>
      <c r="I99" s="4" t="s">
        <v>4587</v>
      </c>
      <c r="J99" s="10" t="s">
        <v>4468</v>
      </c>
      <c r="K99" s="4" t="s">
        <v>5386</v>
      </c>
      <c r="L99" s="4" t="s">
        <v>4470</v>
      </c>
      <c r="M99" s="10">
        <v>3</v>
      </c>
      <c r="N99" s="95">
        <v>388.20240000000001</v>
      </c>
      <c r="O99" s="37" t="str">
        <f>HYPERLINK("http://ms.phosphosite.org:5080/cgi-bin/plot-msms.cgi?MassType=1&amp;NumAxis=1&amp;Mod7=170&amp;Pep=LYATMEKHK&amp;Dta=/var/www/html/dta/S01/10558.2765.3.dta&amp;Global_Mod=CS57.0215", "2765")</f>
        <v>2765</v>
      </c>
      <c r="P99" s="38" t="s">
        <v>4854</v>
      </c>
      <c r="Q99" s="37" t="str">
        <f>HYPERLINK("http://ms.phosphosite.org:5080/cgi-bin/plot-msms.cgi?MassType=1&amp;NumAxis=1&amp;Mod7=170&amp;Pep=LYATMEKHK&amp;Dta=/var/www/html/dta/S01/10560.2695.3.dta&amp;Global_Mod=CS57.0215", "2695")</f>
        <v>2695</v>
      </c>
      <c r="R99" s="38" t="s">
        <v>4854</v>
      </c>
      <c r="S99" s="37" t="str">
        <f>HYPERLINK("http://ms.phosphosite.org:5080/cgi-bin/plot-msms.cgi?MassType=1&amp;NumAxis=1&amp;Mod7=170&amp;Pep=LYATMEKHK&amp;Dta=/var/www/html/dta/S01/10562.2804.3.dta&amp;Global_Mod=CS57.0215", "2804")</f>
        <v>2804</v>
      </c>
      <c r="T99" s="38" t="s">
        <v>4854</v>
      </c>
      <c r="U99" s="37" t="str">
        <f>HYPERLINK("http://ms.phosphosite.org:5080/cgi-bin/plot-msms.cgi?MassType=1&amp;NumAxis=1&amp;Mod7=170&amp;Pep=LYATMEKHK&amp;Dta=/var/www/html/dta/S01/10564.3051.3.dta&amp;Global_Mod=CS57.0215", "3051")</f>
        <v>3051</v>
      </c>
      <c r="V99" s="38" t="s">
        <v>4854</v>
      </c>
      <c r="W99" s="4" t="s">
        <v>4854</v>
      </c>
      <c r="X99" s="4" t="s">
        <v>4854</v>
      </c>
      <c r="Y99" s="4" t="s">
        <v>4854</v>
      </c>
      <c r="Z99" s="4" t="s">
        <v>4854</v>
      </c>
      <c r="AA99" s="4" t="s">
        <v>4854</v>
      </c>
      <c r="AB99" s="4" t="s">
        <v>4854</v>
      </c>
      <c r="AC99" s="10">
        <v>3061</v>
      </c>
      <c r="AD99" s="4" t="s">
        <v>4854</v>
      </c>
      <c r="AE99" s="91">
        <v>1.651</v>
      </c>
      <c r="AF99" s="100" t="s">
        <v>4854</v>
      </c>
      <c r="AG99" s="91">
        <v>1.6679999999999999</v>
      </c>
      <c r="AH99" s="100" t="s">
        <v>4854</v>
      </c>
      <c r="AI99" s="91">
        <v>1.7989999999999999</v>
      </c>
      <c r="AJ99" s="100" t="s">
        <v>4854</v>
      </c>
      <c r="AK99" s="91">
        <v>1.5089999999999999</v>
      </c>
      <c r="AL99" s="100" t="s">
        <v>4854</v>
      </c>
      <c r="AM99" s="95">
        <v>0.2235</v>
      </c>
      <c r="AN99" s="103" t="s">
        <v>4854</v>
      </c>
      <c r="AO99" s="95">
        <v>7.3800000000000004E-2</v>
      </c>
      <c r="AP99" s="103" t="s">
        <v>4854</v>
      </c>
      <c r="AQ99" s="95">
        <v>0.21060000000000001</v>
      </c>
      <c r="AR99" s="103" t="s">
        <v>4854</v>
      </c>
      <c r="AS99" s="95">
        <v>-0.19969999999999999</v>
      </c>
      <c r="AT99" s="103" t="s">
        <v>4854</v>
      </c>
      <c r="AU99" s="95">
        <v>0.188</v>
      </c>
      <c r="AV99" s="103" t="s">
        <v>4854</v>
      </c>
      <c r="AW99" s="95">
        <v>0</v>
      </c>
      <c r="AX99" s="103" t="s">
        <v>4854</v>
      </c>
      <c r="AY99" s="95">
        <v>0.13900000000000001</v>
      </c>
      <c r="AZ99" s="103" t="s">
        <v>4854</v>
      </c>
      <c r="BA99" s="95">
        <v>0.27900000000000003</v>
      </c>
      <c r="BB99" s="103" t="s">
        <v>4854</v>
      </c>
      <c r="BC99" s="10">
        <v>665</v>
      </c>
      <c r="BD99" s="4" t="s">
        <v>4854</v>
      </c>
      <c r="BE99" s="10">
        <v>130</v>
      </c>
      <c r="BF99" s="4" t="s">
        <v>4854</v>
      </c>
      <c r="BG99" s="10">
        <v>1235</v>
      </c>
      <c r="BH99" s="4" t="s">
        <v>4854</v>
      </c>
      <c r="BI99" s="10">
        <v>38</v>
      </c>
      <c r="BJ99" s="4" t="s">
        <v>4854</v>
      </c>
      <c r="BK99" s="91">
        <v>0.94199999999999995</v>
      </c>
      <c r="BL99" s="100" t="s">
        <v>4854</v>
      </c>
      <c r="BM99" s="91">
        <v>0.71399999999999997</v>
      </c>
      <c r="BN99" s="100" t="s">
        <v>4854</v>
      </c>
      <c r="BO99" s="91">
        <v>0.90800000000000003</v>
      </c>
      <c r="BP99" s="100" t="s">
        <v>4854</v>
      </c>
      <c r="BQ99" s="91">
        <v>0.98899999999999999</v>
      </c>
      <c r="BR99" s="100" t="s">
        <v>4854</v>
      </c>
      <c r="BS99" s="10" t="s">
        <v>4857</v>
      </c>
    </row>
    <row r="100" spans="1:71" s="30" customFormat="1" ht="17.100000000000001" customHeight="1">
      <c r="A100" s="14">
        <v>89</v>
      </c>
      <c r="B100" s="5" t="s">
        <v>4471</v>
      </c>
      <c r="C100" s="3" t="s">
        <v>4715</v>
      </c>
      <c r="D100" s="3" t="s">
        <v>4465</v>
      </c>
      <c r="E100" s="6" t="s">
        <v>4466</v>
      </c>
      <c r="F100" s="5" t="s">
        <v>5233</v>
      </c>
      <c r="G100" s="3" t="s">
        <v>4585</v>
      </c>
      <c r="H100" s="6" t="s">
        <v>4467</v>
      </c>
      <c r="I100" s="3" t="s">
        <v>4587</v>
      </c>
      <c r="J100" s="5" t="s">
        <v>4468</v>
      </c>
      <c r="K100" s="3" t="s">
        <v>5387</v>
      </c>
      <c r="L100" s="3" t="s">
        <v>4472</v>
      </c>
      <c r="M100" s="5">
        <v>3</v>
      </c>
      <c r="N100" s="21">
        <v>674.63670000000002</v>
      </c>
      <c r="O100" s="35" t="s">
        <v>4854</v>
      </c>
      <c r="P100" s="36" t="str">
        <f>HYPERLINK("http://ms.phosphosite.org:5080/cgi-bin/plot-msms.cgi?MassType=1&amp;NumAxis=1&amp;Mod5=160&amp;Mod8=160&amp;Mod9=170&amp;Pep=FVYTCNECKHHVETR&amp;Dta=/var/www/html/dta/S01/10559.2953.3.dta&amp;Global_Mod=CS57.0215", "2953")</f>
        <v>2953</v>
      </c>
      <c r="Q100" s="36" t="str">
        <f>HYPERLINK("http://ms.phosphosite.org:5080/cgi-bin/plot-msms.cgi?MassType=1&amp;NumAxis=1&amp;Mod5=160&amp;Mod8=160&amp;Mod9=170&amp;Pep=FVYTCNECKHHVETR&amp;Dta=/var/www/html/dta/S01/10560.2899.3.dta&amp;Global_Mod=CS57.0215", "2899")</f>
        <v>2899</v>
      </c>
      <c r="R100" s="36" t="str">
        <f>HYPERLINK("http://ms.phosphosite.org:5080/cgi-bin/plot-msms.cgi?MassType=1&amp;NumAxis=1&amp;Mod5=160&amp;Mod8=160&amp;Mod9=170&amp;Pep=FVYTCNECKHHVETR&amp;Dta=/var/www/html/dta/S01/10561.2926.3.dta&amp;Global_Mod=CS57.0215", "2926")</f>
        <v>2926</v>
      </c>
      <c r="S100" s="35" t="s">
        <v>4854</v>
      </c>
      <c r="T100" s="35" t="s">
        <v>4854</v>
      </c>
      <c r="U100" s="35" t="s">
        <v>4854</v>
      </c>
      <c r="V100" s="36" t="str">
        <f>HYPERLINK("http://ms.phosphosite.org:5080/cgi-bin/plot-msms.cgi?MassType=1&amp;NumAxis=1&amp;Mod5=160&amp;Mod8=160&amp;Mod9=170&amp;Pep=FVYTCNECKHHVETR&amp;Dta=/var/www/html/dta/S01/10565.3342.3.dta&amp;Global_Mod=CS57.0215", "3342")</f>
        <v>3342</v>
      </c>
      <c r="W100" s="3" t="s">
        <v>4854</v>
      </c>
      <c r="X100" s="5">
        <v>2947</v>
      </c>
      <c r="Y100" s="3" t="s">
        <v>4854</v>
      </c>
      <c r="Z100" s="5">
        <v>2932</v>
      </c>
      <c r="AA100" s="3" t="s">
        <v>4854</v>
      </c>
      <c r="AB100" s="3" t="s">
        <v>4854</v>
      </c>
      <c r="AC100" s="3" t="s">
        <v>4854</v>
      </c>
      <c r="AD100" s="3" t="s">
        <v>4854</v>
      </c>
      <c r="AE100" s="99" t="s">
        <v>4854</v>
      </c>
      <c r="AF100" s="90">
        <v>2.1179999999999999</v>
      </c>
      <c r="AG100" s="90">
        <v>2.452</v>
      </c>
      <c r="AH100" s="90">
        <v>2.1339999999999999</v>
      </c>
      <c r="AI100" s="99" t="s">
        <v>4854</v>
      </c>
      <c r="AJ100" s="99" t="s">
        <v>4854</v>
      </c>
      <c r="AK100" s="99" t="s">
        <v>4854</v>
      </c>
      <c r="AL100" s="90">
        <v>1.839</v>
      </c>
      <c r="AM100" s="102" t="s">
        <v>4854</v>
      </c>
      <c r="AN100" s="21">
        <v>0.2167</v>
      </c>
      <c r="AO100" s="21">
        <v>0.57330000000000003</v>
      </c>
      <c r="AP100" s="21">
        <v>0.3478</v>
      </c>
      <c r="AQ100" s="102" t="s">
        <v>4854</v>
      </c>
      <c r="AR100" s="102" t="s">
        <v>4854</v>
      </c>
      <c r="AS100" s="102" t="s">
        <v>4854</v>
      </c>
      <c r="AT100" s="21">
        <v>-0.18940000000000001</v>
      </c>
      <c r="AU100" s="102" t="s">
        <v>4854</v>
      </c>
      <c r="AV100" s="21">
        <v>0.16900000000000001</v>
      </c>
      <c r="AW100" s="21">
        <v>6.9000000000000006E-2</v>
      </c>
      <c r="AX100" s="21">
        <v>0.186</v>
      </c>
      <c r="AY100" s="102" t="s">
        <v>4854</v>
      </c>
      <c r="AZ100" s="102" t="s">
        <v>4854</v>
      </c>
      <c r="BA100" s="102" t="s">
        <v>4854</v>
      </c>
      <c r="BB100" s="21">
        <v>4.2000000000000003E-2</v>
      </c>
      <c r="BC100" s="3" t="s">
        <v>4854</v>
      </c>
      <c r="BD100" s="5">
        <v>1</v>
      </c>
      <c r="BE100" s="5">
        <v>46</v>
      </c>
      <c r="BF100" s="5">
        <v>1</v>
      </c>
      <c r="BG100" s="3" t="s">
        <v>4854</v>
      </c>
      <c r="BH100" s="3" t="s">
        <v>4854</v>
      </c>
      <c r="BI100" s="3" t="s">
        <v>4854</v>
      </c>
      <c r="BJ100" s="5">
        <v>5</v>
      </c>
      <c r="BK100" s="99" t="s">
        <v>4854</v>
      </c>
      <c r="BL100" s="90">
        <v>0.99199999999999999</v>
      </c>
      <c r="BM100" s="90">
        <v>0.94799999999999995</v>
      </c>
      <c r="BN100" s="90">
        <v>0.99399999999999999</v>
      </c>
      <c r="BO100" s="99" t="s">
        <v>4854</v>
      </c>
      <c r="BP100" s="99" t="s">
        <v>4854</v>
      </c>
      <c r="BQ100" s="99" t="s">
        <v>4854</v>
      </c>
      <c r="BR100" s="90">
        <v>0.89300000000000002</v>
      </c>
      <c r="BS100" s="5" t="s">
        <v>4857</v>
      </c>
    </row>
    <row r="101" spans="1:71" s="30" customFormat="1" ht="17.100000000000001" customHeight="1">
      <c r="A101" s="10">
        <v>90</v>
      </c>
      <c r="B101" s="10" t="s">
        <v>4473</v>
      </c>
      <c r="C101" s="4" t="s">
        <v>4715</v>
      </c>
      <c r="D101" s="4" t="s">
        <v>4583</v>
      </c>
      <c r="E101" s="7" t="s">
        <v>4584</v>
      </c>
      <c r="F101" s="10" t="s">
        <v>5278</v>
      </c>
      <c r="G101" s="4" t="s">
        <v>4585</v>
      </c>
      <c r="H101" s="7" t="s">
        <v>4586</v>
      </c>
      <c r="I101" s="4" t="s">
        <v>4587</v>
      </c>
      <c r="J101" s="10" t="s">
        <v>4588</v>
      </c>
      <c r="K101" s="4" t="s">
        <v>5388</v>
      </c>
      <c r="L101" s="4" t="s">
        <v>4474</v>
      </c>
      <c r="M101" s="10">
        <v>4</v>
      </c>
      <c r="N101" s="95">
        <v>735.34640000000002</v>
      </c>
      <c r="O101" s="38" t="s">
        <v>4854</v>
      </c>
      <c r="P101" s="38" t="s">
        <v>4854</v>
      </c>
      <c r="Q101" s="37" t="str">
        <f>HYPERLINK("http://ms.phosphosite.org:5080/cgi-bin/plot-msms.cgi?MassType=1&amp;NumAxis=1&amp;Mod5=170&amp;Mod6=147&amp;Mod8=170&amp;Pep=SHTHKMVKWGLGLDDEGSSQGEPQSK&amp;Dta=/var/www/html/dta/S01/10560.6364.4.dta&amp;Global_Mod=CS57.0215", "6364")</f>
        <v>6364</v>
      </c>
      <c r="R101" s="38" t="s">
        <v>4854</v>
      </c>
      <c r="S101" s="38" t="s">
        <v>4854</v>
      </c>
      <c r="T101" s="37" t="str">
        <f>HYPERLINK("http://ms.phosphosite.org:5080/cgi-bin/plot-msms.cgi?MassType=1&amp;NumAxis=1&amp;Mod5=170&amp;Mod6=147&amp;Mod8=170&amp;Pep=SHTHKMVKWGLGLDDEGSSQGEPQSK&amp;Dta=/var/www/html/dta/S01/10563.6485.4.dta&amp;Global_Mod=CS57.0215", "6485")</f>
        <v>6485</v>
      </c>
      <c r="U101" s="38" t="s">
        <v>4854</v>
      </c>
      <c r="V101" s="38" t="s">
        <v>4854</v>
      </c>
      <c r="W101" s="4" t="s">
        <v>4854</v>
      </c>
      <c r="X101" s="4" t="s">
        <v>4854</v>
      </c>
      <c r="Y101" s="10">
        <v>6388</v>
      </c>
      <c r="Z101" s="4" t="s">
        <v>4854</v>
      </c>
      <c r="AA101" s="4" t="s">
        <v>4854</v>
      </c>
      <c r="AB101" s="10">
        <v>6541</v>
      </c>
      <c r="AC101" s="4" t="s">
        <v>4854</v>
      </c>
      <c r="AD101" s="4" t="s">
        <v>4854</v>
      </c>
      <c r="AE101" s="100" t="s">
        <v>4854</v>
      </c>
      <c r="AF101" s="100" t="s">
        <v>4854</v>
      </c>
      <c r="AG101" s="91">
        <v>2.6539999999999999</v>
      </c>
      <c r="AH101" s="100" t="s">
        <v>4854</v>
      </c>
      <c r="AI101" s="100" t="s">
        <v>4854</v>
      </c>
      <c r="AJ101" s="91">
        <v>3.2490000000000001</v>
      </c>
      <c r="AK101" s="100" t="s">
        <v>4854</v>
      </c>
      <c r="AL101" s="100" t="s">
        <v>4854</v>
      </c>
      <c r="AM101" s="103" t="s">
        <v>4854</v>
      </c>
      <c r="AN101" s="103" t="s">
        <v>4854</v>
      </c>
      <c r="AO101" s="95">
        <v>-6.3799999999999996E-2</v>
      </c>
      <c r="AP101" s="103" t="s">
        <v>4854</v>
      </c>
      <c r="AQ101" s="103" t="s">
        <v>4854</v>
      </c>
      <c r="AR101" s="95">
        <v>1.2586999999999999</v>
      </c>
      <c r="AS101" s="103" t="s">
        <v>4854</v>
      </c>
      <c r="AT101" s="103" t="s">
        <v>4854</v>
      </c>
      <c r="AU101" s="103" t="s">
        <v>4854</v>
      </c>
      <c r="AV101" s="103" t="s">
        <v>4854</v>
      </c>
      <c r="AW101" s="95">
        <v>9.4E-2</v>
      </c>
      <c r="AX101" s="103" t="s">
        <v>4854</v>
      </c>
      <c r="AY101" s="103" t="s">
        <v>4854</v>
      </c>
      <c r="AZ101" s="95">
        <v>0.11799999999999999</v>
      </c>
      <c r="BA101" s="103" t="s">
        <v>4854</v>
      </c>
      <c r="BB101" s="103" t="s">
        <v>4854</v>
      </c>
      <c r="BC101" s="4" t="s">
        <v>4854</v>
      </c>
      <c r="BD101" s="4" t="s">
        <v>4854</v>
      </c>
      <c r="BE101" s="10">
        <v>9</v>
      </c>
      <c r="BF101" s="4" t="s">
        <v>4854</v>
      </c>
      <c r="BG101" s="4" t="s">
        <v>4854</v>
      </c>
      <c r="BH101" s="10">
        <v>1</v>
      </c>
      <c r="BI101" s="4" t="s">
        <v>4854</v>
      </c>
      <c r="BJ101" s="4" t="s">
        <v>4854</v>
      </c>
      <c r="BK101" s="100" t="s">
        <v>4854</v>
      </c>
      <c r="BL101" s="100" t="s">
        <v>4854</v>
      </c>
      <c r="BM101" s="91">
        <v>0.98199999999999998</v>
      </c>
      <c r="BN101" s="100" t="s">
        <v>4854</v>
      </c>
      <c r="BO101" s="100" t="s">
        <v>4854</v>
      </c>
      <c r="BP101" s="91">
        <v>0.998</v>
      </c>
      <c r="BQ101" s="100" t="s">
        <v>4854</v>
      </c>
      <c r="BR101" s="100" t="s">
        <v>4854</v>
      </c>
      <c r="BS101" s="10" t="s">
        <v>4857</v>
      </c>
    </row>
    <row r="102" spans="1:71" s="30" customFormat="1" ht="17.100000000000001" customHeight="1">
      <c r="A102" s="14">
        <v>91</v>
      </c>
      <c r="B102" s="5" t="s">
        <v>4475</v>
      </c>
      <c r="C102" s="3" t="s">
        <v>4715</v>
      </c>
      <c r="D102" s="3" t="s">
        <v>4583</v>
      </c>
      <c r="E102" s="6" t="s">
        <v>4584</v>
      </c>
      <c r="F102" s="5" t="s">
        <v>5098</v>
      </c>
      <c r="G102" s="3" t="s">
        <v>4585</v>
      </c>
      <c r="H102" s="6" t="s">
        <v>4586</v>
      </c>
      <c r="I102" s="3" t="s">
        <v>4587</v>
      </c>
      <c r="J102" s="5" t="s">
        <v>4588</v>
      </c>
      <c r="K102" s="3" t="s">
        <v>5389</v>
      </c>
      <c r="L102" s="3" t="s">
        <v>4476</v>
      </c>
      <c r="M102" s="5">
        <v>3</v>
      </c>
      <c r="N102" s="21">
        <v>1011.4683</v>
      </c>
      <c r="O102" s="35" t="s">
        <v>4854</v>
      </c>
      <c r="P102" s="35" t="s">
        <v>4854</v>
      </c>
      <c r="Q102" s="35" t="s">
        <v>4854</v>
      </c>
      <c r="R102" s="36" t="str">
        <f>HYPERLINK("http://ms.phosphosite.org:5080/cgi-bin/plot-msms.cgi?MassType=1&amp;NumAxis=1&amp;Mod1=147&amp;Mod3=170&amp;Mod21=170&amp;Pep=MVKWGLGLDDEGSSQGEPQSKSPQESR&amp;Dta=/var/www/html/dta/S01/10561.8898.3.dta&amp;Global_Mod=CS57.0215", "8898")</f>
        <v>8898</v>
      </c>
      <c r="S102" s="36" t="str">
        <f>HYPERLINK("http://ms.phosphosite.org:5080/cgi-bin/plot-msms.cgi?MassType=1&amp;NumAxis=1&amp;Mod1=147&amp;Mod3=170&amp;Mod21=170&amp;Pep=MVKWGLGLDDEGSSQGEPQSKSPQESR&amp;Dta=/var/www/html/dta/S01/10562.9039.3.dta&amp;Global_Mod=CS57.0215", "9039")</f>
        <v>9039</v>
      </c>
      <c r="T102" s="35" t="s">
        <v>4854</v>
      </c>
      <c r="U102" s="35" t="s">
        <v>4854</v>
      </c>
      <c r="V102" s="35" t="s">
        <v>4854</v>
      </c>
      <c r="W102" s="3" t="s">
        <v>4854</v>
      </c>
      <c r="X102" s="3" t="s">
        <v>4854</v>
      </c>
      <c r="Y102" s="3" t="s">
        <v>4854</v>
      </c>
      <c r="Z102" s="5">
        <v>8890</v>
      </c>
      <c r="AA102" s="3" t="s">
        <v>4854</v>
      </c>
      <c r="AB102" s="3" t="s">
        <v>4854</v>
      </c>
      <c r="AC102" s="3" t="s">
        <v>4854</v>
      </c>
      <c r="AD102" s="3" t="s">
        <v>4854</v>
      </c>
      <c r="AE102" s="99" t="s">
        <v>4854</v>
      </c>
      <c r="AF102" s="99" t="s">
        <v>4854</v>
      </c>
      <c r="AG102" s="99" t="s">
        <v>4854</v>
      </c>
      <c r="AH102" s="90">
        <v>3.0920000000000001</v>
      </c>
      <c r="AI102" s="90">
        <v>2.165</v>
      </c>
      <c r="AJ102" s="99" t="s">
        <v>4854</v>
      </c>
      <c r="AK102" s="99" t="s">
        <v>4854</v>
      </c>
      <c r="AL102" s="99" t="s">
        <v>4854</v>
      </c>
      <c r="AM102" s="102" t="s">
        <v>4854</v>
      </c>
      <c r="AN102" s="102" t="s">
        <v>4854</v>
      </c>
      <c r="AO102" s="102" t="s">
        <v>4854</v>
      </c>
      <c r="AP102" s="21">
        <v>-0.39179999999999998</v>
      </c>
      <c r="AQ102" s="21">
        <v>1.6316999999999999</v>
      </c>
      <c r="AR102" s="102" t="s">
        <v>4854</v>
      </c>
      <c r="AS102" s="102" t="s">
        <v>4854</v>
      </c>
      <c r="AT102" s="102" t="s">
        <v>4854</v>
      </c>
      <c r="AU102" s="102" t="s">
        <v>4854</v>
      </c>
      <c r="AV102" s="102" t="s">
        <v>4854</v>
      </c>
      <c r="AW102" s="102" t="s">
        <v>4854</v>
      </c>
      <c r="AX102" s="21">
        <v>0.33500000000000002</v>
      </c>
      <c r="AY102" s="21">
        <v>4.0000000000000001E-3</v>
      </c>
      <c r="AZ102" s="102" t="s">
        <v>4854</v>
      </c>
      <c r="BA102" s="102" t="s">
        <v>4854</v>
      </c>
      <c r="BB102" s="102" t="s">
        <v>4854</v>
      </c>
      <c r="BC102" s="3" t="s">
        <v>4854</v>
      </c>
      <c r="BD102" s="3" t="s">
        <v>4854</v>
      </c>
      <c r="BE102" s="3" t="s">
        <v>4854</v>
      </c>
      <c r="BF102" s="5">
        <v>24</v>
      </c>
      <c r="BG102" s="5">
        <v>296</v>
      </c>
      <c r="BH102" s="3" t="s">
        <v>4854</v>
      </c>
      <c r="BI102" s="3" t="s">
        <v>4854</v>
      </c>
      <c r="BJ102" s="3" t="s">
        <v>4854</v>
      </c>
      <c r="BK102" s="99" t="s">
        <v>4854</v>
      </c>
      <c r="BL102" s="99" t="s">
        <v>4854</v>
      </c>
      <c r="BM102" s="99" t="s">
        <v>4854</v>
      </c>
      <c r="BN102" s="90">
        <v>0.999</v>
      </c>
      <c r="BO102" s="90">
        <v>0.42199999999999999</v>
      </c>
      <c r="BP102" s="99" t="s">
        <v>4854</v>
      </c>
      <c r="BQ102" s="99" t="s">
        <v>4854</v>
      </c>
      <c r="BR102" s="99" t="s">
        <v>4854</v>
      </c>
      <c r="BS102" s="5" t="s">
        <v>4857</v>
      </c>
    </row>
    <row r="103" spans="1:71" s="30" customFormat="1" ht="17.100000000000001" customHeight="1">
      <c r="A103" s="10">
        <v>92</v>
      </c>
      <c r="B103" s="10" t="s">
        <v>4477</v>
      </c>
      <c r="C103" s="4" t="s">
        <v>4715</v>
      </c>
      <c r="D103" s="4" t="s">
        <v>4465</v>
      </c>
      <c r="E103" s="7" t="s">
        <v>4466</v>
      </c>
      <c r="F103" s="10" t="s">
        <v>5244</v>
      </c>
      <c r="G103" s="4" t="s">
        <v>4585</v>
      </c>
      <c r="H103" s="7" t="s">
        <v>4467</v>
      </c>
      <c r="I103" s="4" t="s">
        <v>4587</v>
      </c>
      <c r="J103" s="10" t="s">
        <v>4468</v>
      </c>
      <c r="K103" s="4" t="s">
        <v>5390</v>
      </c>
      <c r="L103" s="4" t="s">
        <v>4478</v>
      </c>
      <c r="M103" s="10">
        <v>3</v>
      </c>
      <c r="N103" s="95">
        <v>695.99369999999999</v>
      </c>
      <c r="O103" s="37" t="str">
        <f>HYPERLINK("http://ms.phosphosite.org:5080/cgi-bin/plot-msms.cgi?MassType=1&amp;NumAxis=1&amp;Mod2=160&amp;Mod6=170&amp;Mod7=160&amp;Mod12=160&amp;Pep=HCQENKCPVPFCLNIK&amp;Dta=/var/www/html/dta/S01/10558.8335.3.dta&amp;Global_Mod=CS57.0215", "8335")</f>
        <v>8335</v>
      </c>
      <c r="P103" s="38" t="s">
        <v>4854</v>
      </c>
      <c r="Q103" s="37" t="str">
        <f>HYPERLINK("http://ms.phosphosite.org:5080/cgi-bin/plot-msms.cgi?MassType=1&amp;NumAxis=1&amp;Mod2=160&amp;Mod6=170&amp;Mod7=160&amp;Mod12=160&amp;Pep=HCQENKCPVPFCLNIK&amp;Dta=/var/www/html/dta/S01/10560.8315.3.dta&amp;Global_Mod=CS57.0215", "8315")</f>
        <v>8315</v>
      </c>
      <c r="R103" s="37" t="str">
        <f>HYPERLINK("http://ms.phosphosite.org:5080/cgi-bin/plot-msms.cgi?MassType=1&amp;NumAxis=1&amp;Mod2=160&amp;Mod6=170&amp;Mod7=160&amp;Mod12=160&amp;Pep=HCQENKCPVPFCLNIK&amp;Dta=/var/www/html/dta/S01/10561.8363.3.dta&amp;Global_Mod=CS57.0215", "8363")</f>
        <v>8363</v>
      </c>
      <c r="S103" s="37" t="str">
        <f>HYPERLINK("http://ms.phosphosite.org:5080/cgi-bin/plot-msms.cgi?MassType=1&amp;NumAxis=1&amp;Mod2=160&amp;Mod6=170&amp;Mod7=160&amp;Mod12=160&amp;Pep=HCQENKCPVPFCLNIK&amp;Dta=/var/www/html/dta/S01/10562.8472.3.dta&amp;Global_Mod=CS57.0215", "8472")</f>
        <v>8472</v>
      </c>
      <c r="T103" s="37" t="str">
        <f>HYPERLINK("http://ms.phosphosite.org:5080/cgi-bin/plot-msms.cgi?MassType=1&amp;NumAxis=1&amp;Mod2=160&amp;Mod6=170&amp;Mod7=160&amp;Mod12=160&amp;Pep=HCQENKCPVPFCLNIK&amp;Dta=/var/www/html/dta/S01/10563.8442.3.dta&amp;Global_Mod=CS57.0215", "8442")</f>
        <v>8442</v>
      </c>
      <c r="U103" s="37" t="str">
        <f>HYPERLINK("http://ms.phosphosite.org:5080/cgi-bin/plot-msms.cgi?MassType=1&amp;NumAxis=1&amp;Mod2=160&amp;Mod6=170&amp;Mod7=160&amp;Mod12=160&amp;Pep=HCQENKCPVPFCLNIK&amp;Dta=/var/www/html/dta/S01/10564.8862.3.dta&amp;Global_Mod=CS57.0215", "8862")</f>
        <v>8862</v>
      </c>
      <c r="V103" s="37" t="str">
        <f>HYPERLINK("http://ms.phosphosite.org:5080/cgi-bin/plot-msms.cgi?MassType=1&amp;NumAxis=1&amp;Mod2=160&amp;Mod6=170&amp;Mod7=160&amp;Mod12=160&amp;Pep=HCQENKCPVPFCLNIK&amp;Dta=/var/www/html/dta/S01/10565.8895.3.dta&amp;Global_Mod=CS57.0215", "8895")</f>
        <v>8895</v>
      </c>
      <c r="W103" s="4" t="s">
        <v>4854</v>
      </c>
      <c r="X103" s="4" t="s">
        <v>4854</v>
      </c>
      <c r="Y103" s="4" t="s">
        <v>4854</v>
      </c>
      <c r="Z103" s="10">
        <v>8384</v>
      </c>
      <c r="AA103" s="10">
        <v>8490</v>
      </c>
      <c r="AB103" s="10">
        <v>8455</v>
      </c>
      <c r="AC103" s="4" t="s">
        <v>4854</v>
      </c>
      <c r="AD103" s="10">
        <v>8869</v>
      </c>
      <c r="AE103" s="91">
        <v>2.2330000000000001</v>
      </c>
      <c r="AF103" s="100" t="s">
        <v>4854</v>
      </c>
      <c r="AG103" s="91">
        <v>2.2250000000000001</v>
      </c>
      <c r="AH103" s="91">
        <v>2.5990000000000002</v>
      </c>
      <c r="AI103" s="91">
        <v>3.2069999999999999</v>
      </c>
      <c r="AJ103" s="91">
        <v>3.5539999999999998</v>
      </c>
      <c r="AK103" s="91">
        <v>2.3969999999999998</v>
      </c>
      <c r="AL103" s="91">
        <v>3.0710000000000002</v>
      </c>
      <c r="AM103" s="95">
        <v>0.50560000000000005</v>
      </c>
      <c r="AN103" s="103" t="s">
        <v>4854</v>
      </c>
      <c r="AO103" s="95">
        <v>0.8115</v>
      </c>
      <c r="AP103" s="95">
        <v>0.92600000000000005</v>
      </c>
      <c r="AQ103" s="95">
        <v>0.51380000000000003</v>
      </c>
      <c r="AR103" s="95">
        <v>0.73960000000000004</v>
      </c>
      <c r="AS103" s="95">
        <v>0.56220000000000003</v>
      </c>
      <c r="AT103" s="95">
        <v>0.2271</v>
      </c>
      <c r="AU103" s="95">
        <v>1.4E-2</v>
      </c>
      <c r="AV103" s="103" t="s">
        <v>4854</v>
      </c>
      <c r="AW103" s="95">
        <v>0.12</v>
      </c>
      <c r="AX103" s="95">
        <v>0.27400000000000002</v>
      </c>
      <c r="AY103" s="95">
        <v>0.35099999999999998</v>
      </c>
      <c r="AZ103" s="95">
        <v>0.307</v>
      </c>
      <c r="BA103" s="95">
        <v>0.02</v>
      </c>
      <c r="BB103" s="95">
        <v>0.20599999999999999</v>
      </c>
      <c r="BC103" s="10">
        <v>12</v>
      </c>
      <c r="BD103" s="4" t="s">
        <v>4854</v>
      </c>
      <c r="BE103" s="10">
        <v>397</v>
      </c>
      <c r="BF103" s="10">
        <v>2</v>
      </c>
      <c r="BG103" s="10">
        <v>1</v>
      </c>
      <c r="BH103" s="10">
        <v>1</v>
      </c>
      <c r="BI103" s="10">
        <v>199</v>
      </c>
      <c r="BJ103" s="10">
        <v>1</v>
      </c>
      <c r="BK103" s="91">
        <v>0.89400000000000002</v>
      </c>
      <c r="BL103" s="100" t="s">
        <v>4854</v>
      </c>
      <c r="BM103" s="91">
        <v>0.93600000000000005</v>
      </c>
      <c r="BN103" s="91">
        <v>0.999</v>
      </c>
      <c r="BO103" s="91">
        <v>1</v>
      </c>
      <c r="BP103" s="91">
        <v>1</v>
      </c>
      <c r="BQ103" s="91">
        <v>0.85499999999999998</v>
      </c>
      <c r="BR103" s="91">
        <v>0.999</v>
      </c>
      <c r="BS103" s="10" t="s">
        <v>4857</v>
      </c>
    </row>
    <row r="104" spans="1:71" s="30" customFormat="1" ht="17.100000000000001" customHeight="1">
      <c r="A104" s="10">
        <v>93</v>
      </c>
      <c r="B104" s="10" t="s">
        <v>4479</v>
      </c>
      <c r="C104" s="4" t="s">
        <v>4715</v>
      </c>
      <c r="D104" s="4" t="s">
        <v>4465</v>
      </c>
      <c r="E104" s="7" t="s">
        <v>4466</v>
      </c>
      <c r="F104" s="10" t="s">
        <v>5244</v>
      </c>
      <c r="G104" s="4" t="s">
        <v>4585</v>
      </c>
      <c r="H104" s="7" t="s">
        <v>4467</v>
      </c>
      <c r="I104" s="4" t="s">
        <v>4587</v>
      </c>
      <c r="J104" s="10" t="s">
        <v>4468</v>
      </c>
      <c r="K104" s="4" t="s">
        <v>5390</v>
      </c>
      <c r="L104" s="4" t="s">
        <v>4478</v>
      </c>
      <c r="M104" s="10">
        <v>3</v>
      </c>
      <c r="N104" s="95">
        <v>695.99369999999999</v>
      </c>
      <c r="O104" s="38" t="s">
        <v>4854</v>
      </c>
      <c r="P104" s="38" t="s">
        <v>4854</v>
      </c>
      <c r="Q104" s="38" t="s">
        <v>4854</v>
      </c>
      <c r="R104" s="38" t="s">
        <v>4854</v>
      </c>
      <c r="S104" s="37" t="str">
        <f>HYPERLINK("http://ms.phosphosite.org:5080/cgi-bin/plot-msms.cgi?MassType=1&amp;NumAxis=1&amp;Mod2=160&amp;Mod6=170&amp;Mod7=160&amp;Mod12=160&amp;Pep=HCQENKCPVPFCLNIK&amp;Dta=/var/www/html/dta/S01/10562.8480.3.dta&amp;Global_Mod=CS57.0215", "8480")</f>
        <v>8480</v>
      </c>
      <c r="T104" s="37" t="str">
        <f>HYPERLINK("http://ms.phosphosite.org:5080/cgi-bin/plot-msms.cgi?MassType=1&amp;NumAxis=1&amp;Mod2=160&amp;Mod6=170&amp;Mod7=160&amp;Mod12=160&amp;Pep=HCQENKCPVPFCLNIK&amp;Dta=/var/www/html/dta/S01/10563.8456.3.dta&amp;Global_Mod=CS57.0215", "8456")</f>
        <v>8456</v>
      </c>
      <c r="U104" s="38" t="s">
        <v>4854</v>
      </c>
      <c r="V104" s="38" t="s">
        <v>4854</v>
      </c>
      <c r="W104" s="4" t="s">
        <v>4854</v>
      </c>
      <c r="X104" s="4" t="s">
        <v>4854</v>
      </c>
      <c r="Y104" s="4" t="s">
        <v>4854</v>
      </c>
      <c r="Z104" s="4" t="s">
        <v>4854</v>
      </c>
      <c r="AA104" s="10">
        <v>8490</v>
      </c>
      <c r="AB104" s="10">
        <v>8455</v>
      </c>
      <c r="AC104" s="4" t="s">
        <v>4854</v>
      </c>
      <c r="AD104" s="4" t="s">
        <v>4854</v>
      </c>
      <c r="AE104" s="100" t="s">
        <v>4854</v>
      </c>
      <c r="AF104" s="100" t="s">
        <v>4854</v>
      </c>
      <c r="AG104" s="100" t="s">
        <v>4854</v>
      </c>
      <c r="AH104" s="100" t="s">
        <v>4854</v>
      </c>
      <c r="AI104" s="91">
        <v>2.7360000000000002</v>
      </c>
      <c r="AJ104" s="91">
        <v>2.8079999999999998</v>
      </c>
      <c r="AK104" s="100" t="s">
        <v>4854</v>
      </c>
      <c r="AL104" s="100" t="s">
        <v>4854</v>
      </c>
      <c r="AM104" s="103" t="s">
        <v>4854</v>
      </c>
      <c r="AN104" s="103" t="s">
        <v>4854</v>
      </c>
      <c r="AO104" s="103" t="s">
        <v>4854</v>
      </c>
      <c r="AP104" s="103" t="s">
        <v>4854</v>
      </c>
      <c r="AQ104" s="95">
        <v>0.51380000000000003</v>
      </c>
      <c r="AR104" s="95">
        <v>0.73960000000000004</v>
      </c>
      <c r="AS104" s="103" t="s">
        <v>4854</v>
      </c>
      <c r="AT104" s="103" t="s">
        <v>4854</v>
      </c>
      <c r="AU104" s="103" t="s">
        <v>4854</v>
      </c>
      <c r="AV104" s="103" t="s">
        <v>4854</v>
      </c>
      <c r="AW104" s="103" t="s">
        <v>4854</v>
      </c>
      <c r="AX104" s="103" t="s">
        <v>4854</v>
      </c>
      <c r="AY104" s="95">
        <v>0.22</v>
      </c>
      <c r="AZ104" s="95">
        <v>7.8E-2</v>
      </c>
      <c r="BA104" s="103" t="s">
        <v>4854</v>
      </c>
      <c r="BB104" s="103" t="s">
        <v>4854</v>
      </c>
      <c r="BC104" s="4" t="s">
        <v>4854</v>
      </c>
      <c r="BD104" s="4" t="s">
        <v>4854</v>
      </c>
      <c r="BE104" s="4" t="s">
        <v>4854</v>
      </c>
      <c r="BF104" s="4" t="s">
        <v>4854</v>
      </c>
      <c r="BG104" s="10">
        <v>102</v>
      </c>
      <c r="BH104" s="10">
        <v>4</v>
      </c>
      <c r="BI104" s="4" t="s">
        <v>4854</v>
      </c>
      <c r="BJ104" s="4" t="s">
        <v>4854</v>
      </c>
      <c r="BK104" s="100" t="s">
        <v>4854</v>
      </c>
      <c r="BL104" s="100" t="s">
        <v>4854</v>
      </c>
      <c r="BM104" s="100" t="s">
        <v>4854</v>
      </c>
      <c r="BN104" s="100" t="s">
        <v>4854</v>
      </c>
      <c r="BO104" s="91">
        <v>0.995</v>
      </c>
      <c r="BP104" s="91">
        <v>0.98399999999999999</v>
      </c>
      <c r="BQ104" s="100" t="s">
        <v>4854</v>
      </c>
      <c r="BR104" s="100" t="s">
        <v>4854</v>
      </c>
      <c r="BS104" s="10" t="s">
        <v>4857</v>
      </c>
    </row>
    <row r="105" spans="1:71" s="30" customFormat="1" ht="17.100000000000001" customHeight="1">
      <c r="A105" s="14">
        <v>94</v>
      </c>
      <c r="B105" s="5" t="s">
        <v>4480</v>
      </c>
      <c r="C105" s="3" t="s">
        <v>4715</v>
      </c>
      <c r="D105" s="3" t="s">
        <v>4481</v>
      </c>
      <c r="E105" s="6" t="s">
        <v>4482</v>
      </c>
      <c r="F105" s="5" t="s">
        <v>5208</v>
      </c>
      <c r="G105" s="3" t="s">
        <v>4483</v>
      </c>
      <c r="H105" s="6" t="s">
        <v>4484</v>
      </c>
      <c r="I105" s="3" t="s">
        <v>4485</v>
      </c>
      <c r="J105" s="5" t="s">
        <v>4486</v>
      </c>
      <c r="K105" s="3" t="s">
        <v>5391</v>
      </c>
      <c r="L105" s="3" t="s">
        <v>4487</v>
      </c>
      <c r="M105" s="5">
        <v>2</v>
      </c>
      <c r="N105" s="21">
        <v>644.33259999999996</v>
      </c>
      <c r="O105" s="36" t="str">
        <f>HYPERLINK("http://ms.phosphosite.org:5080/cgi-bin/plot-msms.cgi?MassType=1&amp;NumAxis=1&amp;Mod8=170&amp;Pep=ASYVASTKYQK&amp;Dta=/var/www/html/dta/S01/10558.3325.2.dta&amp;Global_Mod=CS57.0215", "3325")</f>
        <v>3325</v>
      </c>
      <c r="P105" s="35" t="s">
        <v>4854</v>
      </c>
      <c r="Q105" s="36" t="str">
        <f>HYPERLINK("http://ms.phosphosite.org:5080/cgi-bin/plot-msms.cgi?MassType=1&amp;NumAxis=1&amp;Mod8=170&amp;Pep=ASYVASTKYQK&amp;Dta=/var/www/html/dta/S01/10560.3252.2.dta&amp;Global_Mod=CS57.0215", "3252")</f>
        <v>3252</v>
      </c>
      <c r="R105" s="36" t="str">
        <f>HYPERLINK("http://ms.phosphosite.org:5080/cgi-bin/plot-msms.cgi?MassType=1&amp;NumAxis=1&amp;Mod8=170&amp;Pep=ASYVASTKYQK&amp;Dta=/var/www/html/dta/S01/10561.3268.2.dta&amp;Global_Mod=CS57.0215", "3268")</f>
        <v>3268</v>
      </c>
      <c r="S105" s="36" t="str">
        <f>HYPERLINK("http://ms.phosphosite.org:5080/cgi-bin/plot-msms.cgi?MassType=1&amp;NumAxis=1&amp;Mod8=170&amp;Pep=ASYVASTKYQK&amp;Dta=/var/www/html/dta/S01/10562.3345.2.dta&amp;Global_Mod=CS57.0215", "3345")</f>
        <v>3345</v>
      </c>
      <c r="T105" s="36" t="str">
        <f>HYPERLINK("http://ms.phosphosite.org:5080/cgi-bin/plot-msms.cgi?MassType=1&amp;NumAxis=1&amp;Mod8=170&amp;Pep=ASYVASTKYQK&amp;Dta=/var/www/html/dta/S01/10563.3290.2.dta&amp;Global_Mod=CS57.0215", "3290")</f>
        <v>3290</v>
      </c>
      <c r="U105" s="36" t="str">
        <f>HYPERLINK("http://ms.phosphosite.org:5080/cgi-bin/plot-msms.cgi?MassType=1&amp;NumAxis=1&amp;Mod8=170&amp;Pep=ASYVASTKYQK&amp;Dta=/var/www/html/dta/S01/10564.3623.2.dta&amp;Global_Mod=CS57.0215", "3623")</f>
        <v>3623</v>
      </c>
      <c r="V105" s="36" t="str">
        <f>HYPERLINK("http://ms.phosphosite.org:5080/cgi-bin/plot-msms.cgi?MassType=1&amp;NumAxis=1&amp;Mod8=170&amp;Pep=ASYVASTKYQK&amp;Dta=/var/www/html/dta/S01/10565.3700.2.dta&amp;Global_Mod=CS57.0215", "3700")</f>
        <v>3700</v>
      </c>
      <c r="W105" s="5">
        <v>3338</v>
      </c>
      <c r="X105" s="3" t="s">
        <v>4854</v>
      </c>
      <c r="Y105" s="5">
        <v>3267</v>
      </c>
      <c r="Z105" s="5">
        <v>3273</v>
      </c>
      <c r="AA105" s="5">
        <v>3361</v>
      </c>
      <c r="AB105" s="5">
        <v>3295</v>
      </c>
      <c r="AC105" s="5">
        <v>3627</v>
      </c>
      <c r="AD105" s="5">
        <v>3707</v>
      </c>
      <c r="AE105" s="90">
        <v>2.9460000000000002</v>
      </c>
      <c r="AF105" s="99" t="s">
        <v>4854</v>
      </c>
      <c r="AG105" s="90">
        <v>2.8079999999999998</v>
      </c>
      <c r="AH105" s="90">
        <v>3.2010000000000001</v>
      </c>
      <c r="AI105" s="90">
        <v>3.468</v>
      </c>
      <c r="AJ105" s="90">
        <v>2.9849999999999999</v>
      </c>
      <c r="AK105" s="90">
        <v>2.9129999999999998</v>
      </c>
      <c r="AL105" s="90">
        <v>2.7149999999999999</v>
      </c>
      <c r="AM105" s="21">
        <v>0.2646</v>
      </c>
      <c r="AN105" s="102" t="s">
        <v>4854</v>
      </c>
      <c r="AO105" s="21">
        <v>-9.7299999999999998E-2</v>
      </c>
      <c r="AP105" s="21">
        <v>0.5232</v>
      </c>
      <c r="AQ105" s="21">
        <v>0.32290000000000002</v>
      </c>
      <c r="AR105" s="21">
        <v>0.17299999999999999</v>
      </c>
      <c r="AS105" s="21">
        <v>0.49299999999999999</v>
      </c>
      <c r="AT105" s="21">
        <v>9.7699999999999995E-2</v>
      </c>
      <c r="AU105" s="21">
        <v>0.39900000000000002</v>
      </c>
      <c r="AV105" s="102" t="s">
        <v>4854</v>
      </c>
      <c r="AW105" s="21">
        <v>0.31</v>
      </c>
      <c r="AX105" s="21">
        <v>0.38700000000000001</v>
      </c>
      <c r="AY105" s="21">
        <v>0.38200000000000001</v>
      </c>
      <c r="AZ105" s="21">
        <v>0.35199999999999998</v>
      </c>
      <c r="BA105" s="21">
        <v>0.36699999999999999</v>
      </c>
      <c r="BB105" s="21">
        <v>0.29599999999999999</v>
      </c>
      <c r="BC105" s="5">
        <v>1</v>
      </c>
      <c r="BD105" s="3" t="s">
        <v>4854</v>
      </c>
      <c r="BE105" s="5">
        <v>3</v>
      </c>
      <c r="BF105" s="5">
        <v>1</v>
      </c>
      <c r="BG105" s="5">
        <v>1</v>
      </c>
      <c r="BH105" s="5">
        <v>1</v>
      </c>
      <c r="BI105" s="5">
        <v>1</v>
      </c>
      <c r="BJ105" s="5">
        <v>1</v>
      </c>
      <c r="BK105" s="90">
        <v>1</v>
      </c>
      <c r="BL105" s="99" t="s">
        <v>4854</v>
      </c>
      <c r="BM105" s="90">
        <v>0.999</v>
      </c>
      <c r="BN105" s="90">
        <v>1</v>
      </c>
      <c r="BO105" s="90">
        <v>1</v>
      </c>
      <c r="BP105" s="90">
        <v>1</v>
      </c>
      <c r="BQ105" s="90">
        <v>1</v>
      </c>
      <c r="BR105" s="90">
        <v>1</v>
      </c>
      <c r="BS105" s="5" t="s">
        <v>4857</v>
      </c>
    </row>
    <row r="106" spans="1:71" s="30" customFormat="1" ht="17.100000000000001" customHeight="1">
      <c r="A106" s="10">
        <v>95</v>
      </c>
      <c r="B106" s="10" t="s">
        <v>4754</v>
      </c>
      <c r="C106" s="4" t="s">
        <v>4715</v>
      </c>
      <c r="D106" s="4" t="s">
        <v>4488</v>
      </c>
      <c r="E106" s="4" t="s">
        <v>4489</v>
      </c>
      <c r="F106" s="10" t="s">
        <v>4490</v>
      </c>
      <c r="G106" s="4" t="s">
        <v>4489</v>
      </c>
      <c r="H106" s="7" t="s">
        <v>4491</v>
      </c>
      <c r="I106" s="4" t="s">
        <v>4492</v>
      </c>
      <c r="J106" s="10" t="s">
        <v>4493</v>
      </c>
      <c r="K106" s="4" t="s">
        <v>5392</v>
      </c>
      <c r="L106" s="4" t="s">
        <v>4494</v>
      </c>
      <c r="M106" s="10">
        <v>4</v>
      </c>
      <c r="N106" s="95">
        <v>474.27440000000001</v>
      </c>
      <c r="O106" s="37" t="str">
        <f>HYPERLINK("http://ms.phosphosite.org:5080/cgi-bin/plot-msms.cgi?MassType=1&amp;NumAxis=1&amp;Mod4=170&amp;Mod8=170&amp;Mod13=170&amp;Pep=EKKKPQQKEDILKR&amp;Dta=/var/www/html/dta/S01/10558.8517.4.dta&amp;Global_Mod=CS57.0215", "8517")</f>
        <v>8517</v>
      </c>
      <c r="P106" s="38" t="s">
        <v>4854</v>
      </c>
      <c r="Q106" s="38" t="s">
        <v>4854</v>
      </c>
      <c r="R106" s="38" t="s">
        <v>4854</v>
      </c>
      <c r="S106" s="38" t="s">
        <v>4854</v>
      </c>
      <c r="T106" s="38" t="s">
        <v>4854</v>
      </c>
      <c r="U106" s="38" t="s">
        <v>4854</v>
      </c>
      <c r="V106" s="38" t="s">
        <v>4854</v>
      </c>
      <c r="W106" s="4" t="s">
        <v>4854</v>
      </c>
      <c r="X106" s="4" t="s">
        <v>4854</v>
      </c>
      <c r="Y106" s="4" t="s">
        <v>4854</v>
      </c>
      <c r="Z106" s="4" t="s">
        <v>4854</v>
      </c>
      <c r="AA106" s="4" t="s">
        <v>4854</v>
      </c>
      <c r="AB106" s="4" t="s">
        <v>4854</v>
      </c>
      <c r="AC106" s="4" t="s">
        <v>4854</v>
      </c>
      <c r="AD106" s="4" t="s">
        <v>4854</v>
      </c>
      <c r="AE106" s="91">
        <v>1.8640000000000001</v>
      </c>
      <c r="AF106" s="100" t="s">
        <v>4854</v>
      </c>
      <c r="AG106" s="100" t="s">
        <v>4854</v>
      </c>
      <c r="AH106" s="100" t="s">
        <v>4854</v>
      </c>
      <c r="AI106" s="100" t="s">
        <v>4854</v>
      </c>
      <c r="AJ106" s="100" t="s">
        <v>4854</v>
      </c>
      <c r="AK106" s="100" t="s">
        <v>4854</v>
      </c>
      <c r="AL106" s="100" t="s">
        <v>4854</v>
      </c>
      <c r="AM106" s="95">
        <v>-0.73350000000000004</v>
      </c>
      <c r="AN106" s="103" t="s">
        <v>4854</v>
      </c>
      <c r="AO106" s="103" t="s">
        <v>4854</v>
      </c>
      <c r="AP106" s="103" t="s">
        <v>4854</v>
      </c>
      <c r="AQ106" s="103" t="s">
        <v>4854</v>
      </c>
      <c r="AR106" s="103" t="s">
        <v>4854</v>
      </c>
      <c r="AS106" s="103" t="s">
        <v>4854</v>
      </c>
      <c r="AT106" s="103" t="s">
        <v>4854</v>
      </c>
      <c r="AU106" s="95">
        <v>0.14899999999999999</v>
      </c>
      <c r="AV106" s="103" t="s">
        <v>4854</v>
      </c>
      <c r="AW106" s="103" t="s">
        <v>4854</v>
      </c>
      <c r="AX106" s="103" t="s">
        <v>4854</v>
      </c>
      <c r="AY106" s="103" t="s">
        <v>4854</v>
      </c>
      <c r="AZ106" s="103" t="s">
        <v>4854</v>
      </c>
      <c r="BA106" s="103" t="s">
        <v>4854</v>
      </c>
      <c r="BB106" s="103" t="s">
        <v>4854</v>
      </c>
      <c r="BC106" s="10">
        <v>28</v>
      </c>
      <c r="BD106" s="4" t="s">
        <v>4854</v>
      </c>
      <c r="BE106" s="4" t="s">
        <v>4854</v>
      </c>
      <c r="BF106" s="4" t="s">
        <v>4854</v>
      </c>
      <c r="BG106" s="4" t="s">
        <v>4854</v>
      </c>
      <c r="BH106" s="4" t="s">
        <v>4854</v>
      </c>
      <c r="BI106" s="4" t="s">
        <v>4854</v>
      </c>
      <c r="BJ106" s="4" t="s">
        <v>4854</v>
      </c>
      <c r="BK106" s="91">
        <v>7.5999999999999998E-2</v>
      </c>
      <c r="BL106" s="100" t="s">
        <v>4854</v>
      </c>
      <c r="BM106" s="100" t="s">
        <v>4854</v>
      </c>
      <c r="BN106" s="100" t="s">
        <v>4854</v>
      </c>
      <c r="BO106" s="100" t="s">
        <v>4854</v>
      </c>
      <c r="BP106" s="100" t="s">
        <v>4854</v>
      </c>
      <c r="BQ106" s="100" t="s">
        <v>4854</v>
      </c>
      <c r="BR106" s="100" t="s">
        <v>4854</v>
      </c>
      <c r="BS106" s="10" t="s">
        <v>4857</v>
      </c>
    </row>
    <row r="107" spans="1:71" s="30" customFormat="1" ht="17.100000000000001" customHeight="1">
      <c r="A107" s="14">
        <v>96</v>
      </c>
      <c r="B107" s="5" t="s">
        <v>4495</v>
      </c>
      <c r="C107" s="3" t="s">
        <v>4715</v>
      </c>
      <c r="D107" s="3" t="s">
        <v>4496</v>
      </c>
      <c r="E107" s="3" t="s">
        <v>4497</v>
      </c>
      <c r="F107" s="5" t="s">
        <v>4498</v>
      </c>
      <c r="G107" s="3" t="s">
        <v>4499</v>
      </c>
      <c r="H107" s="6" t="s">
        <v>4500</v>
      </c>
      <c r="I107" s="3" t="s">
        <v>4501</v>
      </c>
      <c r="J107" s="5" t="s">
        <v>4502</v>
      </c>
      <c r="K107" s="3" t="s">
        <v>5393</v>
      </c>
      <c r="L107" s="3" t="s">
        <v>4503</v>
      </c>
      <c r="M107" s="5">
        <v>4</v>
      </c>
      <c r="N107" s="21">
        <v>856.40959999999995</v>
      </c>
      <c r="O107" s="35" t="s">
        <v>4854</v>
      </c>
      <c r="P107" s="35" t="s">
        <v>4854</v>
      </c>
      <c r="Q107" s="35" t="s">
        <v>4854</v>
      </c>
      <c r="R107" s="35" t="s">
        <v>4854</v>
      </c>
      <c r="S107" s="35" t="s">
        <v>4854</v>
      </c>
      <c r="T107" s="35" t="s">
        <v>4854</v>
      </c>
      <c r="U107" s="35" t="s">
        <v>4854</v>
      </c>
      <c r="V107" s="36" t="str">
        <f>HYPERLINK("http://ms.phosphosite.org:5080/cgi-bin/plot-msms.cgi?MassType=1&amp;NumAxis=1&amp;Mod15=147&amp;Mod27=147&amp;Mod30=170&amp;Pep=DSTSEVIASMEDSLMLLGSLLSNRYNMPFK&amp;Dta=/var/www/html/dta/S01/10565.15013.4.dta&amp;Global_Mod=CS57.0215", "15013")</f>
        <v>15013</v>
      </c>
      <c r="W107" s="3" t="s">
        <v>4854</v>
      </c>
      <c r="X107" s="3" t="s">
        <v>4854</v>
      </c>
      <c r="Y107" s="3" t="s">
        <v>4854</v>
      </c>
      <c r="Z107" s="3" t="s">
        <v>4854</v>
      </c>
      <c r="AA107" s="3" t="s">
        <v>4854</v>
      </c>
      <c r="AB107" s="3" t="s">
        <v>4854</v>
      </c>
      <c r="AC107" s="3" t="s">
        <v>4854</v>
      </c>
      <c r="AD107" s="3" t="s">
        <v>4854</v>
      </c>
      <c r="AE107" s="99" t="s">
        <v>4854</v>
      </c>
      <c r="AF107" s="99" t="s">
        <v>4854</v>
      </c>
      <c r="AG107" s="99" t="s">
        <v>4854</v>
      </c>
      <c r="AH107" s="99" t="s">
        <v>4854</v>
      </c>
      <c r="AI107" s="99" t="s">
        <v>4854</v>
      </c>
      <c r="AJ107" s="99" t="s">
        <v>4854</v>
      </c>
      <c r="AK107" s="99" t="s">
        <v>4854</v>
      </c>
      <c r="AL107" s="90">
        <v>2.6619999999999999</v>
      </c>
      <c r="AM107" s="102" t="s">
        <v>4854</v>
      </c>
      <c r="AN107" s="102" t="s">
        <v>4854</v>
      </c>
      <c r="AO107" s="102" t="s">
        <v>4854</v>
      </c>
      <c r="AP107" s="102" t="s">
        <v>4854</v>
      </c>
      <c r="AQ107" s="102" t="s">
        <v>4854</v>
      </c>
      <c r="AR107" s="102" t="s">
        <v>4854</v>
      </c>
      <c r="AS107" s="102" t="s">
        <v>4854</v>
      </c>
      <c r="AT107" s="21">
        <v>0.30020000000000002</v>
      </c>
      <c r="AU107" s="102" t="s">
        <v>4854</v>
      </c>
      <c r="AV107" s="102" t="s">
        <v>4854</v>
      </c>
      <c r="AW107" s="102" t="s">
        <v>4854</v>
      </c>
      <c r="AX107" s="102" t="s">
        <v>4854</v>
      </c>
      <c r="AY107" s="102" t="s">
        <v>4854</v>
      </c>
      <c r="AZ107" s="102" t="s">
        <v>4854</v>
      </c>
      <c r="BA107" s="102" t="s">
        <v>4854</v>
      </c>
      <c r="BB107" s="21">
        <v>7.0999999999999994E-2</v>
      </c>
      <c r="BC107" s="3" t="s">
        <v>4854</v>
      </c>
      <c r="BD107" s="3" t="s">
        <v>4854</v>
      </c>
      <c r="BE107" s="3" t="s">
        <v>4854</v>
      </c>
      <c r="BF107" s="3" t="s">
        <v>4854</v>
      </c>
      <c r="BG107" s="3" t="s">
        <v>4854</v>
      </c>
      <c r="BH107" s="3" t="s">
        <v>4854</v>
      </c>
      <c r="BI107" s="3" t="s">
        <v>4854</v>
      </c>
      <c r="BJ107" s="5">
        <v>2</v>
      </c>
      <c r="BK107" s="99" t="s">
        <v>4854</v>
      </c>
      <c r="BL107" s="99" t="s">
        <v>4854</v>
      </c>
      <c r="BM107" s="99" t="s">
        <v>4854</v>
      </c>
      <c r="BN107" s="99" t="s">
        <v>4854</v>
      </c>
      <c r="BO107" s="99" t="s">
        <v>4854</v>
      </c>
      <c r="BP107" s="99" t="s">
        <v>4854</v>
      </c>
      <c r="BQ107" s="99" t="s">
        <v>4854</v>
      </c>
      <c r="BR107" s="90">
        <v>0.221</v>
      </c>
      <c r="BS107" s="5" t="s">
        <v>4857</v>
      </c>
    </row>
    <row r="108" spans="1:71" s="30" customFormat="1" ht="17.100000000000001" customHeight="1">
      <c r="A108" s="10">
        <v>97</v>
      </c>
      <c r="B108" s="10" t="s">
        <v>4644</v>
      </c>
      <c r="C108" s="4" t="s">
        <v>4715</v>
      </c>
      <c r="D108" s="4" t="s">
        <v>4504</v>
      </c>
      <c r="E108" s="4" t="s">
        <v>4505</v>
      </c>
      <c r="F108" s="10" t="s">
        <v>4506</v>
      </c>
      <c r="G108" s="4" t="s">
        <v>4507</v>
      </c>
      <c r="H108" s="7" t="s">
        <v>4508</v>
      </c>
      <c r="I108" s="4" t="s">
        <v>4509</v>
      </c>
      <c r="J108" s="10" t="s">
        <v>4510</v>
      </c>
      <c r="K108" s="4" t="s">
        <v>5394</v>
      </c>
      <c r="L108" s="4" t="s">
        <v>4511</v>
      </c>
      <c r="M108" s="10">
        <v>3</v>
      </c>
      <c r="N108" s="95">
        <v>512.95330000000001</v>
      </c>
      <c r="O108" s="38" t="s">
        <v>4854</v>
      </c>
      <c r="P108" s="37" t="str">
        <f>HYPERLINK("http://ms.phosphosite.org:5080/cgi-bin/plot-msms.cgi?MassType=1&amp;NumAxis=1&amp;Mod11=170&amp;Pep=INLYLTMLTEKR&amp;Dta=/var/www/html/dta/S01/10559.12222.3.dta&amp;Global_Mod=CS57.0215", "12222")</f>
        <v>12222</v>
      </c>
      <c r="Q108" s="38" t="s">
        <v>4854</v>
      </c>
      <c r="R108" s="38" t="s">
        <v>4854</v>
      </c>
      <c r="S108" s="38" t="s">
        <v>4854</v>
      </c>
      <c r="T108" s="38" t="s">
        <v>4854</v>
      </c>
      <c r="U108" s="38" t="s">
        <v>4854</v>
      </c>
      <c r="V108" s="38" t="s">
        <v>4854</v>
      </c>
      <c r="W108" s="4" t="s">
        <v>4854</v>
      </c>
      <c r="X108" s="4" t="s">
        <v>4854</v>
      </c>
      <c r="Y108" s="4" t="s">
        <v>4854</v>
      </c>
      <c r="Z108" s="4" t="s">
        <v>4854</v>
      </c>
      <c r="AA108" s="4" t="s">
        <v>4854</v>
      </c>
      <c r="AB108" s="4" t="s">
        <v>4854</v>
      </c>
      <c r="AC108" s="4" t="s">
        <v>4854</v>
      </c>
      <c r="AD108" s="4" t="s">
        <v>4854</v>
      </c>
      <c r="AE108" s="100" t="s">
        <v>4854</v>
      </c>
      <c r="AF108" s="91">
        <v>1.885</v>
      </c>
      <c r="AG108" s="100" t="s">
        <v>4854</v>
      </c>
      <c r="AH108" s="100" t="s">
        <v>4854</v>
      </c>
      <c r="AI108" s="100" t="s">
        <v>4854</v>
      </c>
      <c r="AJ108" s="100" t="s">
        <v>4854</v>
      </c>
      <c r="AK108" s="100" t="s">
        <v>4854</v>
      </c>
      <c r="AL108" s="100" t="s">
        <v>4854</v>
      </c>
      <c r="AM108" s="103" t="s">
        <v>4854</v>
      </c>
      <c r="AN108" s="95">
        <v>0.32440000000000002</v>
      </c>
      <c r="AO108" s="103" t="s">
        <v>4854</v>
      </c>
      <c r="AP108" s="103" t="s">
        <v>4854</v>
      </c>
      <c r="AQ108" s="103" t="s">
        <v>4854</v>
      </c>
      <c r="AR108" s="103" t="s">
        <v>4854</v>
      </c>
      <c r="AS108" s="103" t="s">
        <v>4854</v>
      </c>
      <c r="AT108" s="103" t="s">
        <v>4854</v>
      </c>
      <c r="AU108" s="103" t="s">
        <v>4854</v>
      </c>
      <c r="AV108" s="95">
        <v>0.13100000000000001</v>
      </c>
      <c r="AW108" s="103" t="s">
        <v>4854</v>
      </c>
      <c r="AX108" s="103" t="s">
        <v>4854</v>
      </c>
      <c r="AY108" s="103" t="s">
        <v>4854</v>
      </c>
      <c r="AZ108" s="103" t="s">
        <v>4854</v>
      </c>
      <c r="BA108" s="103" t="s">
        <v>4854</v>
      </c>
      <c r="BB108" s="103" t="s">
        <v>4854</v>
      </c>
      <c r="BC108" s="4" t="s">
        <v>4854</v>
      </c>
      <c r="BD108" s="10">
        <v>16</v>
      </c>
      <c r="BE108" s="4" t="s">
        <v>4854</v>
      </c>
      <c r="BF108" s="4" t="s">
        <v>4854</v>
      </c>
      <c r="BG108" s="4" t="s">
        <v>4854</v>
      </c>
      <c r="BH108" s="4" t="s">
        <v>4854</v>
      </c>
      <c r="BI108" s="4" t="s">
        <v>4854</v>
      </c>
      <c r="BJ108" s="4" t="s">
        <v>4854</v>
      </c>
      <c r="BK108" s="100" t="s">
        <v>4854</v>
      </c>
      <c r="BL108" s="91">
        <v>0.39600000000000002</v>
      </c>
      <c r="BM108" s="100" t="s">
        <v>4854</v>
      </c>
      <c r="BN108" s="100" t="s">
        <v>4854</v>
      </c>
      <c r="BO108" s="100" t="s">
        <v>4854</v>
      </c>
      <c r="BP108" s="100" t="s">
        <v>4854</v>
      </c>
      <c r="BQ108" s="100" t="s">
        <v>4854</v>
      </c>
      <c r="BR108" s="100" t="s">
        <v>4854</v>
      </c>
      <c r="BS108" s="10" t="s">
        <v>4857</v>
      </c>
    </row>
    <row r="109" spans="1:71" s="30" customFormat="1" ht="17.100000000000001" customHeight="1">
      <c r="A109" s="14">
        <v>98</v>
      </c>
      <c r="B109" s="5" t="s">
        <v>4512</v>
      </c>
      <c r="C109" s="3" t="s">
        <v>4715</v>
      </c>
      <c r="D109" s="3" t="s">
        <v>4513</v>
      </c>
      <c r="E109" s="6" t="s">
        <v>4514</v>
      </c>
      <c r="F109" s="5" t="s">
        <v>4949</v>
      </c>
      <c r="G109" s="3" t="s">
        <v>4515</v>
      </c>
      <c r="H109" s="6" t="s">
        <v>4516</v>
      </c>
      <c r="I109" s="3" t="s">
        <v>4402</v>
      </c>
      <c r="J109" s="5" t="s">
        <v>4403</v>
      </c>
      <c r="K109" s="3" t="s">
        <v>5395</v>
      </c>
      <c r="L109" s="3" t="s">
        <v>4404</v>
      </c>
      <c r="M109" s="5">
        <v>2</v>
      </c>
      <c r="N109" s="21">
        <v>500.2484</v>
      </c>
      <c r="O109" s="35" t="s">
        <v>4854</v>
      </c>
      <c r="P109" s="36" t="str">
        <f>HYPERLINK("http://ms.phosphosite.org:5080/cgi-bin/plot-msms.cgi?MassType=1&amp;NumAxis=1&amp;Mod4=170&amp;Pep=NVYKDYR&amp;Dta=/var/www/html/dta/S01/10559.3272.2.dta&amp;Global_Mod=CS57.0215", "3272")</f>
        <v>3272</v>
      </c>
      <c r="Q109" s="36" t="str">
        <f>HYPERLINK("http://ms.phosphosite.org:5080/cgi-bin/plot-msms.cgi?MassType=1&amp;NumAxis=1&amp;Mod4=170&amp;Pep=NVYKDYR&amp;Dta=/var/www/html/dta/S01/10560.3260.2.dta&amp;Global_Mod=CS57.0215", "3260")</f>
        <v>3260</v>
      </c>
      <c r="R109" s="36" t="str">
        <f>HYPERLINK("http://ms.phosphosite.org:5080/cgi-bin/plot-msms.cgi?MassType=1&amp;NumAxis=1&amp;Mod4=170&amp;Pep=NVYKDYR&amp;Dta=/var/www/html/dta/S01/10561.3283.2.dta&amp;Global_Mod=CS57.0215", "3283")</f>
        <v>3283</v>
      </c>
      <c r="S109" s="36" t="str">
        <f>HYPERLINK("http://ms.phosphosite.org:5080/cgi-bin/plot-msms.cgi?MassType=1&amp;NumAxis=1&amp;Mod4=170&amp;Pep=NVYKDYR&amp;Dta=/var/www/html/dta/S01/10562.3369.2.dta&amp;Global_Mod=CS57.0215", "3369")</f>
        <v>3369</v>
      </c>
      <c r="T109" s="35" t="s">
        <v>4854</v>
      </c>
      <c r="U109" s="35" t="s">
        <v>4854</v>
      </c>
      <c r="V109" s="35" t="s">
        <v>4854</v>
      </c>
      <c r="W109" s="3" t="s">
        <v>4854</v>
      </c>
      <c r="X109" s="5">
        <v>3275</v>
      </c>
      <c r="Y109" s="5">
        <v>3267</v>
      </c>
      <c r="Z109" s="5">
        <v>3284</v>
      </c>
      <c r="AA109" s="5">
        <v>3372</v>
      </c>
      <c r="AB109" s="3" t="s">
        <v>4854</v>
      </c>
      <c r="AC109" s="3" t="s">
        <v>4854</v>
      </c>
      <c r="AD109" s="3" t="s">
        <v>4854</v>
      </c>
      <c r="AE109" s="99" t="s">
        <v>4854</v>
      </c>
      <c r="AF109" s="90">
        <v>1.629</v>
      </c>
      <c r="AG109" s="90">
        <v>1.542</v>
      </c>
      <c r="AH109" s="90">
        <v>1.724</v>
      </c>
      <c r="AI109" s="90">
        <v>1.615</v>
      </c>
      <c r="AJ109" s="99" t="s">
        <v>4854</v>
      </c>
      <c r="AK109" s="99" t="s">
        <v>4854</v>
      </c>
      <c r="AL109" s="99" t="s">
        <v>4854</v>
      </c>
      <c r="AM109" s="102" t="s">
        <v>4854</v>
      </c>
      <c r="AN109" s="21">
        <v>1.3794</v>
      </c>
      <c r="AO109" s="21">
        <v>1.9326000000000001</v>
      </c>
      <c r="AP109" s="21">
        <v>2.4708999999999999</v>
      </c>
      <c r="AQ109" s="21">
        <v>2.9632000000000001</v>
      </c>
      <c r="AR109" s="102" t="s">
        <v>4854</v>
      </c>
      <c r="AS109" s="102" t="s">
        <v>4854</v>
      </c>
      <c r="AT109" s="102" t="s">
        <v>4854</v>
      </c>
      <c r="AU109" s="102" t="s">
        <v>4854</v>
      </c>
      <c r="AV109" s="21">
        <v>0.26800000000000002</v>
      </c>
      <c r="AW109" s="21">
        <v>0.23100000000000001</v>
      </c>
      <c r="AX109" s="21">
        <v>0.29899999999999999</v>
      </c>
      <c r="AY109" s="21">
        <v>0.25700000000000001</v>
      </c>
      <c r="AZ109" s="102" t="s">
        <v>4854</v>
      </c>
      <c r="BA109" s="102" t="s">
        <v>4854</v>
      </c>
      <c r="BB109" s="102" t="s">
        <v>4854</v>
      </c>
      <c r="BC109" s="3" t="s">
        <v>4854</v>
      </c>
      <c r="BD109" s="5">
        <v>2</v>
      </c>
      <c r="BE109" s="5">
        <v>3</v>
      </c>
      <c r="BF109" s="5">
        <v>1</v>
      </c>
      <c r="BG109" s="5">
        <v>20</v>
      </c>
      <c r="BH109" s="3" t="s">
        <v>4854</v>
      </c>
      <c r="BI109" s="3" t="s">
        <v>4854</v>
      </c>
      <c r="BJ109" s="3" t="s">
        <v>4854</v>
      </c>
      <c r="BK109" s="99" t="s">
        <v>4854</v>
      </c>
      <c r="BL109" s="90">
        <v>0.99299999999999999</v>
      </c>
      <c r="BM109" s="90">
        <v>0.98399999999999999</v>
      </c>
      <c r="BN109" s="90">
        <v>0.997</v>
      </c>
      <c r="BO109" s="90">
        <v>0.95199999999999996</v>
      </c>
      <c r="BP109" s="99" t="s">
        <v>4854</v>
      </c>
      <c r="BQ109" s="99" t="s">
        <v>4854</v>
      </c>
      <c r="BR109" s="99" t="s">
        <v>4854</v>
      </c>
      <c r="BS109" s="5" t="s">
        <v>4857</v>
      </c>
    </row>
    <row r="110" spans="1:71" s="30" customFormat="1" ht="17.100000000000001" customHeight="1">
      <c r="A110" s="10">
        <v>99</v>
      </c>
      <c r="B110" s="10" t="s">
        <v>4405</v>
      </c>
      <c r="C110" s="4" t="s">
        <v>4715</v>
      </c>
      <c r="D110" s="4" t="s">
        <v>4406</v>
      </c>
      <c r="E110" s="4" t="s">
        <v>4407</v>
      </c>
      <c r="F110" s="10" t="s">
        <v>4408</v>
      </c>
      <c r="G110" s="4" t="s">
        <v>4407</v>
      </c>
      <c r="H110" s="7" t="s">
        <v>4409</v>
      </c>
      <c r="I110" s="4" t="s">
        <v>4410</v>
      </c>
      <c r="J110" s="10" t="s">
        <v>4411</v>
      </c>
      <c r="K110" s="4" t="s">
        <v>5396</v>
      </c>
      <c r="L110" s="4" t="s">
        <v>4412</v>
      </c>
      <c r="M110" s="10">
        <v>3</v>
      </c>
      <c r="N110" s="95">
        <v>830.12329999999997</v>
      </c>
      <c r="O110" s="38" t="s">
        <v>4854</v>
      </c>
      <c r="P110" s="38" t="s">
        <v>4854</v>
      </c>
      <c r="Q110" s="38" t="s">
        <v>4854</v>
      </c>
      <c r="R110" s="38" t="s">
        <v>4854</v>
      </c>
      <c r="S110" s="38" t="s">
        <v>4854</v>
      </c>
      <c r="T110" s="37" t="str">
        <f>HYPERLINK("http://ms.phosphosite.org:5080/cgi-bin/plot-msms.cgi?MassType=1&amp;NumAxis=1&amp;Mod1=147&amp;Mod22=160&amp;Mod23=170&amp;Pep=MLVPSVGLIIPPPNPLAVDLSCK&amp;Dta=/var/www/html/dta/S01/10563.14240.3.dta&amp;Global_Mod=CS57.0215", "14240")</f>
        <v>14240</v>
      </c>
      <c r="U110" s="38" t="s">
        <v>4854</v>
      </c>
      <c r="V110" s="38" t="s">
        <v>4854</v>
      </c>
      <c r="W110" s="4" t="s">
        <v>4854</v>
      </c>
      <c r="X110" s="4" t="s">
        <v>4854</v>
      </c>
      <c r="Y110" s="4" t="s">
        <v>4854</v>
      </c>
      <c r="Z110" s="4" t="s">
        <v>4854</v>
      </c>
      <c r="AA110" s="4" t="s">
        <v>4854</v>
      </c>
      <c r="AB110" s="4" t="s">
        <v>4854</v>
      </c>
      <c r="AC110" s="4" t="s">
        <v>4854</v>
      </c>
      <c r="AD110" s="4" t="s">
        <v>4854</v>
      </c>
      <c r="AE110" s="100" t="s">
        <v>4854</v>
      </c>
      <c r="AF110" s="100" t="s">
        <v>4854</v>
      </c>
      <c r="AG110" s="100" t="s">
        <v>4854</v>
      </c>
      <c r="AH110" s="100" t="s">
        <v>4854</v>
      </c>
      <c r="AI110" s="100" t="s">
        <v>4854</v>
      </c>
      <c r="AJ110" s="91">
        <v>2.3290000000000002</v>
      </c>
      <c r="AK110" s="100" t="s">
        <v>4854</v>
      </c>
      <c r="AL110" s="100" t="s">
        <v>4854</v>
      </c>
      <c r="AM110" s="103" t="s">
        <v>4854</v>
      </c>
      <c r="AN110" s="103" t="s">
        <v>4854</v>
      </c>
      <c r="AO110" s="103" t="s">
        <v>4854</v>
      </c>
      <c r="AP110" s="103" t="s">
        <v>4854</v>
      </c>
      <c r="AQ110" s="103" t="s">
        <v>4854</v>
      </c>
      <c r="AR110" s="95">
        <v>2.0516000000000001</v>
      </c>
      <c r="AS110" s="103" t="s">
        <v>4854</v>
      </c>
      <c r="AT110" s="103" t="s">
        <v>4854</v>
      </c>
      <c r="AU110" s="103" t="s">
        <v>4854</v>
      </c>
      <c r="AV110" s="103" t="s">
        <v>4854</v>
      </c>
      <c r="AW110" s="103" t="s">
        <v>4854</v>
      </c>
      <c r="AX110" s="103" t="s">
        <v>4854</v>
      </c>
      <c r="AY110" s="103" t="s">
        <v>4854</v>
      </c>
      <c r="AZ110" s="95">
        <v>5.1999999999999998E-2</v>
      </c>
      <c r="BA110" s="103" t="s">
        <v>4854</v>
      </c>
      <c r="BB110" s="103" t="s">
        <v>4854</v>
      </c>
      <c r="BC110" s="4" t="s">
        <v>4854</v>
      </c>
      <c r="BD110" s="4" t="s">
        <v>4854</v>
      </c>
      <c r="BE110" s="4" t="s">
        <v>4854</v>
      </c>
      <c r="BF110" s="4" t="s">
        <v>4854</v>
      </c>
      <c r="BG110" s="4" t="s">
        <v>4854</v>
      </c>
      <c r="BH110" s="10">
        <v>9</v>
      </c>
      <c r="BI110" s="4" t="s">
        <v>4854</v>
      </c>
      <c r="BJ110" s="4" t="s">
        <v>4854</v>
      </c>
      <c r="BK110" s="100" t="s">
        <v>4854</v>
      </c>
      <c r="BL110" s="100" t="s">
        <v>4854</v>
      </c>
      <c r="BM110" s="100" t="s">
        <v>4854</v>
      </c>
      <c r="BN110" s="100" t="s">
        <v>4854</v>
      </c>
      <c r="BO110" s="100" t="s">
        <v>4854</v>
      </c>
      <c r="BP110" s="91">
        <v>8.2000000000000003E-2</v>
      </c>
      <c r="BQ110" s="100" t="s">
        <v>4854</v>
      </c>
      <c r="BR110" s="100" t="s">
        <v>4854</v>
      </c>
      <c r="BS110" s="10" t="s">
        <v>4857</v>
      </c>
    </row>
    <row r="111" spans="1:71" s="30" customFormat="1" ht="17.100000000000001" customHeight="1">
      <c r="A111" s="14">
        <v>100</v>
      </c>
      <c r="B111" s="5" t="s">
        <v>4413</v>
      </c>
      <c r="C111" s="3" t="s">
        <v>4715</v>
      </c>
      <c r="D111" s="3" t="s">
        <v>4414</v>
      </c>
      <c r="E111" s="3" t="s">
        <v>4415</v>
      </c>
      <c r="F111" s="5" t="s">
        <v>4416</v>
      </c>
      <c r="G111" s="3" t="s">
        <v>4417</v>
      </c>
      <c r="H111" s="6" t="s">
        <v>4418</v>
      </c>
      <c r="I111" s="3" t="s">
        <v>4419</v>
      </c>
      <c r="J111" s="5" t="s">
        <v>4420</v>
      </c>
      <c r="K111" s="3" t="s">
        <v>5397</v>
      </c>
      <c r="L111" s="3" t="s">
        <v>4421</v>
      </c>
      <c r="M111" s="5">
        <v>4</v>
      </c>
      <c r="N111" s="21">
        <v>436.23239999999998</v>
      </c>
      <c r="O111" s="35" t="s">
        <v>4854</v>
      </c>
      <c r="P111" s="35" t="s">
        <v>4854</v>
      </c>
      <c r="Q111" s="35" t="s">
        <v>4854</v>
      </c>
      <c r="R111" s="35" t="s">
        <v>4854</v>
      </c>
      <c r="S111" s="35" t="s">
        <v>4854</v>
      </c>
      <c r="T111" s="35" t="s">
        <v>4854</v>
      </c>
      <c r="U111" s="36" t="str">
        <f>HYPERLINK("http://ms.phosphosite.org:5080/cgi-bin/plot-msms.cgi?MassType=1&amp;NumAxis=1&amp;Mod3=170&amp;Pep=QVKLVNIRNDDITDG&amp;Dta=/var/www/html/dta/S01/10564.6577.4.dta&amp;Global_Mod=CS57.0215", "6577")</f>
        <v>6577</v>
      </c>
      <c r="V111" s="35" t="s">
        <v>4854</v>
      </c>
      <c r="W111" s="3" t="s">
        <v>4854</v>
      </c>
      <c r="X111" s="3" t="s">
        <v>4854</v>
      </c>
      <c r="Y111" s="3" t="s">
        <v>4854</v>
      </c>
      <c r="Z111" s="3" t="s">
        <v>4854</v>
      </c>
      <c r="AA111" s="3" t="s">
        <v>4854</v>
      </c>
      <c r="AB111" s="3" t="s">
        <v>4854</v>
      </c>
      <c r="AC111" s="3" t="s">
        <v>4854</v>
      </c>
      <c r="AD111" s="3" t="s">
        <v>4854</v>
      </c>
      <c r="AE111" s="99" t="s">
        <v>4854</v>
      </c>
      <c r="AF111" s="99" t="s">
        <v>4854</v>
      </c>
      <c r="AG111" s="99" t="s">
        <v>4854</v>
      </c>
      <c r="AH111" s="99" t="s">
        <v>4854</v>
      </c>
      <c r="AI111" s="99" t="s">
        <v>4854</v>
      </c>
      <c r="AJ111" s="99" t="s">
        <v>4854</v>
      </c>
      <c r="AK111" s="90">
        <v>2.2650000000000001</v>
      </c>
      <c r="AL111" s="99" t="s">
        <v>4854</v>
      </c>
      <c r="AM111" s="102" t="s">
        <v>4854</v>
      </c>
      <c r="AN111" s="102" t="s">
        <v>4854</v>
      </c>
      <c r="AO111" s="102" t="s">
        <v>4854</v>
      </c>
      <c r="AP111" s="102" t="s">
        <v>4854</v>
      </c>
      <c r="AQ111" s="102" t="s">
        <v>4854</v>
      </c>
      <c r="AR111" s="102" t="s">
        <v>4854</v>
      </c>
      <c r="AS111" s="21">
        <v>2.9184000000000001</v>
      </c>
      <c r="AT111" s="102" t="s">
        <v>4854</v>
      </c>
      <c r="AU111" s="102" t="s">
        <v>4854</v>
      </c>
      <c r="AV111" s="102" t="s">
        <v>4854</v>
      </c>
      <c r="AW111" s="102" t="s">
        <v>4854</v>
      </c>
      <c r="AX111" s="102" t="s">
        <v>4854</v>
      </c>
      <c r="AY111" s="102" t="s">
        <v>4854</v>
      </c>
      <c r="AZ111" s="102" t="s">
        <v>4854</v>
      </c>
      <c r="BA111" s="21">
        <v>6.8000000000000005E-2</v>
      </c>
      <c r="BB111" s="102" t="s">
        <v>4854</v>
      </c>
      <c r="BC111" s="3" t="s">
        <v>4854</v>
      </c>
      <c r="BD111" s="3" t="s">
        <v>4854</v>
      </c>
      <c r="BE111" s="3" t="s">
        <v>4854</v>
      </c>
      <c r="BF111" s="3" t="s">
        <v>4854</v>
      </c>
      <c r="BG111" s="3" t="s">
        <v>4854</v>
      </c>
      <c r="BH111" s="3" t="s">
        <v>4854</v>
      </c>
      <c r="BI111" s="5">
        <v>5</v>
      </c>
      <c r="BJ111" s="3" t="s">
        <v>4854</v>
      </c>
      <c r="BK111" s="99" t="s">
        <v>4854</v>
      </c>
      <c r="BL111" s="99" t="s">
        <v>4854</v>
      </c>
      <c r="BM111" s="99" t="s">
        <v>4854</v>
      </c>
      <c r="BN111" s="99" t="s">
        <v>4854</v>
      </c>
      <c r="BO111" s="99" t="s">
        <v>4854</v>
      </c>
      <c r="BP111" s="99" t="s">
        <v>4854</v>
      </c>
      <c r="BQ111" s="90">
        <v>0.126</v>
      </c>
      <c r="BR111" s="99" t="s">
        <v>4854</v>
      </c>
      <c r="BS111" s="5" t="s">
        <v>4857</v>
      </c>
    </row>
    <row r="112" spans="1:71" s="30" customFormat="1" ht="17.100000000000001" customHeight="1">
      <c r="A112" s="10">
        <v>101</v>
      </c>
      <c r="B112" s="10" t="s">
        <v>4422</v>
      </c>
      <c r="C112" s="4" t="s">
        <v>4715</v>
      </c>
      <c r="D112" s="4" t="s">
        <v>4423</v>
      </c>
      <c r="E112" s="4" t="s">
        <v>4424</v>
      </c>
      <c r="F112" s="10" t="s">
        <v>5242</v>
      </c>
      <c r="G112" s="4" t="s">
        <v>4425</v>
      </c>
      <c r="H112" s="7" t="s">
        <v>4426</v>
      </c>
      <c r="I112" s="4" t="s">
        <v>4427</v>
      </c>
      <c r="J112" s="10" t="s">
        <v>4428</v>
      </c>
      <c r="K112" s="4" t="s">
        <v>5398</v>
      </c>
      <c r="L112" s="4" t="s">
        <v>4429</v>
      </c>
      <c r="M112" s="10">
        <v>2</v>
      </c>
      <c r="N112" s="95">
        <v>531.29060000000004</v>
      </c>
      <c r="O112" s="37" t="str">
        <f>HYPERLINK("http://ms.phosphosite.org:5080/cgi-bin/plot-msms.cgi?MassType=1&amp;NumAxis=1&amp;Mod3=170&amp;Pep=NTKYPIQR&amp;Dta=/var/www/html/dta/S01/10558.3287.2.dta&amp;Global_Mod=CS57.0215", "3287")</f>
        <v>3287</v>
      </c>
      <c r="P112" s="37" t="str">
        <f>HYPERLINK("http://ms.phosphosite.org:5080/cgi-bin/plot-msms.cgi?MassType=1&amp;NumAxis=1&amp;Mod3=170&amp;Pep=NTKYPIQR&amp;Dta=/var/www/html/dta/S01/10559.3247.2.dta&amp;Global_Mod=CS57.0215", "3247")</f>
        <v>3247</v>
      </c>
      <c r="Q112" s="37" t="str">
        <f>HYPERLINK("http://ms.phosphosite.org:5080/cgi-bin/plot-msms.cgi?MassType=1&amp;NumAxis=1&amp;Mod3=170&amp;Pep=NTKYPIQR&amp;Dta=/var/www/html/dta/S01/10560.3214.2.dta&amp;Global_Mod=CS57.0215", "3214")</f>
        <v>3214</v>
      </c>
      <c r="R112" s="37" t="str">
        <f>HYPERLINK("http://ms.phosphosite.org:5080/cgi-bin/plot-msms.cgi?MassType=1&amp;NumAxis=1&amp;Mod3=170&amp;Pep=NTKYPIQR&amp;Dta=/var/www/html/dta/S01/10561.3243.2.dta&amp;Global_Mod=CS57.0215", "3243")</f>
        <v>3243</v>
      </c>
      <c r="S112" s="37" t="str">
        <f>HYPERLINK("http://ms.phosphosite.org:5080/cgi-bin/plot-msms.cgi?MassType=1&amp;NumAxis=1&amp;Mod3=170&amp;Pep=NTKYPIQR&amp;Dta=/var/www/html/dta/S01/10562.3311.2.dta&amp;Global_Mod=CS57.0215", "3311")</f>
        <v>3311</v>
      </c>
      <c r="T112" s="37" t="str">
        <f>HYPERLINK("http://ms.phosphosite.org:5080/cgi-bin/plot-msms.cgi?MassType=1&amp;NumAxis=1&amp;Mod3=170&amp;Pep=NTKYPIQR&amp;Dta=/var/www/html/dta/S01/10563.3253.2.dta&amp;Global_Mod=CS57.0215", "3253")</f>
        <v>3253</v>
      </c>
      <c r="U112" s="37" t="str">
        <f>HYPERLINK("http://ms.phosphosite.org:5080/cgi-bin/plot-msms.cgi?MassType=1&amp;NumAxis=1&amp;Mod3=170&amp;Pep=NTKYPIQR&amp;Dta=/var/www/html/dta/S01/10564.3597.2.dta&amp;Global_Mod=CS57.0215", "3597")</f>
        <v>3597</v>
      </c>
      <c r="V112" s="37" t="str">
        <f>HYPERLINK("http://ms.phosphosite.org:5080/cgi-bin/plot-msms.cgi?MassType=1&amp;NumAxis=1&amp;Mod3=170&amp;Pep=NTKYPIQR&amp;Dta=/var/www/html/dta/S01/10565.3698.2.dta&amp;Global_Mod=CS57.0215", "3698")</f>
        <v>3698</v>
      </c>
      <c r="W112" s="10">
        <v>3294</v>
      </c>
      <c r="X112" s="10">
        <v>3231</v>
      </c>
      <c r="Y112" s="10">
        <v>3223</v>
      </c>
      <c r="Z112" s="10">
        <v>3251</v>
      </c>
      <c r="AA112" s="10">
        <v>3317</v>
      </c>
      <c r="AB112" s="10">
        <v>3262</v>
      </c>
      <c r="AC112" s="10">
        <v>3605</v>
      </c>
      <c r="AD112" s="10">
        <v>3674</v>
      </c>
      <c r="AE112" s="91">
        <v>1.9510000000000001</v>
      </c>
      <c r="AF112" s="91">
        <v>2.2200000000000002</v>
      </c>
      <c r="AG112" s="91">
        <v>2.35</v>
      </c>
      <c r="AH112" s="91">
        <v>2.2429999999999999</v>
      </c>
      <c r="AI112" s="91">
        <v>2.2519999999999998</v>
      </c>
      <c r="AJ112" s="91">
        <v>2.323</v>
      </c>
      <c r="AK112" s="91">
        <v>2.2999999999999998</v>
      </c>
      <c r="AL112" s="91">
        <v>1.929</v>
      </c>
      <c r="AM112" s="95">
        <v>-0.33029999999999998</v>
      </c>
      <c r="AN112" s="95">
        <v>-0.27</v>
      </c>
      <c r="AO112" s="95">
        <v>-9.11E-2</v>
      </c>
      <c r="AP112" s="95">
        <v>-8.7300000000000003E-2</v>
      </c>
      <c r="AQ112" s="95">
        <v>4.1799999999999997E-2</v>
      </c>
      <c r="AR112" s="95">
        <v>-8.7300000000000003E-2</v>
      </c>
      <c r="AS112" s="95">
        <v>-0.21729999999999999</v>
      </c>
      <c r="AT112" s="95">
        <v>-6.3E-3</v>
      </c>
      <c r="AU112" s="95">
        <v>0.13100000000000001</v>
      </c>
      <c r="AV112" s="95">
        <v>0.16300000000000001</v>
      </c>
      <c r="AW112" s="95">
        <v>0.16900000000000001</v>
      </c>
      <c r="AX112" s="95">
        <v>0.17899999999999999</v>
      </c>
      <c r="AY112" s="95">
        <v>0.14199999999999999</v>
      </c>
      <c r="AZ112" s="95">
        <v>0.152</v>
      </c>
      <c r="BA112" s="95">
        <v>0.2</v>
      </c>
      <c r="BB112" s="95">
        <v>0.107</v>
      </c>
      <c r="BC112" s="10">
        <v>1</v>
      </c>
      <c r="BD112" s="10">
        <v>5</v>
      </c>
      <c r="BE112" s="10">
        <v>4</v>
      </c>
      <c r="BF112" s="10">
        <v>7</v>
      </c>
      <c r="BG112" s="10">
        <v>3</v>
      </c>
      <c r="BH112" s="10">
        <v>1</v>
      </c>
      <c r="BI112" s="10">
        <v>4</v>
      </c>
      <c r="BJ112" s="10">
        <v>1</v>
      </c>
      <c r="BK112" s="91">
        <v>0.98899999999999999</v>
      </c>
      <c r="BL112" s="91">
        <v>0.99399999999999999</v>
      </c>
      <c r="BM112" s="91">
        <v>0.996</v>
      </c>
      <c r="BN112" s="91">
        <v>0.99399999999999999</v>
      </c>
      <c r="BO112" s="91">
        <v>0.99399999999999999</v>
      </c>
      <c r="BP112" s="91">
        <v>0.997</v>
      </c>
      <c r="BQ112" s="91">
        <v>0.997</v>
      </c>
      <c r="BR112" s="91">
        <v>0.98399999999999999</v>
      </c>
      <c r="BS112" s="10" t="s">
        <v>4857</v>
      </c>
    </row>
    <row r="113" spans="1:71" s="30" customFormat="1" ht="17.100000000000001" customHeight="1">
      <c r="A113" s="10">
        <v>102</v>
      </c>
      <c r="B113" s="10" t="s">
        <v>4578</v>
      </c>
      <c r="C113" s="4" t="s">
        <v>4715</v>
      </c>
      <c r="D113" s="4" t="s">
        <v>4423</v>
      </c>
      <c r="E113" s="4" t="s">
        <v>4424</v>
      </c>
      <c r="F113" s="10" t="s">
        <v>5242</v>
      </c>
      <c r="G113" s="4" t="s">
        <v>4425</v>
      </c>
      <c r="H113" s="7" t="s">
        <v>4426</v>
      </c>
      <c r="I113" s="4" t="s">
        <v>4427</v>
      </c>
      <c r="J113" s="10" t="s">
        <v>4428</v>
      </c>
      <c r="K113" s="4" t="s">
        <v>5398</v>
      </c>
      <c r="L113" s="4" t="s">
        <v>4429</v>
      </c>
      <c r="M113" s="10">
        <v>2</v>
      </c>
      <c r="N113" s="95">
        <v>531.29060000000004</v>
      </c>
      <c r="O113" s="38" t="s">
        <v>4854</v>
      </c>
      <c r="P113" s="38" t="s">
        <v>4854</v>
      </c>
      <c r="Q113" s="37" t="str">
        <f>HYPERLINK("http://ms.phosphosite.org:5080/cgi-bin/plot-msms.cgi?MassType=1&amp;NumAxis=1&amp;Mod3=170&amp;Pep=NTKYPIQR&amp;Dta=/var/www/html/dta/S01/10560.3207.2.dta&amp;Global_Mod=CS57.0215", "3207")</f>
        <v>3207</v>
      </c>
      <c r="R113" s="38" t="s">
        <v>4854</v>
      </c>
      <c r="S113" s="38" t="s">
        <v>4854</v>
      </c>
      <c r="T113" s="37" t="str">
        <f>HYPERLINK("http://ms.phosphosite.org:5080/cgi-bin/plot-msms.cgi?MassType=1&amp;NumAxis=1&amp;Mod3=170&amp;Pep=NTKYPIQR&amp;Dta=/var/www/html/dta/S01/10563.3250.2.dta&amp;Global_Mod=CS57.0215", "3250")</f>
        <v>3250</v>
      </c>
      <c r="U113" s="38" t="s">
        <v>4854</v>
      </c>
      <c r="V113" s="38" t="s">
        <v>4854</v>
      </c>
      <c r="W113" s="4" t="s">
        <v>4854</v>
      </c>
      <c r="X113" s="4" t="s">
        <v>4854</v>
      </c>
      <c r="Y113" s="10">
        <v>3223</v>
      </c>
      <c r="Z113" s="4" t="s">
        <v>4854</v>
      </c>
      <c r="AA113" s="4" t="s">
        <v>4854</v>
      </c>
      <c r="AB113" s="10">
        <v>3262</v>
      </c>
      <c r="AC113" s="4" t="s">
        <v>4854</v>
      </c>
      <c r="AD113" s="4" t="s">
        <v>4854</v>
      </c>
      <c r="AE113" s="100" t="s">
        <v>4854</v>
      </c>
      <c r="AF113" s="100" t="s">
        <v>4854</v>
      </c>
      <c r="AG113" s="91">
        <v>2.27</v>
      </c>
      <c r="AH113" s="100" t="s">
        <v>4854</v>
      </c>
      <c r="AI113" s="100" t="s">
        <v>4854</v>
      </c>
      <c r="AJ113" s="91">
        <v>2.2690000000000001</v>
      </c>
      <c r="AK113" s="100" t="s">
        <v>4854</v>
      </c>
      <c r="AL113" s="100" t="s">
        <v>4854</v>
      </c>
      <c r="AM113" s="103" t="s">
        <v>4854</v>
      </c>
      <c r="AN113" s="103" t="s">
        <v>4854</v>
      </c>
      <c r="AO113" s="95">
        <v>-9.11E-2</v>
      </c>
      <c r="AP113" s="103" t="s">
        <v>4854</v>
      </c>
      <c r="AQ113" s="103" t="s">
        <v>4854</v>
      </c>
      <c r="AR113" s="95">
        <v>-8.7300000000000003E-2</v>
      </c>
      <c r="AS113" s="103" t="s">
        <v>4854</v>
      </c>
      <c r="AT113" s="103" t="s">
        <v>4854</v>
      </c>
      <c r="AU113" s="103" t="s">
        <v>4854</v>
      </c>
      <c r="AV113" s="103" t="s">
        <v>4854</v>
      </c>
      <c r="AW113" s="95">
        <v>0.16</v>
      </c>
      <c r="AX113" s="103" t="s">
        <v>4854</v>
      </c>
      <c r="AY113" s="103" t="s">
        <v>4854</v>
      </c>
      <c r="AZ113" s="95">
        <v>9.4E-2</v>
      </c>
      <c r="BA113" s="103" t="s">
        <v>4854</v>
      </c>
      <c r="BB113" s="103" t="s">
        <v>4854</v>
      </c>
      <c r="BC113" s="4" t="s">
        <v>4854</v>
      </c>
      <c r="BD113" s="4" t="s">
        <v>4854</v>
      </c>
      <c r="BE113" s="10">
        <v>8</v>
      </c>
      <c r="BF113" s="4" t="s">
        <v>4854</v>
      </c>
      <c r="BG113" s="4" t="s">
        <v>4854</v>
      </c>
      <c r="BH113" s="10">
        <v>17</v>
      </c>
      <c r="BI113" s="4" t="s">
        <v>4854</v>
      </c>
      <c r="BJ113" s="4" t="s">
        <v>4854</v>
      </c>
      <c r="BK113" s="100" t="s">
        <v>4854</v>
      </c>
      <c r="BL113" s="100" t="s">
        <v>4854</v>
      </c>
      <c r="BM113" s="91">
        <v>0.99299999999999999</v>
      </c>
      <c r="BN113" s="100" t="s">
        <v>4854</v>
      </c>
      <c r="BO113" s="100" t="s">
        <v>4854</v>
      </c>
      <c r="BP113" s="91">
        <v>0.98099999999999998</v>
      </c>
      <c r="BQ113" s="100" t="s">
        <v>4854</v>
      </c>
      <c r="BR113" s="100" t="s">
        <v>4854</v>
      </c>
      <c r="BS113" s="10" t="s">
        <v>4857</v>
      </c>
    </row>
    <row r="114" spans="1:71" s="30" customFormat="1" ht="17.100000000000001" customHeight="1">
      <c r="A114" s="14">
        <v>103</v>
      </c>
      <c r="B114" s="5" t="s">
        <v>4430</v>
      </c>
      <c r="C114" s="3" t="s">
        <v>4715</v>
      </c>
      <c r="D114" s="3" t="s">
        <v>4423</v>
      </c>
      <c r="E114" s="3" t="s">
        <v>4424</v>
      </c>
      <c r="F114" s="5" t="s">
        <v>5005</v>
      </c>
      <c r="G114" s="3" t="s">
        <v>4425</v>
      </c>
      <c r="H114" s="6" t="s">
        <v>4426</v>
      </c>
      <c r="I114" s="3" t="s">
        <v>4427</v>
      </c>
      <c r="J114" s="5" t="s">
        <v>4428</v>
      </c>
      <c r="K114" s="3" t="s">
        <v>5399</v>
      </c>
      <c r="L114" s="3" t="s">
        <v>4431</v>
      </c>
      <c r="M114" s="5">
        <v>2</v>
      </c>
      <c r="N114" s="21">
        <v>687.32389999999998</v>
      </c>
      <c r="O114" s="35" t="s">
        <v>4854</v>
      </c>
      <c r="P114" s="35" t="s">
        <v>4854</v>
      </c>
      <c r="Q114" s="36" t="str">
        <f>HYPERLINK("http://ms.phosphosite.org:5080/cgi-bin/plot-msms.cgi?MassType=1&amp;NumAxis=1&amp;Mod7=170&amp;Mod10=160&amp;Pep=SFDSEFKLACK&amp;Dta=/var/www/html/dta/S01/10560.8078.2.dta&amp;Global_Mod=CS57.0215", "8078")</f>
        <v>8078</v>
      </c>
      <c r="R114" s="35" t="s">
        <v>4854</v>
      </c>
      <c r="S114" s="35" t="s">
        <v>4854</v>
      </c>
      <c r="T114" s="35" t="s">
        <v>4854</v>
      </c>
      <c r="U114" s="35" t="s">
        <v>4854</v>
      </c>
      <c r="V114" s="35" t="s">
        <v>4854</v>
      </c>
      <c r="W114" s="3" t="s">
        <v>4854</v>
      </c>
      <c r="X114" s="3" t="s">
        <v>4854</v>
      </c>
      <c r="Y114" s="5">
        <v>8104</v>
      </c>
      <c r="Z114" s="3" t="s">
        <v>4854</v>
      </c>
      <c r="AA114" s="3" t="s">
        <v>4854</v>
      </c>
      <c r="AB114" s="3" t="s">
        <v>4854</v>
      </c>
      <c r="AC114" s="3" t="s">
        <v>4854</v>
      </c>
      <c r="AD114" s="3" t="s">
        <v>4854</v>
      </c>
      <c r="AE114" s="99" t="s">
        <v>4854</v>
      </c>
      <c r="AF114" s="99" t="s">
        <v>4854</v>
      </c>
      <c r="AG114" s="90">
        <v>3.4740000000000002</v>
      </c>
      <c r="AH114" s="99" t="s">
        <v>4854</v>
      </c>
      <c r="AI114" s="99" t="s">
        <v>4854</v>
      </c>
      <c r="AJ114" s="99" t="s">
        <v>4854</v>
      </c>
      <c r="AK114" s="99" t="s">
        <v>4854</v>
      </c>
      <c r="AL114" s="99" t="s">
        <v>4854</v>
      </c>
      <c r="AM114" s="102" t="s">
        <v>4854</v>
      </c>
      <c r="AN114" s="102" t="s">
        <v>4854</v>
      </c>
      <c r="AO114" s="21">
        <v>1.3048999999999999</v>
      </c>
      <c r="AP114" s="102" t="s">
        <v>4854</v>
      </c>
      <c r="AQ114" s="102" t="s">
        <v>4854</v>
      </c>
      <c r="AR114" s="102" t="s">
        <v>4854</v>
      </c>
      <c r="AS114" s="102" t="s">
        <v>4854</v>
      </c>
      <c r="AT114" s="102" t="s">
        <v>4854</v>
      </c>
      <c r="AU114" s="102" t="s">
        <v>4854</v>
      </c>
      <c r="AV114" s="102" t="s">
        <v>4854</v>
      </c>
      <c r="AW114" s="21">
        <v>0.25600000000000001</v>
      </c>
      <c r="AX114" s="102" t="s">
        <v>4854</v>
      </c>
      <c r="AY114" s="102" t="s">
        <v>4854</v>
      </c>
      <c r="AZ114" s="102" t="s">
        <v>4854</v>
      </c>
      <c r="BA114" s="102" t="s">
        <v>4854</v>
      </c>
      <c r="BB114" s="102" t="s">
        <v>4854</v>
      </c>
      <c r="BC114" s="3" t="s">
        <v>4854</v>
      </c>
      <c r="BD114" s="3" t="s">
        <v>4854</v>
      </c>
      <c r="BE114" s="5">
        <v>1</v>
      </c>
      <c r="BF114" s="3" t="s">
        <v>4854</v>
      </c>
      <c r="BG114" s="3" t="s">
        <v>4854</v>
      </c>
      <c r="BH114" s="3" t="s">
        <v>4854</v>
      </c>
      <c r="BI114" s="3" t="s">
        <v>4854</v>
      </c>
      <c r="BJ114" s="3" t="s">
        <v>4854</v>
      </c>
      <c r="BK114" s="99" t="s">
        <v>4854</v>
      </c>
      <c r="BL114" s="99" t="s">
        <v>4854</v>
      </c>
      <c r="BM114" s="90">
        <v>1</v>
      </c>
      <c r="BN114" s="99" t="s">
        <v>4854</v>
      </c>
      <c r="BO114" s="99" t="s">
        <v>4854</v>
      </c>
      <c r="BP114" s="99" t="s">
        <v>4854</v>
      </c>
      <c r="BQ114" s="99" t="s">
        <v>4854</v>
      </c>
      <c r="BR114" s="99" t="s">
        <v>4854</v>
      </c>
      <c r="BS114" s="5" t="s">
        <v>4857</v>
      </c>
    </row>
    <row r="115" spans="1:71" s="30" customFormat="1" ht="17.100000000000001" customHeight="1">
      <c r="A115" s="10">
        <v>104</v>
      </c>
      <c r="B115" s="10" t="s">
        <v>4432</v>
      </c>
      <c r="C115" s="4" t="s">
        <v>4715</v>
      </c>
      <c r="D115" s="4" t="s">
        <v>4433</v>
      </c>
      <c r="E115" s="4" t="s">
        <v>4469</v>
      </c>
      <c r="F115" s="10" t="s">
        <v>4984</v>
      </c>
      <c r="G115" s="4" t="s">
        <v>4434</v>
      </c>
      <c r="H115" s="7" t="s">
        <v>4435</v>
      </c>
      <c r="I115" s="4" t="s">
        <v>4436</v>
      </c>
      <c r="J115" s="10" t="s">
        <v>4437</v>
      </c>
      <c r="K115" s="4" t="s">
        <v>5383</v>
      </c>
      <c r="L115" s="4" t="s">
        <v>4438</v>
      </c>
      <c r="M115" s="10">
        <v>3</v>
      </c>
      <c r="N115" s="95">
        <v>881.10270000000003</v>
      </c>
      <c r="O115" s="37" t="str">
        <f>HYPERLINK("http://ms.phosphosite.org:5080/cgi-bin/plot-msms.cgi?MassType=1&amp;NumAxis=1&amp;Mod10=160&amp;Mod11=160&amp;Mod14=170&amp;Mod17=160&amp;Pep=KLEFSPQTLCCYGKQLCTIPR&amp;Dta=/var/www/html/dta/S01/10558.10753.3.dta&amp;Global_Mod=CS57.0215", "10753")</f>
        <v>10753</v>
      </c>
      <c r="P115" s="38" t="s">
        <v>4854</v>
      </c>
      <c r="Q115" s="37" t="str">
        <f>HYPERLINK("http://ms.phosphosite.org:5080/cgi-bin/plot-msms.cgi?MassType=1&amp;NumAxis=1&amp;Mod10=160&amp;Mod11=160&amp;Mod14=170&amp;Mod17=160&amp;Pep=KLEFSPQTLCCYGKQLCTIPR&amp;Dta=/var/www/html/dta/S01/10560.10776.3.dta&amp;Global_Mod=CS57.0215", "10776")</f>
        <v>10776</v>
      </c>
      <c r="R115" s="37" t="str">
        <f>HYPERLINK("http://ms.phosphosite.org:5080/cgi-bin/plot-msms.cgi?MassType=1&amp;NumAxis=1&amp;Mod10=160&amp;Mod11=160&amp;Mod14=170&amp;Mod17=160&amp;Pep=KLEFSPQTLCCYGKQLCTIPR&amp;Dta=/var/www/html/dta/S01/10561.10801.3.dta&amp;Global_Mod=CS57.0215", "10801")</f>
        <v>10801</v>
      </c>
      <c r="S115" s="37" t="str">
        <f>HYPERLINK("http://ms.phosphosite.org:5080/cgi-bin/plot-msms.cgi?MassType=1&amp;NumAxis=1&amp;Mod10=160&amp;Mod11=160&amp;Mod14=170&amp;Mod17=160&amp;Pep=KLEFSPQTLCCYGKQLCTIPR&amp;Dta=/var/www/html/dta/S01/10562.10979.3.dta&amp;Global_Mod=CS57.0215", "10979")</f>
        <v>10979</v>
      </c>
      <c r="T115" s="38" t="s">
        <v>4854</v>
      </c>
      <c r="U115" s="37" t="str">
        <f>HYPERLINK("http://ms.phosphosite.org:5080/cgi-bin/plot-msms.cgi?MassType=1&amp;NumAxis=1&amp;Mod10=160&amp;Mod11=160&amp;Mod14=170&amp;Mod17=160&amp;Pep=KLEFSPQTLCCYGKQLCTIPR&amp;Dta=/var/www/html/dta/S01/10564.11355.3.dta&amp;Global_Mod=CS57.0215", "11355")</f>
        <v>11355</v>
      </c>
      <c r="V115" s="38" t="s">
        <v>4854</v>
      </c>
      <c r="W115" s="10">
        <v>10735</v>
      </c>
      <c r="X115" s="4" t="s">
        <v>4854</v>
      </c>
      <c r="Y115" s="10">
        <v>10811</v>
      </c>
      <c r="Z115" s="10">
        <v>10803</v>
      </c>
      <c r="AA115" s="10">
        <v>10972</v>
      </c>
      <c r="AB115" s="4" t="s">
        <v>4854</v>
      </c>
      <c r="AC115" s="10">
        <v>11347</v>
      </c>
      <c r="AD115" s="4" t="s">
        <v>4854</v>
      </c>
      <c r="AE115" s="91">
        <v>2.56</v>
      </c>
      <c r="AF115" s="100" t="s">
        <v>4854</v>
      </c>
      <c r="AG115" s="91">
        <v>2.6850000000000001</v>
      </c>
      <c r="AH115" s="91">
        <v>3.7530000000000001</v>
      </c>
      <c r="AI115" s="91">
        <v>2.68</v>
      </c>
      <c r="AJ115" s="100" t="s">
        <v>4854</v>
      </c>
      <c r="AK115" s="91">
        <v>3.6539999999999999</v>
      </c>
      <c r="AL115" s="100" t="s">
        <v>4854</v>
      </c>
      <c r="AM115" s="95">
        <v>1.2605</v>
      </c>
      <c r="AN115" s="103" t="s">
        <v>4854</v>
      </c>
      <c r="AO115" s="95">
        <v>0.65469999999999995</v>
      </c>
      <c r="AP115" s="95">
        <v>1.4061999999999999</v>
      </c>
      <c r="AQ115" s="95">
        <v>1.5857000000000001</v>
      </c>
      <c r="AR115" s="103" t="s">
        <v>4854</v>
      </c>
      <c r="AS115" s="95">
        <v>1.1419999999999999</v>
      </c>
      <c r="AT115" s="103" t="s">
        <v>4854</v>
      </c>
      <c r="AU115" s="95">
        <v>0.25600000000000001</v>
      </c>
      <c r="AV115" s="103" t="s">
        <v>4854</v>
      </c>
      <c r="AW115" s="95">
        <v>0.217</v>
      </c>
      <c r="AX115" s="95">
        <v>0.39</v>
      </c>
      <c r="AY115" s="95">
        <v>0.23100000000000001</v>
      </c>
      <c r="AZ115" s="103" t="s">
        <v>4854</v>
      </c>
      <c r="BA115" s="95">
        <v>0.33300000000000002</v>
      </c>
      <c r="BB115" s="103" t="s">
        <v>4854</v>
      </c>
      <c r="BC115" s="10">
        <v>46</v>
      </c>
      <c r="BD115" s="4" t="s">
        <v>4854</v>
      </c>
      <c r="BE115" s="10">
        <v>17</v>
      </c>
      <c r="BF115" s="10">
        <v>1</v>
      </c>
      <c r="BG115" s="10">
        <v>24</v>
      </c>
      <c r="BH115" s="4" t="s">
        <v>4854</v>
      </c>
      <c r="BI115" s="10">
        <v>1</v>
      </c>
      <c r="BJ115" s="4" t="s">
        <v>4854</v>
      </c>
      <c r="BK115" s="91">
        <v>0.996</v>
      </c>
      <c r="BL115" s="100" t="s">
        <v>4854</v>
      </c>
      <c r="BM115" s="91">
        <v>0.995</v>
      </c>
      <c r="BN115" s="91">
        <v>1</v>
      </c>
      <c r="BO115" s="91">
        <v>0.995</v>
      </c>
      <c r="BP115" s="100" t="s">
        <v>4854</v>
      </c>
      <c r="BQ115" s="91">
        <v>1</v>
      </c>
      <c r="BR115" s="100" t="s">
        <v>4854</v>
      </c>
      <c r="BS115" s="10" t="s">
        <v>4857</v>
      </c>
    </row>
    <row r="116" spans="1:71" s="30" customFormat="1" ht="17.100000000000001" customHeight="1">
      <c r="A116" s="14">
        <v>105</v>
      </c>
      <c r="B116" s="5" t="s">
        <v>4439</v>
      </c>
      <c r="C116" s="3" t="s">
        <v>4715</v>
      </c>
      <c r="D116" s="3" t="s">
        <v>4433</v>
      </c>
      <c r="E116" s="3" t="s">
        <v>4469</v>
      </c>
      <c r="F116" s="5" t="s">
        <v>5154</v>
      </c>
      <c r="G116" s="3" t="s">
        <v>4434</v>
      </c>
      <c r="H116" s="6" t="s">
        <v>4435</v>
      </c>
      <c r="I116" s="3" t="s">
        <v>4436</v>
      </c>
      <c r="J116" s="5" t="s">
        <v>4437</v>
      </c>
      <c r="K116" s="3" t="s">
        <v>5400</v>
      </c>
      <c r="L116" s="3" t="s">
        <v>4440</v>
      </c>
      <c r="M116" s="5">
        <v>3</v>
      </c>
      <c r="N116" s="21">
        <v>746.67169999999999</v>
      </c>
      <c r="O116" s="35" t="s">
        <v>4854</v>
      </c>
      <c r="P116" s="35" t="s">
        <v>4854</v>
      </c>
      <c r="Q116" s="35" t="s">
        <v>4854</v>
      </c>
      <c r="R116" s="35" t="s">
        <v>4854</v>
      </c>
      <c r="S116" s="35" t="s">
        <v>4854</v>
      </c>
      <c r="T116" s="35" t="s">
        <v>4854</v>
      </c>
      <c r="U116" s="36" t="str">
        <f>HYPERLINK("http://ms.phosphosite.org:5080/cgi-bin/plot-msms.cgi?MassType=1&amp;NumAxis=1&amp;Mod13=170&amp;Mod17=170&amp;Pep=EENTSNESTDVTKGDSKNAK&amp;Dta=/var/www/html/dta/S01/10564.2872.3.dta&amp;Global_Mod=CS57.0215", "2872")</f>
        <v>2872</v>
      </c>
      <c r="V116" s="36" t="str">
        <f>HYPERLINK("http://ms.phosphosite.org:5080/cgi-bin/plot-msms.cgi?MassType=1&amp;NumAxis=1&amp;Mod13=170&amp;Mod17=170&amp;Pep=EENTSNESTDVTKGDSKNAK&amp;Dta=/var/www/html/dta/S01/10565.2956.3.dta&amp;Global_Mod=CS57.0215", "2956")</f>
        <v>2956</v>
      </c>
      <c r="W116" s="3" t="s">
        <v>4854</v>
      </c>
      <c r="X116" s="3" t="s">
        <v>4854</v>
      </c>
      <c r="Y116" s="3" t="s">
        <v>4854</v>
      </c>
      <c r="Z116" s="3" t="s">
        <v>4854</v>
      </c>
      <c r="AA116" s="3" t="s">
        <v>4854</v>
      </c>
      <c r="AB116" s="3" t="s">
        <v>4854</v>
      </c>
      <c r="AC116" s="5">
        <v>2874</v>
      </c>
      <c r="AD116" s="5">
        <v>2948</v>
      </c>
      <c r="AE116" s="99" t="s">
        <v>4854</v>
      </c>
      <c r="AF116" s="99" t="s">
        <v>4854</v>
      </c>
      <c r="AG116" s="99" t="s">
        <v>4854</v>
      </c>
      <c r="AH116" s="99" t="s">
        <v>4854</v>
      </c>
      <c r="AI116" s="99" t="s">
        <v>4854</v>
      </c>
      <c r="AJ116" s="99" t="s">
        <v>4854</v>
      </c>
      <c r="AK116" s="90">
        <v>3.419</v>
      </c>
      <c r="AL116" s="90">
        <v>4.3019999999999996</v>
      </c>
      <c r="AM116" s="102" t="s">
        <v>4854</v>
      </c>
      <c r="AN116" s="102" t="s">
        <v>4854</v>
      </c>
      <c r="AO116" s="102" t="s">
        <v>4854</v>
      </c>
      <c r="AP116" s="102" t="s">
        <v>4854</v>
      </c>
      <c r="AQ116" s="102" t="s">
        <v>4854</v>
      </c>
      <c r="AR116" s="102" t="s">
        <v>4854</v>
      </c>
      <c r="AS116" s="21">
        <v>0.3654</v>
      </c>
      <c r="AT116" s="21">
        <v>-0.15570000000000001</v>
      </c>
      <c r="AU116" s="102" t="s">
        <v>4854</v>
      </c>
      <c r="AV116" s="102" t="s">
        <v>4854</v>
      </c>
      <c r="AW116" s="102" t="s">
        <v>4854</v>
      </c>
      <c r="AX116" s="102" t="s">
        <v>4854</v>
      </c>
      <c r="AY116" s="102" t="s">
        <v>4854</v>
      </c>
      <c r="AZ116" s="102" t="s">
        <v>4854</v>
      </c>
      <c r="BA116" s="21">
        <v>0.30599999999999999</v>
      </c>
      <c r="BB116" s="21">
        <v>0.49399999999999999</v>
      </c>
      <c r="BC116" s="3" t="s">
        <v>4854</v>
      </c>
      <c r="BD116" s="3" t="s">
        <v>4854</v>
      </c>
      <c r="BE116" s="3" t="s">
        <v>4854</v>
      </c>
      <c r="BF116" s="3" t="s">
        <v>4854</v>
      </c>
      <c r="BG116" s="3" t="s">
        <v>4854</v>
      </c>
      <c r="BH116" s="3" t="s">
        <v>4854</v>
      </c>
      <c r="BI116" s="5">
        <v>2</v>
      </c>
      <c r="BJ116" s="5">
        <v>2</v>
      </c>
      <c r="BK116" s="99" t="s">
        <v>4854</v>
      </c>
      <c r="BL116" s="99" t="s">
        <v>4854</v>
      </c>
      <c r="BM116" s="99" t="s">
        <v>4854</v>
      </c>
      <c r="BN116" s="99" t="s">
        <v>4854</v>
      </c>
      <c r="BO116" s="99" t="s">
        <v>4854</v>
      </c>
      <c r="BP116" s="99" t="s">
        <v>4854</v>
      </c>
      <c r="BQ116" s="90">
        <v>1</v>
      </c>
      <c r="BR116" s="90">
        <v>1</v>
      </c>
      <c r="BS116" s="5" t="s">
        <v>4857</v>
      </c>
    </row>
    <row r="117" spans="1:71" s="30" customFormat="1" ht="17.100000000000001" customHeight="1">
      <c r="A117" s="14">
        <v>106</v>
      </c>
      <c r="B117" s="5" t="s">
        <v>4441</v>
      </c>
      <c r="C117" s="3" t="s">
        <v>4715</v>
      </c>
      <c r="D117" s="3" t="s">
        <v>4433</v>
      </c>
      <c r="E117" s="3" t="s">
        <v>4469</v>
      </c>
      <c r="F117" s="5" t="s">
        <v>5154</v>
      </c>
      <c r="G117" s="3" t="s">
        <v>4434</v>
      </c>
      <c r="H117" s="6" t="s">
        <v>4435</v>
      </c>
      <c r="I117" s="3" t="s">
        <v>4436</v>
      </c>
      <c r="J117" s="5" t="s">
        <v>4437</v>
      </c>
      <c r="K117" s="3" t="s">
        <v>5400</v>
      </c>
      <c r="L117" s="3" t="s">
        <v>4442</v>
      </c>
      <c r="M117" s="5">
        <v>3</v>
      </c>
      <c r="N117" s="21">
        <v>841.40369999999996</v>
      </c>
      <c r="O117" s="36" t="str">
        <f>HYPERLINK("http://ms.phosphosite.org:5080/cgi-bin/plot-msms.cgi?MassType=1&amp;NumAxis=1&amp;Mod15=170&amp;Mod19=170&amp;Pep=KREENTSNESTDVTKGDSKNAK&amp;Dta=/var/www/html/dta/S01/10558.1706.3.dta&amp;Global_Mod=CS57.0215", "1706")</f>
        <v>1706</v>
      </c>
      <c r="P117" s="36" t="str">
        <f>HYPERLINK("http://ms.phosphosite.org:5080/cgi-bin/plot-msms.cgi?MassType=1&amp;NumAxis=1&amp;Mod15=170&amp;Mod19=170&amp;Pep=KREENTSNESTDVTKGDSKNAK&amp;Dta=/var/www/html/dta/S01/10559.1665.3.dta&amp;Global_Mod=CS57.0215", "1665")</f>
        <v>1665</v>
      </c>
      <c r="Q117" s="36" t="str">
        <f>HYPERLINK("http://ms.phosphosite.org:5080/cgi-bin/plot-msms.cgi?MassType=1&amp;NumAxis=1&amp;Mod15=170&amp;Mod19=170&amp;Pep=KREENTSNESTDVTKGDSKNAK&amp;Dta=/var/www/html/dta/S01/10560.1658.3.dta&amp;Global_Mod=CS57.0215", "1658")</f>
        <v>1658</v>
      </c>
      <c r="R117" s="36" t="str">
        <f>HYPERLINK("http://ms.phosphosite.org:5080/cgi-bin/plot-msms.cgi?MassType=1&amp;NumAxis=1&amp;Mod15=170&amp;Mod19=170&amp;Pep=KREENTSNESTDVTKGDSKNAK&amp;Dta=/var/www/html/dta/S01/10561.1674.3.dta&amp;Global_Mod=CS57.0215", "1674")</f>
        <v>1674</v>
      </c>
      <c r="S117" s="35" t="s">
        <v>4854</v>
      </c>
      <c r="T117" s="35" t="s">
        <v>4854</v>
      </c>
      <c r="U117" s="36" t="str">
        <f>HYPERLINK("http://ms.phosphosite.org:5080/cgi-bin/plot-msms.cgi?MassType=1&amp;NumAxis=1&amp;Mod15=170&amp;Mod19=170&amp;Pep=KREENTSNESTDVTKGDSKNAK&amp;Dta=/var/www/html/dta/S01/10564.1884.3.dta&amp;Global_Mod=CS57.0215", "1884")</f>
        <v>1884</v>
      </c>
      <c r="V117" s="35" t="s">
        <v>4854</v>
      </c>
      <c r="W117" s="5">
        <v>1697</v>
      </c>
      <c r="X117" s="5">
        <v>1645</v>
      </c>
      <c r="Y117" s="5">
        <v>1638</v>
      </c>
      <c r="Z117" s="3" t="s">
        <v>4854</v>
      </c>
      <c r="AA117" s="3" t="s">
        <v>4854</v>
      </c>
      <c r="AB117" s="3" t="s">
        <v>4854</v>
      </c>
      <c r="AC117" s="5">
        <v>1880</v>
      </c>
      <c r="AD117" s="3" t="s">
        <v>4854</v>
      </c>
      <c r="AE117" s="90">
        <v>5.2869999999999999</v>
      </c>
      <c r="AF117" s="90">
        <v>4.2089999999999996</v>
      </c>
      <c r="AG117" s="90">
        <v>4.1509999999999998</v>
      </c>
      <c r="AH117" s="90">
        <v>2.7959999999999998</v>
      </c>
      <c r="AI117" s="99" t="s">
        <v>4854</v>
      </c>
      <c r="AJ117" s="99" t="s">
        <v>4854</v>
      </c>
      <c r="AK117" s="90">
        <v>4.9039999999999999</v>
      </c>
      <c r="AL117" s="99" t="s">
        <v>4854</v>
      </c>
      <c r="AM117" s="21">
        <v>0.61639999999999995</v>
      </c>
      <c r="AN117" s="21">
        <v>0.1188</v>
      </c>
      <c r="AO117" s="21">
        <v>1.0918000000000001</v>
      </c>
      <c r="AP117" s="21">
        <v>2.4607999999999999</v>
      </c>
      <c r="AQ117" s="102" t="s">
        <v>4854</v>
      </c>
      <c r="AR117" s="102" t="s">
        <v>4854</v>
      </c>
      <c r="AS117" s="21">
        <v>0.69330000000000003</v>
      </c>
      <c r="AT117" s="102" t="s">
        <v>4854</v>
      </c>
      <c r="AU117" s="21">
        <v>0.44900000000000001</v>
      </c>
      <c r="AV117" s="21">
        <v>0.31</v>
      </c>
      <c r="AW117" s="21">
        <v>0.34799999999999998</v>
      </c>
      <c r="AX117" s="21">
        <v>0.214</v>
      </c>
      <c r="AY117" s="102" t="s">
        <v>4854</v>
      </c>
      <c r="AZ117" s="102" t="s">
        <v>4854</v>
      </c>
      <c r="BA117" s="21">
        <v>0.38300000000000001</v>
      </c>
      <c r="BB117" s="102" t="s">
        <v>4854</v>
      </c>
      <c r="BC117" s="5">
        <v>1</v>
      </c>
      <c r="BD117" s="5">
        <v>1</v>
      </c>
      <c r="BE117" s="5">
        <v>1</v>
      </c>
      <c r="BF117" s="5">
        <v>2</v>
      </c>
      <c r="BG117" s="3" t="s">
        <v>4854</v>
      </c>
      <c r="BH117" s="3" t="s">
        <v>4854</v>
      </c>
      <c r="BI117" s="5">
        <v>1</v>
      </c>
      <c r="BJ117" s="3" t="s">
        <v>4854</v>
      </c>
      <c r="BK117" s="90">
        <v>1</v>
      </c>
      <c r="BL117" s="90">
        <v>0.998</v>
      </c>
      <c r="BM117" s="90">
        <v>0.999</v>
      </c>
      <c r="BN117" s="90">
        <v>0.83699999999999997</v>
      </c>
      <c r="BO117" s="99" t="s">
        <v>4854</v>
      </c>
      <c r="BP117" s="99" t="s">
        <v>4854</v>
      </c>
      <c r="BQ117" s="90">
        <v>1</v>
      </c>
      <c r="BR117" s="99" t="s">
        <v>4854</v>
      </c>
      <c r="BS117" s="5" t="s">
        <v>4857</v>
      </c>
    </row>
    <row r="118" spans="1:71" s="30" customFormat="1" ht="17.100000000000001" customHeight="1">
      <c r="A118" s="14">
        <v>107</v>
      </c>
      <c r="B118" s="5" t="s">
        <v>4443</v>
      </c>
      <c r="C118" s="3" t="s">
        <v>4715</v>
      </c>
      <c r="D118" s="3" t="s">
        <v>4433</v>
      </c>
      <c r="E118" s="3" t="s">
        <v>4469</v>
      </c>
      <c r="F118" s="5" t="s">
        <v>5154</v>
      </c>
      <c r="G118" s="3" t="s">
        <v>4434</v>
      </c>
      <c r="H118" s="6" t="s">
        <v>4435</v>
      </c>
      <c r="I118" s="3" t="s">
        <v>4436</v>
      </c>
      <c r="J118" s="5" t="s">
        <v>4437</v>
      </c>
      <c r="K118" s="3" t="s">
        <v>5400</v>
      </c>
      <c r="L118" s="3" t="s">
        <v>4442</v>
      </c>
      <c r="M118" s="5">
        <v>4</v>
      </c>
      <c r="N118" s="21">
        <v>631.30460000000005</v>
      </c>
      <c r="O118" s="36" t="str">
        <f>HYPERLINK("http://ms.phosphosite.org:5080/cgi-bin/plot-msms.cgi?MassType=1&amp;NumAxis=1&amp;Mod15=170&amp;Mod19=170&amp;Pep=KREENTSNESTDVTKGDSKNAK&amp;Dta=/var/www/html/dta/S01/10558.1702.4.dta&amp;Global_Mod=CS57.0215", "1702")</f>
        <v>1702</v>
      </c>
      <c r="P118" s="35" t="s">
        <v>4854</v>
      </c>
      <c r="Q118" s="36" t="str">
        <f>HYPERLINK("http://ms.phosphosite.org:5080/cgi-bin/plot-msms.cgi?MassType=1&amp;NumAxis=1&amp;Mod15=170&amp;Mod19=170&amp;Pep=KREENTSNESTDVTKGDSKNAK&amp;Dta=/var/www/html/dta/S01/10560.1655.4.dta&amp;Global_Mod=CS57.0215", "1655")</f>
        <v>1655</v>
      </c>
      <c r="R118" s="36" t="str">
        <f>HYPERLINK("http://ms.phosphosite.org:5080/cgi-bin/plot-msms.cgi?MassType=1&amp;NumAxis=1&amp;Mod15=170&amp;Mod19=170&amp;Pep=KREENTSNESTDVTKGDSKNAK&amp;Dta=/var/www/html/dta/S01/10561.1641.4.dta&amp;Global_Mod=CS57.0215", "1641")</f>
        <v>1641</v>
      </c>
      <c r="S118" s="36" t="str">
        <f>HYPERLINK("http://ms.phosphosite.org:5080/cgi-bin/plot-msms.cgi?MassType=1&amp;NumAxis=1&amp;Mod15=170&amp;Mod19=170&amp;Pep=KREENTSNESTDVTKGDSKNAK&amp;Dta=/var/www/html/dta/S01/10562.1717.4.dta&amp;Global_Mod=CS57.0215", "1717")</f>
        <v>1717</v>
      </c>
      <c r="T118" s="36" t="str">
        <f>HYPERLINK("http://ms.phosphosite.org:5080/cgi-bin/plot-msms.cgi?MassType=1&amp;NumAxis=1&amp;Mod15=170&amp;Mod19=170&amp;Pep=KREENTSNESTDVTKGDSKNAK&amp;Dta=/var/www/html/dta/S01/10563.1643.4.dta&amp;Global_Mod=CS57.0215", "1643")</f>
        <v>1643</v>
      </c>
      <c r="U118" s="36" t="str">
        <f>HYPERLINK("http://ms.phosphosite.org:5080/cgi-bin/plot-msms.cgi?MassType=1&amp;NumAxis=1&amp;Mod15=170&amp;Mod19=170&amp;Pep=KREENTSNESTDVTKGDSKNAK&amp;Dta=/var/www/html/dta/S01/10564.1877.4.dta&amp;Global_Mod=CS57.0215", "1877")</f>
        <v>1877</v>
      </c>
      <c r="V118" s="36" t="str">
        <f>HYPERLINK("http://ms.phosphosite.org:5080/cgi-bin/plot-msms.cgi?MassType=1&amp;NumAxis=1&amp;Mod15=170&amp;Mod19=170&amp;Pep=KREENTSNESTDVTKGDSKNAK&amp;Dta=/var/www/html/dta/S01/10565.1915.4.dta&amp;Global_Mod=CS57.0215", "1915")</f>
        <v>1915</v>
      </c>
      <c r="W118" s="5">
        <v>1708</v>
      </c>
      <c r="X118" s="3" t="s">
        <v>4854</v>
      </c>
      <c r="Y118" s="5">
        <v>1638</v>
      </c>
      <c r="Z118" s="5">
        <v>1654</v>
      </c>
      <c r="AA118" s="5">
        <v>1710</v>
      </c>
      <c r="AB118" s="5">
        <v>1647</v>
      </c>
      <c r="AC118" s="5">
        <v>1891</v>
      </c>
      <c r="AD118" s="3" t="s">
        <v>4854</v>
      </c>
      <c r="AE118" s="90">
        <v>3.0790000000000002</v>
      </c>
      <c r="AF118" s="99" t="s">
        <v>4854</v>
      </c>
      <c r="AG118" s="90">
        <v>4.0949999999999998</v>
      </c>
      <c r="AH118" s="90">
        <v>3.5680000000000001</v>
      </c>
      <c r="AI118" s="90">
        <v>3.0059999999999998</v>
      </c>
      <c r="AJ118" s="90">
        <v>3.7749999999999999</v>
      </c>
      <c r="AK118" s="90">
        <v>2.9369999999999998</v>
      </c>
      <c r="AL118" s="90">
        <v>2.7749999999999999</v>
      </c>
      <c r="AM118" s="21">
        <v>-3.9399999999999998E-2</v>
      </c>
      <c r="AN118" s="102" t="s">
        <v>4854</v>
      </c>
      <c r="AO118" s="21">
        <v>0.81620000000000004</v>
      </c>
      <c r="AP118" s="21">
        <v>1.0037</v>
      </c>
      <c r="AQ118" s="21">
        <v>1.4648000000000001</v>
      </c>
      <c r="AR118" s="21">
        <v>1.1025</v>
      </c>
      <c r="AS118" s="21">
        <v>-7.3899999999999993E-2</v>
      </c>
      <c r="AT118" s="21">
        <v>-0.36370000000000002</v>
      </c>
      <c r="AU118" s="21">
        <v>8.6999999999999994E-2</v>
      </c>
      <c r="AV118" s="102" t="s">
        <v>4854</v>
      </c>
      <c r="AW118" s="21">
        <v>0.113</v>
      </c>
      <c r="AX118" s="21">
        <v>0.34399999999999997</v>
      </c>
      <c r="AY118" s="21">
        <v>0.19600000000000001</v>
      </c>
      <c r="AZ118" s="21">
        <v>0.24399999999999999</v>
      </c>
      <c r="BA118" s="21">
        <v>0.13700000000000001</v>
      </c>
      <c r="BB118" s="21">
        <v>3.3000000000000002E-2</v>
      </c>
      <c r="BC118" s="5">
        <v>1</v>
      </c>
      <c r="BD118" s="3" t="s">
        <v>4854</v>
      </c>
      <c r="BE118" s="5">
        <v>1</v>
      </c>
      <c r="BF118" s="5">
        <v>1</v>
      </c>
      <c r="BG118" s="5">
        <v>1</v>
      </c>
      <c r="BH118" s="5">
        <v>1</v>
      </c>
      <c r="BI118" s="5">
        <v>1</v>
      </c>
      <c r="BJ118" s="5">
        <v>1</v>
      </c>
      <c r="BK118" s="90">
        <v>0.97299999999999998</v>
      </c>
      <c r="BL118" s="99" t="s">
        <v>4854</v>
      </c>
      <c r="BM118" s="90">
        <v>0.98599999999999999</v>
      </c>
      <c r="BN118" s="90">
        <v>1</v>
      </c>
      <c r="BO118" s="90">
        <v>0.996</v>
      </c>
      <c r="BP118" s="90">
        <v>0.998</v>
      </c>
      <c r="BQ118" s="90">
        <v>0.98799999999999999</v>
      </c>
      <c r="BR118" s="90">
        <v>0.86799999999999999</v>
      </c>
      <c r="BS118" s="5" t="s">
        <v>4857</v>
      </c>
    </row>
    <row r="119" spans="1:71" s="30" customFormat="1" ht="17.100000000000001" customHeight="1">
      <c r="A119" s="10">
        <v>108</v>
      </c>
      <c r="B119" s="10" t="s">
        <v>4444</v>
      </c>
      <c r="C119" s="4" t="s">
        <v>4715</v>
      </c>
      <c r="D119" s="4" t="s">
        <v>4433</v>
      </c>
      <c r="E119" s="4" t="s">
        <v>4469</v>
      </c>
      <c r="F119" s="10" t="s">
        <v>4990</v>
      </c>
      <c r="G119" s="4" t="s">
        <v>4434</v>
      </c>
      <c r="H119" s="7" t="s">
        <v>4435</v>
      </c>
      <c r="I119" s="4" t="s">
        <v>4436</v>
      </c>
      <c r="J119" s="10" t="s">
        <v>4437</v>
      </c>
      <c r="K119" s="4" t="s">
        <v>5401</v>
      </c>
      <c r="L119" s="4" t="s">
        <v>4445</v>
      </c>
      <c r="M119" s="10">
        <v>3</v>
      </c>
      <c r="N119" s="95">
        <v>803.37350000000004</v>
      </c>
      <c r="O119" s="37" t="str">
        <f>HYPERLINK("http://ms.phosphosite.org:5080/cgi-bin/plot-msms.cgi?MassType=1&amp;NumAxis=1&amp;Mod13=170&amp;Mod17=170&amp;Mod20=170&amp;Pep=EENTSNESTDVTKGDSKNAKK&amp;Dta=/var/www/html/dta/S01/10558.3159.3.dta&amp;Global_Mod=CS57.0215", "3159")</f>
        <v>3159</v>
      </c>
      <c r="P119" s="37" t="str">
        <f>HYPERLINK("http://ms.phosphosite.org:5080/cgi-bin/plot-msms.cgi?MassType=1&amp;NumAxis=1&amp;Mod13=170&amp;Mod17=170&amp;Mod20=170&amp;Pep=EENTSNESTDVTKGDSKNAKK&amp;Dta=/var/www/html/dta/S01/10559.3108.3.dta&amp;Global_Mod=CS57.0215", "3108")</f>
        <v>3108</v>
      </c>
      <c r="Q119" s="37" t="str">
        <f>HYPERLINK("http://ms.phosphosite.org:5080/cgi-bin/plot-msms.cgi?MassType=1&amp;NumAxis=1&amp;Mod13=170&amp;Mod17=170&amp;Mod20=170&amp;Pep=EENTSNESTDVTKGDSKNAKK&amp;Dta=/var/www/html/dta/S01/10560.3087.3.dta&amp;Global_Mod=CS57.0215", "3087")</f>
        <v>3087</v>
      </c>
      <c r="R119" s="37" t="str">
        <f>HYPERLINK("http://ms.phosphosite.org:5080/cgi-bin/plot-msms.cgi?MassType=1&amp;NumAxis=1&amp;Mod13=170&amp;Mod17=170&amp;Mod20=170&amp;Pep=EENTSNESTDVTKGDSKNAKK&amp;Dta=/var/www/html/dta/S01/10561.3101.3.dta&amp;Global_Mod=CS57.0215", "3101")</f>
        <v>3101</v>
      </c>
      <c r="S119" s="37" t="str">
        <f>HYPERLINK("http://ms.phosphosite.org:5080/cgi-bin/plot-msms.cgi?MassType=1&amp;NumAxis=1&amp;Mod13=170&amp;Mod17=170&amp;Mod20=170&amp;Pep=EENTSNESTDVTKGDSKNAKK&amp;Dta=/var/www/html/dta/S01/10562.3209.3.dta&amp;Global_Mod=CS57.0215", "3209")</f>
        <v>3209</v>
      </c>
      <c r="T119" s="37" t="str">
        <f>HYPERLINK("http://ms.phosphosite.org:5080/cgi-bin/plot-msms.cgi?MassType=1&amp;NumAxis=1&amp;Mod13=170&amp;Mod17=170&amp;Mod20=170&amp;Pep=EENTSNESTDVTKGDSKNAKK&amp;Dta=/var/www/html/dta/S01/10563.3126.3.dta&amp;Global_Mod=CS57.0215", "3126")</f>
        <v>3126</v>
      </c>
      <c r="U119" s="37" t="str">
        <f>HYPERLINK("http://ms.phosphosite.org:5080/cgi-bin/plot-msms.cgi?MassType=1&amp;NumAxis=1&amp;Mod13=170&amp;Mod17=170&amp;Mod20=170&amp;Pep=EENTSNESTDVTKGDSKNAKK&amp;Dta=/var/www/html/dta/S01/10564.3427.3.dta&amp;Global_Mod=CS57.0215", "3427")</f>
        <v>3427</v>
      </c>
      <c r="V119" s="37" t="str">
        <f>HYPERLINK("http://ms.phosphosite.org:5080/cgi-bin/plot-msms.cgi?MassType=1&amp;NumAxis=1&amp;Mod13=170&amp;Mod17=170&amp;Mod20=170&amp;Pep=EENTSNESTDVTKGDSKNAKK&amp;Dta=/var/www/html/dta/S01/10565.3503.3.dta&amp;Global_Mod=CS57.0215", "3503")</f>
        <v>3503</v>
      </c>
      <c r="W119" s="10">
        <v>3162</v>
      </c>
      <c r="X119" s="10">
        <v>3101</v>
      </c>
      <c r="Y119" s="10">
        <v>3069</v>
      </c>
      <c r="Z119" s="10">
        <v>3097</v>
      </c>
      <c r="AA119" s="10">
        <v>3207</v>
      </c>
      <c r="AB119" s="10">
        <v>3108</v>
      </c>
      <c r="AC119" s="10">
        <v>3407</v>
      </c>
      <c r="AD119" s="10">
        <v>3499</v>
      </c>
      <c r="AE119" s="91">
        <v>4.6349999999999998</v>
      </c>
      <c r="AF119" s="91">
        <v>3.2869999999999999</v>
      </c>
      <c r="AG119" s="91">
        <v>3.9510000000000001</v>
      </c>
      <c r="AH119" s="91">
        <v>3.423</v>
      </c>
      <c r="AI119" s="91">
        <v>4.133</v>
      </c>
      <c r="AJ119" s="91">
        <v>4.9960000000000004</v>
      </c>
      <c r="AK119" s="91">
        <v>4.2460000000000004</v>
      </c>
      <c r="AL119" s="91">
        <v>2.839</v>
      </c>
      <c r="AM119" s="95">
        <v>0.44269999999999998</v>
      </c>
      <c r="AN119" s="95">
        <v>0.5494</v>
      </c>
      <c r="AO119" s="95">
        <v>1.409</v>
      </c>
      <c r="AP119" s="95">
        <v>0.30399999999999999</v>
      </c>
      <c r="AQ119" s="95">
        <v>1.7458</v>
      </c>
      <c r="AR119" s="95">
        <v>0.27700000000000002</v>
      </c>
      <c r="AS119" s="95">
        <v>-0.32850000000000001</v>
      </c>
      <c r="AT119" s="95">
        <v>0.66069999999999995</v>
      </c>
      <c r="AU119" s="95">
        <v>0.39600000000000002</v>
      </c>
      <c r="AV119" s="95">
        <v>0.317</v>
      </c>
      <c r="AW119" s="95">
        <v>0.434</v>
      </c>
      <c r="AX119" s="95">
        <v>0.41599999999999998</v>
      </c>
      <c r="AY119" s="95">
        <v>0.43</v>
      </c>
      <c r="AZ119" s="95">
        <v>0.48499999999999999</v>
      </c>
      <c r="BA119" s="95">
        <v>0.247</v>
      </c>
      <c r="BB119" s="95">
        <v>0.189</v>
      </c>
      <c r="BC119" s="10">
        <v>1</v>
      </c>
      <c r="BD119" s="10">
        <v>2</v>
      </c>
      <c r="BE119" s="10">
        <v>1</v>
      </c>
      <c r="BF119" s="10">
        <v>8</v>
      </c>
      <c r="BG119" s="10">
        <v>1</v>
      </c>
      <c r="BH119" s="10">
        <v>1</v>
      </c>
      <c r="BI119" s="10">
        <v>1</v>
      </c>
      <c r="BJ119" s="10">
        <v>29</v>
      </c>
      <c r="BK119" s="91">
        <v>1</v>
      </c>
      <c r="BL119" s="91">
        <v>1</v>
      </c>
      <c r="BM119" s="91">
        <v>1</v>
      </c>
      <c r="BN119" s="91">
        <v>1</v>
      </c>
      <c r="BO119" s="91">
        <v>1</v>
      </c>
      <c r="BP119" s="91">
        <v>1</v>
      </c>
      <c r="BQ119" s="91">
        <v>0.999</v>
      </c>
      <c r="BR119" s="91">
        <v>0.99299999999999999</v>
      </c>
      <c r="BS119" s="10" t="s">
        <v>4857</v>
      </c>
    </row>
    <row r="120" spans="1:71" s="30" customFormat="1" ht="17.100000000000001" customHeight="1">
      <c r="A120" s="14">
        <v>109</v>
      </c>
      <c r="B120" s="5" t="s">
        <v>4446</v>
      </c>
      <c r="C120" s="3" t="s">
        <v>4715</v>
      </c>
      <c r="D120" s="3" t="s">
        <v>4433</v>
      </c>
      <c r="E120" s="3" t="s">
        <v>4469</v>
      </c>
      <c r="F120" s="5" t="s">
        <v>4957</v>
      </c>
      <c r="G120" s="3" t="s">
        <v>4434</v>
      </c>
      <c r="H120" s="6" t="s">
        <v>4435</v>
      </c>
      <c r="I120" s="3" t="s">
        <v>4436</v>
      </c>
      <c r="J120" s="5" t="s">
        <v>4437</v>
      </c>
      <c r="K120" s="3" t="s">
        <v>5402</v>
      </c>
      <c r="L120" s="3" t="s">
        <v>4447</v>
      </c>
      <c r="M120" s="5">
        <v>3</v>
      </c>
      <c r="N120" s="21">
        <v>860.07529999999997</v>
      </c>
      <c r="O120" s="36" t="str">
        <f>HYPERLINK("http://ms.phosphosite.org:5080/cgi-bin/plot-msms.cgi?MassType=1&amp;NumAxis=1&amp;Mod13=170&amp;Mod17=170&amp;Mod20=170&amp;Mod21=170&amp;Pep=EENTSNESTDVTKGDSKNAKKK&amp;Dta=/var/www/html/dta/S01/10558.3598.3.dta&amp;Global_Mod=CS57.0215", "3598")</f>
        <v>3598</v>
      </c>
      <c r="P120" s="36" t="str">
        <f>HYPERLINK("http://ms.phosphosite.org:5080/cgi-bin/plot-msms.cgi?MassType=1&amp;NumAxis=1&amp;Mod13=170&amp;Mod17=170&amp;Mod20=170&amp;Mod21=170&amp;Pep=EENTSNESTDVTKGDSKNAKKK&amp;Dta=/var/www/html/dta/S01/10559.3549.3.dta&amp;Global_Mod=CS57.0215", "3549")</f>
        <v>3549</v>
      </c>
      <c r="Q120" s="36" t="str">
        <f>HYPERLINK("http://ms.phosphosite.org:5080/cgi-bin/plot-msms.cgi?MassType=1&amp;NumAxis=1&amp;Mod13=170&amp;Mod17=170&amp;Mod20=170&amp;Mod21=170&amp;Pep=EENTSNESTDVTKGDSKNAKKK&amp;Dta=/var/www/html/dta/S01/10560.3533.3.dta&amp;Global_Mod=CS57.0215", "3533")</f>
        <v>3533</v>
      </c>
      <c r="R120" s="36" t="str">
        <f>HYPERLINK("http://ms.phosphosite.org:5080/cgi-bin/plot-msms.cgi?MassType=1&amp;NumAxis=1&amp;Mod13=170&amp;Mod17=170&amp;Mod20=170&amp;Mod21=170&amp;Pep=EENTSNESTDVTKGDSKNAKKK&amp;Dta=/var/www/html/dta/S01/10561.3539.3.dta&amp;Global_Mod=CS57.0215", "3539")</f>
        <v>3539</v>
      </c>
      <c r="S120" s="36" t="str">
        <f>HYPERLINK("http://ms.phosphosite.org:5080/cgi-bin/plot-msms.cgi?MassType=1&amp;NumAxis=1&amp;Mod13=170&amp;Mod17=170&amp;Mod20=170&amp;Mod21=170&amp;Pep=EENTSNESTDVTKGDSKNAKKK&amp;Dta=/var/www/html/dta/S01/10562.3650.3.dta&amp;Global_Mod=CS57.0215", "3650")</f>
        <v>3650</v>
      </c>
      <c r="T120" s="36" t="str">
        <f>HYPERLINK("http://ms.phosphosite.org:5080/cgi-bin/plot-msms.cgi?MassType=1&amp;NumAxis=1&amp;Mod13=170&amp;Mod17=170&amp;Mod20=170&amp;Mod21=170&amp;Pep=EENTSNESTDVTKGDSKNAKKK&amp;Dta=/var/www/html/dta/S01/10563.3569.3.dta&amp;Global_Mod=CS57.0215", "3569")</f>
        <v>3569</v>
      </c>
      <c r="U120" s="36" t="str">
        <f>HYPERLINK("http://ms.phosphosite.org:5080/cgi-bin/plot-msms.cgi?MassType=1&amp;NumAxis=1&amp;Mod13=170&amp;Mod17=170&amp;Mod20=170&amp;Mod21=170&amp;Pep=EENTSNESTDVTKGDSKNAKKK&amp;Dta=/var/www/html/dta/S01/10564.3862.3.dta&amp;Global_Mod=CS57.0215", "3862")</f>
        <v>3862</v>
      </c>
      <c r="V120" s="36" t="str">
        <f>HYPERLINK("http://ms.phosphosite.org:5080/cgi-bin/plot-msms.cgi?MassType=1&amp;NumAxis=1&amp;Mod13=170&amp;Mod17=170&amp;Mod20=170&amp;Mod21=170&amp;Pep=EENTSNESTDVTKGDSKNAKKK&amp;Dta=/var/www/html/dta/S01/10565.3941.3.dta&amp;Global_Mod=CS57.0215", "3941")</f>
        <v>3941</v>
      </c>
      <c r="W120" s="5">
        <v>3605</v>
      </c>
      <c r="X120" s="5">
        <v>3552</v>
      </c>
      <c r="Y120" s="5">
        <v>3547</v>
      </c>
      <c r="Z120" s="5">
        <v>3544</v>
      </c>
      <c r="AA120" s="5">
        <v>3642</v>
      </c>
      <c r="AB120" s="5">
        <v>3571</v>
      </c>
      <c r="AC120" s="5">
        <v>3857</v>
      </c>
      <c r="AD120" s="5">
        <v>3949</v>
      </c>
      <c r="AE120" s="90">
        <v>5.8879999999999999</v>
      </c>
      <c r="AF120" s="90">
        <v>5.21</v>
      </c>
      <c r="AG120" s="90">
        <v>5.3380000000000001</v>
      </c>
      <c r="AH120" s="90">
        <v>6.1840000000000002</v>
      </c>
      <c r="AI120" s="90">
        <v>5.1509999999999998</v>
      </c>
      <c r="AJ120" s="90">
        <v>6.2830000000000004</v>
      </c>
      <c r="AK120" s="90">
        <v>4.9359999999999999</v>
      </c>
      <c r="AL120" s="90">
        <v>5.0060000000000002</v>
      </c>
      <c r="AM120" s="21">
        <v>0.81730000000000003</v>
      </c>
      <c r="AN120" s="21">
        <v>0.64900000000000002</v>
      </c>
      <c r="AO120" s="21">
        <v>1.4294</v>
      </c>
      <c r="AP120" s="21">
        <v>0.29249999999999998</v>
      </c>
      <c r="AQ120" s="21">
        <v>0.86429999999999996</v>
      </c>
      <c r="AR120" s="21">
        <v>0.58689999999999998</v>
      </c>
      <c r="AS120" s="21">
        <v>1.1009</v>
      </c>
      <c r="AT120" s="21">
        <v>0.73509999999999998</v>
      </c>
      <c r="AU120" s="21">
        <v>0.38700000000000001</v>
      </c>
      <c r="AV120" s="21">
        <v>0.33900000000000002</v>
      </c>
      <c r="AW120" s="21">
        <v>0.46300000000000002</v>
      </c>
      <c r="AX120" s="21">
        <v>0.44900000000000001</v>
      </c>
      <c r="AY120" s="21">
        <v>0.34</v>
      </c>
      <c r="AZ120" s="21">
        <v>0.41499999999999998</v>
      </c>
      <c r="BA120" s="21">
        <v>0.35699999999999998</v>
      </c>
      <c r="BB120" s="21">
        <v>0.33</v>
      </c>
      <c r="BC120" s="5">
        <v>1</v>
      </c>
      <c r="BD120" s="5">
        <v>1</v>
      </c>
      <c r="BE120" s="5">
        <v>1</v>
      </c>
      <c r="BF120" s="5">
        <v>1</v>
      </c>
      <c r="BG120" s="5">
        <v>1</v>
      </c>
      <c r="BH120" s="5">
        <v>1</v>
      </c>
      <c r="BI120" s="5">
        <v>1</v>
      </c>
      <c r="BJ120" s="5">
        <v>1</v>
      </c>
      <c r="BK120" s="90">
        <v>1</v>
      </c>
      <c r="BL120" s="90">
        <v>0.999</v>
      </c>
      <c r="BM120" s="90">
        <v>1</v>
      </c>
      <c r="BN120" s="90">
        <v>1</v>
      </c>
      <c r="BO120" s="90">
        <v>0.999</v>
      </c>
      <c r="BP120" s="90">
        <v>1</v>
      </c>
      <c r="BQ120" s="90">
        <v>1</v>
      </c>
      <c r="BR120" s="90">
        <v>0.999</v>
      </c>
      <c r="BS120" s="5" t="s">
        <v>4857</v>
      </c>
    </row>
    <row r="121" spans="1:71" s="30" customFormat="1" ht="17.100000000000001" customHeight="1">
      <c r="A121" s="14">
        <v>110</v>
      </c>
      <c r="B121" s="5" t="s">
        <v>4448</v>
      </c>
      <c r="C121" s="3" t="s">
        <v>4715</v>
      </c>
      <c r="D121" s="3" t="s">
        <v>4433</v>
      </c>
      <c r="E121" s="3" t="s">
        <v>4469</v>
      </c>
      <c r="F121" s="5" t="s">
        <v>4957</v>
      </c>
      <c r="G121" s="3" t="s">
        <v>4434</v>
      </c>
      <c r="H121" s="6" t="s">
        <v>4435</v>
      </c>
      <c r="I121" s="3" t="s">
        <v>4436</v>
      </c>
      <c r="J121" s="5" t="s">
        <v>4437</v>
      </c>
      <c r="K121" s="3" t="s">
        <v>5402</v>
      </c>
      <c r="L121" s="3" t="s">
        <v>4447</v>
      </c>
      <c r="M121" s="5">
        <v>3</v>
      </c>
      <c r="N121" s="21">
        <v>860.07529999999997</v>
      </c>
      <c r="O121" s="36" t="str">
        <f>HYPERLINK("http://ms.phosphosite.org:5080/cgi-bin/plot-msms.cgi?MassType=1&amp;NumAxis=1&amp;Mod13=170&amp;Mod17=170&amp;Mod20=170&amp;Mod21=170&amp;Pep=EENTSNESTDVTKGDSKNAKKK&amp;Dta=/var/www/html/dta/S01/10558.3601.3.dta&amp;Global_Mod=CS57.0215", "3601")</f>
        <v>3601</v>
      </c>
      <c r="P121" s="35" t="s">
        <v>4854</v>
      </c>
      <c r="Q121" s="35" t="s">
        <v>4854</v>
      </c>
      <c r="R121" s="35" t="s">
        <v>4854</v>
      </c>
      <c r="S121" s="35" t="s">
        <v>4854</v>
      </c>
      <c r="T121" s="35" t="s">
        <v>4854</v>
      </c>
      <c r="U121" s="35" t="s">
        <v>4854</v>
      </c>
      <c r="V121" s="35" t="s">
        <v>4854</v>
      </c>
      <c r="W121" s="5">
        <v>3605</v>
      </c>
      <c r="X121" s="3" t="s">
        <v>4854</v>
      </c>
      <c r="Y121" s="3" t="s">
        <v>4854</v>
      </c>
      <c r="Z121" s="3" t="s">
        <v>4854</v>
      </c>
      <c r="AA121" s="3" t="s">
        <v>4854</v>
      </c>
      <c r="AB121" s="3" t="s">
        <v>4854</v>
      </c>
      <c r="AC121" s="3" t="s">
        <v>4854</v>
      </c>
      <c r="AD121" s="3" t="s">
        <v>4854</v>
      </c>
      <c r="AE121" s="90">
        <v>4.9809999999999999</v>
      </c>
      <c r="AF121" s="99" t="s">
        <v>4854</v>
      </c>
      <c r="AG121" s="99" t="s">
        <v>4854</v>
      </c>
      <c r="AH121" s="99" t="s">
        <v>4854</v>
      </c>
      <c r="AI121" s="99" t="s">
        <v>4854</v>
      </c>
      <c r="AJ121" s="99" t="s">
        <v>4854</v>
      </c>
      <c r="AK121" s="99" t="s">
        <v>4854</v>
      </c>
      <c r="AL121" s="99" t="s">
        <v>4854</v>
      </c>
      <c r="AM121" s="21">
        <v>0.81730000000000003</v>
      </c>
      <c r="AN121" s="102" t="s">
        <v>4854</v>
      </c>
      <c r="AO121" s="102" t="s">
        <v>4854</v>
      </c>
      <c r="AP121" s="102" t="s">
        <v>4854</v>
      </c>
      <c r="AQ121" s="102" t="s">
        <v>4854</v>
      </c>
      <c r="AR121" s="102" t="s">
        <v>4854</v>
      </c>
      <c r="AS121" s="102" t="s">
        <v>4854</v>
      </c>
      <c r="AT121" s="102" t="s">
        <v>4854</v>
      </c>
      <c r="AU121" s="21">
        <v>0.47399999999999998</v>
      </c>
      <c r="AV121" s="102" t="s">
        <v>4854</v>
      </c>
      <c r="AW121" s="102" t="s">
        <v>4854</v>
      </c>
      <c r="AX121" s="102" t="s">
        <v>4854</v>
      </c>
      <c r="AY121" s="102" t="s">
        <v>4854</v>
      </c>
      <c r="AZ121" s="102" t="s">
        <v>4854</v>
      </c>
      <c r="BA121" s="102" t="s">
        <v>4854</v>
      </c>
      <c r="BB121" s="102" t="s">
        <v>4854</v>
      </c>
      <c r="BC121" s="5">
        <v>1</v>
      </c>
      <c r="BD121" s="3" t="s">
        <v>4854</v>
      </c>
      <c r="BE121" s="3" t="s">
        <v>4854</v>
      </c>
      <c r="BF121" s="3" t="s">
        <v>4854</v>
      </c>
      <c r="BG121" s="3" t="s">
        <v>4854</v>
      </c>
      <c r="BH121" s="3" t="s">
        <v>4854</v>
      </c>
      <c r="BI121" s="3" t="s">
        <v>4854</v>
      </c>
      <c r="BJ121" s="3" t="s">
        <v>4854</v>
      </c>
      <c r="BK121" s="90">
        <v>1</v>
      </c>
      <c r="BL121" s="99" t="s">
        <v>4854</v>
      </c>
      <c r="BM121" s="99" t="s">
        <v>4854</v>
      </c>
      <c r="BN121" s="99" t="s">
        <v>4854</v>
      </c>
      <c r="BO121" s="99" t="s">
        <v>4854</v>
      </c>
      <c r="BP121" s="99" t="s">
        <v>4854</v>
      </c>
      <c r="BQ121" s="99" t="s">
        <v>4854</v>
      </c>
      <c r="BR121" s="99" t="s">
        <v>4854</v>
      </c>
      <c r="BS121" s="5" t="s">
        <v>4857</v>
      </c>
    </row>
    <row r="122" spans="1:71" s="30" customFormat="1" ht="17.100000000000001" customHeight="1">
      <c r="A122" s="10">
        <v>111</v>
      </c>
      <c r="B122" s="10" t="s">
        <v>4449</v>
      </c>
      <c r="C122" s="4" t="s">
        <v>4715</v>
      </c>
      <c r="D122" s="4" t="s">
        <v>4450</v>
      </c>
      <c r="E122" s="4" t="s">
        <v>4451</v>
      </c>
      <c r="F122" s="10" t="s">
        <v>5303</v>
      </c>
      <c r="G122" s="4" t="s">
        <v>4452</v>
      </c>
      <c r="H122" s="7" t="s">
        <v>4453</v>
      </c>
      <c r="I122" s="4" t="s">
        <v>4454</v>
      </c>
      <c r="J122" s="10" t="s">
        <v>4700</v>
      </c>
      <c r="K122" s="4" t="s">
        <v>5403</v>
      </c>
      <c r="L122" s="4" t="s">
        <v>4455</v>
      </c>
      <c r="M122" s="10">
        <v>3</v>
      </c>
      <c r="N122" s="95">
        <v>637.01080000000002</v>
      </c>
      <c r="O122" s="38" t="s">
        <v>4854</v>
      </c>
      <c r="P122" s="38" t="s">
        <v>4854</v>
      </c>
      <c r="Q122" s="37" t="str">
        <f>HYPERLINK("http://ms.phosphosite.org:5080/cgi-bin/plot-msms.cgi?MassType=1&amp;NumAxis=1&amp;Mod13=170&amp;Pep=LKEVLEYNALGGKYNR&amp;Dta=/var/www/html/dta/S01/10560.7283.3.dta&amp;Global_Mod=CS57.0215", "7283")</f>
        <v>7283</v>
      </c>
      <c r="R122" s="38" t="s">
        <v>4854</v>
      </c>
      <c r="S122" s="38" t="s">
        <v>4854</v>
      </c>
      <c r="T122" s="38" t="s">
        <v>4854</v>
      </c>
      <c r="U122" s="38" t="s">
        <v>4854</v>
      </c>
      <c r="V122" s="37" t="str">
        <f>HYPERLINK("http://ms.phosphosite.org:5080/cgi-bin/plot-msms.cgi?MassType=1&amp;NumAxis=1&amp;Mod13=170&amp;Pep=LKEVLEYNALGGKYNR&amp;Dta=/var/www/html/dta/S01/10565.7818.3.dta&amp;Global_Mod=CS57.0215", "7818")</f>
        <v>7818</v>
      </c>
      <c r="W122" s="4" t="s">
        <v>4854</v>
      </c>
      <c r="X122" s="4" t="s">
        <v>4854</v>
      </c>
      <c r="Y122" s="10">
        <v>7301</v>
      </c>
      <c r="Z122" s="4" t="s">
        <v>4854</v>
      </c>
      <c r="AA122" s="4" t="s">
        <v>4854</v>
      </c>
      <c r="AB122" s="4" t="s">
        <v>4854</v>
      </c>
      <c r="AC122" s="4" t="s">
        <v>4854</v>
      </c>
      <c r="AD122" s="10">
        <v>7824</v>
      </c>
      <c r="AE122" s="100" t="s">
        <v>4854</v>
      </c>
      <c r="AF122" s="100" t="s">
        <v>4854</v>
      </c>
      <c r="AG122" s="91">
        <v>3.5089999999999999</v>
      </c>
      <c r="AH122" s="100" t="s">
        <v>4854</v>
      </c>
      <c r="AI122" s="100" t="s">
        <v>4854</v>
      </c>
      <c r="AJ122" s="100" t="s">
        <v>4854</v>
      </c>
      <c r="AK122" s="100" t="s">
        <v>4854</v>
      </c>
      <c r="AL122" s="91">
        <v>4.2619999999999996</v>
      </c>
      <c r="AM122" s="103" t="s">
        <v>4854</v>
      </c>
      <c r="AN122" s="103" t="s">
        <v>4854</v>
      </c>
      <c r="AO122" s="95">
        <v>0.49180000000000001</v>
      </c>
      <c r="AP122" s="103" t="s">
        <v>4854</v>
      </c>
      <c r="AQ122" s="103" t="s">
        <v>4854</v>
      </c>
      <c r="AR122" s="103" t="s">
        <v>4854</v>
      </c>
      <c r="AS122" s="103" t="s">
        <v>4854</v>
      </c>
      <c r="AT122" s="95">
        <v>-0.29239999999999999</v>
      </c>
      <c r="AU122" s="103" t="s">
        <v>4854</v>
      </c>
      <c r="AV122" s="103" t="s">
        <v>4854</v>
      </c>
      <c r="AW122" s="95">
        <v>8.6999999999999994E-2</v>
      </c>
      <c r="AX122" s="103" t="s">
        <v>4854</v>
      </c>
      <c r="AY122" s="103" t="s">
        <v>4854</v>
      </c>
      <c r="AZ122" s="103" t="s">
        <v>4854</v>
      </c>
      <c r="BA122" s="103" t="s">
        <v>4854</v>
      </c>
      <c r="BB122" s="95">
        <v>0.23400000000000001</v>
      </c>
      <c r="BC122" s="4" t="s">
        <v>4854</v>
      </c>
      <c r="BD122" s="4" t="s">
        <v>4854</v>
      </c>
      <c r="BE122" s="10">
        <v>3</v>
      </c>
      <c r="BF122" s="4" t="s">
        <v>4854</v>
      </c>
      <c r="BG122" s="4" t="s">
        <v>4854</v>
      </c>
      <c r="BH122" s="4" t="s">
        <v>4854</v>
      </c>
      <c r="BI122" s="4" t="s">
        <v>4854</v>
      </c>
      <c r="BJ122" s="10">
        <v>1</v>
      </c>
      <c r="BK122" s="100" t="s">
        <v>4854</v>
      </c>
      <c r="BL122" s="100" t="s">
        <v>4854</v>
      </c>
      <c r="BM122" s="91">
        <v>0.99399999999999999</v>
      </c>
      <c r="BN122" s="100" t="s">
        <v>4854</v>
      </c>
      <c r="BO122" s="100" t="s">
        <v>4854</v>
      </c>
      <c r="BP122" s="100" t="s">
        <v>4854</v>
      </c>
      <c r="BQ122" s="100" t="s">
        <v>4854</v>
      </c>
      <c r="BR122" s="91">
        <v>0.999</v>
      </c>
      <c r="BS122" s="10" t="s">
        <v>4857</v>
      </c>
    </row>
    <row r="123" spans="1:71" s="30" customFormat="1" ht="17.100000000000001" customHeight="1">
      <c r="A123" s="14">
        <v>112</v>
      </c>
      <c r="B123" s="5" t="s">
        <v>4456</v>
      </c>
      <c r="C123" s="3" t="s">
        <v>4715</v>
      </c>
      <c r="D123" s="3" t="s">
        <v>4457</v>
      </c>
      <c r="E123" s="3" t="s">
        <v>4458</v>
      </c>
      <c r="F123" s="5" t="s">
        <v>4459</v>
      </c>
      <c r="G123" s="3" t="s">
        <v>4357</v>
      </c>
      <c r="H123" s="6" t="s">
        <v>4358</v>
      </c>
      <c r="I123" s="3" t="s">
        <v>4359</v>
      </c>
      <c r="J123" s="5" t="s">
        <v>4360</v>
      </c>
      <c r="K123" s="3" t="s">
        <v>5404</v>
      </c>
      <c r="L123" s="3" t="s">
        <v>4361</v>
      </c>
      <c r="M123" s="5">
        <v>4</v>
      </c>
      <c r="N123" s="21">
        <v>726.38220000000001</v>
      </c>
      <c r="O123" s="35" t="s">
        <v>4854</v>
      </c>
      <c r="P123" s="35" t="s">
        <v>4854</v>
      </c>
      <c r="Q123" s="35" t="s">
        <v>4854</v>
      </c>
      <c r="R123" s="36" t="str">
        <f>HYPERLINK("http://ms.phosphosite.org:5080/cgi-bin/plot-msms.cgi?MassType=1&amp;NumAxis=1&amp;Mod7=170&amp;Pep=YLDVKHKEHPNRIHISVQIPHQDG&amp;Dta=/var/www/html/dta/S01/10561.15395.4.dta&amp;Global_Mod=CS57.0215", "15395")</f>
        <v>15395</v>
      </c>
      <c r="S123" s="35" t="s">
        <v>4854</v>
      </c>
      <c r="T123" s="35" t="s">
        <v>4854</v>
      </c>
      <c r="U123" s="35" t="s">
        <v>4854</v>
      </c>
      <c r="V123" s="35" t="s">
        <v>4854</v>
      </c>
      <c r="W123" s="3" t="s">
        <v>4854</v>
      </c>
      <c r="X123" s="3" t="s">
        <v>4854</v>
      </c>
      <c r="Y123" s="3" t="s">
        <v>4854</v>
      </c>
      <c r="Z123" s="3" t="s">
        <v>4854</v>
      </c>
      <c r="AA123" s="3" t="s">
        <v>4854</v>
      </c>
      <c r="AB123" s="3" t="s">
        <v>4854</v>
      </c>
      <c r="AC123" s="3" t="s">
        <v>4854</v>
      </c>
      <c r="AD123" s="3" t="s">
        <v>4854</v>
      </c>
      <c r="AE123" s="99" t="s">
        <v>4854</v>
      </c>
      <c r="AF123" s="99" t="s">
        <v>4854</v>
      </c>
      <c r="AG123" s="99" t="s">
        <v>4854</v>
      </c>
      <c r="AH123" s="90">
        <v>3.109</v>
      </c>
      <c r="AI123" s="99" t="s">
        <v>4854</v>
      </c>
      <c r="AJ123" s="99" t="s">
        <v>4854</v>
      </c>
      <c r="AK123" s="99" t="s">
        <v>4854</v>
      </c>
      <c r="AL123" s="99" t="s">
        <v>4854</v>
      </c>
      <c r="AM123" s="102" t="s">
        <v>4854</v>
      </c>
      <c r="AN123" s="102" t="s">
        <v>4854</v>
      </c>
      <c r="AO123" s="102" t="s">
        <v>4854</v>
      </c>
      <c r="AP123" s="21">
        <v>-8.9599999999999999E-2</v>
      </c>
      <c r="AQ123" s="102" t="s">
        <v>4854</v>
      </c>
      <c r="AR123" s="102" t="s">
        <v>4854</v>
      </c>
      <c r="AS123" s="102" t="s">
        <v>4854</v>
      </c>
      <c r="AT123" s="102" t="s">
        <v>4854</v>
      </c>
      <c r="AU123" s="102" t="s">
        <v>4854</v>
      </c>
      <c r="AV123" s="102" t="s">
        <v>4854</v>
      </c>
      <c r="AW123" s="102" t="s">
        <v>4854</v>
      </c>
      <c r="AX123" s="21">
        <v>0.10199999999999999</v>
      </c>
      <c r="AY123" s="102" t="s">
        <v>4854</v>
      </c>
      <c r="AZ123" s="102" t="s">
        <v>4854</v>
      </c>
      <c r="BA123" s="102" t="s">
        <v>4854</v>
      </c>
      <c r="BB123" s="102" t="s">
        <v>4854</v>
      </c>
      <c r="BC123" s="3" t="s">
        <v>4854</v>
      </c>
      <c r="BD123" s="3" t="s">
        <v>4854</v>
      </c>
      <c r="BE123" s="3" t="s">
        <v>4854</v>
      </c>
      <c r="BF123" s="5">
        <v>4</v>
      </c>
      <c r="BG123" s="3" t="s">
        <v>4854</v>
      </c>
      <c r="BH123" s="3" t="s">
        <v>4854</v>
      </c>
      <c r="BI123" s="3" t="s">
        <v>4854</v>
      </c>
      <c r="BJ123" s="3" t="s">
        <v>4854</v>
      </c>
      <c r="BK123" s="99" t="s">
        <v>4854</v>
      </c>
      <c r="BL123" s="99" t="s">
        <v>4854</v>
      </c>
      <c r="BM123" s="99" t="s">
        <v>4854</v>
      </c>
      <c r="BN123" s="90">
        <v>5.0999999999999997E-2</v>
      </c>
      <c r="BO123" s="99" t="s">
        <v>4854</v>
      </c>
      <c r="BP123" s="99" t="s">
        <v>4854</v>
      </c>
      <c r="BQ123" s="99" t="s">
        <v>4854</v>
      </c>
      <c r="BR123" s="99" t="s">
        <v>4854</v>
      </c>
      <c r="BS123" s="5" t="s">
        <v>4857</v>
      </c>
    </row>
    <row r="124" spans="1:71" s="30" customFormat="1" ht="17.100000000000001" customHeight="1">
      <c r="A124" s="10">
        <v>113</v>
      </c>
      <c r="B124" s="10" t="s">
        <v>4362</v>
      </c>
      <c r="C124" s="4" t="s">
        <v>4715</v>
      </c>
      <c r="D124" s="4" t="s">
        <v>4363</v>
      </c>
      <c r="E124" s="7" t="s">
        <v>4364</v>
      </c>
      <c r="F124" s="10" t="s">
        <v>4562</v>
      </c>
      <c r="G124" s="4" t="s">
        <v>4365</v>
      </c>
      <c r="H124" s="7" t="s">
        <v>4366</v>
      </c>
      <c r="I124" s="4" t="s">
        <v>4367</v>
      </c>
      <c r="J124" s="10" t="s">
        <v>4622</v>
      </c>
      <c r="K124" s="4" t="s">
        <v>5405</v>
      </c>
      <c r="L124" s="4" t="s">
        <v>4368</v>
      </c>
      <c r="M124" s="10">
        <v>2</v>
      </c>
      <c r="N124" s="95">
        <v>827.38049999999998</v>
      </c>
      <c r="O124" s="37" t="str">
        <f>HYPERLINK("http://ms.phosphosite.org:5080/cgi-bin/plot-msms.cgi?MassType=1&amp;NumAxis=1&amp;Mod6=170&amp;Mod12=160&amp;Pep=YLAADKDGNVTCER&amp;Dta=/var/www/html/dta/S01/10558.4297.2.dta&amp;Global_Mod=CS57.0215", "4297")</f>
        <v>4297</v>
      </c>
      <c r="P124" s="37" t="str">
        <f>HYPERLINK("http://ms.phosphosite.org:5080/cgi-bin/plot-msms.cgi?MassType=1&amp;NumAxis=1&amp;Mod6=170&amp;Mod12=160&amp;Pep=YLAADKDGNVTCER&amp;Dta=/var/www/html/dta/S01/10559.4201.2.dta&amp;Global_Mod=CS57.0215", "4201")</f>
        <v>4201</v>
      </c>
      <c r="Q124" s="37" t="str">
        <f>HYPERLINK("http://ms.phosphosite.org:5080/cgi-bin/plot-msms.cgi?MassType=1&amp;NumAxis=1&amp;Mod6=170&amp;Mod12=160&amp;Pep=YLAADKDGNVTCER&amp;Dta=/var/www/html/dta/S01/10560.4186.2.dta&amp;Global_Mod=CS57.0215", "4186")</f>
        <v>4186</v>
      </c>
      <c r="R124" s="37" t="str">
        <f>HYPERLINK("http://ms.phosphosite.org:5080/cgi-bin/plot-msms.cgi?MassType=1&amp;NumAxis=1&amp;Mod6=170&amp;Mod12=160&amp;Pep=YLAADKDGNVTCER&amp;Dta=/var/www/html/dta/S01/10561.4218.2.dta&amp;Global_Mod=CS57.0215", "4218")</f>
        <v>4218</v>
      </c>
      <c r="S124" s="37" t="str">
        <f>HYPERLINK("http://ms.phosphosite.org:5080/cgi-bin/plot-msms.cgi?MassType=1&amp;NumAxis=1&amp;Mod6=170&amp;Mod12=160&amp;Pep=YLAADKDGNVTCER&amp;Dta=/var/www/html/dta/S01/10562.4340.2.dta&amp;Global_Mod=CS57.0215", "4340")</f>
        <v>4340</v>
      </c>
      <c r="T124" s="37" t="str">
        <f>HYPERLINK("http://ms.phosphosite.org:5080/cgi-bin/plot-msms.cgi?MassType=1&amp;NumAxis=1&amp;Mod6=170&amp;Mod12=160&amp;Pep=YLAADKDGNVTCER&amp;Dta=/var/www/html/dta/S01/10563.4253.2.dta&amp;Global_Mod=CS57.0215", "4253")</f>
        <v>4253</v>
      </c>
      <c r="U124" s="37" t="str">
        <f>HYPERLINK("http://ms.phosphosite.org:5080/cgi-bin/plot-msms.cgi?MassType=1&amp;NumAxis=1&amp;Mod6=170&amp;Mod12=160&amp;Pep=YLAADKDGNVTCER&amp;Dta=/var/www/html/dta/S01/10564.4580.2.dta&amp;Global_Mod=CS57.0215", "4580")</f>
        <v>4580</v>
      </c>
      <c r="V124" s="37" t="str">
        <f>HYPERLINK("http://ms.phosphosite.org:5080/cgi-bin/plot-msms.cgi?MassType=1&amp;NumAxis=1&amp;Mod6=170&amp;Mod12=160&amp;Pep=YLAADKDGNVTCER&amp;Dta=/var/www/html/dta/S01/10565.4689.2.dta&amp;Global_Mod=CS57.0215", "4689")</f>
        <v>4689</v>
      </c>
      <c r="W124" s="10">
        <v>4300</v>
      </c>
      <c r="X124" s="10">
        <v>4206</v>
      </c>
      <c r="Y124" s="10">
        <v>4213</v>
      </c>
      <c r="Z124" s="10">
        <v>4215</v>
      </c>
      <c r="AA124" s="10">
        <v>4344</v>
      </c>
      <c r="AB124" s="10">
        <v>4255</v>
      </c>
      <c r="AC124" s="10">
        <v>4571</v>
      </c>
      <c r="AD124" s="10">
        <v>4693</v>
      </c>
      <c r="AE124" s="91">
        <v>4.1680000000000001</v>
      </c>
      <c r="AF124" s="91">
        <v>4.181</v>
      </c>
      <c r="AG124" s="91">
        <v>4.617</v>
      </c>
      <c r="AH124" s="91">
        <v>4.7640000000000002</v>
      </c>
      <c r="AI124" s="91">
        <v>4.8949999999999996</v>
      </c>
      <c r="AJ124" s="91">
        <v>4.4720000000000004</v>
      </c>
      <c r="AK124" s="91">
        <v>4.4390000000000001</v>
      </c>
      <c r="AL124" s="91">
        <v>3.97</v>
      </c>
      <c r="AM124" s="95">
        <v>0.81699999999999995</v>
      </c>
      <c r="AN124" s="95">
        <v>1.1114999999999999</v>
      </c>
      <c r="AO124" s="95">
        <v>0.41670000000000001</v>
      </c>
      <c r="AP124" s="95">
        <v>0.46450000000000002</v>
      </c>
      <c r="AQ124" s="95">
        <v>0.64039999999999997</v>
      </c>
      <c r="AR124" s="95">
        <v>0.78249999999999997</v>
      </c>
      <c r="AS124" s="95">
        <v>0.75770000000000004</v>
      </c>
      <c r="AT124" s="95">
        <v>1.8200000000000001E-2</v>
      </c>
      <c r="AU124" s="95">
        <v>0.51200000000000001</v>
      </c>
      <c r="AV124" s="95">
        <v>0.51100000000000001</v>
      </c>
      <c r="AW124" s="95">
        <v>0.47499999999999998</v>
      </c>
      <c r="AX124" s="95">
        <v>0.46899999999999997</v>
      </c>
      <c r="AY124" s="95">
        <v>0.503</v>
      </c>
      <c r="AZ124" s="95">
        <v>0.50900000000000001</v>
      </c>
      <c r="BA124" s="95">
        <v>0.498</v>
      </c>
      <c r="BB124" s="95">
        <v>0.45</v>
      </c>
      <c r="BC124" s="10">
        <v>1</v>
      </c>
      <c r="BD124" s="10">
        <v>1</v>
      </c>
      <c r="BE124" s="10">
        <v>1</v>
      </c>
      <c r="BF124" s="10">
        <v>1</v>
      </c>
      <c r="BG124" s="10">
        <v>1</v>
      </c>
      <c r="BH124" s="10">
        <v>1</v>
      </c>
      <c r="BI124" s="10">
        <v>1</v>
      </c>
      <c r="BJ124" s="10">
        <v>1</v>
      </c>
      <c r="BK124" s="91">
        <v>1</v>
      </c>
      <c r="BL124" s="91">
        <v>1</v>
      </c>
      <c r="BM124" s="91">
        <v>1</v>
      </c>
      <c r="BN124" s="91">
        <v>1</v>
      </c>
      <c r="BO124" s="91">
        <v>1</v>
      </c>
      <c r="BP124" s="91">
        <v>1</v>
      </c>
      <c r="BQ124" s="91">
        <v>1</v>
      </c>
      <c r="BR124" s="91">
        <v>1</v>
      </c>
      <c r="BS124" s="10" t="s">
        <v>4857</v>
      </c>
    </row>
    <row r="125" spans="1:71" s="30" customFormat="1" ht="17.100000000000001" customHeight="1">
      <c r="A125" s="14">
        <v>114</v>
      </c>
      <c r="B125" s="5" t="s">
        <v>4369</v>
      </c>
      <c r="C125" s="3" t="s">
        <v>4715</v>
      </c>
      <c r="D125" s="3" t="s">
        <v>4370</v>
      </c>
      <c r="E125" s="6" t="s">
        <v>4371</v>
      </c>
      <c r="F125" s="5" t="s">
        <v>5327</v>
      </c>
      <c r="G125" s="3" t="s">
        <v>4372</v>
      </c>
      <c r="H125" s="6" t="s">
        <v>4373</v>
      </c>
      <c r="I125" s="3" t="s">
        <v>4374</v>
      </c>
      <c r="J125" s="5" t="s">
        <v>4375</v>
      </c>
      <c r="K125" s="3" t="s">
        <v>5406</v>
      </c>
      <c r="L125" s="3" t="s">
        <v>4376</v>
      </c>
      <c r="M125" s="5">
        <v>2</v>
      </c>
      <c r="N125" s="21">
        <v>454.69130000000001</v>
      </c>
      <c r="O125" s="36" t="str">
        <f>HYPERLINK("http://ms.phosphosite.org:5080/cgi-bin/plot-msms.cgi?MassType=1&amp;NumAxis=1&amp;Mod3=170&amp;Mod7=160&amp;Pep=HGKYMAC&amp;Dta=/var/www/html/dta/S01/10558.2595.2.dta&amp;Global_Mod=CS57.0215", "2595")</f>
        <v>2595</v>
      </c>
      <c r="P125" s="36" t="str">
        <f>HYPERLINK("http://ms.phosphosite.org:5080/cgi-bin/plot-msms.cgi?MassType=1&amp;NumAxis=1&amp;Mod3=170&amp;Mod7=160&amp;Pep=HGKYMAC&amp;Dta=/var/www/html/dta/S01/10559.2540.2.dta&amp;Global_Mod=CS57.0215", "2540")</f>
        <v>2540</v>
      </c>
      <c r="Q125" s="36" t="str">
        <f>HYPERLINK("http://ms.phosphosite.org:5080/cgi-bin/plot-msms.cgi?MassType=1&amp;NumAxis=1&amp;Mod3=170&amp;Mod7=160&amp;Pep=HGKYMAC&amp;Dta=/var/www/html/dta/S01/10560.2520.2.dta&amp;Global_Mod=CS57.0215", "2520")</f>
        <v>2520</v>
      </c>
      <c r="R125" s="36" t="str">
        <f>HYPERLINK("http://ms.phosphosite.org:5080/cgi-bin/plot-msms.cgi?MassType=1&amp;NumAxis=1&amp;Mod3=170&amp;Mod7=160&amp;Pep=HGKYMAC&amp;Dta=/var/www/html/dta/S01/10561.2568.2.dta&amp;Global_Mod=CS57.0215", "2568")</f>
        <v>2568</v>
      </c>
      <c r="S125" s="36" t="str">
        <f>HYPERLINK("http://ms.phosphosite.org:5080/cgi-bin/plot-msms.cgi?MassType=1&amp;NumAxis=1&amp;Mod3=170&amp;Mod7=160&amp;Pep=HGKYMAC&amp;Dta=/var/www/html/dta/S01/10562.2648.2.dta&amp;Global_Mod=CS57.0215", "2648")</f>
        <v>2648</v>
      </c>
      <c r="T125" s="36" t="str">
        <f>HYPERLINK("http://ms.phosphosite.org:5080/cgi-bin/plot-msms.cgi?MassType=1&amp;NumAxis=1&amp;Mod3=170&amp;Mod7=160&amp;Pep=HGKYMAC&amp;Dta=/var/www/html/dta/S01/10563.2559.2.dta&amp;Global_Mod=CS57.0215", "2559")</f>
        <v>2559</v>
      </c>
      <c r="U125" s="36" t="str">
        <f>HYPERLINK("http://ms.phosphosite.org:5080/cgi-bin/plot-msms.cgi?MassType=1&amp;NumAxis=1&amp;Mod3=170&amp;Mod7=160&amp;Pep=HGKYMAC&amp;Dta=/var/www/html/dta/S01/10564.2889.2.dta&amp;Global_Mod=CS57.0215", "2889")</f>
        <v>2889</v>
      </c>
      <c r="V125" s="35" t="s">
        <v>4854</v>
      </c>
      <c r="W125" s="3" t="s">
        <v>4854</v>
      </c>
      <c r="X125" s="3" t="s">
        <v>4854</v>
      </c>
      <c r="Y125" s="3" t="s">
        <v>4854</v>
      </c>
      <c r="Z125" s="3" t="s">
        <v>4854</v>
      </c>
      <c r="AA125" s="3" t="s">
        <v>4854</v>
      </c>
      <c r="AB125" s="3" t="s">
        <v>4854</v>
      </c>
      <c r="AC125" s="3" t="s">
        <v>4854</v>
      </c>
      <c r="AD125" s="3" t="s">
        <v>4854</v>
      </c>
      <c r="AE125" s="90">
        <v>1.631</v>
      </c>
      <c r="AF125" s="90">
        <v>1.6759999999999999</v>
      </c>
      <c r="AG125" s="90">
        <v>1.732</v>
      </c>
      <c r="AH125" s="90">
        <v>1.788</v>
      </c>
      <c r="AI125" s="90">
        <v>1.669</v>
      </c>
      <c r="AJ125" s="90">
        <v>1.77</v>
      </c>
      <c r="AK125" s="90">
        <v>1.718</v>
      </c>
      <c r="AL125" s="99" t="s">
        <v>4854</v>
      </c>
      <c r="AM125" s="21">
        <v>5.4399999999999997E-2</v>
      </c>
      <c r="AN125" s="21">
        <v>-0.1052</v>
      </c>
      <c r="AO125" s="21">
        <v>0.20519999999999999</v>
      </c>
      <c r="AP125" s="21">
        <v>0.23280000000000001</v>
      </c>
      <c r="AQ125" s="21">
        <v>0.1678</v>
      </c>
      <c r="AR125" s="21">
        <v>0.28560000000000002</v>
      </c>
      <c r="AS125" s="21">
        <v>-7.1099999999999997E-2</v>
      </c>
      <c r="AT125" s="102" t="s">
        <v>4854</v>
      </c>
      <c r="AU125" s="21">
        <v>4.3999999999999997E-2</v>
      </c>
      <c r="AV125" s="21">
        <v>0.3</v>
      </c>
      <c r="AW125" s="21">
        <v>0.13700000000000001</v>
      </c>
      <c r="AX125" s="21">
        <v>0.224</v>
      </c>
      <c r="AY125" s="21">
        <v>0.14000000000000001</v>
      </c>
      <c r="AZ125" s="21">
        <v>0.13700000000000001</v>
      </c>
      <c r="BA125" s="21">
        <v>0.19400000000000001</v>
      </c>
      <c r="BB125" s="102" t="s">
        <v>4854</v>
      </c>
      <c r="BC125" s="5">
        <v>1</v>
      </c>
      <c r="BD125" s="5">
        <v>2</v>
      </c>
      <c r="BE125" s="5">
        <v>2</v>
      </c>
      <c r="BF125" s="5">
        <v>2</v>
      </c>
      <c r="BG125" s="5">
        <v>1</v>
      </c>
      <c r="BH125" s="5">
        <v>2</v>
      </c>
      <c r="BI125" s="5">
        <v>3</v>
      </c>
      <c r="BJ125" s="3" t="s">
        <v>4854</v>
      </c>
      <c r="BK125" s="90">
        <v>9.4E-2</v>
      </c>
      <c r="BL125" s="90">
        <v>0.67800000000000005</v>
      </c>
      <c r="BM125" s="90">
        <v>0.26600000000000001</v>
      </c>
      <c r="BN125" s="90">
        <v>0.55400000000000005</v>
      </c>
      <c r="BO125" s="90">
        <v>0.27600000000000002</v>
      </c>
      <c r="BP125" s="90">
        <v>0.29199999999999998</v>
      </c>
      <c r="BQ125" s="90">
        <v>0.377</v>
      </c>
      <c r="BR125" s="99" t="s">
        <v>4854</v>
      </c>
      <c r="BS125" s="5" t="s">
        <v>4857</v>
      </c>
    </row>
    <row r="126" spans="1:71" s="30" customFormat="1" ht="17.100000000000001" customHeight="1">
      <c r="A126" s="14">
        <v>115</v>
      </c>
      <c r="B126" s="5" t="s">
        <v>4377</v>
      </c>
      <c r="C126" s="3" t="s">
        <v>4715</v>
      </c>
      <c r="D126" s="3" t="s">
        <v>4378</v>
      </c>
      <c r="E126" s="6" t="s">
        <v>4379</v>
      </c>
      <c r="F126" s="5" t="s">
        <v>5199</v>
      </c>
      <c r="G126" s="3" t="s">
        <v>4372</v>
      </c>
      <c r="H126" s="6" t="s">
        <v>4380</v>
      </c>
      <c r="I126" s="3" t="s">
        <v>4374</v>
      </c>
      <c r="J126" s="5" t="s">
        <v>4381</v>
      </c>
      <c r="K126" s="3" t="s">
        <v>5407</v>
      </c>
      <c r="L126" s="3" t="s">
        <v>4382</v>
      </c>
      <c r="M126" s="5">
        <v>2</v>
      </c>
      <c r="N126" s="21">
        <v>807.37289999999996</v>
      </c>
      <c r="O126" s="36" t="str">
        <f>HYPERLINK("http://ms.phosphosite.org:5080/cgi-bin/plot-msms.cgi?MassType=1&amp;NumAxis=1&amp;Mod3=170&amp;Mod7=160&amp;Mod8=160&amp;Pep=HGKYMACCLLYR&amp;Dta=/var/www/html/dta/S01/10558.6921.2.dta&amp;Global_Mod=CS57.0215", "6921")</f>
        <v>6921</v>
      </c>
      <c r="P126" s="36" t="str">
        <f>HYPERLINK("http://ms.phosphosite.org:5080/cgi-bin/plot-msms.cgi?MassType=1&amp;NumAxis=1&amp;Mod3=170&amp;Mod7=160&amp;Mod8=160&amp;Pep=HGKYMACCLLYR&amp;Dta=/var/www/html/dta/S01/10559.6869.2.dta&amp;Global_Mod=CS57.0215", "6869")</f>
        <v>6869</v>
      </c>
      <c r="Q126" s="36" t="str">
        <f>HYPERLINK("http://ms.phosphosite.org:5080/cgi-bin/plot-msms.cgi?MassType=1&amp;NumAxis=1&amp;Mod3=170&amp;Mod7=160&amp;Mod8=160&amp;Pep=HGKYMACCLLYR&amp;Dta=/var/www/html/dta/S01/10560.6860.2.dta&amp;Global_Mod=CS57.0215", "6860")</f>
        <v>6860</v>
      </c>
      <c r="R126" s="36" t="str">
        <f>HYPERLINK("http://ms.phosphosite.org:5080/cgi-bin/plot-msms.cgi?MassType=1&amp;NumAxis=1&amp;Mod3=170&amp;Mod7=160&amp;Mod8=160&amp;Pep=HGKYMACCLLYR&amp;Dta=/var/www/html/dta/S01/10561.6908.2.dta&amp;Global_Mod=CS57.0215", "6908")</f>
        <v>6908</v>
      </c>
      <c r="S126" s="36" t="str">
        <f>HYPERLINK("http://ms.phosphosite.org:5080/cgi-bin/plot-msms.cgi?MassType=1&amp;NumAxis=1&amp;Mod3=170&amp;Mod7=160&amp;Mod8=160&amp;Pep=HGKYMACCLLYR&amp;Dta=/var/www/html/dta/S01/10562.7026.2.dta&amp;Global_Mod=CS57.0215", "7026")</f>
        <v>7026</v>
      </c>
      <c r="T126" s="36" t="str">
        <f>HYPERLINK("http://ms.phosphosite.org:5080/cgi-bin/plot-msms.cgi?MassType=1&amp;NumAxis=1&amp;Mod3=170&amp;Mod7=160&amp;Mod8=160&amp;Pep=HGKYMACCLLYR&amp;Dta=/var/www/html/dta/S01/10563.6965.2.dta&amp;Global_Mod=CS57.0215", "6965")</f>
        <v>6965</v>
      </c>
      <c r="U126" s="36" t="str">
        <f>HYPERLINK("http://ms.phosphosite.org:5080/cgi-bin/plot-msms.cgi?MassType=1&amp;NumAxis=1&amp;Mod3=170&amp;Mod7=160&amp;Mod8=160&amp;Pep=HGKYMACCLLYR&amp;Dta=/var/www/html/dta/S01/10564.7368.2.dta&amp;Global_Mod=CS57.0215", "7368")</f>
        <v>7368</v>
      </c>
      <c r="V126" s="36" t="str">
        <f>HYPERLINK("http://ms.phosphosite.org:5080/cgi-bin/plot-msms.cgi?MassType=1&amp;NumAxis=1&amp;Mod3=170&amp;Mod7=160&amp;Mod8=160&amp;Pep=HGKYMACCLLYR&amp;Dta=/var/www/html/dta/S01/10565.7465.2.dta&amp;Global_Mod=CS57.0215", "7465")</f>
        <v>7465</v>
      </c>
      <c r="W126" s="5">
        <v>6940</v>
      </c>
      <c r="X126" s="5">
        <v>6888</v>
      </c>
      <c r="Y126" s="5">
        <v>6861</v>
      </c>
      <c r="Z126" s="5">
        <v>6910</v>
      </c>
      <c r="AA126" s="5">
        <v>7027</v>
      </c>
      <c r="AB126" s="5">
        <v>7003</v>
      </c>
      <c r="AC126" s="5">
        <v>7365</v>
      </c>
      <c r="AD126" s="5">
        <v>7439</v>
      </c>
      <c r="AE126" s="90">
        <v>3.5310000000000001</v>
      </c>
      <c r="AF126" s="90">
        <v>3.5710000000000002</v>
      </c>
      <c r="AG126" s="90">
        <v>3.2069999999999999</v>
      </c>
      <c r="AH126" s="90">
        <v>3.5659999999999998</v>
      </c>
      <c r="AI126" s="90">
        <v>4.0019999999999998</v>
      </c>
      <c r="AJ126" s="90">
        <v>3.6230000000000002</v>
      </c>
      <c r="AK126" s="90">
        <v>3.7610000000000001</v>
      </c>
      <c r="AL126" s="90">
        <v>3.88</v>
      </c>
      <c r="AM126" s="21">
        <v>0.28120000000000001</v>
      </c>
      <c r="AN126" s="21">
        <v>0.62880000000000003</v>
      </c>
      <c r="AO126" s="21">
        <v>0.6462</v>
      </c>
      <c r="AP126" s="21">
        <v>1.3073999999999999</v>
      </c>
      <c r="AQ126" s="21">
        <v>0.61080000000000001</v>
      </c>
      <c r="AR126" s="21">
        <v>0.55820000000000003</v>
      </c>
      <c r="AS126" s="21">
        <v>0.32019999999999998</v>
      </c>
      <c r="AT126" s="21">
        <v>0.16400000000000001</v>
      </c>
      <c r="AU126" s="21">
        <v>0.442</v>
      </c>
      <c r="AV126" s="21">
        <v>0.43099999999999999</v>
      </c>
      <c r="AW126" s="21">
        <v>0.38</v>
      </c>
      <c r="AX126" s="21">
        <v>0.46100000000000002</v>
      </c>
      <c r="AY126" s="21">
        <v>0.53</v>
      </c>
      <c r="AZ126" s="21">
        <v>0.49</v>
      </c>
      <c r="BA126" s="21">
        <v>0.48199999999999998</v>
      </c>
      <c r="BB126" s="21">
        <v>0.53</v>
      </c>
      <c r="BC126" s="5">
        <v>1</v>
      </c>
      <c r="BD126" s="5">
        <v>1</v>
      </c>
      <c r="BE126" s="5">
        <v>1</v>
      </c>
      <c r="BF126" s="5">
        <v>1</v>
      </c>
      <c r="BG126" s="5">
        <v>1</v>
      </c>
      <c r="BH126" s="5">
        <v>1</v>
      </c>
      <c r="BI126" s="5">
        <v>1</v>
      </c>
      <c r="BJ126" s="5">
        <v>1</v>
      </c>
      <c r="BK126" s="90">
        <v>1</v>
      </c>
      <c r="BL126" s="90">
        <v>1</v>
      </c>
      <c r="BM126" s="90">
        <v>1</v>
      </c>
      <c r="BN126" s="90">
        <v>1</v>
      </c>
      <c r="BO126" s="90">
        <v>1</v>
      </c>
      <c r="BP126" s="90">
        <v>1</v>
      </c>
      <c r="BQ126" s="90">
        <v>1</v>
      </c>
      <c r="BR126" s="90">
        <v>1</v>
      </c>
      <c r="BS126" s="5" t="s">
        <v>4857</v>
      </c>
    </row>
    <row r="127" spans="1:71" s="30" customFormat="1" ht="17.100000000000001" customHeight="1">
      <c r="A127" s="14">
        <v>116</v>
      </c>
      <c r="B127" s="5" t="s">
        <v>4383</v>
      </c>
      <c r="C127" s="3" t="s">
        <v>4715</v>
      </c>
      <c r="D127" s="3" t="s">
        <v>4378</v>
      </c>
      <c r="E127" s="6" t="s">
        <v>4379</v>
      </c>
      <c r="F127" s="5" t="s">
        <v>5199</v>
      </c>
      <c r="G127" s="3" t="s">
        <v>4372</v>
      </c>
      <c r="H127" s="6" t="s">
        <v>4380</v>
      </c>
      <c r="I127" s="3" t="s">
        <v>4374</v>
      </c>
      <c r="J127" s="5" t="s">
        <v>4381</v>
      </c>
      <c r="K127" s="3" t="s">
        <v>5407</v>
      </c>
      <c r="L127" s="3" t="s">
        <v>4382</v>
      </c>
      <c r="M127" s="5">
        <v>3</v>
      </c>
      <c r="N127" s="21">
        <v>538.58439999999996</v>
      </c>
      <c r="O127" s="36" t="str">
        <f>HYPERLINK("http://ms.phosphosite.org:5080/cgi-bin/plot-msms.cgi?MassType=1&amp;NumAxis=1&amp;Mod3=170&amp;Mod7=160&amp;Mod8=160&amp;Pep=HGKYMACCLLYR&amp;Dta=/var/www/html/dta/S01/10558.6930.3.dta&amp;Global_Mod=CS57.0215", "6930")</f>
        <v>6930</v>
      </c>
      <c r="P127" s="36" t="str">
        <f>HYPERLINK("http://ms.phosphosite.org:5080/cgi-bin/plot-msms.cgi?MassType=1&amp;NumAxis=1&amp;Mod3=170&amp;Mod7=160&amp;Mod8=160&amp;Pep=HGKYMACCLLYR&amp;Dta=/var/www/html/dta/S01/10559.6878.3.dta&amp;Global_Mod=CS57.0215", "6878")</f>
        <v>6878</v>
      </c>
      <c r="Q127" s="36" t="str">
        <f>HYPERLINK("http://ms.phosphosite.org:5080/cgi-bin/plot-msms.cgi?MassType=1&amp;NumAxis=1&amp;Mod3=170&amp;Mod7=160&amp;Mod8=160&amp;Pep=HGKYMACCLLYR&amp;Dta=/var/www/html/dta/S01/10560.6832.3.dta&amp;Global_Mod=CS57.0215", "6832")</f>
        <v>6832</v>
      </c>
      <c r="R127" s="36" t="str">
        <f>HYPERLINK("http://ms.phosphosite.org:5080/cgi-bin/plot-msms.cgi?MassType=1&amp;NumAxis=1&amp;Mod3=170&amp;Mod7=160&amp;Mod8=160&amp;Pep=HGKYMACCLLYR&amp;Dta=/var/www/html/dta/S01/10561.6912.3.dta&amp;Global_Mod=CS57.0215", "6912")</f>
        <v>6912</v>
      </c>
      <c r="S127" s="36" t="str">
        <f>HYPERLINK("http://ms.phosphosite.org:5080/cgi-bin/plot-msms.cgi?MassType=1&amp;NumAxis=1&amp;Mod3=170&amp;Mod7=160&amp;Mod8=160&amp;Pep=HGKYMACCLLYR&amp;Dta=/var/www/html/dta/S01/10562.7029.3.dta&amp;Global_Mod=CS57.0215", "7029")</f>
        <v>7029</v>
      </c>
      <c r="T127" s="36" t="str">
        <f>HYPERLINK("http://ms.phosphosite.org:5080/cgi-bin/plot-msms.cgi?MassType=1&amp;NumAxis=1&amp;Mod3=170&amp;Mod7=160&amp;Mod8=160&amp;Pep=HGKYMACCLLYR&amp;Dta=/var/www/html/dta/S01/10563.6941.3.dta&amp;Global_Mod=CS57.0215", "6941")</f>
        <v>6941</v>
      </c>
      <c r="U127" s="36" t="str">
        <f>HYPERLINK("http://ms.phosphosite.org:5080/cgi-bin/plot-msms.cgi?MassType=1&amp;NumAxis=1&amp;Mod3=170&amp;Mod7=160&amp;Mod8=160&amp;Pep=HGKYMACCLLYR&amp;Dta=/var/www/html/dta/S01/10564.7334.3.dta&amp;Global_Mod=CS57.0215", "7334")</f>
        <v>7334</v>
      </c>
      <c r="V127" s="36" t="str">
        <f>HYPERLINK("http://ms.phosphosite.org:5080/cgi-bin/plot-msms.cgi?MassType=1&amp;NumAxis=1&amp;Mod3=170&amp;Mod7=160&amp;Mod8=160&amp;Pep=HGKYMACCLLYR&amp;Dta=/var/www/html/dta/S01/10565.7452.3.dta&amp;Global_Mod=CS57.0215", "7452")</f>
        <v>7452</v>
      </c>
      <c r="W127" s="5">
        <v>6940</v>
      </c>
      <c r="X127" s="5">
        <v>6888</v>
      </c>
      <c r="Y127" s="5">
        <v>6872</v>
      </c>
      <c r="Z127" s="5">
        <v>6910</v>
      </c>
      <c r="AA127" s="5">
        <v>7027</v>
      </c>
      <c r="AB127" s="5">
        <v>7003</v>
      </c>
      <c r="AC127" s="5">
        <v>7365</v>
      </c>
      <c r="AD127" s="5">
        <v>7439</v>
      </c>
      <c r="AE127" s="90">
        <v>4.165</v>
      </c>
      <c r="AF127" s="90">
        <v>3.8239999999999998</v>
      </c>
      <c r="AG127" s="90">
        <v>3.004</v>
      </c>
      <c r="AH127" s="90">
        <v>4.0430000000000001</v>
      </c>
      <c r="AI127" s="90">
        <v>4.0720000000000001</v>
      </c>
      <c r="AJ127" s="90">
        <v>2.4079999999999999</v>
      </c>
      <c r="AK127" s="90">
        <v>3.8580000000000001</v>
      </c>
      <c r="AL127" s="90">
        <v>4.2130000000000001</v>
      </c>
      <c r="AM127" s="21">
        <v>0.22969999999999999</v>
      </c>
      <c r="AN127" s="21">
        <v>0.17330000000000001</v>
      </c>
      <c r="AO127" s="21">
        <v>0.3679</v>
      </c>
      <c r="AP127" s="21">
        <v>0.43480000000000002</v>
      </c>
      <c r="AQ127" s="21">
        <v>0.314</v>
      </c>
      <c r="AR127" s="21">
        <v>0.182</v>
      </c>
      <c r="AS127" s="21">
        <v>0.24030000000000001</v>
      </c>
      <c r="AT127" s="21">
        <v>-0.1099</v>
      </c>
      <c r="AU127" s="21">
        <v>0.40100000000000002</v>
      </c>
      <c r="AV127" s="21">
        <v>0.33600000000000002</v>
      </c>
      <c r="AW127" s="21">
        <v>0.39600000000000002</v>
      </c>
      <c r="AX127" s="21">
        <v>0.40699999999999997</v>
      </c>
      <c r="AY127" s="21">
        <v>0.34200000000000003</v>
      </c>
      <c r="AZ127" s="21">
        <v>0.193</v>
      </c>
      <c r="BA127" s="21">
        <v>0.48799999999999999</v>
      </c>
      <c r="BB127" s="21">
        <v>0.437</v>
      </c>
      <c r="BC127" s="5">
        <v>1</v>
      </c>
      <c r="BD127" s="5">
        <v>1</v>
      </c>
      <c r="BE127" s="5">
        <v>1</v>
      </c>
      <c r="BF127" s="5">
        <v>1</v>
      </c>
      <c r="BG127" s="5">
        <v>1</v>
      </c>
      <c r="BH127" s="5">
        <v>1</v>
      </c>
      <c r="BI127" s="5">
        <v>1</v>
      </c>
      <c r="BJ127" s="5">
        <v>1</v>
      </c>
      <c r="BK127" s="90">
        <v>1</v>
      </c>
      <c r="BL127" s="90">
        <v>1</v>
      </c>
      <c r="BM127" s="90">
        <v>1</v>
      </c>
      <c r="BN127" s="90">
        <v>1</v>
      </c>
      <c r="BO127" s="90">
        <v>1</v>
      </c>
      <c r="BP127" s="90">
        <v>0.997</v>
      </c>
      <c r="BQ127" s="90">
        <v>1</v>
      </c>
      <c r="BR127" s="90">
        <v>1</v>
      </c>
      <c r="BS127" s="5" t="s">
        <v>4857</v>
      </c>
    </row>
    <row r="128" spans="1:71" s="30" customFormat="1" ht="17.100000000000001" customHeight="1">
      <c r="A128" s="14">
        <v>117</v>
      </c>
      <c r="B128" s="5" t="s">
        <v>4384</v>
      </c>
      <c r="C128" s="3" t="s">
        <v>4715</v>
      </c>
      <c r="D128" s="3" t="s">
        <v>4378</v>
      </c>
      <c r="E128" s="6" t="s">
        <v>4379</v>
      </c>
      <c r="F128" s="5" t="s">
        <v>5199</v>
      </c>
      <c r="G128" s="3" t="s">
        <v>4372</v>
      </c>
      <c r="H128" s="6" t="s">
        <v>4380</v>
      </c>
      <c r="I128" s="3" t="s">
        <v>4374</v>
      </c>
      <c r="J128" s="5" t="s">
        <v>4381</v>
      </c>
      <c r="K128" s="3" t="s">
        <v>5407</v>
      </c>
      <c r="L128" s="3" t="s">
        <v>4385</v>
      </c>
      <c r="M128" s="5">
        <v>2</v>
      </c>
      <c r="N128" s="21">
        <v>815.37040000000002</v>
      </c>
      <c r="O128" s="36" t="str">
        <f>HYPERLINK("http://ms.phosphosite.org:5080/cgi-bin/plot-msms.cgi?MassType=1&amp;NumAxis=1&amp;Mod3=170&amp;Mod5=147&amp;Mod7=160&amp;Mod8=160&amp;Pep=HGKYMACCLLYR&amp;Dta=/var/www/html/dta/S01/10558.5709.2.dta&amp;Global_Mod=CS57.0215", "5709")</f>
        <v>5709</v>
      </c>
      <c r="P128" s="36" t="str">
        <f>HYPERLINK("http://ms.phosphosite.org:5080/cgi-bin/plot-msms.cgi?MassType=1&amp;NumAxis=1&amp;Mod3=170&amp;Mod5=147&amp;Mod7=160&amp;Mod8=160&amp;Pep=HGKYMACCLLYR&amp;Dta=/var/www/html/dta/S01/10559.5630.2.dta&amp;Global_Mod=CS57.0215", "5630")</f>
        <v>5630</v>
      </c>
      <c r="Q128" s="36" t="str">
        <f>HYPERLINK("http://ms.phosphosite.org:5080/cgi-bin/plot-msms.cgi?MassType=1&amp;NumAxis=1&amp;Mod3=170&amp;Mod5=147&amp;Mod7=160&amp;Mod8=160&amp;Pep=HGKYMACCLLYR&amp;Dta=/var/www/html/dta/S01/10560.5622.2.dta&amp;Global_Mod=CS57.0215", "5622")</f>
        <v>5622</v>
      </c>
      <c r="R128" s="36" t="str">
        <f>HYPERLINK("http://ms.phosphosite.org:5080/cgi-bin/plot-msms.cgi?MassType=1&amp;NumAxis=1&amp;Mod3=170&amp;Mod5=147&amp;Mod7=160&amp;Mod8=160&amp;Pep=HGKYMACCLLYR&amp;Dta=/var/www/html/dta/S01/10561.5671.2.dta&amp;Global_Mod=CS57.0215", "5671")</f>
        <v>5671</v>
      </c>
      <c r="S128" s="36" t="str">
        <f>HYPERLINK("http://ms.phosphosite.org:5080/cgi-bin/plot-msms.cgi?MassType=1&amp;NumAxis=1&amp;Mod3=170&amp;Mod5=147&amp;Mod7=160&amp;Mod8=160&amp;Pep=HGKYMACCLLYR&amp;Dta=/var/www/html/dta/S01/10562.5840.2.dta&amp;Global_Mod=CS57.0215", "5840")</f>
        <v>5840</v>
      </c>
      <c r="T128" s="36" t="str">
        <f>HYPERLINK("http://ms.phosphosite.org:5080/cgi-bin/plot-msms.cgi?MassType=1&amp;NumAxis=1&amp;Mod3=170&amp;Mod5=147&amp;Mod7=160&amp;Mod8=160&amp;Pep=HGKYMACCLLYR&amp;Dta=/var/www/html/dta/S01/10563.5800.2.dta&amp;Global_Mod=CS57.0215", "5800")</f>
        <v>5800</v>
      </c>
      <c r="U128" s="36" t="str">
        <f>HYPERLINK("http://ms.phosphosite.org:5080/cgi-bin/plot-msms.cgi?MassType=1&amp;NumAxis=1&amp;Mod3=170&amp;Mod5=147&amp;Mod7=160&amp;Mod8=160&amp;Pep=HGKYMACCLLYR&amp;Dta=/var/www/html/dta/S01/10564.6052.2.dta&amp;Global_Mod=CS57.0215", "6052")</f>
        <v>6052</v>
      </c>
      <c r="V128" s="36" t="str">
        <f>HYPERLINK("http://ms.phosphosite.org:5080/cgi-bin/plot-msms.cgi?MassType=1&amp;NumAxis=1&amp;Mod3=170&amp;Mod5=147&amp;Mod7=160&amp;Mod8=160&amp;Pep=HGKYMACCLLYR&amp;Dta=/var/www/html/dta/S01/10565.6155.2.dta&amp;Global_Mod=CS57.0215", "6155")</f>
        <v>6155</v>
      </c>
      <c r="W128" s="5">
        <v>5712</v>
      </c>
      <c r="X128" s="5">
        <v>5700</v>
      </c>
      <c r="Y128" s="5">
        <v>5629</v>
      </c>
      <c r="Z128" s="5">
        <v>5667</v>
      </c>
      <c r="AA128" s="5">
        <v>5776</v>
      </c>
      <c r="AB128" s="5">
        <v>5727</v>
      </c>
      <c r="AC128" s="5">
        <v>6089</v>
      </c>
      <c r="AD128" s="5">
        <v>6185</v>
      </c>
      <c r="AE128" s="90">
        <v>3.6829999999999998</v>
      </c>
      <c r="AF128" s="90">
        <v>3.79</v>
      </c>
      <c r="AG128" s="90">
        <v>3.6269999999999998</v>
      </c>
      <c r="AH128" s="90">
        <v>3.5750000000000002</v>
      </c>
      <c r="AI128" s="90">
        <v>3.6110000000000002</v>
      </c>
      <c r="AJ128" s="90">
        <v>3.6560000000000001</v>
      </c>
      <c r="AK128" s="90">
        <v>3.8580000000000001</v>
      </c>
      <c r="AL128" s="90">
        <v>3.5619999999999998</v>
      </c>
      <c r="AM128" s="21">
        <v>0.40810000000000002</v>
      </c>
      <c r="AN128" s="21">
        <v>0.61429999999999996</v>
      </c>
      <c r="AO128" s="21">
        <v>0.67200000000000004</v>
      </c>
      <c r="AP128" s="21">
        <v>0.62960000000000005</v>
      </c>
      <c r="AQ128" s="21">
        <v>0.52039999999999997</v>
      </c>
      <c r="AR128" s="21">
        <v>0.46150000000000002</v>
      </c>
      <c r="AS128" s="21">
        <v>0.39889999999999998</v>
      </c>
      <c r="AT128" s="21">
        <v>0.34239999999999998</v>
      </c>
      <c r="AU128" s="21">
        <v>0.505</v>
      </c>
      <c r="AV128" s="21">
        <v>0.53400000000000003</v>
      </c>
      <c r="AW128" s="21">
        <v>0.49099999999999999</v>
      </c>
      <c r="AX128" s="21">
        <v>0.55900000000000005</v>
      </c>
      <c r="AY128" s="21">
        <v>0.55900000000000005</v>
      </c>
      <c r="AZ128" s="21">
        <v>0.53100000000000003</v>
      </c>
      <c r="BA128" s="21">
        <v>0.61</v>
      </c>
      <c r="BB128" s="21">
        <v>0.53800000000000003</v>
      </c>
      <c r="BC128" s="5">
        <v>1</v>
      </c>
      <c r="BD128" s="5">
        <v>1</v>
      </c>
      <c r="BE128" s="5">
        <v>1</v>
      </c>
      <c r="BF128" s="5">
        <v>1</v>
      </c>
      <c r="BG128" s="5">
        <v>1</v>
      </c>
      <c r="BH128" s="5">
        <v>1</v>
      </c>
      <c r="BI128" s="5">
        <v>1</v>
      </c>
      <c r="BJ128" s="5">
        <v>1</v>
      </c>
      <c r="BK128" s="90">
        <v>1</v>
      </c>
      <c r="BL128" s="90">
        <v>1</v>
      </c>
      <c r="BM128" s="90">
        <v>1</v>
      </c>
      <c r="BN128" s="90">
        <v>1</v>
      </c>
      <c r="BO128" s="90">
        <v>1</v>
      </c>
      <c r="BP128" s="90">
        <v>1</v>
      </c>
      <c r="BQ128" s="90">
        <v>1</v>
      </c>
      <c r="BR128" s="90">
        <v>1</v>
      </c>
      <c r="BS128" s="5" t="s">
        <v>4857</v>
      </c>
    </row>
    <row r="129" spans="1:71" s="30" customFormat="1" ht="17.100000000000001" customHeight="1">
      <c r="A129" s="14">
        <v>118</v>
      </c>
      <c r="B129" s="5" t="s">
        <v>4386</v>
      </c>
      <c r="C129" s="3" t="s">
        <v>4715</v>
      </c>
      <c r="D129" s="3" t="s">
        <v>4378</v>
      </c>
      <c r="E129" s="6" t="s">
        <v>4379</v>
      </c>
      <c r="F129" s="5" t="s">
        <v>5199</v>
      </c>
      <c r="G129" s="3" t="s">
        <v>4372</v>
      </c>
      <c r="H129" s="6" t="s">
        <v>4380</v>
      </c>
      <c r="I129" s="3" t="s">
        <v>4374</v>
      </c>
      <c r="J129" s="5" t="s">
        <v>4381</v>
      </c>
      <c r="K129" s="3" t="s">
        <v>5407</v>
      </c>
      <c r="L129" s="3" t="s">
        <v>4385</v>
      </c>
      <c r="M129" s="5">
        <v>2</v>
      </c>
      <c r="N129" s="21">
        <v>815.37040000000002</v>
      </c>
      <c r="O129" s="36" t="str">
        <f>HYPERLINK("http://ms.phosphosite.org:5080/cgi-bin/plot-msms.cgi?MassType=1&amp;NumAxis=1&amp;Mod3=170&amp;Mod5=147&amp;Mod7=160&amp;Mod8=160&amp;Pep=HGKYMACCLLYR&amp;Dta=/var/www/html/dta/S01/10558.5794.2.dta&amp;Global_Mod=CS57.0215", "5794")</f>
        <v>5794</v>
      </c>
      <c r="P129" s="36" t="str">
        <f>HYPERLINK("http://ms.phosphosite.org:5080/cgi-bin/plot-msms.cgi?MassType=1&amp;NumAxis=1&amp;Mod3=170&amp;Mod5=147&amp;Mod7=160&amp;Mod8=160&amp;Pep=HGKYMACCLLYR&amp;Dta=/var/www/html/dta/S01/10559.5725.2.dta&amp;Global_Mod=CS57.0215", "5725")</f>
        <v>5725</v>
      </c>
      <c r="Q129" s="35" t="s">
        <v>4854</v>
      </c>
      <c r="R129" s="36" t="str">
        <f>HYPERLINK("http://ms.phosphosite.org:5080/cgi-bin/plot-msms.cgi?MassType=1&amp;NumAxis=1&amp;Mod3=170&amp;Mod5=147&amp;Mod7=160&amp;Mod8=160&amp;Pep=HGKYMACCLLYR&amp;Dta=/var/www/html/dta/S01/10561.5763.2.dta&amp;Global_Mod=CS57.0215", "5763")</f>
        <v>5763</v>
      </c>
      <c r="S129" s="36" t="str">
        <f>HYPERLINK("http://ms.phosphosite.org:5080/cgi-bin/plot-msms.cgi?MassType=1&amp;NumAxis=1&amp;Mod3=170&amp;Mod5=147&amp;Mod7=160&amp;Mod8=160&amp;Pep=HGKYMACCLLYR&amp;Dta=/var/www/html/dta/S01/10562.5742.2.dta&amp;Global_Mod=CS57.0215", "5742")</f>
        <v>5742</v>
      </c>
      <c r="T129" s="36" t="str">
        <f>HYPERLINK("http://ms.phosphosite.org:5080/cgi-bin/plot-msms.cgi?MassType=1&amp;NumAxis=1&amp;Mod3=170&amp;Mod5=147&amp;Mod7=160&amp;Mod8=160&amp;Pep=HGKYMACCLLYR&amp;Dta=/var/www/html/dta/S01/10563.5704.2.dta&amp;Global_Mod=CS57.0215", "5704")</f>
        <v>5704</v>
      </c>
      <c r="U129" s="36" t="str">
        <f>HYPERLINK("http://ms.phosphosite.org:5080/cgi-bin/plot-msms.cgi?MassType=1&amp;NumAxis=1&amp;Mod3=170&amp;Mod5=147&amp;Mod7=160&amp;Mod8=160&amp;Pep=HGKYMACCLLYR&amp;Dta=/var/www/html/dta/S01/10564.6152.2.dta&amp;Global_Mod=CS57.0215", "6152")</f>
        <v>6152</v>
      </c>
      <c r="V129" s="36" t="str">
        <f>HYPERLINK("http://ms.phosphosite.org:5080/cgi-bin/plot-msms.cgi?MassType=1&amp;NumAxis=1&amp;Mod3=170&amp;Mod5=147&amp;Mod7=160&amp;Mod8=160&amp;Pep=HGKYMACCLLYR&amp;Dta=/var/www/html/dta/S01/10565.6255.2.dta&amp;Global_Mod=CS57.0215", "6255")</f>
        <v>6255</v>
      </c>
      <c r="W129" s="5">
        <v>5712</v>
      </c>
      <c r="X129" s="5">
        <v>5700</v>
      </c>
      <c r="Y129" s="3" t="s">
        <v>4854</v>
      </c>
      <c r="Z129" s="5">
        <v>5667</v>
      </c>
      <c r="AA129" s="5">
        <v>5776</v>
      </c>
      <c r="AB129" s="5">
        <v>5727</v>
      </c>
      <c r="AC129" s="5">
        <v>6089</v>
      </c>
      <c r="AD129" s="5">
        <v>6185</v>
      </c>
      <c r="AE129" s="90">
        <v>2.927</v>
      </c>
      <c r="AF129" s="90">
        <v>3.4049999999999998</v>
      </c>
      <c r="AG129" s="99" t="s">
        <v>4854</v>
      </c>
      <c r="AH129" s="90">
        <v>3.3450000000000002</v>
      </c>
      <c r="AI129" s="90">
        <v>3.2149999999999999</v>
      </c>
      <c r="AJ129" s="90">
        <v>3.5409999999999999</v>
      </c>
      <c r="AK129" s="90">
        <v>2.4009999999999998</v>
      </c>
      <c r="AL129" s="90">
        <v>2.9129999999999998</v>
      </c>
      <c r="AM129" s="21">
        <v>0.4234</v>
      </c>
      <c r="AN129" s="21">
        <v>0.60260000000000002</v>
      </c>
      <c r="AO129" s="102" t="s">
        <v>4854</v>
      </c>
      <c r="AP129" s="21">
        <v>0.60260000000000002</v>
      </c>
      <c r="AQ129" s="21">
        <v>0.50319999999999998</v>
      </c>
      <c r="AR129" s="21">
        <v>0.42899999999999999</v>
      </c>
      <c r="AS129" s="21">
        <v>0.50260000000000005</v>
      </c>
      <c r="AT129" s="21">
        <v>0.34370000000000001</v>
      </c>
      <c r="AU129" s="21">
        <v>0.4</v>
      </c>
      <c r="AV129" s="21">
        <v>0.54700000000000004</v>
      </c>
      <c r="AW129" s="102" t="s">
        <v>4854</v>
      </c>
      <c r="AX129" s="21">
        <v>0.50800000000000001</v>
      </c>
      <c r="AY129" s="21">
        <v>0.54700000000000004</v>
      </c>
      <c r="AZ129" s="21">
        <v>0.501</v>
      </c>
      <c r="BA129" s="21">
        <v>0.185</v>
      </c>
      <c r="BB129" s="21">
        <v>0.32600000000000001</v>
      </c>
      <c r="BC129" s="5">
        <v>1</v>
      </c>
      <c r="BD129" s="5">
        <v>1</v>
      </c>
      <c r="BE129" s="3" t="s">
        <v>4854</v>
      </c>
      <c r="BF129" s="5">
        <v>1</v>
      </c>
      <c r="BG129" s="5">
        <v>1</v>
      </c>
      <c r="BH129" s="5">
        <v>1</v>
      </c>
      <c r="BI129" s="5">
        <v>1</v>
      </c>
      <c r="BJ129" s="5">
        <v>1</v>
      </c>
      <c r="BK129" s="90">
        <v>1</v>
      </c>
      <c r="BL129" s="90">
        <v>1</v>
      </c>
      <c r="BM129" s="99" t="s">
        <v>4854</v>
      </c>
      <c r="BN129" s="90">
        <v>1</v>
      </c>
      <c r="BO129" s="90">
        <v>1</v>
      </c>
      <c r="BP129" s="90">
        <v>1</v>
      </c>
      <c r="BQ129" s="90">
        <v>0.996</v>
      </c>
      <c r="BR129" s="90">
        <v>1</v>
      </c>
      <c r="BS129" s="5" t="s">
        <v>4857</v>
      </c>
    </row>
    <row r="130" spans="1:71" s="30" customFormat="1" ht="17.100000000000001" customHeight="1">
      <c r="A130" s="14">
        <v>119</v>
      </c>
      <c r="B130" s="5" t="s">
        <v>4387</v>
      </c>
      <c r="C130" s="3" t="s">
        <v>4715</v>
      </c>
      <c r="D130" s="3" t="s">
        <v>4378</v>
      </c>
      <c r="E130" s="6" t="s">
        <v>4379</v>
      </c>
      <c r="F130" s="5" t="s">
        <v>5199</v>
      </c>
      <c r="G130" s="3" t="s">
        <v>4372</v>
      </c>
      <c r="H130" s="6" t="s">
        <v>4380</v>
      </c>
      <c r="I130" s="3" t="s">
        <v>4374</v>
      </c>
      <c r="J130" s="5" t="s">
        <v>4381</v>
      </c>
      <c r="K130" s="3" t="s">
        <v>5407</v>
      </c>
      <c r="L130" s="3" t="s">
        <v>4385</v>
      </c>
      <c r="M130" s="5">
        <v>3</v>
      </c>
      <c r="N130" s="21">
        <v>543.91600000000005</v>
      </c>
      <c r="O130" s="36" t="str">
        <f>HYPERLINK("http://ms.phosphosite.org:5080/cgi-bin/plot-msms.cgi?MassType=1&amp;NumAxis=1&amp;Mod3=170&amp;Mod5=147&amp;Mod7=160&amp;Mod8=160&amp;Pep=HGKYMACCLLYR&amp;Dta=/var/www/html/dta/S01/10558.5735.3.dta&amp;Global_Mod=CS57.0215", "5735")</f>
        <v>5735</v>
      </c>
      <c r="P130" s="36" t="str">
        <f>HYPERLINK("http://ms.phosphosite.org:5080/cgi-bin/plot-msms.cgi?MassType=1&amp;NumAxis=1&amp;Mod3=170&amp;Mod5=147&amp;Mod7=160&amp;Mod8=160&amp;Pep=HGKYMACCLLYR&amp;Dta=/var/www/html/dta/S01/10559.5704.3.dta&amp;Global_Mod=CS57.0215", "5704")</f>
        <v>5704</v>
      </c>
      <c r="Q130" s="36" t="str">
        <f>HYPERLINK("http://ms.phosphosite.org:5080/cgi-bin/plot-msms.cgi?MassType=1&amp;NumAxis=1&amp;Mod3=170&amp;Mod5=147&amp;Mod7=160&amp;Mod8=160&amp;Pep=HGKYMACCLLYR&amp;Dta=/var/www/html/dta/S01/10560.5652.3.dta&amp;Global_Mod=CS57.0215", "5652")</f>
        <v>5652</v>
      </c>
      <c r="R130" s="36" t="str">
        <f>HYPERLINK("http://ms.phosphosite.org:5080/cgi-bin/plot-msms.cgi?MassType=1&amp;NumAxis=1&amp;Mod3=170&amp;Mod5=147&amp;Mod7=160&amp;Mod8=160&amp;Pep=HGKYMACCLLYR&amp;Dta=/var/www/html/dta/S01/10561.5701.3.dta&amp;Global_Mod=CS57.0215", "5701")</f>
        <v>5701</v>
      </c>
      <c r="S130" s="36" t="str">
        <f>HYPERLINK("http://ms.phosphosite.org:5080/cgi-bin/plot-msms.cgi?MassType=1&amp;NumAxis=1&amp;Mod3=170&amp;Mod5=147&amp;Mod7=160&amp;Mod8=160&amp;Pep=HGKYMACCLLYR&amp;Dta=/var/www/html/dta/S01/10562.5777.3.dta&amp;Global_Mod=CS57.0215", "5777")</f>
        <v>5777</v>
      </c>
      <c r="T130" s="36" t="str">
        <f>HYPERLINK("http://ms.phosphosite.org:5080/cgi-bin/plot-msms.cgi?MassType=1&amp;NumAxis=1&amp;Mod3=170&amp;Mod5=147&amp;Mod7=160&amp;Mod8=160&amp;Pep=HGKYMACCLLYR&amp;Dta=/var/www/html/dta/S01/10563.5739.3.dta&amp;Global_Mod=CS57.0215", "5739")</f>
        <v>5739</v>
      </c>
      <c r="U130" s="36" t="str">
        <f>HYPERLINK("http://ms.phosphosite.org:5080/cgi-bin/plot-msms.cgi?MassType=1&amp;NumAxis=1&amp;Mod3=170&amp;Mod5=147&amp;Mod7=160&amp;Mod8=160&amp;Pep=HGKYMACCLLYR&amp;Dta=/var/www/html/dta/S01/10564.6123.3.dta&amp;Global_Mod=CS57.0215", "6123")</f>
        <v>6123</v>
      </c>
      <c r="V130" s="36" t="str">
        <f>HYPERLINK("http://ms.phosphosite.org:5080/cgi-bin/plot-msms.cgi?MassType=1&amp;NumAxis=1&amp;Mod3=170&amp;Mod5=147&amp;Mod7=160&amp;Mod8=160&amp;Pep=HGKYMACCLLYR&amp;Dta=/var/www/html/dta/S01/10565.6232.3.dta&amp;Global_Mod=CS57.0215", "6232")</f>
        <v>6232</v>
      </c>
      <c r="W130" s="5">
        <v>5745</v>
      </c>
      <c r="X130" s="5">
        <v>5700</v>
      </c>
      <c r="Y130" s="5">
        <v>5629</v>
      </c>
      <c r="Z130" s="5">
        <v>5711</v>
      </c>
      <c r="AA130" s="5">
        <v>5776</v>
      </c>
      <c r="AB130" s="5">
        <v>5793</v>
      </c>
      <c r="AC130" s="5">
        <v>6122</v>
      </c>
      <c r="AD130" s="5">
        <v>6163</v>
      </c>
      <c r="AE130" s="90">
        <v>4.1280000000000001</v>
      </c>
      <c r="AF130" s="90">
        <v>4.4470000000000001</v>
      </c>
      <c r="AG130" s="90">
        <v>3.9340000000000002</v>
      </c>
      <c r="AH130" s="90">
        <v>4.3550000000000004</v>
      </c>
      <c r="AI130" s="90">
        <v>4.0129999999999999</v>
      </c>
      <c r="AJ130" s="90">
        <v>4.5549999999999997</v>
      </c>
      <c r="AK130" s="90">
        <v>4.0389999999999997</v>
      </c>
      <c r="AL130" s="90">
        <v>3.6629999999999998</v>
      </c>
      <c r="AM130" s="21">
        <v>0.32340000000000002</v>
      </c>
      <c r="AN130" s="21">
        <v>0.29089999999999999</v>
      </c>
      <c r="AO130" s="21">
        <v>0.31419999999999998</v>
      </c>
      <c r="AP130" s="21">
        <v>0.48359999999999997</v>
      </c>
      <c r="AQ130" s="21">
        <v>0.29699999999999999</v>
      </c>
      <c r="AR130" s="21">
        <v>0.46150000000000002</v>
      </c>
      <c r="AS130" s="21">
        <v>0.41549999999999998</v>
      </c>
      <c r="AT130" s="21">
        <v>0.15959999999999999</v>
      </c>
      <c r="AU130" s="21">
        <v>0.34100000000000003</v>
      </c>
      <c r="AV130" s="21">
        <v>0.45700000000000002</v>
      </c>
      <c r="AW130" s="21">
        <v>0.38400000000000001</v>
      </c>
      <c r="AX130" s="21">
        <v>0.38800000000000001</v>
      </c>
      <c r="AY130" s="21">
        <v>0.442</v>
      </c>
      <c r="AZ130" s="21">
        <v>0.43099999999999999</v>
      </c>
      <c r="BA130" s="21">
        <v>0.41899999999999998</v>
      </c>
      <c r="BB130" s="21">
        <v>0.372</v>
      </c>
      <c r="BC130" s="5">
        <v>1</v>
      </c>
      <c r="BD130" s="5">
        <v>1</v>
      </c>
      <c r="BE130" s="5">
        <v>1</v>
      </c>
      <c r="BF130" s="5">
        <v>1</v>
      </c>
      <c r="BG130" s="5">
        <v>1</v>
      </c>
      <c r="BH130" s="5">
        <v>1</v>
      </c>
      <c r="BI130" s="5">
        <v>1</v>
      </c>
      <c r="BJ130" s="5">
        <v>1</v>
      </c>
      <c r="BK130" s="90">
        <v>1</v>
      </c>
      <c r="BL130" s="90">
        <v>1</v>
      </c>
      <c r="BM130" s="90">
        <v>1</v>
      </c>
      <c r="BN130" s="90">
        <v>1</v>
      </c>
      <c r="BO130" s="90">
        <v>1</v>
      </c>
      <c r="BP130" s="90">
        <v>1</v>
      </c>
      <c r="BQ130" s="90">
        <v>1</v>
      </c>
      <c r="BR130" s="90">
        <v>1</v>
      </c>
      <c r="BS130" s="5" t="s">
        <v>4857</v>
      </c>
    </row>
    <row r="131" spans="1:71" s="30" customFormat="1" ht="17.100000000000001" customHeight="1">
      <c r="A131" s="14">
        <v>120</v>
      </c>
      <c r="B131" s="5" t="s">
        <v>4388</v>
      </c>
      <c r="C131" s="3" t="s">
        <v>4715</v>
      </c>
      <c r="D131" s="3" t="s">
        <v>4378</v>
      </c>
      <c r="E131" s="6" t="s">
        <v>4379</v>
      </c>
      <c r="F131" s="5" t="s">
        <v>5199</v>
      </c>
      <c r="G131" s="3" t="s">
        <v>4372</v>
      </c>
      <c r="H131" s="6" t="s">
        <v>4380</v>
      </c>
      <c r="I131" s="3" t="s">
        <v>4374</v>
      </c>
      <c r="J131" s="5" t="s">
        <v>4381</v>
      </c>
      <c r="K131" s="3" t="s">
        <v>5407</v>
      </c>
      <c r="L131" s="3" t="s">
        <v>4385</v>
      </c>
      <c r="M131" s="5">
        <v>3</v>
      </c>
      <c r="N131" s="21">
        <v>543.91600000000005</v>
      </c>
      <c r="O131" s="36" t="str">
        <f>HYPERLINK("http://ms.phosphosite.org:5080/cgi-bin/plot-msms.cgi?MassType=1&amp;NumAxis=1&amp;Mod3=170&amp;Mod5=147&amp;Mod7=160&amp;Mod8=160&amp;Pep=HGKYMACCLLYR&amp;Dta=/var/www/html/dta/S01/10558.5835.3.dta&amp;Global_Mod=CS57.0215", "5835")</f>
        <v>5835</v>
      </c>
      <c r="P131" s="36" t="str">
        <f>HYPERLINK("http://ms.phosphosite.org:5080/cgi-bin/plot-msms.cgi?MassType=1&amp;NumAxis=1&amp;Mod3=170&amp;Mod5=147&amp;Mod7=160&amp;Mod8=160&amp;Pep=HGKYMACCLLYR&amp;Dta=/var/www/html/dta/S01/10559.5793.3.dta&amp;Global_Mod=CS57.0215", "5793")</f>
        <v>5793</v>
      </c>
      <c r="Q131" s="36" t="str">
        <f>HYPERLINK("http://ms.phosphosite.org:5080/cgi-bin/plot-msms.cgi?MassType=1&amp;NumAxis=1&amp;Mod3=170&amp;Mod5=147&amp;Mod7=160&amp;Mod8=160&amp;Pep=HGKYMACCLLYR&amp;Dta=/var/www/html/dta/S01/10560.5610.3.dta&amp;Global_Mod=CS57.0215", "5610")</f>
        <v>5610</v>
      </c>
      <c r="R131" s="36" t="str">
        <f>HYPERLINK("http://ms.phosphosite.org:5080/cgi-bin/plot-msms.cgi?MassType=1&amp;NumAxis=1&amp;Mod3=170&amp;Mod5=147&amp;Mod7=160&amp;Mod8=160&amp;Pep=HGKYMACCLLYR&amp;Dta=/var/www/html/dta/S01/10561.5669.3.dta&amp;Global_Mod=CS57.0215", "5669")</f>
        <v>5669</v>
      </c>
      <c r="S131" s="36" t="str">
        <f>HYPERLINK("http://ms.phosphosite.org:5080/cgi-bin/plot-msms.cgi?MassType=1&amp;NumAxis=1&amp;Mod3=170&amp;Mod5=147&amp;Mod7=160&amp;Mod8=160&amp;Pep=HGKYMACCLLYR&amp;Dta=/var/www/html/dta/S01/10562.5757.3.dta&amp;Global_Mod=CS57.0215", "5757")</f>
        <v>5757</v>
      </c>
      <c r="T131" s="36" t="str">
        <f>HYPERLINK("http://ms.phosphosite.org:5080/cgi-bin/plot-msms.cgi?MassType=1&amp;NumAxis=1&amp;Mod3=170&amp;Mod5=147&amp;Mod7=160&amp;Mod8=160&amp;Pep=HGKYMACCLLYR&amp;Dta=/var/www/html/dta/S01/10563.5840.3.dta&amp;Global_Mod=CS57.0215", "5840")</f>
        <v>5840</v>
      </c>
      <c r="U131" s="36" t="str">
        <f>HYPERLINK("http://ms.phosphosite.org:5080/cgi-bin/plot-msms.cgi?MassType=1&amp;NumAxis=1&amp;Mod3=170&amp;Mod5=147&amp;Mod7=160&amp;Mod8=160&amp;Pep=HGKYMACCLLYR&amp;Dta=/var/www/html/dta/S01/10564.6027.3.dta&amp;Global_Mod=CS57.0215", "6027")</f>
        <v>6027</v>
      </c>
      <c r="V131" s="36" t="str">
        <f>HYPERLINK("http://ms.phosphosite.org:5080/cgi-bin/plot-msms.cgi?MassType=1&amp;NumAxis=1&amp;Mod3=170&amp;Mod5=147&amp;Mod7=160&amp;Mod8=160&amp;Pep=HGKYMACCLLYR&amp;Dta=/var/www/html/dta/S01/10565.6134.3.dta&amp;Global_Mod=CS57.0215", "6134")</f>
        <v>6134</v>
      </c>
      <c r="W131" s="5">
        <v>5745</v>
      </c>
      <c r="X131" s="5">
        <v>5700</v>
      </c>
      <c r="Y131" s="5">
        <v>5629</v>
      </c>
      <c r="Z131" s="5">
        <v>5711</v>
      </c>
      <c r="AA131" s="5">
        <v>5776</v>
      </c>
      <c r="AB131" s="5">
        <v>5793</v>
      </c>
      <c r="AC131" s="5">
        <v>6122</v>
      </c>
      <c r="AD131" s="5">
        <v>6163</v>
      </c>
      <c r="AE131" s="90">
        <v>3.8530000000000002</v>
      </c>
      <c r="AF131" s="90">
        <v>3.4950000000000001</v>
      </c>
      <c r="AG131" s="90">
        <v>3.8919999999999999</v>
      </c>
      <c r="AH131" s="90">
        <v>3.43</v>
      </c>
      <c r="AI131" s="90">
        <v>3.5870000000000002</v>
      </c>
      <c r="AJ131" s="90">
        <v>3.3290000000000002</v>
      </c>
      <c r="AK131" s="90">
        <v>3.3010000000000002</v>
      </c>
      <c r="AL131" s="90">
        <v>3.6429999999999998</v>
      </c>
      <c r="AM131" s="21">
        <v>0.27250000000000002</v>
      </c>
      <c r="AN131" s="21">
        <v>0.10249999999999999</v>
      </c>
      <c r="AO131" s="21">
        <v>0.3155</v>
      </c>
      <c r="AP131" s="21">
        <v>0.49220000000000003</v>
      </c>
      <c r="AQ131" s="21">
        <v>0.27189999999999998</v>
      </c>
      <c r="AR131" s="21">
        <v>0.378</v>
      </c>
      <c r="AS131" s="21">
        <v>0.46389999999999998</v>
      </c>
      <c r="AT131" s="21">
        <v>0.20499999999999999</v>
      </c>
      <c r="AU131" s="21">
        <v>0.38</v>
      </c>
      <c r="AV131" s="21">
        <v>0.33700000000000002</v>
      </c>
      <c r="AW131" s="21">
        <v>0.372</v>
      </c>
      <c r="AX131" s="21">
        <v>0.32200000000000001</v>
      </c>
      <c r="AY131" s="21">
        <v>0.32100000000000001</v>
      </c>
      <c r="AZ131" s="21">
        <v>0.374</v>
      </c>
      <c r="BA131" s="21">
        <v>0.41599999999999998</v>
      </c>
      <c r="BB131" s="21">
        <v>0.27100000000000002</v>
      </c>
      <c r="BC131" s="5">
        <v>1</v>
      </c>
      <c r="BD131" s="5">
        <v>1</v>
      </c>
      <c r="BE131" s="5">
        <v>1</v>
      </c>
      <c r="BF131" s="5">
        <v>1</v>
      </c>
      <c r="BG131" s="5">
        <v>1</v>
      </c>
      <c r="BH131" s="5">
        <v>1</v>
      </c>
      <c r="BI131" s="5">
        <v>1</v>
      </c>
      <c r="BJ131" s="5">
        <v>1</v>
      </c>
      <c r="BK131" s="90">
        <v>1</v>
      </c>
      <c r="BL131" s="90">
        <v>1</v>
      </c>
      <c r="BM131" s="90">
        <v>1</v>
      </c>
      <c r="BN131" s="90">
        <v>1</v>
      </c>
      <c r="BO131" s="90">
        <v>1</v>
      </c>
      <c r="BP131" s="90">
        <v>1</v>
      </c>
      <c r="BQ131" s="90">
        <v>1</v>
      </c>
      <c r="BR131" s="90">
        <v>1</v>
      </c>
      <c r="BS131" s="5" t="s">
        <v>4857</v>
      </c>
    </row>
    <row r="132" spans="1:71" s="30" customFormat="1" ht="17.100000000000001" customHeight="1">
      <c r="A132" s="14">
        <v>121</v>
      </c>
      <c r="B132" s="5" t="s">
        <v>4389</v>
      </c>
      <c r="C132" s="3" t="s">
        <v>4715</v>
      </c>
      <c r="D132" s="3" t="s">
        <v>4378</v>
      </c>
      <c r="E132" s="6" t="s">
        <v>4379</v>
      </c>
      <c r="F132" s="5" t="s">
        <v>5199</v>
      </c>
      <c r="G132" s="3" t="s">
        <v>4372</v>
      </c>
      <c r="H132" s="6" t="s">
        <v>4380</v>
      </c>
      <c r="I132" s="3" t="s">
        <v>4374</v>
      </c>
      <c r="J132" s="5" t="s">
        <v>4381</v>
      </c>
      <c r="K132" s="3" t="s">
        <v>5407</v>
      </c>
      <c r="L132" s="3" t="s">
        <v>4385</v>
      </c>
      <c r="M132" s="5">
        <v>3</v>
      </c>
      <c r="N132" s="21">
        <v>543.91600000000005</v>
      </c>
      <c r="O132" s="35" t="s">
        <v>4854</v>
      </c>
      <c r="P132" s="35" t="s">
        <v>4854</v>
      </c>
      <c r="Q132" s="36" t="str">
        <f>HYPERLINK("http://ms.phosphosite.org:5080/cgi-bin/plot-msms.cgi?MassType=1&amp;NumAxis=1&amp;Mod3=170&amp;Mod5=147&amp;Mod7=160&amp;Mod8=160&amp;Pep=HGKYMACCLLYR&amp;Dta=/var/www/html/dta/S01/10560.5740.3.dta&amp;Global_Mod=CS57.0215", "5740")</f>
        <v>5740</v>
      </c>
      <c r="R132" s="36" t="str">
        <f>HYPERLINK("http://ms.phosphosite.org:5080/cgi-bin/plot-msms.cgi?MassType=1&amp;NumAxis=1&amp;Mod3=170&amp;Mod5=147&amp;Mod7=160&amp;Mod8=160&amp;Pep=HGKYMACCLLYR&amp;Dta=/var/www/html/dta/S01/10561.5789.3.dta&amp;Global_Mod=CS57.0215", "5789")</f>
        <v>5789</v>
      </c>
      <c r="S132" s="36" t="str">
        <f>HYPERLINK("http://ms.phosphosite.org:5080/cgi-bin/plot-msms.cgi?MassType=1&amp;NumAxis=1&amp;Mod3=170&amp;Mod5=147&amp;Mod7=160&amp;Mod8=160&amp;Pep=HGKYMACCLLYR&amp;Dta=/var/www/html/dta/S01/10562.5877.3.dta&amp;Global_Mod=CS57.0215", "5877")</f>
        <v>5877</v>
      </c>
      <c r="T132" s="36" t="str">
        <f>HYPERLINK("http://ms.phosphosite.org:5080/cgi-bin/plot-msms.cgi?MassType=1&amp;NumAxis=1&amp;Mod3=170&amp;Mod5=147&amp;Mod7=160&amp;Mod8=160&amp;Pep=HGKYMACCLLYR&amp;Dta=/var/www/html/dta/S01/10563.5667.3.dta&amp;Global_Mod=CS57.0215", "5667")</f>
        <v>5667</v>
      </c>
      <c r="U132" s="36" t="str">
        <f>HYPERLINK("http://ms.phosphosite.org:5080/cgi-bin/plot-msms.cgi?MassType=1&amp;NumAxis=1&amp;Mod3=170&amp;Mod5=147&amp;Mod7=160&amp;Mod8=160&amp;Pep=HGKYMACCLLYR&amp;Dta=/var/www/html/dta/S01/10564.6238.3.dta&amp;Global_Mod=CS57.0215", "6238")</f>
        <v>6238</v>
      </c>
      <c r="V132" s="36" t="str">
        <f>HYPERLINK("http://ms.phosphosite.org:5080/cgi-bin/plot-msms.cgi?MassType=1&amp;NumAxis=1&amp;Mod3=170&amp;Mod5=147&amp;Mod7=160&amp;Mod8=160&amp;Pep=HGKYMACCLLYR&amp;Dta=/var/www/html/dta/S01/10565.6335.3.dta&amp;Global_Mod=CS57.0215", "6335")</f>
        <v>6335</v>
      </c>
      <c r="W132" s="3" t="s">
        <v>4854</v>
      </c>
      <c r="X132" s="3" t="s">
        <v>4854</v>
      </c>
      <c r="Y132" s="5">
        <v>5629</v>
      </c>
      <c r="Z132" s="5">
        <v>5711</v>
      </c>
      <c r="AA132" s="5">
        <v>5776</v>
      </c>
      <c r="AB132" s="5">
        <v>5793</v>
      </c>
      <c r="AC132" s="5">
        <v>6122</v>
      </c>
      <c r="AD132" s="5">
        <v>6163</v>
      </c>
      <c r="AE132" s="99" t="s">
        <v>4854</v>
      </c>
      <c r="AF132" s="99" t="s">
        <v>4854</v>
      </c>
      <c r="AG132" s="90">
        <v>3.5990000000000002</v>
      </c>
      <c r="AH132" s="90">
        <v>3.2639999999999998</v>
      </c>
      <c r="AI132" s="90">
        <v>3.3090000000000002</v>
      </c>
      <c r="AJ132" s="90">
        <v>2.863</v>
      </c>
      <c r="AK132" s="90">
        <v>3.129</v>
      </c>
      <c r="AL132" s="90">
        <v>3.395</v>
      </c>
      <c r="AM132" s="102" t="s">
        <v>4854</v>
      </c>
      <c r="AN132" s="102" t="s">
        <v>4854</v>
      </c>
      <c r="AO132" s="21">
        <v>0.2621</v>
      </c>
      <c r="AP132" s="21">
        <v>0.38419999999999999</v>
      </c>
      <c r="AQ132" s="21">
        <v>0.24979999999999999</v>
      </c>
      <c r="AR132" s="21">
        <v>0.55659999999999998</v>
      </c>
      <c r="AS132" s="21">
        <v>0.30320000000000003</v>
      </c>
      <c r="AT132" s="21">
        <v>4.36E-2</v>
      </c>
      <c r="AU132" s="102" t="s">
        <v>4854</v>
      </c>
      <c r="AV132" s="102" t="s">
        <v>4854</v>
      </c>
      <c r="AW132" s="21">
        <v>0.26400000000000001</v>
      </c>
      <c r="AX132" s="21">
        <v>0.29399999999999998</v>
      </c>
      <c r="AY132" s="21">
        <v>0.35499999999999998</v>
      </c>
      <c r="AZ132" s="21">
        <v>0.26500000000000001</v>
      </c>
      <c r="BA132" s="21">
        <v>0.26200000000000001</v>
      </c>
      <c r="BB132" s="21">
        <v>0.32900000000000001</v>
      </c>
      <c r="BC132" s="3" t="s">
        <v>4854</v>
      </c>
      <c r="BD132" s="3" t="s">
        <v>4854</v>
      </c>
      <c r="BE132" s="5">
        <v>1</v>
      </c>
      <c r="BF132" s="5">
        <v>1</v>
      </c>
      <c r="BG132" s="5">
        <v>1</v>
      </c>
      <c r="BH132" s="5">
        <v>1</v>
      </c>
      <c r="BI132" s="5">
        <v>1</v>
      </c>
      <c r="BJ132" s="5">
        <v>1</v>
      </c>
      <c r="BK132" s="99" t="s">
        <v>4854</v>
      </c>
      <c r="BL132" s="99" t="s">
        <v>4854</v>
      </c>
      <c r="BM132" s="90">
        <v>1</v>
      </c>
      <c r="BN132" s="90">
        <v>1</v>
      </c>
      <c r="BO132" s="90">
        <v>1</v>
      </c>
      <c r="BP132" s="90">
        <v>1</v>
      </c>
      <c r="BQ132" s="90">
        <v>1</v>
      </c>
      <c r="BR132" s="90">
        <v>1</v>
      </c>
      <c r="BS132" s="5" t="s">
        <v>4857</v>
      </c>
    </row>
    <row r="133" spans="1:71" s="30" customFormat="1" ht="17.100000000000001" customHeight="1">
      <c r="A133" s="14">
        <v>122</v>
      </c>
      <c r="B133" s="5" t="s">
        <v>4390</v>
      </c>
      <c r="C133" s="3" t="s">
        <v>4715</v>
      </c>
      <c r="D133" s="3" t="s">
        <v>4378</v>
      </c>
      <c r="E133" s="6" t="s">
        <v>4379</v>
      </c>
      <c r="F133" s="5" t="s">
        <v>5199</v>
      </c>
      <c r="G133" s="3" t="s">
        <v>4372</v>
      </c>
      <c r="H133" s="6" t="s">
        <v>4380</v>
      </c>
      <c r="I133" s="3" t="s">
        <v>4374</v>
      </c>
      <c r="J133" s="5" t="s">
        <v>4381</v>
      </c>
      <c r="K133" s="3" t="s">
        <v>5407</v>
      </c>
      <c r="L133" s="3" t="s">
        <v>4385</v>
      </c>
      <c r="M133" s="5">
        <v>3</v>
      </c>
      <c r="N133" s="21">
        <v>543.91600000000005</v>
      </c>
      <c r="O133" s="35" t="s">
        <v>4854</v>
      </c>
      <c r="P133" s="35" t="s">
        <v>4854</v>
      </c>
      <c r="Q133" s="35" t="s">
        <v>4854</v>
      </c>
      <c r="R133" s="36" t="str">
        <f>HYPERLINK("http://ms.phosphosite.org:5080/cgi-bin/plot-msms.cgi?MassType=1&amp;NumAxis=1&amp;Mod3=170&amp;Mod5=147&amp;Mod7=160&amp;Mod8=160&amp;Pep=HGKYMACCLLYR&amp;Dta=/var/www/html/dta/S01/10561.6213.3.dta&amp;Global_Mod=CS57.0215", "6213")</f>
        <v>6213</v>
      </c>
      <c r="S133" s="35" t="s">
        <v>4854</v>
      </c>
      <c r="T133" s="35" t="s">
        <v>4854</v>
      </c>
      <c r="U133" s="36" t="str">
        <f>HYPERLINK("http://ms.phosphosite.org:5080/cgi-bin/plot-msms.cgi?MassType=1&amp;NumAxis=1&amp;Mod3=170&amp;Mod5=147&amp;Mod7=160&amp;Mod8=160&amp;Pep=HGKYMACCLLYR&amp;Dta=/var/www/html/dta/S01/10564.6009.3.dta&amp;Global_Mod=CS57.0215", "6009")</f>
        <v>6009</v>
      </c>
      <c r="V133" s="36" t="str">
        <f>HYPERLINK("http://ms.phosphosite.org:5080/cgi-bin/plot-msms.cgi?MassType=1&amp;NumAxis=1&amp;Mod3=170&amp;Mod5=147&amp;Mod7=160&amp;Mod8=160&amp;Pep=HGKYMACCLLYR&amp;Dta=/var/www/html/dta/S01/10565.6821.3.dta&amp;Global_Mod=CS57.0215", "6821")</f>
        <v>6821</v>
      </c>
      <c r="W133" s="3" t="s">
        <v>4854</v>
      </c>
      <c r="X133" s="3" t="s">
        <v>4854</v>
      </c>
      <c r="Y133" s="3" t="s">
        <v>4854</v>
      </c>
      <c r="Z133" s="5">
        <v>5711</v>
      </c>
      <c r="AA133" s="3" t="s">
        <v>4854</v>
      </c>
      <c r="AB133" s="3" t="s">
        <v>4854</v>
      </c>
      <c r="AC133" s="5">
        <v>6122</v>
      </c>
      <c r="AD133" s="5">
        <v>6163</v>
      </c>
      <c r="AE133" s="99" t="s">
        <v>4854</v>
      </c>
      <c r="AF133" s="99" t="s">
        <v>4854</v>
      </c>
      <c r="AG133" s="99" t="s">
        <v>4854</v>
      </c>
      <c r="AH133" s="90">
        <v>2.758</v>
      </c>
      <c r="AI133" s="99" t="s">
        <v>4854</v>
      </c>
      <c r="AJ133" s="99" t="s">
        <v>4854</v>
      </c>
      <c r="AK133" s="90">
        <v>2.9820000000000002</v>
      </c>
      <c r="AL133" s="90">
        <v>2.177</v>
      </c>
      <c r="AM133" s="102" t="s">
        <v>4854</v>
      </c>
      <c r="AN133" s="102" t="s">
        <v>4854</v>
      </c>
      <c r="AO133" s="102" t="s">
        <v>4854</v>
      </c>
      <c r="AP133" s="21">
        <v>0.56759999999999999</v>
      </c>
      <c r="AQ133" s="102" t="s">
        <v>4854</v>
      </c>
      <c r="AR133" s="102" t="s">
        <v>4854</v>
      </c>
      <c r="AS133" s="21">
        <v>0.53210000000000002</v>
      </c>
      <c r="AT133" s="21">
        <v>0.50380000000000003</v>
      </c>
      <c r="AU133" s="102" t="s">
        <v>4854</v>
      </c>
      <c r="AV133" s="102" t="s">
        <v>4854</v>
      </c>
      <c r="AW133" s="102" t="s">
        <v>4854</v>
      </c>
      <c r="AX133" s="21">
        <v>0.20899999999999999</v>
      </c>
      <c r="AY133" s="102" t="s">
        <v>4854</v>
      </c>
      <c r="AZ133" s="102" t="s">
        <v>4854</v>
      </c>
      <c r="BA133" s="21">
        <v>0.16500000000000001</v>
      </c>
      <c r="BB133" s="21">
        <v>0.154</v>
      </c>
      <c r="BC133" s="3" t="s">
        <v>4854</v>
      </c>
      <c r="BD133" s="3" t="s">
        <v>4854</v>
      </c>
      <c r="BE133" s="3" t="s">
        <v>4854</v>
      </c>
      <c r="BF133" s="5">
        <v>1</v>
      </c>
      <c r="BG133" s="3" t="s">
        <v>4854</v>
      </c>
      <c r="BH133" s="3" t="s">
        <v>4854</v>
      </c>
      <c r="BI133" s="5">
        <v>1</v>
      </c>
      <c r="BJ133" s="5">
        <v>1</v>
      </c>
      <c r="BK133" s="99" t="s">
        <v>4854</v>
      </c>
      <c r="BL133" s="99" t="s">
        <v>4854</v>
      </c>
      <c r="BM133" s="99" t="s">
        <v>4854</v>
      </c>
      <c r="BN133" s="90">
        <v>0.999</v>
      </c>
      <c r="BO133" s="99" t="s">
        <v>4854</v>
      </c>
      <c r="BP133" s="99" t="s">
        <v>4854</v>
      </c>
      <c r="BQ133" s="90">
        <v>0.998</v>
      </c>
      <c r="BR133" s="90">
        <v>0.99299999999999999</v>
      </c>
      <c r="BS133" s="5" t="s">
        <v>4857</v>
      </c>
    </row>
    <row r="134" spans="1:71" s="30" customFormat="1" ht="17.100000000000001" customHeight="1">
      <c r="A134" s="14">
        <v>123</v>
      </c>
      <c r="B134" s="5" t="s">
        <v>4391</v>
      </c>
      <c r="C134" s="3" t="s">
        <v>4715</v>
      </c>
      <c r="D134" s="3" t="s">
        <v>4378</v>
      </c>
      <c r="E134" s="6" t="s">
        <v>4379</v>
      </c>
      <c r="F134" s="5" t="s">
        <v>5199</v>
      </c>
      <c r="G134" s="3" t="s">
        <v>4372</v>
      </c>
      <c r="H134" s="6" t="s">
        <v>4380</v>
      </c>
      <c r="I134" s="3" t="s">
        <v>4374</v>
      </c>
      <c r="J134" s="5" t="s">
        <v>4381</v>
      </c>
      <c r="K134" s="3" t="s">
        <v>5407</v>
      </c>
      <c r="L134" s="3" t="s">
        <v>4385</v>
      </c>
      <c r="M134" s="5">
        <v>3</v>
      </c>
      <c r="N134" s="21">
        <v>543.91600000000005</v>
      </c>
      <c r="O134" s="35" t="s">
        <v>4854</v>
      </c>
      <c r="P134" s="35" t="s">
        <v>4854</v>
      </c>
      <c r="Q134" s="35" t="s">
        <v>4854</v>
      </c>
      <c r="R134" s="35" t="s">
        <v>4854</v>
      </c>
      <c r="S134" s="35" t="s">
        <v>4854</v>
      </c>
      <c r="T134" s="35" t="s">
        <v>4854</v>
      </c>
      <c r="U134" s="36" t="str">
        <f>HYPERLINK("http://ms.phosphosite.org:5080/cgi-bin/plot-msms.cgi?MassType=1&amp;NumAxis=1&amp;Mod3=170&amp;Mod5=147&amp;Mod7=160&amp;Mod8=160&amp;Pep=HGKYMACCLLYR&amp;Dta=/var/www/html/dta/S01/10564.6725.3.dta&amp;Global_Mod=CS57.0215", "6725")</f>
        <v>6725</v>
      </c>
      <c r="V134" s="36" t="str">
        <f>HYPERLINK("http://ms.phosphosite.org:5080/cgi-bin/plot-msms.cgi?MassType=1&amp;NumAxis=1&amp;Mod3=170&amp;Mod5=147&amp;Mod7=160&amp;Mod8=160&amp;Pep=HGKYMACCLLYR&amp;Dta=/var/www/html/dta/S01/10565.6622.3.dta&amp;Global_Mod=CS57.0215", "6622")</f>
        <v>6622</v>
      </c>
      <c r="W134" s="3" t="s">
        <v>4854</v>
      </c>
      <c r="X134" s="3" t="s">
        <v>4854</v>
      </c>
      <c r="Y134" s="3" t="s">
        <v>4854</v>
      </c>
      <c r="Z134" s="3" t="s">
        <v>4854</v>
      </c>
      <c r="AA134" s="3" t="s">
        <v>4854</v>
      </c>
      <c r="AB134" s="3" t="s">
        <v>4854</v>
      </c>
      <c r="AC134" s="3" t="s">
        <v>4854</v>
      </c>
      <c r="AD134" s="5">
        <v>6163</v>
      </c>
      <c r="AE134" s="99" t="s">
        <v>4854</v>
      </c>
      <c r="AF134" s="99" t="s">
        <v>4854</v>
      </c>
      <c r="AG134" s="99" t="s">
        <v>4854</v>
      </c>
      <c r="AH134" s="99" t="s">
        <v>4854</v>
      </c>
      <c r="AI134" s="99" t="s">
        <v>4854</v>
      </c>
      <c r="AJ134" s="99" t="s">
        <v>4854</v>
      </c>
      <c r="AK134" s="90">
        <v>1.7949999999999999</v>
      </c>
      <c r="AL134" s="90">
        <v>1.669</v>
      </c>
      <c r="AM134" s="102" t="s">
        <v>4854</v>
      </c>
      <c r="AN134" s="102" t="s">
        <v>4854</v>
      </c>
      <c r="AO134" s="102" t="s">
        <v>4854</v>
      </c>
      <c r="AP134" s="102" t="s">
        <v>4854</v>
      </c>
      <c r="AQ134" s="102" t="s">
        <v>4854</v>
      </c>
      <c r="AR134" s="102" t="s">
        <v>4854</v>
      </c>
      <c r="AS134" s="21">
        <v>0.92600000000000005</v>
      </c>
      <c r="AT134" s="21">
        <v>0.37559999999999999</v>
      </c>
      <c r="AU134" s="102" t="s">
        <v>4854</v>
      </c>
      <c r="AV134" s="102" t="s">
        <v>4854</v>
      </c>
      <c r="AW134" s="102" t="s">
        <v>4854</v>
      </c>
      <c r="AX134" s="102" t="s">
        <v>4854</v>
      </c>
      <c r="AY134" s="102" t="s">
        <v>4854</v>
      </c>
      <c r="AZ134" s="102" t="s">
        <v>4854</v>
      </c>
      <c r="BA134" s="21">
        <v>1.7999999999999999E-2</v>
      </c>
      <c r="BB134" s="21">
        <v>0.126</v>
      </c>
      <c r="BC134" s="3" t="s">
        <v>4854</v>
      </c>
      <c r="BD134" s="3" t="s">
        <v>4854</v>
      </c>
      <c r="BE134" s="3" t="s">
        <v>4854</v>
      </c>
      <c r="BF134" s="3" t="s">
        <v>4854</v>
      </c>
      <c r="BG134" s="3" t="s">
        <v>4854</v>
      </c>
      <c r="BH134" s="3" t="s">
        <v>4854</v>
      </c>
      <c r="BI134" s="5">
        <v>2</v>
      </c>
      <c r="BJ134" s="5">
        <v>2</v>
      </c>
      <c r="BK134" s="99" t="s">
        <v>4854</v>
      </c>
      <c r="BL134" s="99" t="s">
        <v>4854</v>
      </c>
      <c r="BM134" s="99" t="s">
        <v>4854</v>
      </c>
      <c r="BN134" s="99" t="s">
        <v>4854</v>
      </c>
      <c r="BO134" s="99" t="s">
        <v>4854</v>
      </c>
      <c r="BP134" s="99" t="s">
        <v>4854</v>
      </c>
      <c r="BQ134" s="90">
        <v>0.88800000000000001</v>
      </c>
      <c r="BR134" s="90">
        <v>0.96399999999999997</v>
      </c>
      <c r="BS134" s="5" t="s">
        <v>4857</v>
      </c>
    </row>
    <row r="135" spans="1:71" s="30" customFormat="1" ht="17.100000000000001" customHeight="1">
      <c r="A135" s="10">
        <v>124</v>
      </c>
      <c r="B135" s="10" t="s">
        <v>4392</v>
      </c>
      <c r="C135" s="4" t="s">
        <v>4715</v>
      </c>
      <c r="D135" s="4" t="s">
        <v>4393</v>
      </c>
      <c r="E135" s="7" t="s">
        <v>4394</v>
      </c>
      <c r="F135" s="10" t="s">
        <v>5167</v>
      </c>
      <c r="G135" s="4" t="s">
        <v>4372</v>
      </c>
      <c r="H135" s="7" t="s">
        <v>4395</v>
      </c>
      <c r="I135" s="4" t="s">
        <v>4374</v>
      </c>
      <c r="J135" s="10" t="s">
        <v>4396</v>
      </c>
      <c r="K135" s="4" t="s">
        <v>5408</v>
      </c>
      <c r="L135" s="4" t="s">
        <v>4397</v>
      </c>
      <c r="M135" s="10">
        <v>3</v>
      </c>
      <c r="N135" s="95">
        <v>474.90769999999998</v>
      </c>
      <c r="O135" s="38" t="s">
        <v>4854</v>
      </c>
      <c r="P135" s="38" t="s">
        <v>4854</v>
      </c>
      <c r="Q135" s="38" t="s">
        <v>4854</v>
      </c>
      <c r="R135" s="38" t="s">
        <v>4854</v>
      </c>
      <c r="S135" s="38" t="s">
        <v>4854</v>
      </c>
      <c r="T135" s="38" t="s">
        <v>4854</v>
      </c>
      <c r="U135" s="37" t="str">
        <f>HYPERLINK("http://ms.phosphosite.org:5080/cgi-bin/plot-msms.cgi?MassType=1&amp;NumAxis=1&amp;Mod4=170&amp;Pep=LDHKFDLMYAK&amp;Dta=/var/www/html/dta/S01/10564.8250.3.dta&amp;Global_Mod=CS57.0215", "8250")</f>
        <v>8250</v>
      </c>
      <c r="V135" s="37" t="str">
        <f>HYPERLINK("http://ms.phosphosite.org:5080/cgi-bin/plot-msms.cgi?MassType=1&amp;NumAxis=1&amp;Mod4=170&amp;Pep=LDHKFDLMYAK&amp;Dta=/var/www/html/dta/S01/10565.8292.3.dta&amp;Global_Mod=CS57.0215", "8292")</f>
        <v>8292</v>
      </c>
      <c r="W135" s="4" t="s">
        <v>4854</v>
      </c>
      <c r="X135" s="4" t="s">
        <v>4854</v>
      </c>
      <c r="Y135" s="4" t="s">
        <v>4854</v>
      </c>
      <c r="Z135" s="4" t="s">
        <v>4854</v>
      </c>
      <c r="AA135" s="4" t="s">
        <v>4854</v>
      </c>
      <c r="AB135" s="4" t="s">
        <v>4854</v>
      </c>
      <c r="AC135" s="10">
        <v>8267</v>
      </c>
      <c r="AD135" s="10">
        <v>8319</v>
      </c>
      <c r="AE135" s="100" t="s">
        <v>4854</v>
      </c>
      <c r="AF135" s="100" t="s">
        <v>4854</v>
      </c>
      <c r="AG135" s="100" t="s">
        <v>4854</v>
      </c>
      <c r="AH135" s="100" t="s">
        <v>4854</v>
      </c>
      <c r="AI135" s="100" t="s">
        <v>4854</v>
      </c>
      <c r="AJ135" s="100" t="s">
        <v>4854</v>
      </c>
      <c r="AK135" s="91">
        <v>3.9020000000000001</v>
      </c>
      <c r="AL135" s="91">
        <v>3.5030000000000001</v>
      </c>
      <c r="AM135" s="103" t="s">
        <v>4854</v>
      </c>
      <c r="AN135" s="103" t="s">
        <v>4854</v>
      </c>
      <c r="AO135" s="103" t="s">
        <v>4854</v>
      </c>
      <c r="AP135" s="103" t="s">
        <v>4854</v>
      </c>
      <c r="AQ135" s="103" t="s">
        <v>4854</v>
      </c>
      <c r="AR135" s="103" t="s">
        <v>4854</v>
      </c>
      <c r="AS135" s="95">
        <v>0.38200000000000001</v>
      </c>
      <c r="AT135" s="95">
        <v>6.6400000000000001E-2</v>
      </c>
      <c r="AU135" s="103" t="s">
        <v>4854</v>
      </c>
      <c r="AV135" s="103" t="s">
        <v>4854</v>
      </c>
      <c r="AW135" s="103" t="s">
        <v>4854</v>
      </c>
      <c r="AX135" s="103" t="s">
        <v>4854</v>
      </c>
      <c r="AY135" s="103" t="s">
        <v>4854</v>
      </c>
      <c r="AZ135" s="103" t="s">
        <v>4854</v>
      </c>
      <c r="BA135" s="95">
        <v>0.17100000000000001</v>
      </c>
      <c r="BB135" s="95">
        <v>0.05</v>
      </c>
      <c r="BC135" s="4" t="s">
        <v>4854</v>
      </c>
      <c r="BD135" s="4" t="s">
        <v>4854</v>
      </c>
      <c r="BE135" s="4" t="s">
        <v>4854</v>
      </c>
      <c r="BF135" s="4" t="s">
        <v>4854</v>
      </c>
      <c r="BG135" s="4" t="s">
        <v>4854</v>
      </c>
      <c r="BH135" s="4" t="s">
        <v>4854</v>
      </c>
      <c r="BI135" s="10">
        <v>7</v>
      </c>
      <c r="BJ135" s="10">
        <v>7</v>
      </c>
      <c r="BK135" s="100" t="s">
        <v>4854</v>
      </c>
      <c r="BL135" s="100" t="s">
        <v>4854</v>
      </c>
      <c r="BM135" s="100" t="s">
        <v>4854</v>
      </c>
      <c r="BN135" s="100" t="s">
        <v>4854</v>
      </c>
      <c r="BO135" s="100" t="s">
        <v>4854</v>
      </c>
      <c r="BP135" s="100" t="s">
        <v>4854</v>
      </c>
      <c r="BQ135" s="91">
        <v>0.999</v>
      </c>
      <c r="BR135" s="91">
        <v>0.99199999999999999</v>
      </c>
      <c r="BS135" s="10" t="s">
        <v>4857</v>
      </c>
    </row>
    <row r="136" spans="1:71" s="30" customFormat="1" ht="17.100000000000001" customHeight="1">
      <c r="A136" s="10">
        <v>125</v>
      </c>
      <c r="B136" s="10" t="s">
        <v>4398</v>
      </c>
      <c r="C136" s="4" t="s">
        <v>4715</v>
      </c>
      <c r="D136" s="4" t="s">
        <v>4393</v>
      </c>
      <c r="E136" s="7" t="s">
        <v>4394</v>
      </c>
      <c r="F136" s="10" t="s">
        <v>5167</v>
      </c>
      <c r="G136" s="4" t="s">
        <v>4372</v>
      </c>
      <c r="H136" s="7" t="s">
        <v>4395</v>
      </c>
      <c r="I136" s="4" t="s">
        <v>4374</v>
      </c>
      <c r="J136" s="10" t="s">
        <v>4396</v>
      </c>
      <c r="K136" s="4" t="s">
        <v>5408</v>
      </c>
      <c r="L136" s="4" t="s">
        <v>4399</v>
      </c>
      <c r="M136" s="10">
        <v>2</v>
      </c>
      <c r="N136" s="95">
        <v>719.85540000000003</v>
      </c>
      <c r="O136" s="38" t="s">
        <v>4854</v>
      </c>
      <c r="P136" s="38" t="s">
        <v>4854</v>
      </c>
      <c r="Q136" s="37" t="str">
        <f>HYPERLINK("http://ms.phosphosite.org:5080/cgi-bin/plot-msms.cgi?MassType=1&amp;NumAxis=1&amp;Mod4=170&amp;Mod8=147&amp;Pep=LDHKFDLMYAK&amp;Dta=/var/www/html/dta/S01/10560.6284.2.dta&amp;Global_Mod=CS57.0215", "6284")</f>
        <v>6284</v>
      </c>
      <c r="R136" s="38" t="s">
        <v>4854</v>
      </c>
      <c r="S136" s="38" t="s">
        <v>4854</v>
      </c>
      <c r="T136" s="38" t="s">
        <v>4854</v>
      </c>
      <c r="U136" s="38" t="s">
        <v>4854</v>
      </c>
      <c r="V136" s="38" t="s">
        <v>4854</v>
      </c>
      <c r="W136" s="4" t="s">
        <v>4854</v>
      </c>
      <c r="X136" s="4" t="s">
        <v>4854</v>
      </c>
      <c r="Y136" s="10">
        <v>6289</v>
      </c>
      <c r="Z136" s="4" t="s">
        <v>4854</v>
      </c>
      <c r="AA136" s="4" t="s">
        <v>4854</v>
      </c>
      <c r="AB136" s="4" t="s">
        <v>4854</v>
      </c>
      <c r="AC136" s="4" t="s">
        <v>4854</v>
      </c>
      <c r="AD136" s="4" t="s">
        <v>4854</v>
      </c>
      <c r="AE136" s="100" t="s">
        <v>4854</v>
      </c>
      <c r="AF136" s="100" t="s">
        <v>4854</v>
      </c>
      <c r="AG136" s="91">
        <v>2.8439999999999999</v>
      </c>
      <c r="AH136" s="100" t="s">
        <v>4854</v>
      </c>
      <c r="AI136" s="100" t="s">
        <v>4854</v>
      </c>
      <c r="AJ136" s="100" t="s">
        <v>4854</v>
      </c>
      <c r="AK136" s="100" t="s">
        <v>4854</v>
      </c>
      <c r="AL136" s="100" t="s">
        <v>4854</v>
      </c>
      <c r="AM136" s="103" t="s">
        <v>4854</v>
      </c>
      <c r="AN136" s="103" t="s">
        <v>4854</v>
      </c>
      <c r="AO136" s="95">
        <v>0.20419999999999999</v>
      </c>
      <c r="AP136" s="103" t="s">
        <v>4854</v>
      </c>
      <c r="AQ136" s="103" t="s">
        <v>4854</v>
      </c>
      <c r="AR136" s="103" t="s">
        <v>4854</v>
      </c>
      <c r="AS136" s="103" t="s">
        <v>4854</v>
      </c>
      <c r="AT136" s="103" t="s">
        <v>4854</v>
      </c>
      <c r="AU136" s="103" t="s">
        <v>4854</v>
      </c>
      <c r="AV136" s="103" t="s">
        <v>4854</v>
      </c>
      <c r="AW136" s="95">
        <v>1.7999999999999999E-2</v>
      </c>
      <c r="AX136" s="103" t="s">
        <v>4854</v>
      </c>
      <c r="AY136" s="103" t="s">
        <v>4854</v>
      </c>
      <c r="AZ136" s="103" t="s">
        <v>4854</v>
      </c>
      <c r="BA136" s="103" t="s">
        <v>4854</v>
      </c>
      <c r="BB136" s="103" t="s">
        <v>4854</v>
      </c>
      <c r="BC136" s="4" t="s">
        <v>4854</v>
      </c>
      <c r="BD136" s="4" t="s">
        <v>4854</v>
      </c>
      <c r="BE136" s="10">
        <v>5</v>
      </c>
      <c r="BF136" s="4" t="s">
        <v>4854</v>
      </c>
      <c r="BG136" s="4" t="s">
        <v>4854</v>
      </c>
      <c r="BH136" s="4" t="s">
        <v>4854</v>
      </c>
      <c r="BI136" s="4" t="s">
        <v>4854</v>
      </c>
      <c r="BJ136" s="4" t="s">
        <v>4854</v>
      </c>
      <c r="BK136" s="100" t="s">
        <v>4854</v>
      </c>
      <c r="BL136" s="100" t="s">
        <v>4854</v>
      </c>
      <c r="BM136" s="91">
        <v>0.98299999999999998</v>
      </c>
      <c r="BN136" s="100" t="s">
        <v>4854</v>
      </c>
      <c r="BO136" s="100" t="s">
        <v>4854</v>
      </c>
      <c r="BP136" s="100" t="s">
        <v>4854</v>
      </c>
      <c r="BQ136" s="100" t="s">
        <v>4854</v>
      </c>
      <c r="BR136" s="100" t="s">
        <v>4854</v>
      </c>
      <c r="BS136" s="10" t="s">
        <v>4857</v>
      </c>
    </row>
    <row r="137" spans="1:71" s="30" customFormat="1" ht="17.100000000000001" customHeight="1">
      <c r="A137" s="10">
        <v>126</v>
      </c>
      <c r="B137" s="10" t="s">
        <v>4400</v>
      </c>
      <c r="C137" s="4" t="s">
        <v>4715</v>
      </c>
      <c r="D137" s="4" t="s">
        <v>4393</v>
      </c>
      <c r="E137" s="7" t="s">
        <v>4394</v>
      </c>
      <c r="F137" s="10" t="s">
        <v>5167</v>
      </c>
      <c r="G137" s="4" t="s">
        <v>4372</v>
      </c>
      <c r="H137" s="7" t="s">
        <v>4395</v>
      </c>
      <c r="I137" s="4" t="s">
        <v>4374</v>
      </c>
      <c r="J137" s="10" t="s">
        <v>4396</v>
      </c>
      <c r="K137" s="4" t="s">
        <v>5408</v>
      </c>
      <c r="L137" s="4" t="s">
        <v>4399</v>
      </c>
      <c r="M137" s="10">
        <v>3</v>
      </c>
      <c r="N137" s="95">
        <v>480.23939999999999</v>
      </c>
      <c r="O137" s="37" t="str">
        <f>HYPERLINK("http://ms.phosphosite.org:5080/cgi-bin/plot-msms.cgi?MassType=1&amp;NumAxis=1&amp;Mod4=170&amp;Mod8=147&amp;Pep=LDHKFDLMYAK&amp;Dta=/var/www/html/dta/S01/10558.6328.3.dta&amp;Global_Mod=CS57.0215", "6328")</f>
        <v>6328</v>
      </c>
      <c r="P137" s="38" t="s">
        <v>4854</v>
      </c>
      <c r="Q137" s="37" t="str">
        <f>HYPERLINK("http://ms.phosphosite.org:5080/cgi-bin/plot-msms.cgi?MassType=1&amp;NumAxis=1&amp;Mod4=170&amp;Mod8=147&amp;Pep=LDHKFDLMYAK&amp;Dta=/var/www/html/dta/S01/10560.6335.3.dta&amp;Global_Mod=CS57.0215", "6335")</f>
        <v>6335</v>
      </c>
      <c r="R137" s="38" t="s">
        <v>4854</v>
      </c>
      <c r="S137" s="37" t="str">
        <f>HYPERLINK("http://ms.phosphosite.org:5080/cgi-bin/plot-msms.cgi?MassType=1&amp;NumAxis=1&amp;Mod4=170&amp;Mod8=147&amp;Pep=LDHKFDLMYAK&amp;Dta=/var/www/html/dta/S01/10562.6478.3.dta&amp;Global_Mod=CS57.0215", "6478")</f>
        <v>6478</v>
      </c>
      <c r="T137" s="37" t="str">
        <f>HYPERLINK("http://ms.phosphosite.org:5080/cgi-bin/plot-msms.cgi?MassType=1&amp;NumAxis=1&amp;Mod4=170&amp;Mod8=147&amp;Pep=LDHKFDLMYAK&amp;Dta=/var/www/html/dta/S01/10563.6448.3.dta&amp;Global_Mod=CS57.0215", "6448")</f>
        <v>6448</v>
      </c>
      <c r="U137" s="37" t="str">
        <f>HYPERLINK("http://ms.phosphosite.org:5080/cgi-bin/plot-msms.cgi?MassType=1&amp;NumAxis=1&amp;Mod4=170&amp;Mod8=147&amp;Pep=LDHKFDLMYAK&amp;Dta=/var/www/html/dta/S01/10564.6801.3.dta&amp;Global_Mod=CS57.0215", "6801")</f>
        <v>6801</v>
      </c>
      <c r="V137" s="37" t="str">
        <f>HYPERLINK("http://ms.phosphosite.org:5080/cgi-bin/plot-msms.cgi?MassType=1&amp;NumAxis=1&amp;Mod4=170&amp;Mod8=147&amp;Pep=LDHKFDLMYAK&amp;Dta=/var/www/html/dta/S01/10565.6869.3.dta&amp;Global_Mod=CS57.0215", "6869")</f>
        <v>6869</v>
      </c>
      <c r="W137" s="10">
        <v>6358</v>
      </c>
      <c r="X137" s="4" t="s">
        <v>4854</v>
      </c>
      <c r="Y137" s="10">
        <v>6289</v>
      </c>
      <c r="Z137" s="4" t="s">
        <v>4854</v>
      </c>
      <c r="AA137" s="10">
        <v>6433</v>
      </c>
      <c r="AB137" s="10">
        <v>6398</v>
      </c>
      <c r="AC137" s="10">
        <v>6727</v>
      </c>
      <c r="AD137" s="10">
        <v>6823</v>
      </c>
      <c r="AE137" s="91">
        <v>2.6509999999999998</v>
      </c>
      <c r="AF137" s="100" t="s">
        <v>4854</v>
      </c>
      <c r="AG137" s="91">
        <v>3.137</v>
      </c>
      <c r="AH137" s="100" t="s">
        <v>4854</v>
      </c>
      <c r="AI137" s="91">
        <v>2.9689999999999999</v>
      </c>
      <c r="AJ137" s="91">
        <v>2.6379999999999999</v>
      </c>
      <c r="AK137" s="91">
        <v>2.476</v>
      </c>
      <c r="AL137" s="91">
        <v>3.7170000000000001</v>
      </c>
      <c r="AM137" s="95">
        <v>-6.9000000000000006E-2</v>
      </c>
      <c r="AN137" s="103" t="s">
        <v>4854</v>
      </c>
      <c r="AO137" s="95">
        <v>-6.83E-2</v>
      </c>
      <c r="AP137" s="103" t="s">
        <v>4854</v>
      </c>
      <c r="AQ137" s="95">
        <v>-7.8E-2</v>
      </c>
      <c r="AR137" s="95">
        <v>-6.2700000000000006E-2</v>
      </c>
      <c r="AS137" s="95">
        <v>1.38E-2</v>
      </c>
      <c r="AT137" s="95">
        <v>-0.48599999999999999</v>
      </c>
      <c r="AU137" s="95">
        <v>8.4000000000000005E-2</v>
      </c>
      <c r="AV137" s="103" t="s">
        <v>4854</v>
      </c>
      <c r="AW137" s="95">
        <v>0.28899999999999998</v>
      </c>
      <c r="AX137" s="103" t="s">
        <v>4854</v>
      </c>
      <c r="AY137" s="95">
        <v>0.23100000000000001</v>
      </c>
      <c r="AZ137" s="95">
        <v>0.22900000000000001</v>
      </c>
      <c r="BA137" s="95">
        <v>0.20899999999999999</v>
      </c>
      <c r="BB137" s="95">
        <v>0.23899999999999999</v>
      </c>
      <c r="BC137" s="10">
        <v>2</v>
      </c>
      <c r="BD137" s="4" t="s">
        <v>4854</v>
      </c>
      <c r="BE137" s="10">
        <v>1</v>
      </c>
      <c r="BF137" s="4" t="s">
        <v>4854</v>
      </c>
      <c r="BG137" s="10">
        <v>1</v>
      </c>
      <c r="BH137" s="10">
        <v>1</v>
      </c>
      <c r="BI137" s="10">
        <v>1</v>
      </c>
      <c r="BJ137" s="10">
        <v>1</v>
      </c>
      <c r="BK137" s="91">
        <v>0.99</v>
      </c>
      <c r="BL137" s="100" t="s">
        <v>4854</v>
      </c>
      <c r="BM137" s="91">
        <v>1</v>
      </c>
      <c r="BN137" s="100" t="s">
        <v>4854</v>
      </c>
      <c r="BO137" s="91">
        <v>0.999</v>
      </c>
      <c r="BP137" s="91">
        <v>0.999</v>
      </c>
      <c r="BQ137" s="91">
        <v>0.998</v>
      </c>
      <c r="BR137" s="91">
        <v>0.999</v>
      </c>
      <c r="BS137" s="10" t="s">
        <v>4857</v>
      </c>
    </row>
    <row r="138" spans="1:71" s="30" customFormat="1" ht="17.100000000000001" customHeight="1">
      <c r="A138" s="10">
        <v>127</v>
      </c>
      <c r="B138" s="10" t="s">
        <v>4401</v>
      </c>
      <c r="C138" s="4" t="s">
        <v>4715</v>
      </c>
      <c r="D138" s="4" t="s">
        <v>4370</v>
      </c>
      <c r="E138" s="7" t="s">
        <v>4371</v>
      </c>
      <c r="F138" s="10" t="s">
        <v>5328</v>
      </c>
      <c r="G138" s="4" t="s">
        <v>4372</v>
      </c>
      <c r="H138" s="7" t="s">
        <v>4373</v>
      </c>
      <c r="I138" s="4" t="s">
        <v>4374</v>
      </c>
      <c r="J138" s="10" t="s">
        <v>4375</v>
      </c>
      <c r="K138" s="4" t="s">
        <v>5409</v>
      </c>
      <c r="L138" s="4" t="s">
        <v>4298</v>
      </c>
      <c r="M138" s="10">
        <v>3</v>
      </c>
      <c r="N138" s="95">
        <v>532.2731</v>
      </c>
      <c r="O138" s="37" t="str">
        <f>HYPERLINK("http://ms.phosphosite.org:5080/cgi-bin/plot-msms.cgi?MassType=1&amp;NumAxis=1&amp;Mod4=170&amp;Mod8=147&amp;Pep=LDHKFDLMYAKR&amp;Dta=/var/www/html/dta/S01/10558.5180.3.dta&amp;Global_Mod=CS57.0215", "5180")</f>
        <v>5180</v>
      </c>
      <c r="P138" s="38" t="s">
        <v>4854</v>
      </c>
      <c r="Q138" s="38" t="s">
        <v>4854</v>
      </c>
      <c r="R138" s="38" t="s">
        <v>4854</v>
      </c>
      <c r="S138" s="38" t="s">
        <v>4854</v>
      </c>
      <c r="T138" s="38" t="s">
        <v>4854</v>
      </c>
      <c r="U138" s="37" t="str">
        <f>HYPERLINK("http://ms.phosphosite.org:5080/cgi-bin/plot-msms.cgi?MassType=1&amp;NumAxis=1&amp;Mod4=170&amp;Mod8=147&amp;Pep=LDHKFDLMYAKR&amp;Dta=/var/www/html/dta/S01/10564.5477.3.dta&amp;Global_Mod=CS57.0215", "5477")</f>
        <v>5477</v>
      </c>
      <c r="V138" s="37" t="str">
        <f>HYPERLINK("http://ms.phosphosite.org:5080/cgi-bin/plot-msms.cgi?MassType=1&amp;NumAxis=1&amp;Mod4=170&amp;Mod8=147&amp;Pep=LDHKFDLMYAKR&amp;Dta=/var/www/html/dta/S01/10565.5580.3.dta&amp;Global_Mod=CS57.0215", "5580")</f>
        <v>5580</v>
      </c>
      <c r="W138" s="4" t="s">
        <v>4854</v>
      </c>
      <c r="X138" s="4" t="s">
        <v>4854</v>
      </c>
      <c r="Y138" s="4" t="s">
        <v>4854</v>
      </c>
      <c r="Z138" s="4" t="s">
        <v>4854</v>
      </c>
      <c r="AA138" s="4" t="s">
        <v>4854</v>
      </c>
      <c r="AB138" s="4" t="s">
        <v>4854</v>
      </c>
      <c r="AC138" s="4" t="s">
        <v>4854</v>
      </c>
      <c r="AD138" s="10">
        <v>5592</v>
      </c>
      <c r="AE138" s="91">
        <v>1.9650000000000001</v>
      </c>
      <c r="AF138" s="100" t="s">
        <v>4854</v>
      </c>
      <c r="AG138" s="100" t="s">
        <v>4854</v>
      </c>
      <c r="AH138" s="100" t="s">
        <v>4854</v>
      </c>
      <c r="AI138" s="100" t="s">
        <v>4854</v>
      </c>
      <c r="AJ138" s="100" t="s">
        <v>4854</v>
      </c>
      <c r="AK138" s="91">
        <v>2.004</v>
      </c>
      <c r="AL138" s="91">
        <v>2.3929999999999998</v>
      </c>
      <c r="AM138" s="95">
        <v>0.1215</v>
      </c>
      <c r="AN138" s="103" t="s">
        <v>4854</v>
      </c>
      <c r="AO138" s="103" t="s">
        <v>4854</v>
      </c>
      <c r="AP138" s="103" t="s">
        <v>4854</v>
      </c>
      <c r="AQ138" s="103" t="s">
        <v>4854</v>
      </c>
      <c r="AR138" s="103" t="s">
        <v>4854</v>
      </c>
      <c r="AS138" s="95">
        <v>-0.28539999999999999</v>
      </c>
      <c r="AT138" s="95">
        <v>0.1071</v>
      </c>
      <c r="AU138" s="95">
        <v>8.9999999999999993E-3</v>
      </c>
      <c r="AV138" s="103" t="s">
        <v>4854</v>
      </c>
      <c r="AW138" s="103" t="s">
        <v>4854</v>
      </c>
      <c r="AX138" s="103" t="s">
        <v>4854</v>
      </c>
      <c r="AY138" s="103" t="s">
        <v>4854</v>
      </c>
      <c r="AZ138" s="103" t="s">
        <v>4854</v>
      </c>
      <c r="BA138" s="95">
        <v>1.9E-2</v>
      </c>
      <c r="BB138" s="95">
        <v>0.20799999999999999</v>
      </c>
      <c r="BC138" s="10">
        <v>3</v>
      </c>
      <c r="BD138" s="4" t="s">
        <v>4854</v>
      </c>
      <c r="BE138" s="4" t="s">
        <v>4854</v>
      </c>
      <c r="BF138" s="4" t="s">
        <v>4854</v>
      </c>
      <c r="BG138" s="4" t="s">
        <v>4854</v>
      </c>
      <c r="BH138" s="4" t="s">
        <v>4854</v>
      </c>
      <c r="BI138" s="10">
        <v>10</v>
      </c>
      <c r="BJ138" s="10">
        <v>3</v>
      </c>
      <c r="BK138" s="91">
        <v>0.89700000000000002</v>
      </c>
      <c r="BL138" s="100" t="s">
        <v>4854</v>
      </c>
      <c r="BM138" s="100" t="s">
        <v>4854</v>
      </c>
      <c r="BN138" s="100" t="s">
        <v>4854</v>
      </c>
      <c r="BO138" s="100" t="s">
        <v>4854</v>
      </c>
      <c r="BP138" s="100" t="s">
        <v>4854</v>
      </c>
      <c r="BQ138" s="91">
        <v>0.88800000000000001</v>
      </c>
      <c r="BR138" s="91">
        <v>0.997</v>
      </c>
      <c r="BS138" s="10" t="s">
        <v>4857</v>
      </c>
    </row>
    <row r="139" spans="1:71" s="30" customFormat="1" ht="17.100000000000001" customHeight="1">
      <c r="A139" s="14">
        <v>128</v>
      </c>
      <c r="B139" s="5" t="s">
        <v>4299</v>
      </c>
      <c r="C139" s="3" t="s">
        <v>4715</v>
      </c>
      <c r="D139" s="3" t="s">
        <v>4370</v>
      </c>
      <c r="E139" s="6" t="s">
        <v>4371</v>
      </c>
      <c r="F139" s="5" t="s">
        <v>5198</v>
      </c>
      <c r="G139" s="3" t="s">
        <v>4372</v>
      </c>
      <c r="H139" s="6" t="s">
        <v>4373</v>
      </c>
      <c r="I139" s="3" t="s">
        <v>4374</v>
      </c>
      <c r="J139" s="5" t="s">
        <v>4375</v>
      </c>
      <c r="K139" s="3" t="s">
        <v>5410</v>
      </c>
      <c r="L139" s="3" t="s">
        <v>4300</v>
      </c>
      <c r="M139" s="5">
        <v>3</v>
      </c>
      <c r="N139" s="21">
        <v>532.2731</v>
      </c>
      <c r="O139" s="35" t="s">
        <v>4854</v>
      </c>
      <c r="P139" s="35" t="s">
        <v>4854</v>
      </c>
      <c r="Q139" s="35" t="s">
        <v>4854</v>
      </c>
      <c r="R139" s="36" t="str">
        <f>HYPERLINK("http://ms.phosphosite.org:5080/cgi-bin/plot-msms.cgi?MassType=1&amp;NumAxis=1&amp;Mod8=147&amp;Mod11=170&amp;Pep=LDHKFDLMYAKR&amp;Dta=/var/www/html/dta/S01/10561.5189.3.dta&amp;Global_Mod=CS57.0215", "5189")</f>
        <v>5189</v>
      </c>
      <c r="S139" s="35" t="s">
        <v>4854</v>
      </c>
      <c r="T139" s="35" t="s">
        <v>4854</v>
      </c>
      <c r="U139" s="35" t="s">
        <v>4854</v>
      </c>
      <c r="V139" s="35" t="s">
        <v>4854</v>
      </c>
      <c r="W139" s="3" t="s">
        <v>4854</v>
      </c>
      <c r="X139" s="3" t="s">
        <v>4854</v>
      </c>
      <c r="Y139" s="3" t="s">
        <v>4854</v>
      </c>
      <c r="Z139" s="5">
        <v>5128</v>
      </c>
      <c r="AA139" s="3" t="s">
        <v>4854</v>
      </c>
      <c r="AB139" s="3" t="s">
        <v>4854</v>
      </c>
      <c r="AC139" s="3" t="s">
        <v>4854</v>
      </c>
      <c r="AD139" s="3" t="s">
        <v>4854</v>
      </c>
      <c r="AE139" s="99" t="s">
        <v>4854</v>
      </c>
      <c r="AF139" s="99" t="s">
        <v>4854</v>
      </c>
      <c r="AG139" s="99" t="s">
        <v>4854</v>
      </c>
      <c r="AH139" s="90">
        <v>2.3570000000000002</v>
      </c>
      <c r="AI139" s="99" t="s">
        <v>4854</v>
      </c>
      <c r="AJ139" s="99" t="s">
        <v>4854</v>
      </c>
      <c r="AK139" s="99" t="s">
        <v>4854</v>
      </c>
      <c r="AL139" s="99" t="s">
        <v>4854</v>
      </c>
      <c r="AM139" s="102" t="s">
        <v>4854</v>
      </c>
      <c r="AN139" s="102" t="s">
        <v>4854</v>
      </c>
      <c r="AO139" s="102" t="s">
        <v>4854</v>
      </c>
      <c r="AP139" s="21">
        <v>0.31590000000000001</v>
      </c>
      <c r="AQ139" s="102" t="s">
        <v>4854</v>
      </c>
      <c r="AR139" s="102" t="s">
        <v>4854</v>
      </c>
      <c r="AS139" s="102" t="s">
        <v>4854</v>
      </c>
      <c r="AT139" s="102" t="s">
        <v>4854</v>
      </c>
      <c r="AU139" s="102" t="s">
        <v>4854</v>
      </c>
      <c r="AV139" s="102" t="s">
        <v>4854</v>
      </c>
      <c r="AW139" s="102" t="s">
        <v>4854</v>
      </c>
      <c r="AX139" s="21">
        <v>0.105</v>
      </c>
      <c r="AY139" s="102" t="s">
        <v>4854</v>
      </c>
      <c r="AZ139" s="102" t="s">
        <v>4854</v>
      </c>
      <c r="BA139" s="102" t="s">
        <v>4854</v>
      </c>
      <c r="BB139" s="102" t="s">
        <v>4854</v>
      </c>
      <c r="BC139" s="3" t="s">
        <v>4854</v>
      </c>
      <c r="BD139" s="3" t="s">
        <v>4854</v>
      </c>
      <c r="BE139" s="3" t="s">
        <v>4854</v>
      </c>
      <c r="BF139" s="5">
        <v>37</v>
      </c>
      <c r="BG139" s="3" t="s">
        <v>4854</v>
      </c>
      <c r="BH139" s="3" t="s">
        <v>4854</v>
      </c>
      <c r="BI139" s="3" t="s">
        <v>4854</v>
      </c>
      <c r="BJ139" s="3" t="s">
        <v>4854</v>
      </c>
      <c r="BK139" s="99" t="s">
        <v>4854</v>
      </c>
      <c r="BL139" s="99" t="s">
        <v>4854</v>
      </c>
      <c r="BM139" s="99" t="s">
        <v>4854</v>
      </c>
      <c r="BN139" s="90">
        <v>0.97199999999999998</v>
      </c>
      <c r="BO139" s="99" t="s">
        <v>4854</v>
      </c>
      <c r="BP139" s="99" t="s">
        <v>4854</v>
      </c>
      <c r="BQ139" s="99" t="s">
        <v>4854</v>
      </c>
      <c r="BR139" s="99" t="s">
        <v>4854</v>
      </c>
      <c r="BS139" s="5" t="s">
        <v>4857</v>
      </c>
    </row>
    <row r="140" spans="1:71" s="30" customFormat="1" ht="17.100000000000001" customHeight="1">
      <c r="A140" s="10">
        <v>129</v>
      </c>
      <c r="B140" s="10" t="s">
        <v>4301</v>
      </c>
      <c r="C140" s="4" t="s">
        <v>4715</v>
      </c>
      <c r="D140" s="4" t="s">
        <v>4370</v>
      </c>
      <c r="E140" s="7" t="s">
        <v>4371</v>
      </c>
      <c r="F140" s="10" t="s">
        <v>4302</v>
      </c>
      <c r="G140" s="4" t="s">
        <v>4372</v>
      </c>
      <c r="H140" s="7" t="s">
        <v>4373</v>
      </c>
      <c r="I140" s="4" t="s">
        <v>4374</v>
      </c>
      <c r="J140" s="10" t="s">
        <v>4375</v>
      </c>
      <c r="K140" s="4" t="s">
        <v>5411</v>
      </c>
      <c r="L140" s="4" t="s">
        <v>4303</v>
      </c>
      <c r="M140" s="10">
        <v>3</v>
      </c>
      <c r="N140" s="95">
        <v>819.74339999999995</v>
      </c>
      <c r="O140" s="37" t="str">
        <f>HYPERLINK("http://ms.phosphosite.org:5080/cgi-bin/plot-msms.cgi?MassType=1&amp;NumAxis=1&amp;Mod12=170&amp;Pep=QLFHPEQLITGKEDAANNYAR&amp;Dta=/var/www/html/dta/S01/10558.9693.3.dta&amp;Global_Mod=CS57.0215", "9693")</f>
        <v>9693</v>
      </c>
      <c r="P140" s="37" t="str">
        <f>HYPERLINK("http://ms.phosphosite.org:5080/cgi-bin/plot-msms.cgi?MassType=1&amp;NumAxis=1&amp;Mod12=170&amp;Pep=QLFHPEQLITGKEDAANNYAR&amp;Dta=/var/www/html/dta/S01/10559.9664.3.dta&amp;Global_Mod=CS57.0215", "9664")</f>
        <v>9664</v>
      </c>
      <c r="Q140" s="37" t="str">
        <f>HYPERLINK("http://ms.phosphosite.org:5080/cgi-bin/plot-msms.cgi?MassType=1&amp;NumAxis=1&amp;Mod12=170&amp;Pep=QLFHPEQLITGKEDAANNYAR&amp;Dta=/var/www/html/dta/S01/10560.9670.3.dta&amp;Global_Mod=CS57.0215", "9670")</f>
        <v>9670</v>
      </c>
      <c r="R140" s="37" t="str">
        <f>HYPERLINK("http://ms.phosphosite.org:5080/cgi-bin/plot-msms.cgi?MassType=1&amp;NumAxis=1&amp;Mod12=170&amp;Pep=QLFHPEQLITGKEDAANNYAR&amp;Dta=/var/www/html/dta/S01/10561.9675.3.dta&amp;Global_Mod=CS57.0215", "9675")</f>
        <v>9675</v>
      </c>
      <c r="S140" s="37" t="str">
        <f>HYPERLINK("http://ms.phosphosite.org:5080/cgi-bin/plot-msms.cgi?MassType=1&amp;NumAxis=1&amp;Mod12=170&amp;Pep=QLFHPEQLITGKEDAANNYAR&amp;Dta=/var/www/html/dta/S01/10562.9858.3.dta&amp;Global_Mod=CS57.0215", "9858")</f>
        <v>9858</v>
      </c>
      <c r="T140" s="37" t="str">
        <f>HYPERLINK("http://ms.phosphosite.org:5080/cgi-bin/plot-msms.cgi?MassType=1&amp;NumAxis=1&amp;Mod12=170&amp;Pep=QLFHPEQLITGKEDAANNYAR&amp;Dta=/var/www/html/dta/S01/10563.9785.3.dta&amp;Global_Mod=CS57.0215", "9785")</f>
        <v>9785</v>
      </c>
      <c r="U140" s="37" t="str">
        <f>HYPERLINK("http://ms.phosphosite.org:5080/cgi-bin/plot-msms.cgi?MassType=1&amp;NumAxis=1&amp;Mod12=170&amp;Pep=QLFHPEQLITGKEDAANNYAR&amp;Dta=/var/www/html/dta/S01/10564.10350.3.dta&amp;Global_Mod=CS57.0215", "10350")</f>
        <v>10350</v>
      </c>
      <c r="V140" s="37" t="str">
        <f>HYPERLINK("http://ms.phosphosite.org:5080/cgi-bin/plot-msms.cgi?MassType=1&amp;NumAxis=1&amp;Mod12=170&amp;Pep=QLFHPEQLITGKEDAANNYAR&amp;Dta=/var/www/html/dta/S01/10565.10292.3.dta&amp;Global_Mod=CS57.0215", "10292")</f>
        <v>10292</v>
      </c>
      <c r="W140" s="10">
        <v>9723</v>
      </c>
      <c r="X140" s="10">
        <v>9695</v>
      </c>
      <c r="Y140" s="10">
        <v>9710</v>
      </c>
      <c r="Z140" s="10">
        <v>9725</v>
      </c>
      <c r="AA140" s="10">
        <v>9894</v>
      </c>
      <c r="AB140" s="10">
        <v>9841</v>
      </c>
      <c r="AC140" s="10">
        <v>10291</v>
      </c>
      <c r="AD140" s="10">
        <v>10255</v>
      </c>
      <c r="AE140" s="91">
        <v>4.0609999999999999</v>
      </c>
      <c r="AF140" s="91">
        <v>4.78</v>
      </c>
      <c r="AG140" s="91">
        <v>4.7439999999999998</v>
      </c>
      <c r="AH140" s="91">
        <v>5.0439999999999996</v>
      </c>
      <c r="AI140" s="91">
        <v>4.758</v>
      </c>
      <c r="AJ140" s="91">
        <v>3.2330000000000001</v>
      </c>
      <c r="AK140" s="91">
        <v>5.5170000000000003</v>
      </c>
      <c r="AL140" s="91">
        <v>4.9909999999999997</v>
      </c>
      <c r="AM140" s="95">
        <v>0.90200000000000002</v>
      </c>
      <c r="AN140" s="95">
        <v>0.92679999999999996</v>
      </c>
      <c r="AO140" s="95">
        <v>1.2699</v>
      </c>
      <c r="AP140" s="95">
        <v>0.8649</v>
      </c>
      <c r="AQ140" s="95">
        <v>0.7994</v>
      </c>
      <c r="AR140" s="95">
        <v>0.80100000000000005</v>
      </c>
      <c r="AS140" s="95">
        <v>0.71919999999999995</v>
      </c>
      <c r="AT140" s="95">
        <v>0.375</v>
      </c>
      <c r="AU140" s="95">
        <v>0.29899999999999999</v>
      </c>
      <c r="AV140" s="95">
        <v>0.44</v>
      </c>
      <c r="AW140" s="95">
        <v>0.46600000000000003</v>
      </c>
      <c r="AX140" s="95">
        <v>0.44700000000000001</v>
      </c>
      <c r="AY140" s="95">
        <v>0.42</v>
      </c>
      <c r="AZ140" s="95">
        <v>0.28100000000000003</v>
      </c>
      <c r="BA140" s="95">
        <v>0.41799999999999998</v>
      </c>
      <c r="BB140" s="95">
        <v>0.41499999999999998</v>
      </c>
      <c r="BC140" s="10">
        <v>1</v>
      </c>
      <c r="BD140" s="10">
        <v>1</v>
      </c>
      <c r="BE140" s="10">
        <v>1</v>
      </c>
      <c r="BF140" s="10">
        <v>1</v>
      </c>
      <c r="BG140" s="10">
        <v>1</v>
      </c>
      <c r="BH140" s="10">
        <v>1</v>
      </c>
      <c r="BI140" s="10">
        <v>1</v>
      </c>
      <c r="BJ140" s="10">
        <v>1</v>
      </c>
      <c r="BK140" s="91">
        <v>1</v>
      </c>
      <c r="BL140" s="91">
        <v>1</v>
      </c>
      <c r="BM140" s="91">
        <v>1</v>
      </c>
      <c r="BN140" s="91">
        <v>1</v>
      </c>
      <c r="BO140" s="91">
        <v>1</v>
      </c>
      <c r="BP140" s="91">
        <v>1</v>
      </c>
      <c r="BQ140" s="91">
        <v>1</v>
      </c>
      <c r="BR140" s="91">
        <v>1</v>
      </c>
      <c r="BS140" s="10" t="s">
        <v>4857</v>
      </c>
    </row>
    <row r="141" spans="1:71" s="30" customFormat="1" ht="17.100000000000001" customHeight="1">
      <c r="A141" s="10">
        <v>130</v>
      </c>
      <c r="B141" s="10" t="s">
        <v>4304</v>
      </c>
      <c r="C141" s="4" t="s">
        <v>4715</v>
      </c>
      <c r="D141" s="4" t="s">
        <v>4370</v>
      </c>
      <c r="E141" s="7" t="s">
        <v>4371</v>
      </c>
      <c r="F141" s="10" t="s">
        <v>4302</v>
      </c>
      <c r="G141" s="4" t="s">
        <v>4372</v>
      </c>
      <c r="H141" s="7" t="s">
        <v>4373</v>
      </c>
      <c r="I141" s="4" t="s">
        <v>4374</v>
      </c>
      <c r="J141" s="10" t="s">
        <v>4375</v>
      </c>
      <c r="K141" s="4" t="s">
        <v>5411</v>
      </c>
      <c r="L141" s="4" t="s">
        <v>4303</v>
      </c>
      <c r="M141" s="10">
        <v>3</v>
      </c>
      <c r="N141" s="95">
        <v>819.74339999999995</v>
      </c>
      <c r="O141" s="38" t="s">
        <v>4854</v>
      </c>
      <c r="P141" s="38" t="s">
        <v>4854</v>
      </c>
      <c r="Q141" s="37" t="str">
        <f>HYPERLINK("http://ms.phosphosite.org:5080/cgi-bin/plot-msms.cgi?MassType=1&amp;NumAxis=1&amp;Mod12=170&amp;Pep=QLFHPEQLITGKEDAANNYAR&amp;Dta=/var/www/html/dta/S01/10560.9673.3.dta&amp;Global_Mod=CS57.0215", "9673")</f>
        <v>9673</v>
      </c>
      <c r="R141" s="37" t="str">
        <f>HYPERLINK("http://ms.phosphosite.org:5080/cgi-bin/plot-msms.cgi?MassType=1&amp;NumAxis=1&amp;Mod12=170&amp;Pep=QLFHPEQLITGKEDAANNYAR&amp;Dta=/var/www/html/dta/S01/10561.9680.3.dta&amp;Global_Mod=CS57.0215", "9680")</f>
        <v>9680</v>
      </c>
      <c r="S141" s="38" t="s">
        <v>4854</v>
      </c>
      <c r="T141" s="38" t="s">
        <v>4854</v>
      </c>
      <c r="U141" s="37" t="str">
        <f>HYPERLINK("http://ms.phosphosite.org:5080/cgi-bin/plot-msms.cgi?MassType=1&amp;NumAxis=1&amp;Mod12=170&amp;Pep=QLFHPEQLITGKEDAANNYAR&amp;Dta=/var/www/html/dta/S01/10564.10257.3.dta&amp;Global_Mod=CS57.0215", "10257")</f>
        <v>10257</v>
      </c>
      <c r="V141" s="37" t="str">
        <f>HYPERLINK("http://ms.phosphosite.org:5080/cgi-bin/plot-msms.cgi?MassType=1&amp;NumAxis=1&amp;Mod12=170&amp;Pep=QLFHPEQLITGKEDAANNYAR&amp;Dta=/var/www/html/dta/S01/10565.10293.3.dta&amp;Global_Mod=CS57.0215", "10293")</f>
        <v>10293</v>
      </c>
      <c r="W141" s="4" t="s">
        <v>4854</v>
      </c>
      <c r="X141" s="4" t="s">
        <v>4854</v>
      </c>
      <c r="Y141" s="10">
        <v>9710</v>
      </c>
      <c r="Z141" s="10">
        <v>9725</v>
      </c>
      <c r="AA141" s="4" t="s">
        <v>4854</v>
      </c>
      <c r="AB141" s="4" t="s">
        <v>4854</v>
      </c>
      <c r="AC141" s="10">
        <v>10291</v>
      </c>
      <c r="AD141" s="10">
        <v>10255</v>
      </c>
      <c r="AE141" s="100" t="s">
        <v>4854</v>
      </c>
      <c r="AF141" s="100" t="s">
        <v>4854</v>
      </c>
      <c r="AG141" s="91">
        <v>3.3290000000000002</v>
      </c>
      <c r="AH141" s="91">
        <v>3.573</v>
      </c>
      <c r="AI141" s="100" t="s">
        <v>4854</v>
      </c>
      <c r="AJ141" s="100" t="s">
        <v>4854</v>
      </c>
      <c r="AK141" s="91">
        <v>4.2149999999999999</v>
      </c>
      <c r="AL141" s="91">
        <v>3.9910000000000001</v>
      </c>
      <c r="AM141" s="103" t="s">
        <v>4854</v>
      </c>
      <c r="AN141" s="103" t="s">
        <v>4854</v>
      </c>
      <c r="AO141" s="95">
        <v>1.2699</v>
      </c>
      <c r="AP141" s="95">
        <v>0.8649</v>
      </c>
      <c r="AQ141" s="103" t="s">
        <v>4854</v>
      </c>
      <c r="AR141" s="103" t="s">
        <v>4854</v>
      </c>
      <c r="AS141" s="95">
        <v>0.72529999999999994</v>
      </c>
      <c r="AT141" s="95">
        <v>0.375</v>
      </c>
      <c r="AU141" s="103" t="s">
        <v>4854</v>
      </c>
      <c r="AV141" s="103" t="s">
        <v>4854</v>
      </c>
      <c r="AW141" s="95">
        <v>0.35899999999999999</v>
      </c>
      <c r="AX141" s="95">
        <v>0.374</v>
      </c>
      <c r="AY141" s="103" t="s">
        <v>4854</v>
      </c>
      <c r="AZ141" s="103" t="s">
        <v>4854</v>
      </c>
      <c r="BA141" s="95">
        <v>0.46400000000000002</v>
      </c>
      <c r="BB141" s="95">
        <v>0.3</v>
      </c>
      <c r="BC141" s="4" t="s">
        <v>4854</v>
      </c>
      <c r="BD141" s="4" t="s">
        <v>4854</v>
      </c>
      <c r="BE141" s="10">
        <v>1</v>
      </c>
      <c r="BF141" s="10">
        <v>1</v>
      </c>
      <c r="BG141" s="4" t="s">
        <v>4854</v>
      </c>
      <c r="BH141" s="4" t="s">
        <v>4854</v>
      </c>
      <c r="BI141" s="10">
        <v>1</v>
      </c>
      <c r="BJ141" s="10">
        <v>1</v>
      </c>
      <c r="BK141" s="100" t="s">
        <v>4854</v>
      </c>
      <c r="BL141" s="100" t="s">
        <v>4854</v>
      </c>
      <c r="BM141" s="91">
        <v>1</v>
      </c>
      <c r="BN141" s="91">
        <v>1</v>
      </c>
      <c r="BO141" s="100" t="s">
        <v>4854</v>
      </c>
      <c r="BP141" s="100" t="s">
        <v>4854</v>
      </c>
      <c r="BQ141" s="91">
        <v>1</v>
      </c>
      <c r="BR141" s="91">
        <v>1</v>
      </c>
      <c r="BS141" s="10" t="s">
        <v>4857</v>
      </c>
    </row>
    <row r="142" spans="1:71" s="30" customFormat="1" ht="17.100000000000001" customHeight="1">
      <c r="A142" s="10">
        <v>131</v>
      </c>
      <c r="B142" s="10" t="s">
        <v>4305</v>
      </c>
      <c r="C142" s="4" t="s">
        <v>4715</v>
      </c>
      <c r="D142" s="4" t="s">
        <v>4370</v>
      </c>
      <c r="E142" s="7" t="s">
        <v>4371</v>
      </c>
      <c r="F142" s="10" t="s">
        <v>4302</v>
      </c>
      <c r="G142" s="4" t="s">
        <v>4372</v>
      </c>
      <c r="H142" s="7" t="s">
        <v>4373</v>
      </c>
      <c r="I142" s="4" t="s">
        <v>4374</v>
      </c>
      <c r="J142" s="10" t="s">
        <v>4375</v>
      </c>
      <c r="K142" s="4" t="s">
        <v>5411</v>
      </c>
      <c r="L142" s="4" t="s">
        <v>4303</v>
      </c>
      <c r="M142" s="10">
        <v>3</v>
      </c>
      <c r="N142" s="95">
        <v>819.74339999999995</v>
      </c>
      <c r="O142" s="38" t="s">
        <v>4854</v>
      </c>
      <c r="P142" s="38" t="s">
        <v>4854</v>
      </c>
      <c r="Q142" s="38" t="s">
        <v>4854</v>
      </c>
      <c r="R142" s="38" t="s">
        <v>4854</v>
      </c>
      <c r="S142" s="38" t="s">
        <v>4854</v>
      </c>
      <c r="T142" s="38" t="s">
        <v>4854</v>
      </c>
      <c r="U142" s="37" t="str">
        <f>HYPERLINK("http://ms.phosphosite.org:5080/cgi-bin/plot-msms.cgi?MassType=1&amp;NumAxis=1&amp;Mod12=170&amp;Pep=QLFHPEQLITGKEDAANNYAR&amp;Dta=/var/www/html/dta/S01/10564.10351.3.dta&amp;Global_Mod=CS57.0215", "10351")</f>
        <v>10351</v>
      </c>
      <c r="V142" s="37" t="str">
        <f>HYPERLINK("http://ms.phosphosite.org:5080/cgi-bin/plot-msms.cgi?MassType=1&amp;NumAxis=1&amp;Mod12=170&amp;Pep=QLFHPEQLITGKEDAANNYAR&amp;Dta=/var/www/html/dta/S01/10565.10198.3.dta&amp;Global_Mod=CS57.0215", "10198")</f>
        <v>10198</v>
      </c>
      <c r="W142" s="4" t="s">
        <v>4854</v>
      </c>
      <c r="X142" s="4" t="s">
        <v>4854</v>
      </c>
      <c r="Y142" s="4" t="s">
        <v>4854</v>
      </c>
      <c r="Z142" s="4" t="s">
        <v>4854</v>
      </c>
      <c r="AA142" s="4" t="s">
        <v>4854</v>
      </c>
      <c r="AB142" s="4" t="s">
        <v>4854</v>
      </c>
      <c r="AC142" s="10">
        <v>10291</v>
      </c>
      <c r="AD142" s="10">
        <v>10255</v>
      </c>
      <c r="AE142" s="100" t="s">
        <v>4854</v>
      </c>
      <c r="AF142" s="100" t="s">
        <v>4854</v>
      </c>
      <c r="AG142" s="100" t="s">
        <v>4854</v>
      </c>
      <c r="AH142" s="100" t="s">
        <v>4854</v>
      </c>
      <c r="AI142" s="100" t="s">
        <v>4854</v>
      </c>
      <c r="AJ142" s="100" t="s">
        <v>4854</v>
      </c>
      <c r="AK142" s="91">
        <v>2.87</v>
      </c>
      <c r="AL142" s="91">
        <v>3.2080000000000002</v>
      </c>
      <c r="AM142" s="103" t="s">
        <v>4854</v>
      </c>
      <c r="AN142" s="103" t="s">
        <v>4854</v>
      </c>
      <c r="AO142" s="103" t="s">
        <v>4854</v>
      </c>
      <c r="AP142" s="103" t="s">
        <v>4854</v>
      </c>
      <c r="AQ142" s="103" t="s">
        <v>4854</v>
      </c>
      <c r="AR142" s="103" t="s">
        <v>4854</v>
      </c>
      <c r="AS142" s="95">
        <v>0.71919999999999995</v>
      </c>
      <c r="AT142" s="95">
        <v>0.33339999999999997</v>
      </c>
      <c r="AU142" s="103" t="s">
        <v>4854</v>
      </c>
      <c r="AV142" s="103" t="s">
        <v>4854</v>
      </c>
      <c r="AW142" s="103" t="s">
        <v>4854</v>
      </c>
      <c r="AX142" s="103" t="s">
        <v>4854</v>
      </c>
      <c r="AY142" s="103" t="s">
        <v>4854</v>
      </c>
      <c r="AZ142" s="103" t="s">
        <v>4854</v>
      </c>
      <c r="BA142" s="95">
        <v>0.1</v>
      </c>
      <c r="BB142" s="95">
        <v>0.33400000000000002</v>
      </c>
      <c r="BC142" s="4" t="s">
        <v>4854</v>
      </c>
      <c r="BD142" s="4" t="s">
        <v>4854</v>
      </c>
      <c r="BE142" s="4" t="s">
        <v>4854</v>
      </c>
      <c r="BF142" s="4" t="s">
        <v>4854</v>
      </c>
      <c r="BG142" s="4" t="s">
        <v>4854</v>
      </c>
      <c r="BH142" s="4" t="s">
        <v>4854</v>
      </c>
      <c r="BI142" s="10">
        <v>1</v>
      </c>
      <c r="BJ142" s="10">
        <v>2</v>
      </c>
      <c r="BK142" s="100" t="s">
        <v>4854</v>
      </c>
      <c r="BL142" s="100" t="s">
        <v>4854</v>
      </c>
      <c r="BM142" s="100" t="s">
        <v>4854</v>
      </c>
      <c r="BN142" s="100" t="s">
        <v>4854</v>
      </c>
      <c r="BO142" s="100" t="s">
        <v>4854</v>
      </c>
      <c r="BP142" s="100" t="s">
        <v>4854</v>
      </c>
      <c r="BQ142" s="91">
        <v>0.99099999999999999</v>
      </c>
      <c r="BR142" s="91">
        <v>1</v>
      </c>
      <c r="BS142" s="10" t="s">
        <v>4857</v>
      </c>
    </row>
    <row r="143" spans="1:71" s="30" customFormat="1" ht="17.100000000000001" customHeight="1">
      <c r="A143" s="14">
        <v>132</v>
      </c>
      <c r="B143" s="5" t="s">
        <v>4306</v>
      </c>
      <c r="C143" s="3" t="s">
        <v>4715</v>
      </c>
      <c r="D143" s="3" t="s">
        <v>4307</v>
      </c>
      <c r="E143" s="6" t="s">
        <v>4308</v>
      </c>
      <c r="F143" s="5" t="s">
        <v>4975</v>
      </c>
      <c r="G143" s="3" t="s">
        <v>4309</v>
      </c>
      <c r="H143" s="6" t="s">
        <v>4310</v>
      </c>
      <c r="I143" s="3" t="s">
        <v>4311</v>
      </c>
      <c r="J143" s="5" t="s">
        <v>4535</v>
      </c>
      <c r="K143" s="3" t="s">
        <v>5412</v>
      </c>
      <c r="L143" s="3" t="s">
        <v>4312</v>
      </c>
      <c r="M143" s="5">
        <v>2</v>
      </c>
      <c r="N143" s="21">
        <v>617.31970000000001</v>
      </c>
      <c r="O143" s="35" t="s">
        <v>4854</v>
      </c>
      <c r="P143" s="36" t="str">
        <f>HYPERLINK("http://ms.phosphosite.org:5080/cgi-bin/plot-msms.cgi?MassType=1&amp;NumAxis=1&amp;Mod4=170&amp;Pep=ISEKEEVTTR&amp;Dta=/var/www/html/dta/S01/10559.3042.2.dta&amp;Global_Mod=CS57.0215", "3042")</f>
        <v>3042</v>
      </c>
      <c r="Q143" s="36" t="str">
        <f>HYPERLINK("http://ms.phosphosite.org:5080/cgi-bin/plot-msms.cgi?MassType=1&amp;NumAxis=1&amp;Mod4=170&amp;Pep=ISEKEEVTTR&amp;Dta=/var/www/html/dta/S01/10560.3024.2.dta&amp;Global_Mod=CS57.0215", "3024")</f>
        <v>3024</v>
      </c>
      <c r="R143" s="36" t="str">
        <f>HYPERLINK("http://ms.phosphosite.org:5080/cgi-bin/plot-msms.cgi?MassType=1&amp;NumAxis=1&amp;Mod4=170&amp;Pep=ISEKEEVTTR&amp;Dta=/var/www/html/dta/S01/10561.3045.2.dta&amp;Global_Mod=CS57.0215", "3045")</f>
        <v>3045</v>
      </c>
      <c r="S143" s="36" t="str">
        <f>HYPERLINK("http://ms.phosphosite.org:5080/cgi-bin/plot-msms.cgi?MassType=1&amp;NumAxis=1&amp;Mod4=170&amp;Pep=ISEKEEVTTR&amp;Dta=/var/www/html/dta/S01/10562.3135.2.dta&amp;Global_Mod=CS57.0215", "3135")</f>
        <v>3135</v>
      </c>
      <c r="T143" s="36" t="str">
        <f>HYPERLINK("http://ms.phosphosite.org:5080/cgi-bin/plot-msms.cgi?MassType=1&amp;NumAxis=1&amp;Mod4=170&amp;Pep=ISEKEEVTTR&amp;Dta=/var/www/html/dta/S01/10563.3068.2.dta&amp;Global_Mod=CS57.0215", "3068")</f>
        <v>3068</v>
      </c>
      <c r="U143" s="35" t="s">
        <v>4854</v>
      </c>
      <c r="V143" s="35" t="s">
        <v>4854</v>
      </c>
      <c r="W143" s="3" t="s">
        <v>4854</v>
      </c>
      <c r="X143" s="5">
        <v>3057</v>
      </c>
      <c r="Y143" s="5">
        <v>3036</v>
      </c>
      <c r="Z143" s="5">
        <v>3053</v>
      </c>
      <c r="AA143" s="5">
        <v>3152</v>
      </c>
      <c r="AB143" s="5">
        <v>3075</v>
      </c>
      <c r="AC143" s="3" t="s">
        <v>4854</v>
      </c>
      <c r="AD143" s="3" t="s">
        <v>4854</v>
      </c>
      <c r="AE143" s="99" t="s">
        <v>4854</v>
      </c>
      <c r="AF143" s="90">
        <v>3.4380000000000002</v>
      </c>
      <c r="AG143" s="90">
        <v>3.63</v>
      </c>
      <c r="AH143" s="90">
        <v>3.2090000000000001</v>
      </c>
      <c r="AI143" s="90">
        <v>3.3849999999999998</v>
      </c>
      <c r="AJ143" s="90">
        <v>3.2290000000000001</v>
      </c>
      <c r="AK143" s="99" t="s">
        <v>4854</v>
      </c>
      <c r="AL143" s="99" t="s">
        <v>4854</v>
      </c>
      <c r="AM143" s="102" t="s">
        <v>4854</v>
      </c>
      <c r="AN143" s="21">
        <v>0.25259999999999999</v>
      </c>
      <c r="AO143" s="21">
        <v>0.43819999999999998</v>
      </c>
      <c r="AP143" s="21">
        <v>0.4042</v>
      </c>
      <c r="AQ143" s="21">
        <v>2.64E-2</v>
      </c>
      <c r="AR143" s="21">
        <v>0.49330000000000002</v>
      </c>
      <c r="AS143" s="102" t="s">
        <v>4854</v>
      </c>
      <c r="AT143" s="102" t="s">
        <v>4854</v>
      </c>
      <c r="AU143" s="102" t="s">
        <v>4854</v>
      </c>
      <c r="AV143" s="21">
        <v>0.39900000000000002</v>
      </c>
      <c r="AW143" s="21">
        <v>0.38400000000000001</v>
      </c>
      <c r="AX143" s="21">
        <v>0.28199999999999997</v>
      </c>
      <c r="AY143" s="21">
        <v>0.33500000000000002</v>
      </c>
      <c r="AZ143" s="21">
        <v>0.38600000000000001</v>
      </c>
      <c r="BA143" s="102" t="s">
        <v>4854</v>
      </c>
      <c r="BB143" s="102" t="s">
        <v>4854</v>
      </c>
      <c r="BC143" s="3" t="s">
        <v>4854</v>
      </c>
      <c r="BD143" s="5">
        <v>1</v>
      </c>
      <c r="BE143" s="5">
        <v>1</v>
      </c>
      <c r="BF143" s="5">
        <v>1</v>
      </c>
      <c r="BG143" s="5">
        <v>1</v>
      </c>
      <c r="BH143" s="5">
        <v>1</v>
      </c>
      <c r="BI143" s="3" t="s">
        <v>4854</v>
      </c>
      <c r="BJ143" s="3" t="s">
        <v>4854</v>
      </c>
      <c r="BK143" s="99" t="s">
        <v>4854</v>
      </c>
      <c r="BL143" s="90">
        <v>1</v>
      </c>
      <c r="BM143" s="90">
        <v>1</v>
      </c>
      <c r="BN143" s="90">
        <v>1</v>
      </c>
      <c r="BO143" s="90">
        <v>1</v>
      </c>
      <c r="BP143" s="90">
        <v>1</v>
      </c>
      <c r="BQ143" s="99" t="s">
        <v>4854</v>
      </c>
      <c r="BR143" s="99" t="s">
        <v>4854</v>
      </c>
      <c r="BS143" s="5" t="s">
        <v>4857</v>
      </c>
    </row>
    <row r="144" spans="1:71" s="30" customFormat="1" ht="17.100000000000001" customHeight="1">
      <c r="A144" s="10">
        <v>133</v>
      </c>
      <c r="B144" s="10" t="s">
        <v>4313</v>
      </c>
      <c r="C144" s="4" t="s">
        <v>4715</v>
      </c>
      <c r="D144" s="4" t="s">
        <v>4314</v>
      </c>
      <c r="E144" s="7" t="s">
        <v>4315</v>
      </c>
      <c r="F144" s="10" t="s">
        <v>4463</v>
      </c>
      <c r="G144" s="4" t="s">
        <v>4316</v>
      </c>
      <c r="H144" s="7" t="s">
        <v>4317</v>
      </c>
      <c r="I144" s="4" t="s">
        <v>4318</v>
      </c>
      <c r="J144" s="10" t="s">
        <v>4680</v>
      </c>
      <c r="K144" s="4" t="s">
        <v>5413</v>
      </c>
      <c r="L144" s="4" t="s">
        <v>4319</v>
      </c>
      <c r="M144" s="10">
        <v>2</v>
      </c>
      <c r="N144" s="95">
        <v>487.79270000000002</v>
      </c>
      <c r="O144" s="38" t="s">
        <v>4854</v>
      </c>
      <c r="P144" s="38" t="s">
        <v>4854</v>
      </c>
      <c r="Q144" s="38" t="s">
        <v>4854</v>
      </c>
      <c r="R144" s="37" t="str">
        <f>HYPERLINK("http://ms.phosphosite.org:5080/cgi-bin/plot-msms.cgi?MassType=1&amp;NumAxis=1&amp;Mod7=170&amp;Pep=ILQAGFKR&amp;Dta=/var/www/html/dta/S01/10561.4802.2.dta&amp;Global_Mod=CS57.0215", "4802")</f>
        <v>4802</v>
      </c>
      <c r="S144" s="38" t="s">
        <v>4854</v>
      </c>
      <c r="T144" s="38" t="s">
        <v>4854</v>
      </c>
      <c r="U144" s="38" t="s">
        <v>4854</v>
      </c>
      <c r="V144" s="38" t="s">
        <v>4854</v>
      </c>
      <c r="W144" s="4" t="s">
        <v>4854</v>
      </c>
      <c r="X144" s="4" t="s">
        <v>4854</v>
      </c>
      <c r="Y144" s="4" t="s">
        <v>4854</v>
      </c>
      <c r="Z144" s="10">
        <v>4809</v>
      </c>
      <c r="AA144" s="4" t="s">
        <v>4854</v>
      </c>
      <c r="AB144" s="4" t="s">
        <v>4854</v>
      </c>
      <c r="AC144" s="4" t="s">
        <v>4854</v>
      </c>
      <c r="AD144" s="4" t="s">
        <v>4854</v>
      </c>
      <c r="AE144" s="100" t="s">
        <v>4854</v>
      </c>
      <c r="AF144" s="100" t="s">
        <v>4854</v>
      </c>
      <c r="AG144" s="100" t="s">
        <v>4854</v>
      </c>
      <c r="AH144" s="91">
        <v>2.0470000000000002</v>
      </c>
      <c r="AI144" s="100" t="s">
        <v>4854</v>
      </c>
      <c r="AJ144" s="100" t="s">
        <v>4854</v>
      </c>
      <c r="AK144" s="100" t="s">
        <v>4854</v>
      </c>
      <c r="AL144" s="100" t="s">
        <v>4854</v>
      </c>
      <c r="AM144" s="103" t="s">
        <v>4854</v>
      </c>
      <c r="AN144" s="103" t="s">
        <v>4854</v>
      </c>
      <c r="AO144" s="103" t="s">
        <v>4854</v>
      </c>
      <c r="AP144" s="95">
        <v>0.59950000000000003</v>
      </c>
      <c r="AQ144" s="103" t="s">
        <v>4854</v>
      </c>
      <c r="AR144" s="103" t="s">
        <v>4854</v>
      </c>
      <c r="AS144" s="103" t="s">
        <v>4854</v>
      </c>
      <c r="AT144" s="103" t="s">
        <v>4854</v>
      </c>
      <c r="AU144" s="103" t="s">
        <v>4854</v>
      </c>
      <c r="AV144" s="103" t="s">
        <v>4854</v>
      </c>
      <c r="AW144" s="103" t="s">
        <v>4854</v>
      </c>
      <c r="AX144" s="95">
        <v>9.8000000000000004E-2</v>
      </c>
      <c r="AY144" s="103" t="s">
        <v>4854</v>
      </c>
      <c r="AZ144" s="103" t="s">
        <v>4854</v>
      </c>
      <c r="BA144" s="103" t="s">
        <v>4854</v>
      </c>
      <c r="BB144" s="103" t="s">
        <v>4854</v>
      </c>
      <c r="BC144" s="4" t="s">
        <v>4854</v>
      </c>
      <c r="BD144" s="4" t="s">
        <v>4854</v>
      </c>
      <c r="BE144" s="4" t="s">
        <v>4854</v>
      </c>
      <c r="BF144" s="10">
        <v>1</v>
      </c>
      <c r="BG144" s="4" t="s">
        <v>4854</v>
      </c>
      <c r="BH144" s="4" t="s">
        <v>4854</v>
      </c>
      <c r="BI144" s="4" t="s">
        <v>4854</v>
      </c>
      <c r="BJ144" s="4" t="s">
        <v>4854</v>
      </c>
      <c r="BK144" s="100" t="s">
        <v>4854</v>
      </c>
      <c r="BL144" s="100" t="s">
        <v>4854</v>
      </c>
      <c r="BM144" s="100" t="s">
        <v>4854</v>
      </c>
      <c r="BN144" s="91">
        <v>0.998</v>
      </c>
      <c r="BO144" s="100" t="s">
        <v>4854</v>
      </c>
      <c r="BP144" s="100" t="s">
        <v>4854</v>
      </c>
      <c r="BQ144" s="100" t="s">
        <v>4854</v>
      </c>
      <c r="BR144" s="100" t="s">
        <v>4854</v>
      </c>
      <c r="BS144" s="10" t="s">
        <v>4857</v>
      </c>
    </row>
    <row r="145" spans="1:71" s="30" customFormat="1" ht="17.100000000000001" customHeight="1">
      <c r="A145" s="14">
        <v>134</v>
      </c>
      <c r="B145" s="5" t="s">
        <v>4320</v>
      </c>
      <c r="C145" s="3" t="s">
        <v>4715</v>
      </c>
      <c r="D145" s="3" t="s">
        <v>4321</v>
      </c>
      <c r="E145" s="6" t="s">
        <v>4322</v>
      </c>
      <c r="F145" s="5" t="s">
        <v>4675</v>
      </c>
      <c r="G145" s="3" t="s">
        <v>4323</v>
      </c>
      <c r="H145" s="6" t="s">
        <v>4324</v>
      </c>
      <c r="I145" s="3" t="s">
        <v>4325</v>
      </c>
      <c r="J145" s="5" t="s">
        <v>4593</v>
      </c>
      <c r="K145" s="3" t="s">
        <v>5414</v>
      </c>
      <c r="L145" s="3" t="s">
        <v>4326</v>
      </c>
      <c r="M145" s="5">
        <v>4</v>
      </c>
      <c r="N145" s="21">
        <v>666.34860000000003</v>
      </c>
      <c r="O145" s="35" t="s">
        <v>4854</v>
      </c>
      <c r="P145" s="36" t="str">
        <f>HYPERLINK("http://ms.phosphosite.org:5080/cgi-bin/plot-msms.cgi?MassType=1&amp;NumAxis=1&amp;Mod4=147&amp;Mod5=147&amp;Mod17=147&amp;Mod20=170&amp;Pep=AAQMMGEKQSLRPALLMLQKQLS&amp;Dta=/var/www/html/dta/S01/10559.14358.4.dta&amp;Global_Mod=CS57.0215", "14358")</f>
        <v>14358</v>
      </c>
      <c r="Q145" s="35" t="s">
        <v>4854</v>
      </c>
      <c r="R145" s="35" t="s">
        <v>4854</v>
      </c>
      <c r="S145" s="35" t="s">
        <v>4854</v>
      </c>
      <c r="T145" s="35" t="s">
        <v>4854</v>
      </c>
      <c r="U145" s="35" t="s">
        <v>4854</v>
      </c>
      <c r="V145" s="35" t="s">
        <v>4854</v>
      </c>
      <c r="W145" s="3" t="s">
        <v>4854</v>
      </c>
      <c r="X145" s="3" t="s">
        <v>4854</v>
      </c>
      <c r="Y145" s="3" t="s">
        <v>4854</v>
      </c>
      <c r="Z145" s="3" t="s">
        <v>4854</v>
      </c>
      <c r="AA145" s="3" t="s">
        <v>4854</v>
      </c>
      <c r="AB145" s="3" t="s">
        <v>4854</v>
      </c>
      <c r="AC145" s="3" t="s">
        <v>4854</v>
      </c>
      <c r="AD145" s="3" t="s">
        <v>4854</v>
      </c>
      <c r="AE145" s="99" t="s">
        <v>4854</v>
      </c>
      <c r="AF145" s="90">
        <v>3.1070000000000002</v>
      </c>
      <c r="AG145" s="99" t="s">
        <v>4854</v>
      </c>
      <c r="AH145" s="99" t="s">
        <v>4854</v>
      </c>
      <c r="AI145" s="99" t="s">
        <v>4854</v>
      </c>
      <c r="AJ145" s="99" t="s">
        <v>4854</v>
      </c>
      <c r="AK145" s="99" t="s">
        <v>4854</v>
      </c>
      <c r="AL145" s="99" t="s">
        <v>4854</v>
      </c>
      <c r="AM145" s="102" t="s">
        <v>4854</v>
      </c>
      <c r="AN145" s="21">
        <v>-3.5799999999999998E-2</v>
      </c>
      <c r="AO145" s="102" t="s">
        <v>4854</v>
      </c>
      <c r="AP145" s="102" t="s">
        <v>4854</v>
      </c>
      <c r="AQ145" s="102" t="s">
        <v>4854</v>
      </c>
      <c r="AR145" s="102" t="s">
        <v>4854</v>
      </c>
      <c r="AS145" s="102" t="s">
        <v>4854</v>
      </c>
      <c r="AT145" s="102" t="s">
        <v>4854</v>
      </c>
      <c r="AU145" s="102" t="s">
        <v>4854</v>
      </c>
      <c r="AV145" s="21">
        <v>3.2000000000000001E-2</v>
      </c>
      <c r="AW145" s="102" t="s">
        <v>4854</v>
      </c>
      <c r="AX145" s="102" t="s">
        <v>4854</v>
      </c>
      <c r="AY145" s="102" t="s">
        <v>4854</v>
      </c>
      <c r="AZ145" s="102" t="s">
        <v>4854</v>
      </c>
      <c r="BA145" s="102" t="s">
        <v>4854</v>
      </c>
      <c r="BB145" s="102" t="s">
        <v>4854</v>
      </c>
      <c r="BC145" s="3" t="s">
        <v>4854</v>
      </c>
      <c r="BD145" s="5">
        <v>1</v>
      </c>
      <c r="BE145" s="3" t="s">
        <v>4854</v>
      </c>
      <c r="BF145" s="3" t="s">
        <v>4854</v>
      </c>
      <c r="BG145" s="3" t="s">
        <v>4854</v>
      </c>
      <c r="BH145" s="3" t="s">
        <v>4854</v>
      </c>
      <c r="BI145" s="3" t="s">
        <v>4854</v>
      </c>
      <c r="BJ145" s="3" t="s">
        <v>4854</v>
      </c>
      <c r="BK145" s="99" t="s">
        <v>4854</v>
      </c>
      <c r="BL145" s="90">
        <v>0.20699999999999999</v>
      </c>
      <c r="BM145" s="99" t="s">
        <v>4854</v>
      </c>
      <c r="BN145" s="99" t="s">
        <v>4854</v>
      </c>
      <c r="BO145" s="99" t="s">
        <v>4854</v>
      </c>
      <c r="BP145" s="99" t="s">
        <v>4854</v>
      </c>
      <c r="BQ145" s="99" t="s">
        <v>4854</v>
      </c>
      <c r="BR145" s="99" t="s">
        <v>4854</v>
      </c>
      <c r="BS145" s="5" t="s">
        <v>4857</v>
      </c>
    </row>
    <row r="146" spans="1:71" s="30" customFormat="1" ht="17.100000000000001" customHeight="1">
      <c r="A146" s="10">
        <v>135</v>
      </c>
      <c r="B146" s="10" t="s">
        <v>4327</v>
      </c>
      <c r="C146" s="4" t="s">
        <v>4715</v>
      </c>
      <c r="D146" s="4" t="s">
        <v>4328</v>
      </c>
      <c r="E146" s="4" t="s">
        <v>4329</v>
      </c>
      <c r="F146" s="10" t="s">
        <v>4330</v>
      </c>
      <c r="G146" s="4" t="s">
        <v>4331</v>
      </c>
      <c r="H146" s="7" t="s">
        <v>4332</v>
      </c>
      <c r="I146" s="4" t="s">
        <v>4333</v>
      </c>
      <c r="J146" s="10" t="s">
        <v>4334</v>
      </c>
      <c r="K146" s="4" t="s">
        <v>5415</v>
      </c>
      <c r="L146" s="4" t="s">
        <v>4335</v>
      </c>
      <c r="M146" s="10">
        <v>2</v>
      </c>
      <c r="N146" s="95">
        <v>707.31380000000001</v>
      </c>
      <c r="O146" s="37" t="str">
        <f>HYPERLINK("http://ms.phosphosite.org:5080/cgi-bin/plot-msms.cgi?MassType=1&amp;NumAxis=1&amp;Mod4=160&amp;Mod8=170&amp;Pep=DAYCSEEKELK&amp;Dta=/var/www/html/dta/S01/10558.4385.2.dta&amp;Global_Mod=CS57.0215", "4385")</f>
        <v>4385</v>
      </c>
      <c r="P146" s="37" t="str">
        <f>HYPERLINK("http://ms.phosphosite.org:5080/cgi-bin/plot-msms.cgi?MassType=1&amp;NumAxis=1&amp;Mod4=160&amp;Mod8=170&amp;Pep=DAYCSEEKELK&amp;Dta=/var/www/html/dta/S01/10559.4299.2.dta&amp;Global_Mod=CS57.0215", "4299")</f>
        <v>4299</v>
      </c>
      <c r="Q146" s="37" t="str">
        <f>HYPERLINK("http://ms.phosphosite.org:5080/cgi-bin/plot-msms.cgi?MassType=1&amp;NumAxis=1&amp;Mod4=160&amp;Mod8=170&amp;Pep=DAYCSEEKELK&amp;Dta=/var/www/html/dta/S01/10560.4267.2.dta&amp;Global_Mod=CS57.0215", "4267")</f>
        <v>4267</v>
      </c>
      <c r="R146" s="37" t="str">
        <f>HYPERLINK("http://ms.phosphosite.org:5080/cgi-bin/plot-msms.cgi?MassType=1&amp;NumAxis=1&amp;Mod4=160&amp;Mod8=170&amp;Pep=DAYCSEEKELK&amp;Dta=/var/www/html/dta/S01/10561.4296.2.dta&amp;Global_Mod=CS57.0215", "4296")</f>
        <v>4296</v>
      </c>
      <c r="S146" s="37" t="str">
        <f>HYPERLINK("http://ms.phosphosite.org:5080/cgi-bin/plot-msms.cgi?MassType=1&amp;NumAxis=1&amp;Mod4=160&amp;Mod8=170&amp;Pep=DAYCSEEKELK&amp;Dta=/var/www/html/dta/S01/10562.4430.2.dta&amp;Global_Mod=CS57.0215", "4430")</f>
        <v>4430</v>
      </c>
      <c r="T146" s="37" t="str">
        <f>HYPERLINK("http://ms.phosphosite.org:5080/cgi-bin/plot-msms.cgi?MassType=1&amp;NumAxis=1&amp;Mod4=160&amp;Mod8=170&amp;Pep=DAYCSEEKELK&amp;Dta=/var/www/html/dta/S01/10563.4349.2.dta&amp;Global_Mod=CS57.0215", "4349")</f>
        <v>4349</v>
      </c>
      <c r="U146" s="37" t="str">
        <f>HYPERLINK("http://ms.phosphosite.org:5080/cgi-bin/plot-msms.cgi?MassType=1&amp;NumAxis=1&amp;Mod4=160&amp;Mod8=170&amp;Pep=DAYCSEEKELK&amp;Dta=/var/www/html/dta/S01/10564.4708.2.dta&amp;Global_Mod=CS57.0215", "4708")</f>
        <v>4708</v>
      </c>
      <c r="V146" s="38" t="s">
        <v>4854</v>
      </c>
      <c r="W146" s="10">
        <v>4388</v>
      </c>
      <c r="X146" s="10">
        <v>4305</v>
      </c>
      <c r="Y146" s="10">
        <v>4279</v>
      </c>
      <c r="Z146" s="10">
        <v>4303</v>
      </c>
      <c r="AA146" s="10">
        <v>4421</v>
      </c>
      <c r="AB146" s="10">
        <v>4354</v>
      </c>
      <c r="AC146" s="10">
        <v>4692</v>
      </c>
      <c r="AD146" s="4" t="s">
        <v>4854</v>
      </c>
      <c r="AE146" s="91">
        <v>2.8490000000000002</v>
      </c>
      <c r="AF146" s="91">
        <v>2.7189999999999999</v>
      </c>
      <c r="AG146" s="91">
        <v>2.5710000000000002</v>
      </c>
      <c r="AH146" s="91">
        <v>3.145</v>
      </c>
      <c r="AI146" s="91">
        <v>2.6139999999999999</v>
      </c>
      <c r="AJ146" s="91">
        <v>2.7330000000000001</v>
      </c>
      <c r="AK146" s="91">
        <v>2.4740000000000002</v>
      </c>
      <c r="AL146" s="100" t="s">
        <v>4854</v>
      </c>
      <c r="AM146" s="95">
        <v>0.52549999999999997</v>
      </c>
      <c r="AN146" s="95">
        <v>0.31469999999999998</v>
      </c>
      <c r="AO146" s="95">
        <v>0.37769999999999998</v>
      </c>
      <c r="AP146" s="95">
        <v>0.7823</v>
      </c>
      <c r="AQ146" s="95">
        <v>0.88490000000000002</v>
      </c>
      <c r="AR146" s="95">
        <v>0.2369</v>
      </c>
      <c r="AS146" s="95">
        <v>0.48730000000000001</v>
      </c>
      <c r="AT146" s="103" t="s">
        <v>4854</v>
      </c>
      <c r="AU146" s="95">
        <v>0.33300000000000002</v>
      </c>
      <c r="AV146" s="95">
        <v>0.30199999999999999</v>
      </c>
      <c r="AW146" s="95">
        <v>0.38500000000000001</v>
      </c>
      <c r="AX146" s="95">
        <v>0.313</v>
      </c>
      <c r="AY146" s="95">
        <v>0.246</v>
      </c>
      <c r="AZ146" s="95">
        <v>0.46200000000000002</v>
      </c>
      <c r="BA146" s="95">
        <v>0.183</v>
      </c>
      <c r="BB146" s="103" t="s">
        <v>4854</v>
      </c>
      <c r="BC146" s="10">
        <v>1</v>
      </c>
      <c r="BD146" s="10">
        <v>1</v>
      </c>
      <c r="BE146" s="10">
        <v>1</v>
      </c>
      <c r="BF146" s="10">
        <v>1</v>
      </c>
      <c r="BG146" s="10">
        <v>1</v>
      </c>
      <c r="BH146" s="10">
        <v>1</v>
      </c>
      <c r="BI146" s="10">
        <v>1</v>
      </c>
      <c r="BJ146" s="4" t="s">
        <v>4854</v>
      </c>
      <c r="BK146" s="91">
        <v>1</v>
      </c>
      <c r="BL146" s="91">
        <v>1</v>
      </c>
      <c r="BM146" s="91">
        <v>1</v>
      </c>
      <c r="BN146" s="91">
        <v>1</v>
      </c>
      <c r="BO146" s="91">
        <v>0.999</v>
      </c>
      <c r="BP146" s="91">
        <v>1</v>
      </c>
      <c r="BQ146" s="91">
        <v>0.997</v>
      </c>
      <c r="BR146" s="100" t="s">
        <v>4854</v>
      </c>
      <c r="BS146" s="10" t="s">
        <v>4857</v>
      </c>
    </row>
    <row r="147" spans="1:71" s="30" customFormat="1" ht="17.100000000000001" customHeight="1">
      <c r="A147" s="14">
        <v>136</v>
      </c>
      <c r="B147" s="5" t="s">
        <v>4336</v>
      </c>
      <c r="C147" s="3" t="s">
        <v>4715</v>
      </c>
      <c r="D147" s="3" t="s">
        <v>4328</v>
      </c>
      <c r="E147" s="3" t="s">
        <v>4329</v>
      </c>
      <c r="F147" s="5" t="s">
        <v>4337</v>
      </c>
      <c r="G147" s="3" t="s">
        <v>4331</v>
      </c>
      <c r="H147" s="6" t="s">
        <v>4332</v>
      </c>
      <c r="I147" s="3" t="s">
        <v>4333</v>
      </c>
      <c r="J147" s="5" t="s">
        <v>4334</v>
      </c>
      <c r="K147" s="3" t="s">
        <v>5416</v>
      </c>
      <c r="L147" s="3" t="s">
        <v>4338</v>
      </c>
      <c r="M147" s="5">
        <v>3</v>
      </c>
      <c r="N147" s="21">
        <v>894.78959999999995</v>
      </c>
      <c r="O147" s="36" t="str">
        <f>HYPERLINK("http://ms.phosphosite.org:5080/cgi-bin/plot-msms.cgi?MassType=1&amp;NumAxis=1&amp;Mod2=147&amp;Mod12=170&amp;Pep=EMSLYASLASEKVQSLEGEKLSPK&amp;Dta=/var/www/html/dta/S01/10558.11463.3.dta&amp;Global_Mod=CS57.0215", "11463")</f>
        <v>11463</v>
      </c>
      <c r="P147" s="36" t="str">
        <f>HYPERLINK("http://ms.phosphosite.org:5080/cgi-bin/plot-msms.cgi?MassType=1&amp;NumAxis=1&amp;Mod2=147&amp;Mod12=170&amp;Pep=EMSLYASLASEKVQSLEGEKLSPK&amp;Dta=/var/www/html/dta/S01/10559.11475.3.dta&amp;Global_Mod=CS57.0215", "11475")</f>
        <v>11475</v>
      </c>
      <c r="Q147" s="36" t="str">
        <f>HYPERLINK("http://ms.phosphosite.org:5080/cgi-bin/plot-msms.cgi?MassType=1&amp;NumAxis=1&amp;Mod2=147&amp;Mod12=170&amp;Pep=EMSLYASLASEKVQSLEGEKLSPK&amp;Dta=/var/www/html/dta/S01/10560.11511.3.dta&amp;Global_Mod=CS57.0215", "11511")</f>
        <v>11511</v>
      </c>
      <c r="R147" s="36" t="str">
        <f>HYPERLINK("http://ms.phosphosite.org:5080/cgi-bin/plot-msms.cgi?MassType=1&amp;NumAxis=1&amp;Mod2=147&amp;Mod12=170&amp;Pep=EMSLYASLASEKVQSLEGEKLSPK&amp;Dta=/var/www/html/dta/S01/10561.11537.3.dta&amp;Global_Mod=CS57.0215", "11537")</f>
        <v>11537</v>
      </c>
      <c r="S147" s="36" t="str">
        <f>HYPERLINK("http://ms.phosphosite.org:5080/cgi-bin/plot-msms.cgi?MassType=1&amp;NumAxis=1&amp;Mod2=147&amp;Mod12=170&amp;Pep=EMSLYASLASEKVQSLEGEKLSPK&amp;Dta=/var/www/html/dta/S01/10562.11725.3.dta&amp;Global_Mod=CS57.0215", "11725")</f>
        <v>11725</v>
      </c>
      <c r="T147" s="36" t="str">
        <f>HYPERLINK("http://ms.phosphosite.org:5080/cgi-bin/plot-msms.cgi?MassType=1&amp;NumAxis=1&amp;Mod2=147&amp;Mod12=170&amp;Pep=EMSLYASLASEKVQSLEGEKLSPK&amp;Dta=/var/www/html/dta/S01/10563.11657.3.dta&amp;Global_Mod=CS57.0215", "11657")</f>
        <v>11657</v>
      </c>
      <c r="U147" s="36" t="str">
        <f>HYPERLINK("http://ms.phosphosite.org:5080/cgi-bin/plot-msms.cgi?MassType=1&amp;NumAxis=1&amp;Mod2=147&amp;Mod12=170&amp;Pep=EMSLYASLASEKVQSLEGEKLSPK&amp;Dta=/var/www/html/dta/S01/10564.12178.3.dta&amp;Global_Mod=CS57.0215", "12178")</f>
        <v>12178</v>
      </c>
      <c r="V147" s="36" t="str">
        <f>HYPERLINK("http://ms.phosphosite.org:5080/cgi-bin/plot-msms.cgi?MassType=1&amp;NumAxis=1&amp;Mod2=147&amp;Mod12=170&amp;Pep=EMSLYASLASEKVQSLEGEKLSPK&amp;Dta=/var/www/html/dta/S01/10565.12094.3.dta&amp;Global_Mod=CS57.0215", "12094")</f>
        <v>12094</v>
      </c>
      <c r="W147" s="3" t="s">
        <v>4854</v>
      </c>
      <c r="X147" s="3" t="s">
        <v>4854</v>
      </c>
      <c r="Y147" s="5">
        <v>11549</v>
      </c>
      <c r="Z147" s="3" t="s">
        <v>4854</v>
      </c>
      <c r="AA147" s="3" t="s">
        <v>4854</v>
      </c>
      <c r="AB147" s="5">
        <v>11674</v>
      </c>
      <c r="AC147" s="3" t="s">
        <v>4854</v>
      </c>
      <c r="AD147" s="5">
        <v>12118</v>
      </c>
      <c r="AE147" s="90">
        <v>2.052</v>
      </c>
      <c r="AF147" s="90">
        <v>2.4590000000000001</v>
      </c>
      <c r="AG147" s="90">
        <v>2.8940000000000001</v>
      </c>
      <c r="AH147" s="90">
        <v>2.1150000000000002</v>
      </c>
      <c r="AI147" s="90">
        <v>1.7889999999999999</v>
      </c>
      <c r="AJ147" s="90">
        <v>2.4569999999999999</v>
      </c>
      <c r="AK147" s="90">
        <v>1.9810000000000001</v>
      </c>
      <c r="AL147" s="90">
        <v>2.2709999999999999</v>
      </c>
      <c r="AM147" s="21">
        <v>0.95009999999999994</v>
      </c>
      <c r="AN147" s="21">
        <v>1.2733000000000001</v>
      </c>
      <c r="AO147" s="21">
        <v>1.3277000000000001</v>
      </c>
      <c r="AP147" s="21">
        <v>1.4325000000000001</v>
      </c>
      <c r="AQ147" s="21">
        <v>1.1215999999999999</v>
      </c>
      <c r="AR147" s="21">
        <v>0.90349999999999997</v>
      </c>
      <c r="AS147" s="21">
        <v>1.1919999999999999</v>
      </c>
      <c r="AT147" s="21">
        <v>0.34310000000000002</v>
      </c>
      <c r="AU147" s="21">
        <v>7.5999999999999998E-2</v>
      </c>
      <c r="AV147" s="21">
        <v>0.106</v>
      </c>
      <c r="AW147" s="21">
        <v>0.23499999999999999</v>
      </c>
      <c r="AX147" s="21">
        <v>0.17799999999999999</v>
      </c>
      <c r="AY147" s="21">
        <v>3.1E-2</v>
      </c>
      <c r="AZ147" s="21">
        <v>0.153</v>
      </c>
      <c r="BA147" s="21">
        <v>0.02</v>
      </c>
      <c r="BB147" s="21">
        <v>0.26500000000000001</v>
      </c>
      <c r="BC147" s="5">
        <v>396</v>
      </c>
      <c r="BD147" s="5">
        <v>183</v>
      </c>
      <c r="BE147" s="5">
        <v>1</v>
      </c>
      <c r="BF147" s="5">
        <v>245</v>
      </c>
      <c r="BG147" s="5">
        <v>46</v>
      </c>
      <c r="BH147" s="5">
        <v>123</v>
      </c>
      <c r="BI147" s="5">
        <v>12</v>
      </c>
      <c r="BJ147" s="5">
        <v>6</v>
      </c>
      <c r="BK147" s="90">
        <v>0.83699999999999997</v>
      </c>
      <c r="BL147" s="90">
        <v>0.93899999999999995</v>
      </c>
      <c r="BM147" s="90">
        <v>0.998</v>
      </c>
      <c r="BN147" s="90">
        <v>0.94899999999999995</v>
      </c>
      <c r="BO147" s="90">
        <v>0.77400000000000002</v>
      </c>
      <c r="BP147" s="90">
        <v>0.97099999999999997</v>
      </c>
      <c r="BQ147" s="90">
        <v>0.83799999999999997</v>
      </c>
      <c r="BR147" s="90">
        <v>0.997</v>
      </c>
      <c r="BS147" s="5" t="s">
        <v>4857</v>
      </c>
    </row>
    <row r="148" spans="1:71" s="30" customFormat="1" ht="17.100000000000001" customHeight="1">
      <c r="A148" s="10">
        <v>137</v>
      </c>
      <c r="B148" s="10" t="s">
        <v>4339</v>
      </c>
      <c r="C148" s="4" t="s">
        <v>4715</v>
      </c>
      <c r="D148" s="4" t="s">
        <v>4328</v>
      </c>
      <c r="E148" s="4" t="s">
        <v>4329</v>
      </c>
      <c r="F148" s="10" t="s">
        <v>4340</v>
      </c>
      <c r="G148" s="4" t="s">
        <v>4331</v>
      </c>
      <c r="H148" s="7" t="s">
        <v>4332</v>
      </c>
      <c r="I148" s="4" t="s">
        <v>4333</v>
      </c>
      <c r="J148" s="10" t="s">
        <v>4334</v>
      </c>
      <c r="K148" s="4" t="s">
        <v>5417</v>
      </c>
      <c r="L148" s="4" t="s">
        <v>4341</v>
      </c>
      <c r="M148" s="10">
        <v>2</v>
      </c>
      <c r="N148" s="95">
        <v>576.30510000000004</v>
      </c>
      <c r="O148" s="37" t="str">
        <f>HYPERLINK("http://ms.phosphosite.org:5080/cgi-bin/plot-msms.cgi?MassType=1&amp;NumAxis=1&amp;Mod2=160&amp;Mod5=170&amp;Pep=SCFWKLIR&amp;Dta=/var/www/html/dta/S01/10558.10752.2.dta&amp;Global_Mod=CS57.0215", "10752")</f>
        <v>10752</v>
      </c>
      <c r="P148" s="38" t="s">
        <v>4854</v>
      </c>
      <c r="Q148" s="38" t="s">
        <v>4854</v>
      </c>
      <c r="R148" s="38" t="s">
        <v>4854</v>
      </c>
      <c r="S148" s="38" t="s">
        <v>4854</v>
      </c>
      <c r="T148" s="37" t="str">
        <f>HYPERLINK("http://ms.phosphosite.org:5080/cgi-bin/plot-msms.cgi?MassType=1&amp;NumAxis=1&amp;Mod2=160&amp;Mod5=170&amp;Pep=SCFWKLIR&amp;Dta=/var/www/html/dta/S01/10563.10916.2.dta&amp;Global_Mod=CS57.0215", "10916")</f>
        <v>10916</v>
      </c>
      <c r="U148" s="38" t="s">
        <v>4854</v>
      </c>
      <c r="V148" s="37" t="str">
        <f>HYPERLINK("http://ms.phosphosite.org:5080/cgi-bin/plot-msms.cgi?MassType=1&amp;NumAxis=1&amp;Mod2=160&amp;Mod5=170&amp;Pep=SCFWKLIR&amp;Dta=/var/www/html/dta/S01/10565.11415.2.dta&amp;Global_Mod=CS57.0215", "11415")</f>
        <v>11415</v>
      </c>
      <c r="W148" s="10">
        <v>10746</v>
      </c>
      <c r="X148" s="4" t="s">
        <v>4854</v>
      </c>
      <c r="Y148" s="4" t="s">
        <v>4854</v>
      </c>
      <c r="Z148" s="4" t="s">
        <v>4854</v>
      </c>
      <c r="AA148" s="4" t="s">
        <v>4854</v>
      </c>
      <c r="AB148" s="10">
        <v>10908</v>
      </c>
      <c r="AC148" s="4" t="s">
        <v>4854</v>
      </c>
      <c r="AD148" s="10">
        <v>11410</v>
      </c>
      <c r="AE148" s="91">
        <v>2.573</v>
      </c>
      <c r="AF148" s="100" t="s">
        <v>4854</v>
      </c>
      <c r="AG148" s="100" t="s">
        <v>4854</v>
      </c>
      <c r="AH148" s="100" t="s">
        <v>4854</v>
      </c>
      <c r="AI148" s="100" t="s">
        <v>4854</v>
      </c>
      <c r="AJ148" s="91">
        <v>2.419</v>
      </c>
      <c r="AK148" s="100" t="s">
        <v>4854</v>
      </c>
      <c r="AL148" s="91">
        <v>2.476</v>
      </c>
      <c r="AM148" s="95">
        <v>-0.23300000000000001</v>
      </c>
      <c r="AN148" s="103" t="s">
        <v>4854</v>
      </c>
      <c r="AO148" s="103" t="s">
        <v>4854</v>
      </c>
      <c r="AP148" s="103" t="s">
        <v>4854</v>
      </c>
      <c r="AQ148" s="103" t="s">
        <v>4854</v>
      </c>
      <c r="AR148" s="95">
        <v>0.1439</v>
      </c>
      <c r="AS148" s="103" t="s">
        <v>4854</v>
      </c>
      <c r="AT148" s="95">
        <v>-0.2999</v>
      </c>
      <c r="AU148" s="95">
        <v>7.5999999999999998E-2</v>
      </c>
      <c r="AV148" s="103" t="s">
        <v>4854</v>
      </c>
      <c r="AW148" s="103" t="s">
        <v>4854</v>
      </c>
      <c r="AX148" s="103" t="s">
        <v>4854</v>
      </c>
      <c r="AY148" s="103" t="s">
        <v>4854</v>
      </c>
      <c r="AZ148" s="95">
        <v>2.9000000000000001E-2</v>
      </c>
      <c r="BA148" s="103" t="s">
        <v>4854</v>
      </c>
      <c r="BB148" s="95">
        <v>0.17199999999999999</v>
      </c>
      <c r="BC148" s="10">
        <v>3</v>
      </c>
      <c r="BD148" s="4" t="s">
        <v>4854</v>
      </c>
      <c r="BE148" s="4" t="s">
        <v>4854</v>
      </c>
      <c r="BF148" s="4" t="s">
        <v>4854</v>
      </c>
      <c r="BG148" s="4" t="s">
        <v>4854</v>
      </c>
      <c r="BH148" s="10">
        <v>18</v>
      </c>
      <c r="BI148" s="4" t="s">
        <v>4854</v>
      </c>
      <c r="BJ148" s="10">
        <v>17</v>
      </c>
      <c r="BK148" s="91">
        <v>0.99299999999999999</v>
      </c>
      <c r="BL148" s="100" t="s">
        <v>4854</v>
      </c>
      <c r="BM148" s="100" t="s">
        <v>4854</v>
      </c>
      <c r="BN148" s="100" t="s">
        <v>4854</v>
      </c>
      <c r="BO148" s="100" t="s">
        <v>4854</v>
      </c>
      <c r="BP148" s="91">
        <v>0.97</v>
      </c>
      <c r="BQ148" s="100" t="s">
        <v>4854</v>
      </c>
      <c r="BR148" s="91">
        <v>0.995</v>
      </c>
      <c r="BS148" s="10" t="s">
        <v>4857</v>
      </c>
    </row>
    <row r="149" spans="1:71" s="30" customFormat="1" ht="17.100000000000001" customHeight="1">
      <c r="A149" s="14">
        <v>138</v>
      </c>
      <c r="B149" s="5" t="s">
        <v>4342</v>
      </c>
      <c r="C149" s="3" t="s">
        <v>4715</v>
      </c>
      <c r="D149" s="3" t="s">
        <v>4343</v>
      </c>
      <c r="E149" s="3" t="s">
        <v>4344</v>
      </c>
      <c r="F149" s="5" t="s">
        <v>4345</v>
      </c>
      <c r="G149" s="3" t="s">
        <v>4346</v>
      </c>
      <c r="H149" s="6" t="s">
        <v>4347</v>
      </c>
      <c r="I149" s="3" t="s">
        <v>4348</v>
      </c>
      <c r="J149" s="5" t="s">
        <v>4349</v>
      </c>
      <c r="K149" s="3" t="s">
        <v>5418</v>
      </c>
      <c r="L149" s="3" t="s">
        <v>4350</v>
      </c>
      <c r="M149" s="5">
        <v>4</v>
      </c>
      <c r="N149" s="21">
        <v>848.16359999999997</v>
      </c>
      <c r="O149" s="35" t="s">
        <v>4854</v>
      </c>
      <c r="P149" s="35" t="s">
        <v>4854</v>
      </c>
      <c r="Q149" s="35" t="s">
        <v>4854</v>
      </c>
      <c r="R149" s="35" t="s">
        <v>4854</v>
      </c>
      <c r="S149" s="35" t="s">
        <v>4854</v>
      </c>
      <c r="T149" s="36" t="str">
        <f>HYPERLINK("http://ms.phosphosite.org:5080/cgi-bin/plot-msms.cgi?MassType=1&amp;NumAxis=1&amp;Mod1=170&amp;Mod2=147&amp;Mod9=147&amp;Pep=KMEGDLNEMEIQLNHANRLAAESLRNYR&amp;Dta=/var/www/html/dta/S01/10563.15258.4.dta&amp;Global_Mod=CS57.0215", "15258")</f>
        <v>15258</v>
      </c>
      <c r="U149" s="35" t="s">
        <v>4854</v>
      </c>
      <c r="V149" s="35" t="s">
        <v>4854</v>
      </c>
      <c r="W149" s="3" t="s">
        <v>4854</v>
      </c>
      <c r="X149" s="3" t="s">
        <v>4854</v>
      </c>
      <c r="Y149" s="3" t="s">
        <v>4854</v>
      </c>
      <c r="Z149" s="3" t="s">
        <v>4854</v>
      </c>
      <c r="AA149" s="3" t="s">
        <v>4854</v>
      </c>
      <c r="AB149" s="3" t="s">
        <v>4854</v>
      </c>
      <c r="AC149" s="3" t="s">
        <v>4854</v>
      </c>
      <c r="AD149" s="3" t="s">
        <v>4854</v>
      </c>
      <c r="AE149" s="99" t="s">
        <v>4854</v>
      </c>
      <c r="AF149" s="99" t="s">
        <v>4854</v>
      </c>
      <c r="AG149" s="99" t="s">
        <v>4854</v>
      </c>
      <c r="AH149" s="99" t="s">
        <v>4854</v>
      </c>
      <c r="AI149" s="99" t="s">
        <v>4854</v>
      </c>
      <c r="AJ149" s="90">
        <v>2.137</v>
      </c>
      <c r="AK149" s="99" t="s">
        <v>4854</v>
      </c>
      <c r="AL149" s="99" t="s">
        <v>4854</v>
      </c>
      <c r="AM149" s="102" t="s">
        <v>4854</v>
      </c>
      <c r="AN149" s="102" t="s">
        <v>4854</v>
      </c>
      <c r="AO149" s="102" t="s">
        <v>4854</v>
      </c>
      <c r="AP149" s="102" t="s">
        <v>4854</v>
      </c>
      <c r="AQ149" s="102" t="s">
        <v>4854</v>
      </c>
      <c r="AR149" s="21">
        <v>-0.92689999999999995</v>
      </c>
      <c r="AS149" s="102" t="s">
        <v>4854</v>
      </c>
      <c r="AT149" s="102" t="s">
        <v>4854</v>
      </c>
      <c r="AU149" s="102" t="s">
        <v>4854</v>
      </c>
      <c r="AV149" s="102" t="s">
        <v>4854</v>
      </c>
      <c r="AW149" s="102" t="s">
        <v>4854</v>
      </c>
      <c r="AX149" s="102" t="s">
        <v>4854</v>
      </c>
      <c r="AY149" s="102" t="s">
        <v>4854</v>
      </c>
      <c r="AZ149" s="21">
        <v>8.2000000000000003E-2</v>
      </c>
      <c r="BA149" s="102" t="s">
        <v>4854</v>
      </c>
      <c r="BB149" s="102" t="s">
        <v>4854</v>
      </c>
      <c r="BC149" s="3" t="s">
        <v>4854</v>
      </c>
      <c r="BD149" s="3" t="s">
        <v>4854</v>
      </c>
      <c r="BE149" s="3" t="s">
        <v>4854</v>
      </c>
      <c r="BF149" s="3" t="s">
        <v>4854</v>
      </c>
      <c r="BG149" s="3" t="s">
        <v>4854</v>
      </c>
      <c r="BH149" s="5">
        <v>26</v>
      </c>
      <c r="BI149" s="3" t="s">
        <v>4854</v>
      </c>
      <c r="BJ149" s="3" t="s">
        <v>4854</v>
      </c>
      <c r="BK149" s="99" t="s">
        <v>4854</v>
      </c>
      <c r="BL149" s="99" t="s">
        <v>4854</v>
      </c>
      <c r="BM149" s="99" t="s">
        <v>4854</v>
      </c>
      <c r="BN149" s="99" t="s">
        <v>4854</v>
      </c>
      <c r="BO149" s="99" t="s">
        <v>4854</v>
      </c>
      <c r="BP149" s="90">
        <v>0.56599999999999995</v>
      </c>
      <c r="BQ149" s="99" t="s">
        <v>4854</v>
      </c>
      <c r="BR149" s="99" t="s">
        <v>4854</v>
      </c>
      <c r="BS149" s="5" t="s">
        <v>4857</v>
      </c>
    </row>
    <row r="150" spans="1:71" s="30" customFormat="1" ht="17.100000000000001" customHeight="1">
      <c r="A150" s="10">
        <v>139</v>
      </c>
      <c r="B150" s="10" t="s">
        <v>4351</v>
      </c>
      <c r="C150" s="4" t="s">
        <v>4715</v>
      </c>
      <c r="D150" s="4" t="s">
        <v>4352</v>
      </c>
      <c r="E150" s="7" t="s">
        <v>4353</v>
      </c>
      <c r="F150" s="10" t="s">
        <v>4354</v>
      </c>
      <c r="G150" s="4" t="s">
        <v>4355</v>
      </c>
      <c r="H150" s="7" t="s">
        <v>4356</v>
      </c>
      <c r="I150" s="4" t="s">
        <v>4230</v>
      </c>
      <c r="J150" s="10" t="s">
        <v>4231</v>
      </c>
      <c r="K150" s="4" t="s">
        <v>5419</v>
      </c>
      <c r="L150" s="4" t="s">
        <v>4232</v>
      </c>
      <c r="M150" s="10">
        <v>2</v>
      </c>
      <c r="N150" s="95">
        <v>869.4307</v>
      </c>
      <c r="O150" s="37" t="str">
        <f>HYPERLINK("http://ms.phosphosite.org:5080/cgi-bin/plot-msms.cgi?MassType=1&amp;NumAxis=1&amp;Mod9=170&amp;Pep=SEPPESEAKPAPTEVK&amp;Dta=/var/www/html/dta/S01/10558.3633.2.dta&amp;Global_Mod=CS57.0215", "3633")</f>
        <v>3633</v>
      </c>
      <c r="P150" s="37" t="str">
        <f>HYPERLINK("http://ms.phosphosite.org:5080/cgi-bin/plot-msms.cgi?MassType=1&amp;NumAxis=1&amp;Mod9=170&amp;Pep=SEPPESEAKPAPTEVK&amp;Dta=/var/www/html/dta/S01/10559.3665.2.dta&amp;Global_Mod=CS57.0215", "3665")</f>
        <v>3665</v>
      </c>
      <c r="Q150" s="37" t="str">
        <f>HYPERLINK("http://ms.phosphosite.org:5080/cgi-bin/plot-msms.cgi?MassType=1&amp;NumAxis=1&amp;Mod9=170&amp;Pep=SEPPESEAKPAPTEVK&amp;Dta=/var/www/html/dta/S01/10560.3639.2.dta&amp;Global_Mod=CS57.0215", "3639")</f>
        <v>3639</v>
      </c>
      <c r="R150" s="37" t="str">
        <f>HYPERLINK("http://ms.phosphosite.org:5080/cgi-bin/plot-msms.cgi?MassType=1&amp;NumAxis=1&amp;Mod9=170&amp;Pep=SEPPESEAKPAPTEVK&amp;Dta=/var/www/html/dta/S01/10561.3658.2.dta&amp;Global_Mod=CS57.0215", "3658")</f>
        <v>3658</v>
      </c>
      <c r="S150" s="37" t="str">
        <f>HYPERLINK("http://ms.phosphosite.org:5080/cgi-bin/plot-msms.cgi?MassType=1&amp;NumAxis=1&amp;Mod9=170&amp;Pep=SEPPESEAKPAPTEVK&amp;Dta=/var/www/html/dta/S01/10562.3847.2.dta&amp;Global_Mod=CS57.0215", "3847")</f>
        <v>3847</v>
      </c>
      <c r="T150" s="37" t="str">
        <f>HYPERLINK("http://ms.phosphosite.org:5080/cgi-bin/plot-msms.cgi?MassType=1&amp;NumAxis=1&amp;Mod9=170&amp;Pep=SEPPESEAKPAPTEVK&amp;Dta=/var/www/html/dta/S01/10563.3661.2.dta&amp;Global_Mod=CS57.0215", "3661")</f>
        <v>3661</v>
      </c>
      <c r="U150" s="37" t="str">
        <f>HYPERLINK("http://ms.phosphosite.org:5080/cgi-bin/plot-msms.cgi?MassType=1&amp;NumAxis=1&amp;Mod9=170&amp;Pep=SEPPESEAKPAPTEVK&amp;Dta=/var/www/html/dta/S01/10564.4023.2.dta&amp;Global_Mod=CS57.0215", "4023")</f>
        <v>4023</v>
      </c>
      <c r="V150" s="37" t="str">
        <f>HYPERLINK("http://ms.phosphosite.org:5080/cgi-bin/plot-msms.cgi?MassType=1&amp;NumAxis=1&amp;Mod9=170&amp;Pep=SEPPESEAKPAPTEVK&amp;Dta=/var/www/html/dta/S01/10565.3990.2.dta&amp;Global_Mod=CS57.0215", "3990")</f>
        <v>3990</v>
      </c>
      <c r="W150" s="10">
        <v>3715</v>
      </c>
      <c r="X150" s="10">
        <v>3629</v>
      </c>
      <c r="Y150" s="10">
        <v>3679</v>
      </c>
      <c r="Z150" s="10">
        <v>3654</v>
      </c>
      <c r="AA150" s="10">
        <v>3730</v>
      </c>
      <c r="AB150" s="10">
        <v>3681</v>
      </c>
      <c r="AC150" s="10">
        <v>3966</v>
      </c>
      <c r="AD150" s="10">
        <v>4059</v>
      </c>
      <c r="AE150" s="91">
        <v>3.056</v>
      </c>
      <c r="AF150" s="91">
        <v>2.6659999999999999</v>
      </c>
      <c r="AG150" s="91">
        <v>2.6629999999999998</v>
      </c>
      <c r="AH150" s="91">
        <v>3.0409999999999999</v>
      </c>
      <c r="AI150" s="91">
        <v>2.5219999999999998</v>
      </c>
      <c r="AJ150" s="91">
        <v>2.68</v>
      </c>
      <c r="AK150" s="91">
        <v>2.4700000000000002</v>
      </c>
      <c r="AL150" s="91">
        <v>2.7679999999999998</v>
      </c>
      <c r="AM150" s="95">
        <v>0.63390000000000002</v>
      </c>
      <c r="AN150" s="95">
        <v>0.43070000000000003</v>
      </c>
      <c r="AO150" s="95">
        <v>0.65169999999999995</v>
      </c>
      <c r="AP150" s="95">
        <v>0.77539999999999998</v>
      </c>
      <c r="AQ150" s="95">
        <v>0.50670000000000004</v>
      </c>
      <c r="AR150" s="95">
        <v>0.50960000000000005</v>
      </c>
      <c r="AS150" s="95">
        <v>0.39389999999999997</v>
      </c>
      <c r="AT150" s="95">
        <v>0.48020000000000002</v>
      </c>
      <c r="AU150" s="95">
        <v>0.45400000000000001</v>
      </c>
      <c r="AV150" s="95">
        <v>0.48499999999999999</v>
      </c>
      <c r="AW150" s="95">
        <v>0.46300000000000002</v>
      </c>
      <c r="AX150" s="95">
        <v>0.45200000000000001</v>
      </c>
      <c r="AY150" s="95">
        <v>0.39600000000000002</v>
      </c>
      <c r="AZ150" s="95">
        <v>0.42599999999999999</v>
      </c>
      <c r="BA150" s="95">
        <v>0.45800000000000002</v>
      </c>
      <c r="BB150" s="95">
        <v>0.47799999999999998</v>
      </c>
      <c r="BC150" s="10">
        <v>1</v>
      </c>
      <c r="BD150" s="10">
        <v>1</v>
      </c>
      <c r="BE150" s="10">
        <v>1</v>
      </c>
      <c r="BF150" s="10">
        <v>1</v>
      </c>
      <c r="BG150" s="10">
        <v>1</v>
      </c>
      <c r="BH150" s="10">
        <v>1</v>
      </c>
      <c r="BI150" s="10">
        <v>1</v>
      </c>
      <c r="BJ150" s="10">
        <v>1</v>
      </c>
      <c r="BK150" s="91">
        <v>1</v>
      </c>
      <c r="BL150" s="91">
        <v>1</v>
      </c>
      <c r="BM150" s="91">
        <v>1</v>
      </c>
      <c r="BN150" s="91">
        <v>1</v>
      </c>
      <c r="BO150" s="91">
        <v>1</v>
      </c>
      <c r="BP150" s="91">
        <v>1</v>
      </c>
      <c r="BQ150" s="91">
        <v>1</v>
      </c>
      <c r="BR150" s="91">
        <v>1</v>
      </c>
      <c r="BS150" s="10" t="s">
        <v>4857</v>
      </c>
    </row>
    <row r="151" spans="1:71" s="30" customFormat="1" ht="17.100000000000001" customHeight="1">
      <c r="A151" s="10">
        <v>140</v>
      </c>
      <c r="B151" s="10" t="s">
        <v>4233</v>
      </c>
      <c r="C151" s="4" t="s">
        <v>4715</v>
      </c>
      <c r="D151" s="4" t="s">
        <v>4352</v>
      </c>
      <c r="E151" s="7" t="s">
        <v>4353</v>
      </c>
      <c r="F151" s="10" t="s">
        <v>4354</v>
      </c>
      <c r="G151" s="4" t="s">
        <v>4355</v>
      </c>
      <c r="H151" s="7" t="s">
        <v>4356</v>
      </c>
      <c r="I151" s="4" t="s">
        <v>4230</v>
      </c>
      <c r="J151" s="10" t="s">
        <v>4231</v>
      </c>
      <c r="K151" s="4" t="s">
        <v>5419</v>
      </c>
      <c r="L151" s="4" t="s">
        <v>4232</v>
      </c>
      <c r="M151" s="10">
        <v>2</v>
      </c>
      <c r="N151" s="95">
        <v>869.4307</v>
      </c>
      <c r="O151" s="37" t="str">
        <f>HYPERLINK("http://ms.phosphosite.org:5080/cgi-bin/plot-msms.cgi?MassType=1&amp;NumAxis=1&amp;Mod9=170&amp;Pep=SEPPESEAKPAPTEVK&amp;Dta=/var/www/html/dta/S01/10558.3874.2.dta&amp;Global_Mod=CS57.0215", "3874")</f>
        <v>3874</v>
      </c>
      <c r="P151" s="37" t="str">
        <f>HYPERLINK("http://ms.phosphosite.org:5080/cgi-bin/plot-msms.cgi?MassType=1&amp;NumAxis=1&amp;Mod9=170&amp;Pep=SEPPESEAKPAPTEVK&amp;Dta=/var/www/html/dta/S01/10559.3761.2.dta&amp;Global_Mod=CS57.0215", "3761")</f>
        <v>3761</v>
      </c>
      <c r="Q151" s="37" t="str">
        <f>HYPERLINK("http://ms.phosphosite.org:5080/cgi-bin/plot-msms.cgi?MassType=1&amp;NumAxis=1&amp;Mod9=170&amp;Pep=SEPPESEAKPAPTEVK&amp;Dta=/var/www/html/dta/S01/10560.3728.2.dta&amp;Global_Mod=CS57.0215", "3728")</f>
        <v>3728</v>
      </c>
      <c r="R151" s="37" t="str">
        <f>HYPERLINK("http://ms.phosphosite.org:5080/cgi-bin/plot-msms.cgi?MassType=1&amp;NumAxis=1&amp;Mod9=170&amp;Pep=SEPPESEAKPAPTEVK&amp;Dta=/var/www/html/dta/S01/10561.3748.2.dta&amp;Global_Mod=CS57.0215", "3748")</f>
        <v>3748</v>
      </c>
      <c r="S151" s="37" t="str">
        <f>HYPERLINK("http://ms.phosphosite.org:5080/cgi-bin/plot-msms.cgi?MassType=1&amp;NumAxis=1&amp;Mod9=170&amp;Pep=SEPPESEAKPAPTEVK&amp;Dta=/var/www/html/dta/S01/10562.3755.2.dta&amp;Global_Mod=CS57.0215", "3755")</f>
        <v>3755</v>
      </c>
      <c r="T151" s="37" t="str">
        <f>HYPERLINK("http://ms.phosphosite.org:5080/cgi-bin/plot-msms.cgi?MassType=1&amp;NumAxis=1&amp;Mod9=170&amp;Pep=SEPPESEAKPAPTEVK&amp;Dta=/var/www/html/dta/S01/10563.3764.2.dta&amp;Global_Mod=CS57.0215", "3764")</f>
        <v>3764</v>
      </c>
      <c r="U151" s="37" t="str">
        <f>HYPERLINK("http://ms.phosphosite.org:5080/cgi-bin/plot-msms.cgi?MassType=1&amp;NumAxis=1&amp;Mod9=170&amp;Pep=SEPPESEAKPAPTEVK&amp;Dta=/var/www/html/dta/S01/10564.4130.2.dta&amp;Global_Mod=CS57.0215", "4130")</f>
        <v>4130</v>
      </c>
      <c r="V151" s="37" t="str">
        <f>HYPERLINK("http://ms.phosphosite.org:5080/cgi-bin/plot-msms.cgi?MassType=1&amp;NumAxis=1&amp;Mod9=170&amp;Pep=SEPPESEAKPAPTEVK&amp;Dta=/var/www/html/dta/S01/10565.4141.2.dta&amp;Global_Mod=CS57.0215", "4141")</f>
        <v>4141</v>
      </c>
      <c r="W151" s="10">
        <v>3715</v>
      </c>
      <c r="X151" s="10">
        <v>3629</v>
      </c>
      <c r="Y151" s="10">
        <v>3679</v>
      </c>
      <c r="Z151" s="10">
        <v>3654</v>
      </c>
      <c r="AA151" s="10">
        <v>3730</v>
      </c>
      <c r="AB151" s="10">
        <v>3681</v>
      </c>
      <c r="AC151" s="10">
        <v>3966</v>
      </c>
      <c r="AD151" s="10">
        <v>4059</v>
      </c>
      <c r="AE151" s="91">
        <v>2.6280000000000001</v>
      </c>
      <c r="AF151" s="91">
        <v>2.5649999999999999</v>
      </c>
      <c r="AG151" s="91">
        <v>1.5209999999999999</v>
      </c>
      <c r="AH151" s="91">
        <v>2.2450000000000001</v>
      </c>
      <c r="AI151" s="91">
        <v>2.4740000000000002</v>
      </c>
      <c r="AJ151" s="91">
        <v>2.09</v>
      </c>
      <c r="AK151" s="91">
        <v>2.363</v>
      </c>
      <c r="AL151" s="91">
        <v>2.5339999999999998</v>
      </c>
      <c r="AM151" s="95">
        <v>0.28689999999999999</v>
      </c>
      <c r="AN151" s="95">
        <v>0.46760000000000002</v>
      </c>
      <c r="AO151" s="95">
        <v>0.67589999999999995</v>
      </c>
      <c r="AP151" s="95">
        <v>0.8669</v>
      </c>
      <c r="AQ151" s="95">
        <v>0.6603</v>
      </c>
      <c r="AR151" s="95">
        <v>0.5585</v>
      </c>
      <c r="AS151" s="95">
        <v>0.32029999999999997</v>
      </c>
      <c r="AT151" s="95">
        <v>0.4279</v>
      </c>
      <c r="AU151" s="95">
        <v>0.30099999999999999</v>
      </c>
      <c r="AV151" s="95">
        <v>0.38300000000000001</v>
      </c>
      <c r="AW151" s="95">
        <v>0.19500000000000001</v>
      </c>
      <c r="AX151" s="95">
        <v>0.41799999999999998</v>
      </c>
      <c r="AY151" s="95">
        <v>0.33</v>
      </c>
      <c r="AZ151" s="95">
        <v>0.35799999999999998</v>
      </c>
      <c r="BA151" s="95">
        <v>0.30599999999999999</v>
      </c>
      <c r="BB151" s="95">
        <v>0.44700000000000001</v>
      </c>
      <c r="BC151" s="10">
        <v>1</v>
      </c>
      <c r="BD151" s="10">
        <v>1</v>
      </c>
      <c r="BE151" s="10">
        <v>4</v>
      </c>
      <c r="BF151" s="10">
        <v>1</v>
      </c>
      <c r="BG151" s="10">
        <v>1</v>
      </c>
      <c r="BH151" s="10">
        <v>34</v>
      </c>
      <c r="BI151" s="10">
        <v>5</v>
      </c>
      <c r="BJ151" s="10">
        <v>1</v>
      </c>
      <c r="BK151" s="91">
        <v>1</v>
      </c>
      <c r="BL151" s="91">
        <v>1</v>
      </c>
      <c r="BM151" s="91">
        <v>0.99099999999999999</v>
      </c>
      <c r="BN151" s="91">
        <v>1</v>
      </c>
      <c r="BO151" s="91">
        <v>1</v>
      </c>
      <c r="BP151" s="91">
        <v>0.999</v>
      </c>
      <c r="BQ151" s="91">
        <v>1</v>
      </c>
      <c r="BR151" s="91">
        <v>1</v>
      </c>
      <c r="BS151" s="10" t="s">
        <v>4857</v>
      </c>
    </row>
    <row r="152" spans="1:71" s="30" customFormat="1" ht="17.100000000000001" customHeight="1">
      <c r="A152" s="10">
        <v>141</v>
      </c>
      <c r="B152" s="10" t="s">
        <v>4234</v>
      </c>
      <c r="C152" s="4" t="s">
        <v>4715</v>
      </c>
      <c r="D152" s="4" t="s">
        <v>4352</v>
      </c>
      <c r="E152" s="7" t="s">
        <v>4353</v>
      </c>
      <c r="F152" s="10" t="s">
        <v>4354</v>
      </c>
      <c r="G152" s="4" t="s">
        <v>4355</v>
      </c>
      <c r="H152" s="7" t="s">
        <v>4356</v>
      </c>
      <c r="I152" s="4" t="s">
        <v>4230</v>
      </c>
      <c r="J152" s="10" t="s">
        <v>4231</v>
      </c>
      <c r="K152" s="4" t="s">
        <v>5419</v>
      </c>
      <c r="L152" s="4" t="s">
        <v>4232</v>
      </c>
      <c r="M152" s="10">
        <v>2</v>
      </c>
      <c r="N152" s="95">
        <v>869.4307</v>
      </c>
      <c r="O152" s="37" t="str">
        <f>HYPERLINK("http://ms.phosphosite.org:5080/cgi-bin/plot-msms.cgi?MassType=1&amp;NumAxis=1&amp;Mod9=170&amp;Pep=SEPPESEAKPAPTEVK&amp;Dta=/var/www/html/dta/S01/10558.3779.2.dta&amp;Global_Mod=CS57.0215", "3779")</f>
        <v>3779</v>
      </c>
      <c r="P152" s="37" t="str">
        <f>HYPERLINK("http://ms.phosphosite.org:5080/cgi-bin/plot-msms.cgi?MassType=1&amp;NumAxis=1&amp;Mod9=170&amp;Pep=SEPPESEAKPAPTEVK&amp;Dta=/var/www/html/dta/S01/10559.3853.2.dta&amp;Global_Mod=CS57.0215", "3853")</f>
        <v>3853</v>
      </c>
      <c r="Q152" s="38" t="s">
        <v>4854</v>
      </c>
      <c r="R152" s="38" t="s">
        <v>4854</v>
      </c>
      <c r="S152" s="38" t="s">
        <v>4854</v>
      </c>
      <c r="T152" s="37" t="str">
        <f>HYPERLINK("http://ms.phosphosite.org:5080/cgi-bin/plot-msms.cgi?MassType=1&amp;NumAxis=1&amp;Mod9=170&amp;Pep=SEPPESEAKPAPTEVK&amp;Dta=/var/www/html/dta/S01/10563.3923.2.dta&amp;Global_Mod=CS57.0215", "3923")</f>
        <v>3923</v>
      </c>
      <c r="U152" s="38" t="s">
        <v>4854</v>
      </c>
      <c r="V152" s="37" t="str">
        <f>HYPERLINK("http://ms.phosphosite.org:5080/cgi-bin/plot-msms.cgi?MassType=1&amp;NumAxis=1&amp;Mod9=170&amp;Pep=SEPPESEAKPAPTEVK&amp;Dta=/var/www/html/dta/S01/10565.4244.2.dta&amp;Global_Mod=CS57.0215", "4244")</f>
        <v>4244</v>
      </c>
      <c r="W152" s="10">
        <v>3715</v>
      </c>
      <c r="X152" s="10">
        <v>3629</v>
      </c>
      <c r="Y152" s="4" t="s">
        <v>4854</v>
      </c>
      <c r="Z152" s="4" t="s">
        <v>4854</v>
      </c>
      <c r="AA152" s="4" t="s">
        <v>4854</v>
      </c>
      <c r="AB152" s="10">
        <v>3681</v>
      </c>
      <c r="AC152" s="4" t="s">
        <v>4854</v>
      </c>
      <c r="AD152" s="10">
        <v>4059</v>
      </c>
      <c r="AE152" s="91">
        <v>1.73</v>
      </c>
      <c r="AF152" s="91">
        <v>2.2029999999999998</v>
      </c>
      <c r="AG152" s="100" t="s">
        <v>4854</v>
      </c>
      <c r="AH152" s="100" t="s">
        <v>4854</v>
      </c>
      <c r="AI152" s="100" t="s">
        <v>4854</v>
      </c>
      <c r="AJ152" s="91">
        <v>1.8160000000000001</v>
      </c>
      <c r="AK152" s="100" t="s">
        <v>4854</v>
      </c>
      <c r="AL152" s="91">
        <v>2.4489999999999998</v>
      </c>
      <c r="AM152" s="95">
        <v>0.49</v>
      </c>
      <c r="AN152" s="95">
        <v>0.78749999999999998</v>
      </c>
      <c r="AO152" s="103" t="s">
        <v>4854</v>
      </c>
      <c r="AP152" s="103" t="s">
        <v>4854</v>
      </c>
      <c r="AQ152" s="103" t="s">
        <v>4854</v>
      </c>
      <c r="AR152" s="95">
        <v>0.627</v>
      </c>
      <c r="AS152" s="103" t="s">
        <v>4854</v>
      </c>
      <c r="AT152" s="95">
        <v>0.35189999999999999</v>
      </c>
      <c r="AU152" s="95">
        <v>0.32900000000000001</v>
      </c>
      <c r="AV152" s="95">
        <v>0.312</v>
      </c>
      <c r="AW152" s="103" t="s">
        <v>4854</v>
      </c>
      <c r="AX152" s="103" t="s">
        <v>4854</v>
      </c>
      <c r="AY152" s="103" t="s">
        <v>4854</v>
      </c>
      <c r="AZ152" s="95">
        <v>0.252</v>
      </c>
      <c r="BA152" s="103" t="s">
        <v>4854</v>
      </c>
      <c r="BB152" s="95">
        <v>0.3</v>
      </c>
      <c r="BC152" s="10">
        <v>1</v>
      </c>
      <c r="BD152" s="10">
        <v>34</v>
      </c>
      <c r="BE152" s="4" t="s">
        <v>4854</v>
      </c>
      <c r="BF152" s="4" t="s">
        <v>4854</v>
      </c>
      <c r="BG152" s="4" t="s">
        <v>4854</v>
      </c>
      <c r="BH152" s="10">
        <v>2</v>
      </c>
      <c r="BI152" s="4" t="s">
        <v>4854</v>
      </c>
      <c r="BJ152" s="10">
        <v>1</v>
      </c>
      <c r="BK152" s="91">
        <v>0.999</v>
      </c>
      <c r="BL152" s="91">
        <v>0.999</v>
      </c>
      <c r="BM152" s="100" t="s">
        <v>4854</v>
      </c>
      <c r="BN152" s="100" t="s">
        <v>4854</v>
      </c>
      <c r="BO152" s="100" t="s">
        <v>4854</v>
      </c>
      <c r="BP152" s="91">
        <v>0.998</v>
      </c>
      <c r="BQ152" s="100" t="s">
        <v>4854</v>
      </c>
      <c r="BR152" s="91">
        <v>1</v>
      </c>
      <c r="BS152" s="10" t="s">
        <v>4857</v>
      </c>
    </row>
    <row r="153" spans="1:71" s="30" customFormat="1" ht="17.100000000000001" customHeight="1">
      <c r="A153" s="14">
        <v>142</v>
      </c>
      <c r="B153" s="5" t="s">
        <v>4235</v>
      </c>
      <c r="C153" s="3" t="s">
        <v>4715</v>
      </c>
      <c r="D153" s="3" t="s">
        <v>4352</v>
      </c>
      <c r="E153" s="6" t="s">
        <v>4353</v>
      </c>
      <c r="F153" s="5" t="s">
        <v>4236</v>
      </c>
      <c r="G153" s="3" t="s">
        <v>4355</v>
      </c>
      <c r="H153" s="6" t="s">
        <v>4356</v>
      </c>
      <c r="I153" s="3" t="s">
        <v>4230</v>
      </c>
      <c r="J153" s="5" t="s">
        <v>4231</v>
      </c>
      <c r="K153" s="3" t="s">
        <v>5420</v>
      </c>
      <c r="L153" s="3" t="s">
        <v>4237</v>
      </c>
      <c r="M153" s="5">
        <v>2</v>
      </c>
      <c r="N153" s="21">
        <v>510.78489999999999</v>
      </c>
      <c r="O153" s="35" t="s">
        <v>4854</v>
      </c>
      <c r="P153" s="35" t="s">
        <v>4854</v>
      </c>
      <c r="Q153" s="35" t="s">
        <v>4854</v>
      </c>
      <c r="R153" s="35" t="s">
        <v>4854</v>
      </c>
      <c r="S153" s="35" t="s">
        <v>4854</v>
      </c>
      <c r="T153" s="35" t="s">
        <v>4854</v>
      </c>
      <c r="U153" s="36" t="str">
        <f>HYPERLINK("http://ms.phosphosite.org:5080/cgi-bin/plot-msms.cgi?MassType=1&amp;NumAxis=1&amp;Mod5=170&amp;Pep=HYLVKYR&amp;Dta=/var/www/html/dta/S01/10564.3746.2.dta&amp;Global_Mod=CS57.0215", "3746")</f>
        <v>3746</v>
      </c>
      <c r="V153" s="35" t="s">
        <v>4854</v>
      </c>
      <c r="W153" s="3" t="s">
        <v>4854</v>
      </c>
      <c r="X153" s="3" t="s">
        <v>4854</v>
      </c>
      <c r="Y153" s="3" t="s">
        <v>4854</v>
      </c>
      <c r="Z153" s="3" t="s">
        <v>4854</v>
      </c>
      <c r="AA153" s="3" t="s">
        <v>4854</v>
      </c>
      <c r="AB153" s="3" t="s">
        <v>4854</v>
      </c>
      <c r="AC153" s="3" t="s">
        <v>4854</v>
      </c>
      <c r="AD153" s="3" t="s">
        <v>4854</v>
      </c>
      <c r="AE153" s="99" t="s">
        <v>4854</v>
      </c>
      <c r="AF153" s="99" t="s">
        <v>4854</v>
      </c>
      <c r="AG153" s="99" t="s">
        <v>4854</v>
      </c>
      <c r="AH153" s="99" t="s">
        <v>4854</v>
      </c>
      <c r="AI153" s="99" t="s">
        <v>4854</v>
      </c>
      <c r="AJ153" s="99" t="s">
        <v>4854</v>
      </c>
      <c r="AK153" s="90">
        <v>1.7589999999999999</v>
      </c>
      <c r="AL153" s="99" t="s">
        <v>4854</v>
      </c>
      <c r="AM153" s="102" t="s">
        <v>4854</v>
      </c>
      <c r="AN153" s="102" t="s">
        <v>4854</v>
      </c>
      <c r="AO153" s="102" t="s">
        <v>4854</v>
      </c>
      <c r="AP153" s="102" t="s">
        <v>4854</v>
      </c>
      <c r="AQ153" s="102" t="s">
        <v>4854</v>
      </c>
      <c r="AR153" s="102" t="s">
        <v>4854</v>
      </c>
      <c r="AS153" s="21">
        <v>0.17469999999999999</v>
      </c>
      <c r="AT153" s="102" t="s">
        <v>4854</v>
      </c>
      <c r="AU153" s="102" t="s">
        <v>4854</v>
      </c>
      <c r="AV153" s="102" t="s">
        <v>4854</v>
      </c>
      <c r="AW153" s="102" t="s">
        <v>4854</v>
      </c>
      <c r="AX153" s="102" t="s">
        <v>4854</v>
      </c>
      <c r="AY153" s="102" t="s">
        <v>4854</v>
      </c>
      <c r="AZ153" s="102" t="s">
        <v>4854</v>
      </c>
      <c r="BA153" s="21">
        <v>4.5999999999999999E-2</v>
      </c>
      <c r="BB153" s="102" t="s">
        <v>4854</v>
      </c>
      <c r="BC153" s="3" t="s">
        <v>4854</v>
      </c>
      <c r="BD153" s="3" t="s">
        <v>4854</v>
      </c>
      <c r="BE153" s="3" t="s">
        <v>4854</v>
      </c>
      <c r="BF153" s="3" t="s">
        <v>4854</v>
      </c>
      <c r="BG153" s="3" t="s">
        <v>4854</v>
      </c>
      <c r="BH153" s="3" t="s">
        <v>4854</v>
      </c>
      <c r="BI153" s="5">
        <v>14</v>
      </c>
      <c r="BJ153" s="3" t="s">
        <v>4854</v>
      </c>
      <c r="BK153" s="99" t="s">
        <v>4854</v>
      </c>
      <c r="BL153" s="99" t="s">
        <v>4854</v>
      </c>
      <c r="BM153" s="99" t="s">
        <v>4854</v>
      </c>
      <c r="BN153" s="99" t="s">
        <v>4854</v>
      </c>
      <c r="BO153" s="99" t="s">
        <v>4854</v>
      </c>
      <c r="BP153" s="99" t="s">
        <v>4854</v>
      </c>
      <c r="BQ153" s="90">
        <v>0.89600000000000002</v>
      </c>
      <c r="BR153" s="99" t="s">
        <v>4854</v>
      </c>
      <c r="BS153" s="5" t="s">
        <v>4857</v>
      </c>
    </row>
    <row r="154" spans="1:71" s="30" customFormat="1" ht="17.100000000000001" customHeight="1">
      <c r="A154" s="10">
        <v>143</v>
      </c>
      <c r="B154" s="10" t="s">
        <v>4238</v>
      </c>
      <c r="C154" s="4" t="s">
        <v>4715</v>
      </c>
      <c r="D154" s="4" t="s">
        <v>4239</v>
      </c>
      <c r="E154" s="4" t="s">
        <v>4240</v>
      </c>
      <c r="F154" s="10" t="s">
        <v>5093</v>
      </c>
      <c r="G154" s="4" t="s">
        <v>4241</v>
      </c>
      <c r="H154" s="7" t="s">
        <v>4242</v>
      </c>
      <c r="I154" s="4" t="s">
        <v>4243</v>
      </c>
      <c r="J154" s="10" t="s">
        <v>4244</v>
      </c>
      <c r="K154" s="4" t="s">
        <v>5421</v>
      </c>
      <c r="L154" s="4" t="s">
        <v>4245</v>
      </c>
      <c r="M154" s="10">
        <v>3</v>
      </c>
      <c r="N154" s="95">
        <v>451.55799999999999</v>
      </c>
      <c r="O154" s="37" t="str">
        <f>HYPERLINK("http://ms.phosphosite.org:5080/cgi-bin/plot-msms.cgi?MassType=1&amp;NumAxis=1&amp;Mod6=170&amp;Pep=HQVHEKEEFK&amp;Dta=/var/www/html/dta/S01/10558.1681.3.dta&amp;Global_Mod=CS57.0215", "1681")</f>
        <v>1681</v>
      </c>
      <c r="P154" s="38" t="s">
        <v>4854</v>
      </c>
      <c r="Q154" s="37" t="str">
        <f>HYPERLINK("http://ms.phosphosite.org:5080/cgi-bin/plot-msms.cgi?MassType=1&amp;NumAxis=1&amp;Mod6=170&amp;Pep=HQVHEKEEFK&amp;Dta=/var/www/html/dta/S01/10560.1635.3.dta&amp;Global_Mod=CS57.0215", "1635")</f>
        <v>1635</v>
      </c>
      <c r="R154" s="38" t="s">
        <v>4854</v>
      </c>
      <c r="S154" s="38" t="s">
        <v>4854</v>
      </c>
      <c r="T154" s="38" t="s">
        <v>4854</v>
      </c>
      <c r="U154" s="38" t="s">
        <v>4854</v>
      </c>
      <c r="V154" s="38" t="s">
        <v>4854</v>
      </c>
      <c r="W154" s="10">
        <v>1686</v>
      </c>
      <c r="X154" s="4" t="s">
        <v>4854</v>
      </c>
      <c r="Y154" s="10">
        <v>1616</v>
      </c>
      <c r="Z154" s="4" t="s">
        <v>4854</v>
      </c>
      <c r="AA154" s="4" t="s">
        <v>4854</v>
      </c>
      <c r="AB154" s="4" t="s">
        <v>4854</v>
      </c>
      <c r="AC154" s="4" t="s">
        <v>4854</v>
      </c>
      <c r="AD154" s="4" t="s">
        <v>4854</v>
      </c>
      <c r="AE154" s="91">
        <v>2.581</v>
      </c>
      <c r="AF154" s="100" t="s">
        <v>4854</v>
      </c>
      <c r="AG154" s="91">
        <v>2.78</v>
      </c>
      <c r="AH154" s="100" t="s">
        <v>4854</v>
      </c>
      <c r="AI154" s="100" t="s">
        <v>4854</v>
      </c>
      <c r="AJ154" s="100" t="s">
        <v>4854</v>
      </c>
      <c r="AK154" s="100" t="s">
        <v>4854</v>
      </c>
      <c r="AL154" s="100" t="s">
        <v>4854</v>
      </c>
      <c r="AM154" s="95">
        <v>0.75390000000000001</v>
      </c>
      <c r="AN154" s="103" t="s">
        <v>4854</v>
      </c>
      <c r="AO154" s="95">
        <v>0.81899999999999995</v>
      </c>
      <c r="AP154" s="103" t="s">
        <v>4854</v>
      </c>
      <c r="AQ154" s="103" t="s">
        <v>4854</v>
      </c>
      <c r="AR154" s="103" t="s">
        <v>4854</v>
      </c>
      <c r="AS154" s="103" t="s">
        <v>4854</v>
      </c>
      <c r="AT154" s="103" t="s">
        <v>4854</v>
      </c>
      <c r="AU154" s="95">
        <v>2.3E-2</v>
      </c>
      <c r="AV154" s="103" t="s">
        <v>4854</v>
      </c>
      <c r="AW154" s="95">
        <v>7.3999999999999996E-2</v>
      </c>
      <c r="AX154" s="103" t="s">
        <v>4854</v>
      </c>
      <c r="AY154" s="103" t="s">
        <v>4854</v>
      </c>
      <c r="AZ154" s="103" t="s">
        <v>4854</v>
      </c>
      <c r="BA154" s="103" t="s">
        <v>4854</v>
      </c>
      <c r="BB154" s="103" t="s">
        <v>4854</v>
      </c>
      <c r="BC154" s="10">
        <v>3</v>
      </c>
      <c r="BD154" s="4" t="s">
        <v>4854</v>
      </c>
      <c r="BE154" s="10">
        <v>1</v>
      </c>
      <c r="BF154" s="4" t="s">
        <v>4854</v>
      </c>
      <c r="BG154" s="4" t="s">
        <v>4854</v>
      </c>
      <c r="BH154" s="4" t="s">
        <v>4854</v>
      </c>
      <c r="BI154" s="4" t="s">
        <v>4854</v>
      </c>
      <c r="BJ154" s="4" t="s">
        <v>4854</v>
      </c>
      <c r="BK154" s="91">
        <v>0.97199999999999998</v>
      </c>
      <c r="BL154" s="100" t="s">
        <v>4854</v>
      </c>
      <c r="BM154" s="91">
        <v>0.99299999999999999</v>
      </c>
      <c r="BN154" s="100" t="s">
        <v>4854</v>
      </c>
      <c r="BO154" s="100" t="s">
        <v>4854</v>
      </c>
      <c r="BP154" s="100" t="s">
        <v>4854</v>
      </c>
      <c r="BQ154" s="100" t="s">
        <v>4854</v>
      </c>
      <c r="BR154" s="100" t="s">
        <v>4854</v>
      </c>
      <c r="BS154" s="10" t="s">
        <v>4857</v>
      </c>
    </row>
    <row r="155" spans="1:71" s="30" customFormat="1" ht="17.100000000000001" customHeight="1">
      <c r="A155" s="14">
        <v>144</v>
      </c>
      <c r="B155" s="5" t="s">
        <v>4569</v>
      </c>
      <c r="C155" s="3" t="s">
        <v>4715</v>
      </c>
      <c r="D155" s="3" t="s">
        <v>4239</v>
      </c>
      <c r="E155" s="3" t="s">
        <v>4240</v>
      </c>
      <c r="F155" s="5" t="s">
        <v>4724</v>
      </c>
      <c r="G155" s="3" t="s">
        <v>4241</v>
      </c>
      <c r="H155" s="6" t="s">
        <v>4242</v>
      </c>
      <c r="I155" s="3" t="s">
        <v>4243</v>
      </c>
      <c r="J155" s="5" t="s">
        <v>4244</v>
      </c>
      <c r="K155" s="3" t="s">
        <v>5422</v>
      </c>
      <c r="L155" s="3" t="s">
        <v>4246</v>
      </c>
      <c r="M155" s="5">
        <v>2</v>
      </c>
      <c r="N155" s="21">
        <v>454.26600000000002</v>
      </c>
      <c r="O155" s="35" t="s">
        <v>4854</v>
      </c>
      <c r="P155" s="35" t="s">
        <v>4854</v>
      </c>
      <c r="Q155" s="36" t="str">
        <f>HYPERLINK("http://ms.phosphosite.org:5080/cgi-bin/plot-msms.cgi?MassType=1&amp;NumAxis=1&amp;Mod5=170&amp;Pep=INISKYK&amp;Dta=/var/www/html/dta/S01/10560.6620.2.dta&amp;Global_Mod=CS57.0215", "6620")</f>
        <v>6620</v>
      </c>
      <c r="R155" s="35" t="s">
        <v>4854</v>
      </c>
      <c r="S155" s="35" t="s">
        <v>4854</v>
      </c>
      <c r="T155" s="35" t="s">
        <v>4854</v>
      </c>
      <c r="U155" s="35" t="s">
        <v>4854</v>
      </c>
      <c r="V155" s="36" t="str">
        <f>HYPERLINK("http://ms.phosphosite.org:5080/cgi-bin/plot-msms.cgi?MassType=1&amp;NumAxis=1&amp;Mod5=170&amp;Pep=INISKYK&amp;Dta=/var/www/html/dta/S01/10565.7132.2.dta&amp;Global_Mod=CS57.0215", "7132")</f>
        <v>7132</v>
      </c>
      <c r="W155" s="3" t="s">
        <v>4854</v>
      </c>
      <c r="X155" s="3" t="s">
        <v>4854</v>
      </c>
      <c r="Y155" s="3" t="s">
        <v>4854</v>
      </c>
      <c r="Z155" s="3" t="s">
        <v>4854</v>
      </c>
      <c r="AA155" s="3" t="s">
        <v>4854</v>
      </c>
      <c r="AB155" s="3" t="s">
        <v>4854</v>
      </c>
      <c r="AC155" s="3" t="s">
        <v>4854</v>
      </c>
      <c r="AD155" s="3" t="s">
        <v>4854</v>
      </c>
      <c r="AE155" s="99" t="s">
        <v>4854</v>
      </c>
      <c r="AF155" s="99" t="s">
        <v>4854</v>
      </c>
      <c r="AG155" s="90">
        <v>1.9910000000000001</v>
      </c>
      <c r="AH155" s="99" t="s">
        <v>4854</v>
      </c>
      <c r="AI155" s="99" t="s">
        <v>4854</v>
      </c>
      <c r="AJ155" s="99" t="s">
        <v>4854</v>
      </c>
      <c r="AK155" s="99" t="s">
        <v>4854</v>
      </c>
      <c r="AL155" s="90">
        <v>2.077</v>
      </c>
      <c r="AM155" s="102" t="s">
        <v>4854</v>
      </c>
      <c r="AN155" s="102" t="s">
        <v>4854</v>
      </c>
      <c r="AO155" s="21">
        <v>0.43169999999999997</v>
      </c>
      <c r="AP155" s="102" t="s">
        <v>4854</v>
      </c>
      <c r="AQ155" s="102" t="s">
        <v>4854</v>
      </c>
      <c r="AR155" s="102" t="s">
        <v>4854</v>
      </c>
      <c r="AS155" s="102" t="s">
        <v>4854</v>
      </c>
      <c r="AT155" s="21">
        <v>-0.16769999999999999</v>
      </c>
      <c r="AU155" s="102" t="s">
        <v>4854</v>
      </c>
      <c r="AV155" s="102" t="s">
        <v>4854</v>
      </c>
      <c r="AW155" s="21">
        <v>1.2E-2</v>
      </c>
      <c r="AX155" s="102" t="s">
        <v>4854</v>
      </c>
      <c r="AY155" s="102" t="s">
        <v>4854</v>
      </c>
      <c r="AZ155" s="102" t="s">
        <v>4854</v>
      </c>
      <c r="BA155" s="102" t="s">
        <v>4854</v>
      </c>
      <c r="BB155" s="21">
        <v>1.4999999999999999E-2</v>
      </c>
      <c r="BC155" s="3" t="s">
        <v>4854</v>
      </c>
      <c r="BD155" s="3" t="s">
        <v>4854</v>
      </c>
      <c r="BE155" s="5">
        <v>3</v>
      </c>
      <c r="BF155" s="3" t="s">
        <v>4854</v>
      </c>
      <c r="BG155" s="3" t="s">
        <v>4854</v>
      </c>
      <c r="BH155" s="3" t="s">
        <v>4854</v>
      </c>
      <c r="BI155" s="3" t="s">
        <v>4854</v>
      </c>
      <c r="BJ155" s="5">
        <v>6</v>
      </c>
      <c r="BK155" s="99" t="s">
        <v>4854</v>
      </c>
      <c r="BL155" s="99" t="s">
        <v>4854</v>
      </c>
      <c r="BM155" s="90">
        <v>0.13600000000000001</v>
      </c>
      <c r="BN155" s="99" t="s">
        <v>4854</v>
      </c>
      <c r="BO155" s="99" t="s">
        <v>4854</v>
      </c>
      <c r="BP155" s="99" t="s">
        <v>4854</v>
      </c>
      <c r="BQ155" s="99" t="s">
        <v>4854</v>
      </c>
      <c r="BR155" s="90">
        <v>0.14199999999999999</v>
      </c>
      <c r="BS155" s="5" t="s">
        <v>4857</v>
      </c>
    </row>
    <row r="156" spans="1:71" s="30" customFormat="1" ht="17.100000000000001" customHeight="1">
      <c r="A156" s="10">
        <v>145</v>
      </c>
      <c r="B156" s="10" t="s">
        <v>4546</v>
      </c>
      <c r="C156" s="4" t="s">
        <v>4715</v>
      </c>
      <c r="D156" s="4" t="s">
        <v>4247</v>
      </c>
      <c r="E156" s="7" t="s">
        <v>4248</v>
      </c>
      <c r="F156" s="10" t="s">
        <v>5270</v>
      </c>
      <c r="G156" s="4" t="s">
        <v>4249</v>
      </c>
      <c r="H156" s="7" t="s">
        <v>4250</v>
      </c>
      <c r="I156" s="4" t="s">
        <v>4251</v>
      </c>
      <c r="J156" s="10" t="s">
        <v>4252</v>
      </c>
      <c r="K156" s="4" t="s">
        <v>5423</v>
      </c>
      <c r="L156" s="4" t="s">
        <v>4253</v>
      </c>
      <c r="M156" s="10">
        <v>2</v>
      </c>
      <c r="N156" s="95">
        <v>751.87959999999998</v>
      </c>
      <c r="O156" s="37" t="str">
        <f>HYPERLINK("http://ms.phosphosite.org:5080/cgi-bin/plot-msms.cgi?MassType=1&amp;NumAxis=1&amp;Mod1=160&amp;Mod5=170&amp;Pep=CLEEKNEILQGK&amp;Dta=/var/www/html/dta/S01/10558.6834.2.dta&amp;Global_Mod=CS57.0215", "6834")</f>
        <v>6834</v>
      </c>
      <c r="P156" s="37" t="str">
        <f>HYPERLINK("http://ms.phosphosite.org:5080/cgi-bin/plot-msms.cgi?MassType=1&amp;NumAxis=1&amp;Mod1=160&amp;Mod5=170&amp;Pep=CLEEKNEILQGK&amp;Dta=/var/www/html/dta/S01/10559.6775.2.dta&amp;Global_Mod=CS57.0215", "6775")</f>
        <v>6775</v>
      </c>
      <c r="Q156" s="37" t="str">
        <f>HYPERLINK("http://ms.phosphosite.org:5080/cgi-bin/plot-msms.cgi?MassType=1&amp;NumAxis=1&amp;Mod1=160&amp;Mod5=170&amp;Pep=CLEEKNEILQGK&amp;Dta=/var/www/html/dta/S01/10560.6769.2.dta&amp;Global_Mod=CS57.0215", "6769")</f>
        <v>6769</v>
      </c>
      <c r="R156" s="37" t="str">
        <f>HYPERLINK("http://ms.phosphosite.org:5080/cgi-bin/plot-msms.cgi?MassType=1&amp;NumAxis=1&amp;Mod1=160&amp;Mod5=170&amp;Pep=CLEEKNEILQGK&amp;Dta=/var/www/html/dta/S01/10561.6816.2.dta&amp;Global_Mod=CS57.0215", "6816")</f>
        <v>6816</v>
      </c>
      <c r="S156" s="37" t="str">
        <f>HYPERLINK("http://ms.phosphosite.org:5080/cgi-bin/plot-msms.cgi?MassType=1&amp;NumAxis=1&amp;Mod1=160&amp;Mod5=170&amp;Pep=CLEEKNEILQGK&amp;Dta=/var/www/html/dta/S01/10562.6923.2.dta&amp;Global_Mod=CS57.0215", "6923")</f>
        <v>6923</v>
      </c>
      <c r="T156" s="37" t="str">
        <f>HYPERLINK("http://ms.phosphosite.org:5080/cgi-bin/plot-msms.cgi?MassType=1&amp;NumAxis=1&amp;Mod1=160&amp;Mod5=170&amp;Pep=CLEEKNEILQGK&amp;Dta=/var/www/html/dta/S01/10563.6888.2.dta&amp;Global_Mod=CS57.0215", "6888")</f>
        <v>6888</v>
      </c>
      <c r="U156" s="37" t="str">
        <f>HYPERLINK("http://ms.phosphosite.org:5080/cgi-bin/plot-msms.cgi?MassType=1&amp;NumAxis=1&amp;Mod1=160&amp;Mod5=170&amp;Pep=CLEEKNEILQGK&amp;Dta=/var/www/html/dta/S01/10564.7273.2.dta&amp;Global_Mod=CS57.0215", "7273")</f>
        <v>7273</v>
      </c>
      <c r="V156" s="37" t="str">
        <f>HYPERLINK("http://ms.phosphosite.org:5080/cgi-bin/plot-msms.cgi?MassType=1&amp;NumAxis=1&amp;Mod1=160&amp;Mod5=170&amp;Pep=CLEEKNEILQGK&amp;Dta=/var/www/html/dta/S01/10565.7325.2.dta&amp;Global_Mod=CS57.0215", "7325")</f>
        <v>7325</v>
      </c>
      <c r="W156" s="10">
        <v>6852</v>
      </c>
      <c r="X156" s="10">
        <v>6778</v>
      </c>
      <c r="Y156" s="10">
        <v>6762</v>
      </c>
      <c r="Z156" s="10">
        <v>6822</v>
      </c>
      <c r="AA156" s="10">
        <v>6917</v>
      </c>
      <c r="AB156" s="10">
        <v>6882</v>
      </c>
      <c r="AC156" s="10">
        <v>7266</v>
      </c>
      <c r="AD156" s="10">
        <v>7329</v>
      </c>
      <c r="AE156" s="91">
        <v>4.0819999999999999</v>
      </c>
      <c r="AF156" s="91">
        <v>3.6739999999999999</v>
      </c>
      <c r="AG156" s="91">
        <v>3.6850000000000001</v>
      </c>
      <c r="AH156" s="91">
        <v>3.4449999999999998</v>
      </c>
      <c r="AI156" s="91">
        <v>3.7410000000000001</v>
      </c>
      <c r="AJ156" s="91">
        <v>3.3039999999999998</v>
      </c>
      <c r="AK156" s="91">
        <v>3.4079999999999999</v>
      </c>
      <c r="AL156" s="91">
        <v>3.1720000000000002</v>
      </c>
      <c r="AM156" s="95">
        <v>0.58089999999999997</v>
      </c>
      <c r="AN156" s="95">
        <v>0.69010000000000005</v>
      </c>
      <c r="AO156" s="95">
        <v>0.94159999999999999</v>
      </c>
      <c r="AP156" s="95">
        <v>0.70409999999999995</v>
      </c>
      <c r="AQ156" s="95">
        <v>0.48649999999999999</v>
      </c>
      <c r="AR156" s="95">
        <v>0.28220000000000001</v>
      </c>
      <c r="AS156" s="95">
        <v>0.16039999999999999</v>
      </c>
      <c r="AT156" s="95">
        <v>0.21029999999999999</v>
      </c>
      <c r="AU156" s="95">
        <v>0.29499999999999998</v>
      </c>
      <c r="AV156" s="95">
        <v>0.26900000000000002</v>
      </c>
      <c r="AW156" s="95">
        <v>0.31</v>
      </c>
      <c r="AX156" s="95">
        <v>0.28499999999999998</v>
      </c>
      <c r="AY156" s="95">
        <v>0.27100000000000002</v>
      </c>
      <c r="AZ156" s="95">
        <v>0.27300000000000002</v>
      </c>
      <c r="BA156" s="95">
        <v>0.33400000000000002</v>
      </c>
      <c r="BB156" s="95">
        <v>0.26</v>
      </c>
      <c r="BC156" s="10">
        <v>1</v>
      </c>
      <c r="BD156" s="10">
        <v>1</v>
      </c>
      <c r="BE156" s="10">
        <v>1</v>
      </c>
      <c r="BF156" s="10">
        <v>1</v>
      </c>
      <c r="BG156" s="10">
        <v>1</v>
      </c>
      <c r="BH156" s="10">
        <v>1</v>
      </c>
      <c r="BI156" s="10">
        <v>1</v>
      </c>
      <c r="BJ156" s="10">
        <v>1</v>
      </c>
      <c r="BK156" s="91">
        <v>1</v>
      </c>
      <c r="BL156" s="91">
        <v>1</v>
      </c>
      <c r="BM156" s="91">
        <v>1</v>
      </c>
      <c r="BN156" s="91">
        <v>1</v>
      </c>
      <c r="BO156" s="91">
        <v>1</v>
      </c>
      <c r="BP156" s="91">
        <v>1</v>
      </c>
      <c r="BQ156" s="91">
        <v>1</v>
      </c>
      <c r="BR156" s="91">
        <v>1</v>
      </c>
      <c r="BS156" s="10" t="s">
        <v>4857</v>
      </c>
    </row>
    <row r="157" spans="1:71" s="30" customFormat="1" ht="17.100000000000001" customHeight="1">
      <c r="A157" s="14">
        <v>146</v>
      </c>
      <c r="B157" s="5" t="s">
        <v>4658</v>
      </c>
      <c r="C157" s="3" t="s">
        <v>4715</v>
      </c>
      <c r="D157" s="3" t="s">
        <v>4254</v>
      </c>
      <c r="E157" s="3" t="s">
        <v>4255</v>
      </c>
      <c r="F157" s="5" t="s">
        <v>4339</v>
      </c>
      <c r="G157" s="3" t="s">
        <v>4256</v>
      </c>
      <c r="H157" s="6" t="s">
        <v>4257</v>
      </c>
      <c r="I157" s="3" t="s">
        <v>4258</v>
      </c>
      <c r="J157" s="5" t="s">
        <v>4847</v>
      </c>
      <c r="K157" s="3" t="s">
        <v>5424</v>
      </c>
      <c r="L157" s="3" t="s">
        <v>4259</v>
      </c>
      <c r="M157" s="5">
        <v>2</v>
      </c>
      <c r="N157" s="21">
        <v>580.7921</v>
      </c>
      <c r="O157" s="35" t="s">
        <v>4854</v>
      </c>
      <c r="P157" s="35" t="s">
        <v>4854</v>
      </c>
      <c r="Q157" s="36" t="str">
        <f>HYPERLINK("http://ms.phosphosite.org:5080/cgi-bin/plot-msms.cgi?MassType=1&amp;NumAxis=1&amp;Mod4=147&amp;Mod6=170&amp;Pep=AYSMAKYLR&amp;Dta=/var/www/html/dta/S01/10560.4382.2.dta&amp;Global_Mod=CS57.0215", "4382")</f>
        <v>4382</v>
      </c>
      <c r="R157" s="36" t="str">
        <f>HYPERLINK("http://ms.phosphosite.org:5080/cgi-bin/plot-msms.cgi?MassType=1&amp;NumAxis=1&amp;Mod4=147&amp;Mod6=170&amp;Pep=AYSMAKYLR&amp;Dta=/var/www/html/dta/S01/10561.4411.2.dta&amp;Global_Mod=CS57.0215", "4411")</f>
        <v>4411</v>
      </c>
      <c r="S157" s="35" t="s">
        <v>4854</v>
      </c>
      <c r="T157" s="35" t="s">
        <v>4854</v>
      </c>
      <c r="U157" s="35" t="s">
        <v>4854</v>
      </c>
      <c r="V157" s="35" t="s">
        <v>4854</v>
      </c>
      <c r="W157" s="3" t="s">
        <v>4854</v>
      </c>
      <c r="X157" s="3" t="s">
        <v>4854</v>
      </c>
      <c r="Y157" s="5">
        <v>3712</v>
      </c>
      <c r="Z157" s="5">
        <v>3742</v>
      </c>
      <c r="AA157" s="3" t="s">
        <v>4854</v>
      </c>
      <c r="AB157" s="3" t="s">
        <v>4854</v>
      </c>
      <c r="AC157" s="3" t="s">
        <v>4854</v>
      </c>
      <c r="AD157" s="3" t="s">
        <v>4854</v>
      </c>
      <c r="AE157" s="99" t="s">
        <v>4854</v>
      </c>
      <c r="AF157" s="99" t="s">
        <v>4854</v>
      </c>
      <c r="AG157" s="90">
        <v>1.7050000000000001</v>
      </c>
      <c r="AH157" s="90">
        <v>1.883</v>
      </c>
      <c r="AI157" s="99" t="s">
        <v>4854</v>
      </c>
      <c r="AJ157" s="99" t="s">
        <v>4854</v>
      </c>
      <c r="AK157" s="99" t="s">
        <v>4854</v>
      </c>
      <c r="AL157" s="99" t="s">
        <v>4854</v>
      </c>
      <c r="AM157" s="102" t="s">
        <v>4854</v>
      </c>
      <c r="AN157" s="102" t="s">
        <v>4854</v>
      </c>
      <c r="AO157" s="21">
        <v>6.7999999999999996E-3</v>
      </c>
      <c r="AP157" s="21">
        <v>0.22989999999999999</v>
      </c>
      <c r="AQ157" s="102" t="s">
        <v>4854</v>
      </c>
      <c r="AR157" s="102" t="s">
        <v>4854</v>
      </c>
      <c r="AS157" s="102" t="s">
        <v>4854</v>
      </c>
      <c r="AT157" s="102" t="s">
        <v>4854</v>
      </c>
      <c r="AU157" s="102" t="s">
        <v>4854</v>
      </c>
      <c r="AV157" s="102" t="s">
        <v>4854</v>
      </c>
      <c r="AW157" s="21">
        <v>0.183</v>
      </c>
      <c r="AX157" s="21">
        <v>9.9000000000000005E-2</v>
      </c>
      <c r="AY157" s="102" t="s">
        <v>4854</v>
      </c>
      <c r="AZ157" s="102" t="s">
        <v>4854</v>
      </c>
      <c r="BA157" s="102" t="s">
        <v>4854</v>
      </c>
      <c r="BB157" s="102" t="s">
        <v>4854</v>
      </c>
      <c r="BC157" s="3" t="s">
        <v>4854</v>
      </c>
      <c r="BD157" s="3" t="s">
        <v>4854</v>
      </c>
      <c r="BE157" s="5">
        <v>1</v>
      </c>
      <c r="BF157" s="5">
        <v>1</v>
      </c>
      <c r="BG157" s="3" t="s">
        <v>4854</v>
      </c>
      <c r="BH157" s="3" t="s">
        <v>4854</v>
      </c>
      <c r="BI157" s="3" t="s">
        <v>4854</v>
      </c>
      <c r="BJ157" s="3" t="s">
        <v>4854</v>
      </c>
      <c r="BK157" s="99" t="s">
        <v>4854</v>
      </c>
      <c r="BL157" s="99" t="s">
        <v>4854</v>
      </c>
      <c r="BM157" s="90">
        <v>0.98599999999999999</v>
      </c>
      <c r="BN157" s="90">
        <v>0.97699999999999998</v>
      </c>
      <c r="BO157" s="99" t="s">
        <v>4854</v>
      </c>
      <c r="BP157" s="99" t="s">
        <v>4854</v>
      </c>
      <c r="BQ157" s="99" t="s">
        <v>4854</v>
      </c>
      <c r="BR157" s="99" t="s">
        <v>4854</v>
      </c>
      <c r="BS157" s="5" t="s">
        <v>4857</v>
      </c>
    </row>
    <row r="158" spans="1:71" s="30" customFormat="1" ht="17.100000000000001" customHeight="1">
      <c r="A158" s="10">
        <v>147</v>
      </c>
      <c r="B158" s="10" t="s">
        <v>4260</v>
      </c>
      <c r="C158" s="4" t="s">
        <v>4715</v>
      </c>
      <c r="D158" s="4" t="s">
        <v>4261</v>
      </c>
      <c r="E158" s="7" t="s">
        <v>4262</v>
      </c>
      <c r="F158" s="10" t="s">
        <v>4263</v>
      </c>
      <c r="G158" s="4" t="s">
        <v>4264</v>
      </c>
      <c r="H158" s="7" t="s">
        <v>4265</v>
      </c>
      <c r="I158" s="4" t="s">
        <v>4266</v>
      </c>
      <c r="J158" s="10" t="s">
        <v>4267</v>
      </c>
      <c r="K158" s="4" t="s">
        <v>5425</v>
      </c>
      <c r="L158" s="4" t="s">
        <v>4268</v>
      </c>
      <c r="M158" s="10">
        <v>3</v>
      </c>
      <c r="N158" s="95">
        <v>798.40800000000002</v>
      </c>
      <c r="O158" s="37" t="str">
        <f>HYPERLINK("http://ms.phosphosite.org:5080/cgi-bin/plot-msms.cgi?MassType=1&amp;NumAxis=1&amp;Mod9=170&amp;Pep=LYISQESDKDAHLIPDHTIR&amp;Dta=/var/www/html/dta/S01/10558.7236.3.dta&amp;Global_Mod=CS57.0215", "7236")</f>
        <v>7236</v>
      </c>
      <c r="P158" s="37" t="str">
        <f>HYPERLINK("http://ms.phosphosite.org:5080/cgi-bin/plot-msms.cgi?MassType=1&amp;NumAxis=1&amp;Mod9=170&amp;Pep=LYISQESDKDAHLIPDHTIR&amp;Dta=/var/www/html/dta/S01/10559.7215.3.dta&amp;Global_Mod=CS57.0215", "7215")</f>
        <v>7215</v>
      </c>
      <c r="Q158" s="37" t="str">
        <f>HYPERLINK("http://ms.phosphosite.org:5080/cgi-bin/plot-msms.cgi?MassType=1&amp;NumAxis=1&amp;Mod9=170&amp;Pep=LYISQESDKDAHLIPDHTIR&amp;Dta=/var/www/html/dta/S01/10560.7217.3.dta&amp;Global_Mod=CS57.0215", "7217")</f>
        <v>7217</v>
      </c>
      <c r="R158" s="37" t="str">
        <f>HYPERLINK("http://ms.phosphosite.org:5080/cgi-bin/plot-msms.cgi?MassType=1&amp;NumAxis=1&amp;Mod9=170&amp;Pep=LYISQESDKDAHLIPDHTIR&amp;Dta=/var/www/html/dta/S01/10561.7259.3.dta&amp;Global_Mod=CS57.0215", "7259")</f>
        <v>7259</v>
      </c>
      <c r="S158" s="37" t="str">
        <f>HYPERLINK("http://ms.phosphosite.org:5080/cgi-bin/plot-msms.cgi?MassType=1&amp;NumAxis=1&amp;Mod9=170&amp;Pep=LYISQESDKDAHLIPDHTIR&amp;Dta=/var/www/html/dta/S01/10562.7354.3.dta&amp;Global_Mod=CS57.0215", "7354")</f>
        <v>7354</v>
      </c>
      <c r="T158" s="37" t="str">
        <f>HYPERLINK("http://ms.phosphosite.org:5080/cgi-bin/plot-msms.cgi?MassType=1&amp;NumAxis=1&amp;Mod9=170&amp;Pep=LYISQESDKDAHLIPDHTIR&amp;Dta=/var/www/html/dta/S01/10563.7319.3.dta&amp;Global_Mod=CS57.0215", "7319")</f>
        <v>7319</v>
      </c>
      <c r="U158" s="37" t="str">
        <f>HYPERLINK("http://ms.phosphosite.org:5080/cgi-bin/plot-msms.cgi?MassType=1&amp;NumAxis=1&amp;Mod9=170&amp;Pep=LYISQESDKDAHLIPDHTIR&amp;Dta=/var/www/html/dta/S01/10564.7648.3.dta&amp;Global_Mod=CS57.0215", "7648")</f>
        <v>7648</v>
      </c>
      <c r="V158" s="37" t="str">
        <f>HYPERLINK("http://ms.phosphosite.org:5080/cgi-bin/plot-msms.cgi?MassType=1&amp;NumAxis=1&amp;Mod9=170&amp;Pep=LYISQESDKDAHLIPDHTIR&amp;Dta=/var/www/html/dta/S01/10565.7691.3.dta&amp;Global_Mod=CS57.0215", "7691")</f>
        <v>7691</v>
      </c>
      <c r="W158" s="10">
        <v>7259</v>
      </c>
      <c r="X158" s="10">
        <v>7229</v>
      </c>
      <c r="Y158" s="10">
        <v>7224</v>
      </c>
      <c r="Z158" s="10">
        <v>7262</v>
      </c>
      <c r="AA158" s="10">
        <v>7324</v>
      </c>
      <c r="AB158" s="10">
        <v>7333</v>
      </c>
      <c r="AC158" s="10">
        <v>7651</v>
      </c>
      <c r="AD158" s="10">
        <v>7725</v>
      </c>
      <c r="AE158" s="91">
        <v>3.5779999999999998</v>
      </c>
      <c r="AF158" s="91">
        <v>3.532</v>
      </c>
      <c r="AG158" s="91">
        <v>3.6059999999999999</v>
      </c>
      <c r="AH158" s="91">
        <v>4.077</v>
      </c>
      <c r="AI158" s="91">
        <v>4.3810000000000002</v>
      </c>
      <c r="AJ158" s="91">
        <v>3.7320000000000002</v>
      </c>
      <c r="AK158" s="91">
        <v>4.851</v>
      </c>
      <c r="AL158" s="91">
        <v>3.5470000000000002</v>
      </c>
      <c r="AM158" s="95">
        <v>-0.38719999999999999</v>
      </c>
      <c r="AN158" s="95">
        <v>-0.49209999999999998</v>
      </c>
      <c r="AO158" s="95">
        <v>0.18440000000000001</v>
      </c>
      <c r="AP158" s="95">
        <v>-3.2000000000000002E-3</v>
      </c>
      <c r="AQ158" s="95">
        <v>-0.218</v>
      </c>
      <c r="AR158" s="95">
        <v>-0.60909999999999997</v>
      </c>
      <c r="AS158" s="95">
        <v>-0.16370000000000001</v>
      </c>
      <c r="AT158" s="95">
        <v>-0.16950000000000001</v>
      </c>
      <c r="AU158" s="95">
        <v>9.9000000000000005E-2</v>
      </c>
      <c r="AV158" s="95">
        <v>0.33300000000000002</v>
      </c>
      <c r="AW158" s="95">
        <v>0.35599999999999998</v>
      </c>
      <c r="AX158" s="95">
        <v>0.33</v>
      </c>
      <c r="AY158" s="95">
        <v>0.40300000000000002</v>
      </c>
      <c r="AZ158" s="95">
        <v>0.35199999999999998</v>
      </c>
      <c r="BA158" s="95">
        <v>0.49</v>
      </c>
      <c r="BB158" s="95">
        <v>0.39100000000000001</v>
      </c>
      <c r="BC158" s="10">
        <v>1</v>
      </c>
      <c r="BD158" s="10">
        <v>1</v>
      </c>
      <c r="BE158" s="10">
        <v>1</v>
      </c>
      <c r="BF158" s="10">
        <v>1</v>
      </c>
      <c r="BG158" s="10">
        <v>1</v>
      </c>
      <c r="BH158" s="10">
        <v>1</v>
      </c>
      <c r="BI158" s="10">
        <v>1</v>
      </c>
      <c r="BJ158" s="10">
        <v>1</v>
      </c>
      <c r="BK158" s="91">
        <v>0.99099999999999999</v>
      </c>
      <c r="BL158" s="91">
        <v>1</v>
      </c>
      <c r="BM158" s="91">
        <v>1</v>
      </c>
      <c r="BN158" s="91">
        <v>1</v>
      </c>
      <c r="BO158" s="91">
        <v>1</v>
      </c>
      <c r="BP158" s="91">
        <v>1</v>
      </c>
      <c r="BQ158" s="91">
        <v>1</v>
      </c>
      <c r="BR158" s="91">
        <v>1</v>
      </c>
      <c r="BS158" s="10" t="s">
        <v>4857</v>
      </c>
    </row>
    <row r="159" spans="1:71" s="30" customFormat="1" ht="17.100000000000001" customHeight="1">
      <c r="A159" s="10">
        <v>148</v>
      </c>
      <c r="B159" s="10" t="s">
        <v>4269</v>
      </c>
      <c r="C159" s="4" t="s">
        <v>4715</v>
      </c>
      <c r="D159" s="4" t="s">
        <v>4261</v>
      </c>
      <c r="E159" s="7" t="s">
        <v>4262</v>
      </c>
      <c r="F159" s="10" t="s">
        <v>4263</v>
      </c>
      <c r="G159" s="4" t="s">
        <v>4264</v>
      </c>
      <c r="H159" s="7" t="s">
        <v>4265</v>
      </c>
      <c r="I159" s="4" t="s">
        <v>4266</v>
      </c>
      <c r="J159" s="10" t="s">
        <v>4267</v>
      </c>
      <c r="K159" s="4" t="s">
        <v>5425</v>
      </c>
      <c r="L159" s="4" t="s">
        <v>4268</v>
      </c>
      <c r="M159" s="10">
        <v>4</v>
      </c>
      <c r="N159" s="95">
        <v>599.05790000000002</v>
      </c>
      <c r="O159" s="38" t="s">
        <v>4854</v>
      </c>
      <c r="P159" s="38" t="s">
        <v>4854</v>
      </c>
      <c r="Q159" s="37" t="str">
        <f>HYPERLINK("http://ms.phosphosite.org:5080/cgi-bin/plot-msms.cgi?MassType=1&amp;NumAxis=1&amp;Mod9=170&amp;Pep=LYISQESDKDAHLIPDHTIR&amp;Dta=/var/www/html/dta/S01/10560.7185.4.dta&amp;Global_Mod=CS57.0215", "7185")</f>
        <v>7185</v>
      </c>
      <c r="R159" s="37" t="str">
        <f>HYPERLINK("http://ms.phosphosite.org:5080/cgi-bin/plot-msms.cgi?MassType=1&amp;NumAxis=1&amp;Mod9=170&amp;Pep=LYISQESDKDAHLIPDHTIR&amp;Dta=/var/www/html/dta/S01/10561.7222.4.dta&amp;Global_Mod=CS57.0215", "7222")</f>
        <v>7222</v>
      </c>
      <c r="S159" s="37" t="str">
        <f>HYPERLINK("http://ms.phosphosite.org:5080/cgi-bin/plot-msms.cgi?MassType=1&amp;NumAxis=1&amp;Mod9=170&amp;Pep=LYISQESDKDAHLIPDHTIR&amp;Dta=/var/www/html/dta/S01/10562.7336.4.dta&amp;Global_Mod=CS57.0215", "7336")</f>
        <v>7336</v>
      </c>
      <c r="T159" s="38" t="s">
        <v>4854</v>
      </c>
      <c r="U159" s="37" t="str">
        <f>HYPERLINK("http://ms.phosphosite.org:5080/cgi-bin/plot-msms.cgi?MassType=1&amp;NumAxis=1&amp;Mod9=170&amp;Pep=LYISQESDKDAHLIPDHTIR&amp;Dta=/var/www/html/dta/S01/10564.7675.4.dta&amp;Global_Mod=CS57.0215", "7675")</f>
        <v>7675</v>
      </c>
      <c r="V159" s="37" t="str">
        <f>HYPERLINK("http://ms.phosphosite.org:5080/cgi-bin/plot-msms.cgi?MassType=1&amp;NumAxis=1&amp;Mod9=170&amp;Pep=LYISQESDKDAHLIPDHTIR&amp;Dta=/var/www/html/dta/S01/10565.7667.4.dta&amp;Global_Mod=CS57.0215", "7667")</f>
        <v>7667</v>
      </c>
      <c r="W159" s="4" t="s">
        <v>4854</v>
      </c>
      <c r="X159" s="4" t="s">
        <v>4854</v>
      </c>
      <c r="Y159" s="10">
        <v>7213</v>
      </c>
      <c r="Z159" s="10">
        <v>7251</v>
      </c>
      <c r="AA159" s="10">
        <v>7357</v>
      </c>
      <c r="AB159" s="4" t="s">
        <v>4854</v>
      </c>
      <c r="AC159" s="10">
        <v>7640</v>
      </c>
      <c r="AD159" s="10">
        <v>7692</v>
      </c>
      <c r="AE159" s="100" t="s">
        <v>4854</v>
      </c>
      <c r="AF159" s="100" t="s">
        <v>4854</v>
      </c>
      <c r="AG159" s="91">
        <v>2.6360000000000001</v>
      </c>
      <c r="AH159" s="91">
        <v>2.3980000000000001</v>
      </c>
      <c r="AI159" s="91">
        <v>2.3530000000000002</v>
      </c>
      <c r="AJ159" s="100" t="s">
        <v>4854</v>
      </c>
      <c r="AK159" s="91">
        <v>2.895</v>
      </c>
      <c r="AL159" s="91">
        <v>2.36</v>
      </c>
      <c r="AM159" s="103" t="s">
        <v>4854</v>
      </c>
      <c r="AN159" s="103" t="s">
        <v>4854</v>
      </c>
      <c r="AO159" s="95">
        <v>0.46810000000000002</v>
      </c>
      <c r="AP159" s="95">
        <v>0.4819</v>
      </c>
      <c r="AQ159" s="95">
        <v>0.46899999999999997</v>
      </c>
      <c r="AR159" s="103" t="s">
        <v>4854</v>
      </c>
      <c r="AS159" s="95">
        <v>0.16270000000000001</v>
      </c>
      <c r="AT159" s="95">
        <v>-0.2142</v>
      </c>
      <c r="AU159" s="103" t="s">
        <v>4854</v>
      </c>
      <c r="AV159" s="103" t="s">
        <v>4854</v>
      </c>
      <c r="AW159" s="95">
        <v>0.16700000000000001</v>
      </c>
      <c r="AX159" s="95">
        <v>0.16600000000000001</v>
      </c>
      <c r="AY159" s="95">
        <v>0.108</v>
      </c>
      <c r="AZ159" s="103" t="s">
        <v>4854</v>
      </c>
      <c r="BA159" s="95">
        <v>4.2999999999999997E-2</v>
      </c>
      <c r="BB159" s="95">
        <v>0.111</v>
      </c>
      <c r="BC159" s="4" t="s">
        <v>4854</v>
      </c>
      <c r="BD159" s="4" t="s">
        <v>4854</v>
      </c>
      <c r="BE159" s="10">
        <v>13</v>
      </c>
      <c r="BF159" s="10">
        <v>4</v>
      </c>
      <c r="BG159" s="10">
        <v>1</v>
      </c>
      <c r="BH159" s="4" t="s">
        <v>4854</v>
      </c>
      <c r="BI159" s="10">
        <v>1</v>
      </c>
      <c r="BJ159" s="10">
        <v>1</v>
      </c>
      <c r="BK159" s="100" t="s">
        <v>4854</v>
      </c>
      <c r="BL159" s="100" t="s">
        <v>4854</v>
      </c>
      <c r="BM159" s="91">
        <v>0.99399999999999999</v>
      </c>
      <c r="BN159" s="91">
        <v>0.997</v>
      </c>
      <c r="BO159" s="91">
        <v>0.997</v>
      </c>
      <c r="BP159" s="100" t="s">
        <v>4854</v>
      </c>
      <c r="BQ159" s="91">
        <v>0.99099999999999999</v>
      </c>
      <c r="BR159" s="91">
        <v>0.99399999999999999</v>
      </c>
      <c r="BS159" s="10" t="s">
        <v>4857</v>
      </c>
    </row>
    <row r="160" spans="1:71" s="30" customFormat="1" ht="17.100000000000001" customHeight="1">
      <c r="A160" s="14">
        <v>149</v>
      </c>
      <c r="B160" s="5" t="s">
        <v>4270</v>
      </c>
      <c r="C160" s="3" t="s">
        <v>4715</v>
      </c>
      <c r="D160" s="3" t="s">
        <v>4271</v>
      </c>
      <c r="E160" s="6" t="s">
        <v>4272</v>
      </c>
      <c r="F160" s="5" t="s">
        <v>4273</v>
      </c>
      <c r="G160" s="3" t="s">
        <v>4274</v>
      </c>
      <c r="H160" s="6" t="s">
        <v>4275</v>
      </c>
      <c r="I160" s="3" t="s">
        <v>4276</v>
      </c>
      <c r="J160" s="5" t="s">
        <v>4277</v>
      </c>
      <c r="K160" s="3" t="s">
        <v>5426</v>
      </c>
      <c r="L160" s="3" t="s">
        <v>4278</v>
      </c>
      <c r="M160" s="5">
        <v>3</v>
      </c>
      <c r="N160" s="21">
        <v>710.72460000000001</v>
      </c>
      <c r="O160" s="35" t="s">
        <v>4854</v>
      </c>
      <c r="P160" s="35" t="s">
        <v>4854</v>
      </c>
      <c r="Q160" s="35" t="s">
        <v>4854</v>
      </c>
      <c r="R160" s="35" t="s">
        <v>4854</v>
      </c>
      <c r="S160" s="35" t="s">
        <v>4854</v>
      </c>
      <c r="T160" s="35" t="s">
        <v>4854</v>
      </c>
      <c r="U160" s="35" t="s">
        <v>4854</v>
      </c>
      <c r="V160" s="36" t="str">
        <f>HYPERLINK("http://ms.phosphosite.org:5080/cgi-bin/plot-msms.cgi?MassType=1&amp;NumAxis=1&amp;Mod5=170&amp;Pep=EFIIKTVQHKEAEFLQK&amp;Dta=/var/www/html/dta/S01/10565.15205.3.dta&amp;Global_Mod=CS57.0215", "15205")</f>
        <v>15205</v>
      </c>
      <c r="W160" s="3" t="s">
        <v>4854</v>
      </c>
      <c r="X160" s="3" t="s">
        <v>4854</v>
      </c>
      <c r="Y160" s="3" t="s">
        <v>4854</v>
      </c>
      <c r="Z160" s="3" t="s">
        <v>4854</v>
      </c>
      <c r="AA160" s="3" t="s">
        <v>4854</v>
      </c>
      <c r="AB160" s="3" t="s">
        <v>4854</v>
      </c>
      <c r="AC160" s="3" t="s">
        <v>4854</v>
      </c>
      <c r="AD160" s="3" t="s">
        <v>4854</v>
      </c>
      <c r="AE160" s="99" t="s">
        <v>4854</v>
      </c>
      <c r="AF160" s="99" t="s">
        <v>4854</v>
      </c>
      <c r="AG160" s="99" t="s">
        <v>4854</v>
      </c>
      <c r="AH160" s="99" t="s">
        <v>4854</v>
      </c>
      <c r="AI160" s="99" t="s">
        <v>4854</v>
      </c>
      <c r="AJ160" s="99" t="s">
        <v>4854</v>
      </c>
      <c r="AK160" s="99" t="s">
        <v>4854</v>
      </c>
      <c r="AL160" s="90">
        <v>2.1059999999999999</v>
      </c>
      <c r="AM160" s="102" t="s">
        <v>4854</v>
      </c>
      <c r="AN160" s="102" t="s">
        <v>4854</v>
      </c>
      <c r="AO160" s="102" t="s">
        <v>4854</v>
      </c>
      <c r="AP160" s="102" t="s">
        <v>4854</v>
      </c>
      <c r="AQ160" s="102" t="s">
        <v>4854</v>
      </c>
      <c r="AR160" s="102" t="s">
        <v>4854</v>
      </c>
      <c r="AS160" s="102" t="s">
        <v>4854</v>
      </c>
      <c r="AT160" s="21">
        <v>1.9942</v>
      </c>
      <c r="AU160" s="102" t="s">
        <v>4854</v>
      </c>
      <c r="AV160" s="102" t="s">
        <v>4854</v>
      </c>
      <c r="AW160" s="102" t="s">
        <v>4854</v>
      </c>
      <c r="AX160" s="102" t="s">
        <v>4854</v>
      </c>
      <c r="AY160" s="102" t="s">
        <v>4854</v>
      </c>
      <c r="AZ160" s="102" t="s">
        <v>4854</v>
      </c>
      <c r="BA160" s="102" t="s">
        <v>4854</v>
      </c>
      <c r="BB160" s="21">
        <v>0.113</v>
      </c>
      <c r="BC160" s="3" t="s">
        <v>4854</v>
      </c>
      <c r="BD160" s="3" t="s">
        <v>4854</v>
      </c>
      <c r="BE160" s="3" t="s">
        <v>4854</v>
      </c>
      <c r="BF160" s="3" t="s">
        <v>4854</v>
      </c>
      <c r="BG160" s="3" t="s">
        <v>4854</v>
      </c>
      <c r="BH160" s="3" t="s">
        <v>4854</v>
      </c>
      <c r="BI160" s="3" t="s">
        <v>4854</v>
      </c>
      <c r="BJ160" s="5">
        <v>36</v>
      </c>
      <c r="BK160" s="99" t="s">
        <v>4854</v>
      </c>
      <c r="BL160" s="99" t="s">
        <v>4854</v>
      </c>
      <c r="BM160" s="99" t="s">
        <v>4854</v>
      </c>
      <c r="BN160" s="99" t="s">
        <v>4854</v>
      </c>
      <c r="BO160" s="99" t="s">
        <v>4854</v>
      </c>
      <c r="BP160" s="99" t="s">
        <v>4854</v>
      </c>
      <c r="BQ160" s="99" t="s">
        <v>4854</v>
      </c>
      <c r="BR160" s="90">
        <v>6.0999999999999999E-2</v>
      </c>
      <c r="BS160" s="5" t="s">
        <v>4857</v>
      </c>
    </row>
    <row r="161" spans="1:71" s="30" customFormat="1" ht="17.100000000000001" customHeight="1">
      <c r="A161" s="10">
        <v>150</v>
      </c>
      <c r="B161" s="10" t="s">
        <v>4279</v>
      </c>
      <c r="C161" s="4" t="s">
        <v>4715</v>
      </c>
      <c r="D161" s="4" t="s">
        <v>4280</v>
      </c>
      <c r="E161" s="7" t="s">
        <v>4281</v>
      </c>
      <c r="F161" s="10" t="s">
        <v>4983</v>
      </c>
      <c r="G161" s="4" t="s">
        <v>4282</v>
      </c>
      <c r="H161" s="7" t="s">
        <v>4283</v>
      </c>
      <c r="I161" s="4" t="s">
        <v>4284</v>
      </c>
      <c r="J161" s="10" t="s">
        <v>4782</v>
      </c>
      <c r="K161" s="4" t="s">
        <v>5427</v>
      </c>
      <c r="L161" s="4" t="s">
        <v>4285</v>
      </c>
      <c r="M161" s="10">
        <v>2</v>
      </c>
      <c r="N161" s="95">
        <v>565.79570000000001</v>
      </c>
      <c r="O161" s="38" t="s">
        <v>4854</v>
      </c>
      <c r="P161" s="38" t="s">
        <v>4854</v>
      </c>
      <c r="Q161" s="38" t="s">
        <v>4854</v>
      </c>
      <c r="R161" s="38" t="s">
        <v>4854</v>
      </c>
      <c r="S161" s="38" t="s">
        <v>4854</v>
      </c>
      <c r="T161" s="38" t="s">
        <v>4854</v>
      </c>
      <c r="U161" s="37" t="str">
        <f>HYPERLINK("http://ms.phosphosite.org:5080/cgi-bin/plot-msms.cgi?MassType=1&amp;NumAxis=1&amp;Mod8=170&amp;Pep=HLTGEFEKK&amp;Dta=/var/www/html/dta/S01/10564.3172.2.dta&amp;Global_Mod=CS57.0215", "3172")</f>
        <v>3172</v>
      </c>
      <c r="V161" s="37" t="str">
        <f>HYPERLINK("http://ms.phosphosite.org:5080/cgi-bin/plot-msms.cgi?MassType=1&amp;NumAxis=1&amp;Mod8=170&amp;Pep=HLTGEFEKK&amp;Dta=/var/www/html/dta/S01/10565.3259.2.dta&amp;Global_Mod=CS57.0215", "3259")</f>
        <v>3259</v>
      </c>
      <c r="W161" s="4" t="s">
        <v>4854</v>
      </c>
      <c r="X161" s="4" t="s">
        <v>4854</v>
      </c>
      <c r="Y161" s="4" t="s">
        <v>4854</v>
      </c>
      <c r="Z161" s="4" t="s">
        <v>4854</v>
      </c>
      <c r="AA161" s="4" t="s">
        <v>4854</v>
      </c>
      <c r="AB161" s="4" t="s">
        <v>4854</v>
      </c>
      <c r="AC161" s="10">
        <v>3173</v>
      </c>
      <c r="AD161" s="10">
        <v>3261</v>
      </c>
      <c r="AE161" s="100" t="s">
        <v>4854</v>
      </c>
      <c r="AF161" s="100" t="s">
        <v>4854</v>
      </c>
      <c r="AG161" s="100" t="s">
        <v>4854</v>
      </c>
      <c r="AH161" s="100" t="s">
        <v>4854</v>
      </c>
      <c r="AI161" s="100" t="s">
        <v>4854</v>
      </c>
      <c r="AJ161" s="100" t="s">
        <v>4854</v>
      </c>
      <c r="AK161" s="91">
        <v>1.8180000000000001</v>
      </c>
      <c r="AL161" s="91">
        <v>2.1429999999999998</v>
      </c>
      <c r="AM161" s="103" t="s">
        <v>4854</v>
      </c>
      <c r="AN161" s="103" t="s">
        <v>4854</v>
      </c>
      <c r="AO161" s="103" t="s">
        <v>4854</v>
      </c>
      <c r="AP161" s="103" t="s">
        <v>4854</v>
      </c>
      <c r="AQ161" s="103" t="s">
        <v>4854</v>
      </c>
      <c r="AR161" s="103" t="s">
        <v>4854</v>
      </c>
      <c r="AS161" s="95">
        <v>0.17419999999999999</v>
      </c>
      <c r="AT161" s="95">
        <v>0.4254</v>
      </c>
      <c r="AU161" s="103" t="s">
        <v>4854</v>
      </c>
      <c r="AV161" s="103" t="s">
        <v>4854</v>
      </c>
      <c r="AW161" s="103" t="s">
        <v>4854</v>
      </c>
      <c r="AX161" s="103" t="s">
        <v>4854</v>
      </c>
      <c r="AY161" s="103" t="s">
        <v>4854</v>
      </c>
      <c r="AZ161" s="103" t="s">
        <v>4854</v>
      </c>
      <c r="BA161" s="95">
        <v>7.6999999999999999E-2</v>
      </c>
      <c r="BB161" s="95">
        <v>0.187</v>
      </c>
      <c r="BC161" s="4" t="s">
        <v>4854</v>
      </c>
      <c r="BD161" s="4" t="s">
        <v>4854</v>
      </c>
      <c r="BE161" s="4" t="s">
        <v>4854</v>
      </c>
      <c r="BF161" s="4" t="s">
        <v>4854</v>
      </c>
      <c r="BG161" s="4" t="s">
        <v>4854</v>
      </c>
      <c r="BH161" s="4" t="s">
        <v>4854</v>
      </c>
      <c r="BI161" s="10">
        <v>2</v>
      </c>
      <c r="BJ161" s="10">
        <v>24</v>
      </c>
      <c r="BK161" s="100" t="s">
        <v>4854</v>
      </c>
      <c r="BL161" s="100" t="s">
        <v>4854</v>
      </c>
      <c r="BM161" s="100" t="s">
        <v>4854</v>
      </c>
      <c r="BN161" s="100" t="s">
        <v>4854</v>
      </c>
      <c r="BO161" s="100" t="s">
        <v>4854</v>
      </c>
      <c r="BP161" s="100" t="s">
        <v>4854</v>
      </c>
      <c r="BQ161" s="91">
        <v>0.99199999999999999</v>
      </c>
      <c r="BR161" s="91">
        <v>0.998</v>
      </c>
      <c r="BS161" s="10" t="s">
        <v>4857</v>
      </c>
    </row>
    <row r="162" spans="1:71" s="30" customFormat="1" ht="17.100000000000001" customHeight="1">
      <c r="A162" s="14">
        <v>151</v>
      </c>
      <c r="B162" s="5" t="s">
        <v>4286</v>
      </c>
      <c r="C162" s="3" t="s">
        <v>4715</v>
      </c>
      <c r="D162" s="3" t="s">
        <v>4287</v>
      </c>
      <c r="E162" s="3" t="s">
        <v>4288</v>
      </c>
      <c r="F162" s="5" t="s">
        <v>4960</v>
      </c>
      <c r="G162" s="3" t="s">
        <v>4289</v>
      </c>
      <c r="H162" s="6" t="s">
        <v>4290</v>
      </c>
      <c r="I162" s="3" t="s">
        <v>4291</v>
      </c>
      <c r="J162" s="5" t="s">
        <v>4292</v>
      </c>
      <c r="K162" s="3" t="s">
        <v>5428</v>
      </c>
      <c r="L162" s="3" t="s">
        <v>4293</v>
      </c>
      <c r="M162" s="5">
        <v>2</v>
      </c>
      <c r="N162" s="21">
        <v>807.89530000000002</v>
      </c>
      <c r="O162" s="36" t="str">
        <f>HYPERLINK("http://ms.phosphosite.org:5080/cgi-bin/plot-msms.cgi?MassType=1&amp;NumAxis=1&amp;Mod8=160&amp;Mod10=170&amp;Pep=LINAEYACYKAEK&amp;Dta=/var/www/html/dta/S01/10558.6417.2.dta&amp;Global_Mod=CS57.0215", "6417")</f>
        <v>6417</v>
      </c>
      <c r="P162" s="36" t="str">
        <f>HYPERLINK("http://ms.phosphosite.org:5080/cgi-bin/plot-msms.cgi?MassType=1&amp;NumAxis=1&amp;Mod8=160&amp;Mod10=170&amp;Pep=LINAEYACYKAEK&amp;Dta=/var/www/html/dta/S01/10559.6375.2.dta&amp;Global_Mod=CS57.0215", "6375")</f>
        <v>6375</v>
      </c>
      <c r="Q162" s="36" t="str">
        <f>HYPERLINK("http://ms.phosphosite.org:5080/cgi-bin/plot-msms.cgi?MassType=1&amp;NumAxis=1&amp;Mod8=160&amp;Mod10=170&amp;Pep=LINAEYACYKAEK&amp;Dta=/var/www/html/dta/S01/10560.6352.2.dta&amp;Global_Mod=CS57.0215", "6352")</f>
        <v>6352</v>
      </c>
      <c r="R162" s="36" t="str">
        <f>HYPERLINK("http://ms.phosphosite.org:5080/cgi-bin/plot-msms.cgi?MassType=1&amp;NumAxis=1&amp;Mod8=160&amp;Mod10=170&amp;Pep=LINAEYACYKAEK&amp;Dta=/var/www/html/dta/S01/10561.6399.2.dta&amp;Global_Mod=CS57.0215", "6399")</f>
        <v>6399</v>
      </c>
      <c r="S162" s="36" t="str">
        <f>HYPERLINK("http://ms.phosphosite.org:5080/cgi-bin/plot-msms.cgi?MassType=1&amp;NumAxis=1&amp;Mod8=160&amp;Mod10=170&amp;Pep=LINAEYACYKAEK&amp;Dta=/var/www/html/dta/S01/10562.6517.2.dta&amp;Global_Mod=CS57.0215", "6517")</f>
        <v>6517</v>
      </c>
      <c r="T162" s="36" t="str">
        <f>HYPERLINK("http://ms.phosphosite.org:5080/cgi-bin/plot-msms.cgi?MassType=1&amp;NumAxis=1&amp;Mod8=160&amp;Mod10=170&amp;Pep=LINAEYACYKAEK&amp;Dta=/var/www/html/dta/S01/10563.6471.2.dta&amp;Global_Mod=CS57.0215", "6471")</f>
        <v>6471</v>
      </c>
      <c r="U162" s="36" t="str">
        <f>HYPERLINK("http://ms.phosphosite.org:5080/cgi-bin/plot-msms.cgi?MassType=1&amp;NumAxis=1&amp;Mod8=160&amp;Mod10=170&amp;Pep=LINAEYACYKAEK&amp;Dta=/var/www/html/dta/S01/10564.6797.2.dta&amp;Global_Mod=CS57.0215", "6797")</f>
        <v>6797</v>
      </c>
      <c r="V162" s="36" t="str">
        <f>HYPERLINK("http://ms.phosphosite.org:5080/cgi-bin/plot-msms.cgi?MassType=1&amp;NumAxis=1&amp;Mod8=160&amp;Mod10=170&amp;Pep=LINAEYACYKAEK&amp;Dta=/var/www/html/dta/S01/10565.6882.2.dta&amp;Global_Mod=CS57.0215", "6882")</f>
        <v>6882</v>
      </c>
      <c r="W162" s="5">
        <v>6424</v>
      </c>
      <c r="X162" s="5">
        <v>6382</v>
      </c>
      <c r="Y162" s="5">
        <v>6366</v>
      </c>
      <c r="Z162" s="5">
        <v>6393</v>
      </c>
      <c r="AA162" s="5">
        <v>6510</v>
      </c>
      <c r="AB162" s="5">
        <v>6475</v>
      </c>
      <c r="AC162" s="5">
        <v>6804</v>
      </c>
      <c r="AD162" s="5">
        <v>6889</v>
      </c>
      <c r="AE162" s="90">
        <v>4.0229999999999997</v>
      </c>
      <c r="AF162" s="90">
        <v>3.9209999999999998</v>
      </c>
      <c r="AG162" s="90">
        <v>4.6219999999999999</v>
      </c>
      <c r="AH162" s="90">
        <v>3.956</v>
      </c>
      <c r="AI162" s="90">
        <v>3.9470000000000001</v>
      </c>
      <c r="AJ162" s="90">
        <v>3.9769999999999999</v>
      </c>
      <c r="AK162" s="90">
        <v>4.157</v>
      </c>
      <c r="AL162" s="90">
        <v>4.4139999999999997</v>
      </c>
      <c r="AM162" s="21">
        <v>0.3145</v>
      </c>
      <c r="AN162" s="21">
        <v>0.52759999999999996</v>
      </c>
      <c r="AO162" s="21">
        <v>0.9214</v>
      </c>
      <c r="AP162" s="21">
        <v>1.1877</v>
      </c>
      <c r="AQ162" s="21">
        <v>0.875</v>
      </c>
      <c r="AR162" s="21">
        <v>0.85329999999999995</v>
      </c>
      <c r="AS162" s="21">
        <v>0.37459999999999999</v>
      </c>
      <c r="AT162" s="21">
        <v>0.15540000000000001</v>
      </c>
      <c r="AU162" s="21">
        <v>0.39600000000000002</v>
      </c>
      <c r="AV162" s="21">
        <v>0.43</v>
      </c>
      <c r="AW162" s="21">
        <v>0.42899999999999999</v>
      </c>
      <c r="AX162" s="21">
        <v>0.38700000000000001</v>
      </c>
      <c r="AY162" s="21">
        <v>0.44900000000000001</v>
      </c>
      <c r="AZ162" s="21">
        <v>0.34200000000000003</v>
      </c>
      <c r="BA162" s="21">
        <v>0.45500000000000002</v>
      </c>
      <c r="BB162" s="21">
        <v>0.41599999999999998</v>
      </c>
      <c r="BC162" s="5">
        <v>1</v>
      </c>
      <c r="BD162" s="5">
        <v>1</v>
      </c>
      <c r="BE162" s="5">
        <v>1</v>
      </c>
      <c r="BF162" s="5">
        <v>1</v>
      </c>
      <c r="BG162" s="5">
        <v>1</v>
      </c>
      <c r="BH162" s="5">
        <v>1</v>
      </c>
      <c r="BI162" s="5">
        <v>1</v>
      </c>
      <c r="BJ162" s="5">
        <v>1</v>
      </c>
      <c r="BK162" s="90">
        <v>1</v>
      </c>
      <c r="BL162" s="90">
        <v>1</v>
      </c>
      <c r="BM162" s="90">
        <v>1</v>
      </c>
      <c r="BN162" s="90">
        <v>1</v>
      </c>
      <c r="BO162" s="90">
        <v>1</v>
      </c>
      <c r="BP162" s="90">
        <v>1</v>
      </c>
      <c r="BQ162" s="90">
        <v>1</v>
      </c>
      <c r="BR162" s="90">
        <v>1</v>
      </c>
      <c r="BS162" s="5" t="s">
        <v>4857</v>
      </c>
    </row>
    <row r="163" spans="1:71" s="30" customFormat="1" ht="17.100000000000001" customHeight="1">
      <c r="A163" s="10">
        <v>152</v>
      </c>
      <c r="B163" s="10" t="s">
        <v>4294</v>
      </c>
      <c r="C163" s="4" t="s">
        <v>4715</v>
      </c>
      <c r="D163" s="4" t="s">
        <v>4295</v>
      </c>
      <c r="E163" s="4" t="s">
        <v>4296</v>
      </c>
      <c r="F163" s="10" t="s">
        <v>5276</v>
      </c>
      <c r="G163" s="4" t="s">
        <v>4297</v>
      </c>
      <c r="H163" s="7" t="s">
        <v>4161</v>
      </c>
      <c r="I163" s="4" t="s">
        <v>4162</v>
      </c>
      <c r="J163" s="10" t="s">
        <v>4163</v>
      </c>
      <c r="K163" s="4" t="s">
        <v>5429</v>
      </c>
      <c r="L163" s="4" t="s">
        <v>4164</v>
      </c>
      <c r="M163" s="10">
        <v>3</v>
      </c>
      <c r="N163" s="95">
        <v>971.80909999999994</v>
      </c>
      <c r="O163" s="37" t="str">
        <f>HYPERLINK("http://ms.phosphosite.org:5080/cgi-bin/plot-msms.cgi?MassType=1&amp;NumAxis=1&amp;Mod1=147&amp;Mod15=170&amp;Pep=MSVVAPVREEYADFKPFEQAWEVK&amp;Dta=/var/www/html/dta/S01/10558.11895.3.dta&amp;Global_Mod=CS57.0215", "11895")</f>
        <v>11895</v>
      </c>
      <c r="P163" s="37" t="str">
        <f>HYPERLINK("http://ms.phosphosite.org:5080/cgi-bin/plot-msms.cgi?MassType=1&amp;NumAxis=1&amp;Mod1=147&amp;Mod15=170&amp;Pep=MSVVAPVREEYADFKPFEQAWEVK&amp;Dta=/var/www/html/dta/S01/10559.11914.3.dta&amp;Global_Mod=CS57.0215", "11914")</f>
        <v>11914</v>
      </c>
      <c r="Q163" s="37" t="str">
        <f>HYPERLINK("http://ms.phosphosite.org:5080/cgi-bin/plot-msms.cgi?MassType=1&amp;NumAxis=1&amp;Mod1=147&amp;Mod15=170&amp;Pep=MSVVAPVREEYADFKPFEQAWEVK&amp;Dta=/var/www/html/dta/S01/10560.11953.3.dta&amp;Global_Mod=CS57.0215", "11953")</f>
        <v>11953</v>
      </c>
      <c r="R163" s="37" t="str">
        <f>HYPERLINK("http://ms.phosphosite.org:5080/cgi-bin/plot-msms.cgi?MassType=1&amp;NumAxis=1&amp;Mod1=147&amp;Mod15=170&amp;Pep=MSVVAPVREEYADFKPFEQAWEVK&amp;Dta=/var/www/html/dta/S01/10561.11999.3.dta&amp;Global_Mod=CS57.0215", "11999")</f>
        <v>11999</v>
      </c>
      <c r="S163" s="37" t="str">
        <f>HYPERLINK("http://ms.phosphosite.org:5080/cgi-bin/plot-msms.cgi?MassType=1&amp;NumAxis=1&amp;Mod1=147&amp;Mod15=170&amp;Pep=MSVVAPVREEYADFKPFEQAWEVK&amp;Dta=/var/www/html/dta/S01/10562.12156.3.dta&amp;Global_Mod=CS57.0215", "12156")</f>
        <v>12156</v>
      </c>
      <c r="T163" s="37" t="str">
        <f>HYPERLINK("http://ms.phosphosite.org:5080/cgi-bin/plot-msms.cgi?MassType=1&amp;NumAxis=1&amp;Mod1=147&amp;Mod15=170&amp;Pep=MSVVAPVREEYADFKPFEQAWEVK&amp;Dta=/var/www/html/dta/S01/10563.12078.3.dta&amp;Global_Mod=CS57.0215", "12078")</f>
        <v>12078</v>
      </c>
      <c r="U163" s="37" t="str">
        <f>HYPERLINK("http://ms.phosphosite.org:5080/cgi-bin/plot-msms.cgi?MassType=1&amp;NumAxis=1&amp;Mod1=147&amp;Mod15=170&amp;Pep=MSVVAPVREEYADFKPFEQAWEVK&amp;Dta=/var/www/html/dta/S01/10564.12636.3.dta&amp;Global_Mod=CS57.0215", "12636")</f>
        <v>12636</v>
      </c>
      <c r="V163" s="38" t="s">
        <v>4854</v>
      </c>
      <c r="W163" s="10">
        <v>11933</v>
      </c>
      <c r="X163" s="10">
        <v>11966</v>
      </c>
      <c r="Y163" s="10">
        <v>11978</v>
      </c>
      <c r="Z163" s="10">
        <v>12039</v>
      </c>
      <c r="AA163" s="10">
        <v>12182</v>
      </c>
      <c r="AB163" s="10">
        <v>12103</v>
      </c>
      <c r="AC163" s="10">
        <v>12648</v>
      </c>
      <c r="AD163" s="4" t="s">
        <v>4854</v>
      </c>
      <c r="AE163" s="91">
        <v>4.4080000000000004</v>
      </c>
      <c r="AF163" s="91">
        <v>4.7859999999999996</v>
      </c>
      <c r="AG163" s="91">
        <v>4.8849999999999998</v>
      </c>
      <c r="AH163" s="91">
        <v>4.915</v>
      </c>
      <c r="AI163" s="91">
        <v>3.6680000000000001</v>
      </c>
      <c r="AJ163" s="91">
        <v>5.343</v>
      </c>
      <c r="AK163" s="91">
        <v>4.6589999999999998</v>
      </c>
      <c r="AL163" s="100" t="s">
        <v>4854</v>
      </c>
      <c r="AM163" s="95">
        <v>1.2314000000000001</v>
      </c>
      <c r="AN163" s="95">
        <v>1.1147</v>
      </c>
      <c r="AO163" s="95">
        <v>1.3291999999999999</v>
      </c>
      <c r="AP163" s="95">
        <v>1.8626</v>
      </c>
      <c r="AQ163" s="95">
        <v>1.3476999999999999</v>
      </c>
      <c r="AR163" s="95">
        <v>0.66500000000000004</v>
      </c>
      <c r="AS163" s="95">
        <v>1.0449999999999999</v>
      </c>
      <c r="AT163" s="103" t="s">
        <v>4854</v>
      </c>
      <c r="AU163" s="95">
        <v>0.32300000000000001</v>
      </c>
      <c r="AV163" s="95">
        <v>0.375</v>
      </c>
      <c r="AW163" s="95">
        <v>0.41099999999999998</v>
      </c>
      <c r="AX163" s="95">
        <v>0.39700000000000002</v>
      </c>
      <c r="AY163" s="95">
        <v>0.13700000000000001</v>
      </c>
      <c r="AZ163" s="95">
        <v>0.378</v>
      </c>
      <c r="BA163" s="95">
        <v>0.40899999999999997</v>
      </c>
      <c r="BB163" s="103" t="s">
        <v>4854</v>
      </c>
      <c r="BC163" s="10">
        <v>1</v>
      </c>
      <c r="BD163" s="10">
        <v>1</v>
      </c>
      <c r="BE163" s="10">
        <v>1</v>
      </c>
      <c r="BF163" s="10">
        <v>1</v>
      </c>
      <c r="BG163" s="10">
        <v>3</v>
      </c>
      <c r="BH163" s="10">
        <v>1</v>
      </c>
      <c r="BI163" s="10">
        <v>1</v>
      </c>
      <c r="BJ163" s="4" t="s">
        <v>4854</v>
      </c>
      <c r="BK163" s="91">
        <v>1</v>
      </c>
      <c r="BL163" s="91">
        <v>1</v>
      </c>
      <c r="BM163" s="91">
        <v>1</v>
      </c>
      <c r="BN163" s="91">
        <v>1</v>
      </c>
      <c r="BO163" s="91">
        <v>0.995</v>
      </c>
      <c r="BP163" s="91">
        <v>1</v>
      </c>
      <c r="BQ163" s="91">
        <v>1</v>
      </c>
      <c r="BR163" s="100" t="s">
        <v>4854</v>
      </c>
      <c r="BS163" s="10" t="s">
        <v>4857</v>
      </c>
    </row>
    <row r="164" spans="1:71" s="30" customFormat="1" ht="17.100000000000001" customHeight="1">
      <c r="A164" s="10">
        <v>153</v>
      </c>
      <c r="B164" s="10" t="s">
        <v>4165</v>
      </c>
      <c r="C164" s="4" t="s">
        <v>4715</v>
      </c>
      <c r="D164" s="4" t="s">
        <v>4295</v>
      </c>
      <c r="E164" s="4" t="s">
        <v>4296</v>
      </c>
      <c r="F164" s="10" t="s">
        <v>5276</v>
      </c>
      <c r="G164" s="4" t="s">
        <v>4297</v>
      </c>
      <c r="H164" s="7" t="s">
        <v>4161</v>
      </c>
      <c r="I164" s="4" t="s">
        <v>4162</v>
      </c>
      <c r="J164" s="10" t="s">
        <v>4163</v>
      </c>
      <c r="K164" s="4" t="s">
        <v>5429</v>
      </c>
      <c r="L164" s="4" t="s">
        <v>4164</v>
      </c>
      <c r="M164" s="10">
        <v>3</v>
      </c>
      <c r="N164" s="95">
        <v>971.80909999999994</v>
      </c>
      <c r="O164" s="38" t="s">
        <v>4854</v>
      </c>
      <c r="P164" s="38" t="s">
        <v>4854</v>
      </c>
      <c r="Q164" s="38" t="s">
        <v>4854</v>
      </c>
      <c r="R164" s="38" t="s">
        <v>4854</v>
      </c>
      <c r="S164" s="38" t="s">
        <v>4854</v>
      </c>
      <c r="T164" s="37" t="str">
        <f>HYPERLINK("http://ms.phosphosite.org:5080/cgi-bin/plot-msms.cgi?MassType=1&amp;NumAxis=1&amp;Mod1=147&amp;Mod15=170&amp;Pep=MSVVAPVREEYADFKPFEQAWEVK&amp;Dta=/var/www/html/dta/S01/10563.12091.3.dta&amp;Global_Mod=CS57.0215", "12091")</f>
        <v>12091</v>
      </c>
      <c r="U164" s="38" t="s">
        <v>4854</v>
      </c>
      <c r="V164" s="38" t="s">
        <v>4854</v>
      </c>
      <c r="W164" s="4" t="s">
        <v>4854</v>
      </c>
      <c r="X164" s="4" t="s">
        <v>4854</v>
      </c>
      <c r="Y164" s="4" t="s">
        <v>4854</v>
      </c>
      <c r="Z164" s="4" t="s">
        <v>4854</v>
      </c>
      <c r="AA164" s="4" t="s">
        <v>4854</v>
      </c>
      <c r="AB164" s="10">
        <v>12103</v>
      </c>
      <c r="AC164" s="4" t="s">
        <v>4854</v>
      </c>
      <c r="AD164" s="4" t="s">
        <v>4854</v>
      </c>
      <c r="AE164" s="100" t="s">
        <v>4854</v>
      </c>
      <c r="AF164" s="100" t="s">
        <v>4854</v>
      </c>
      <c r="AG164" s="100" t="s">
        <v>4854</v>
      </c>
      <c r="AH164" s="100" t="s">
        <v>4854</v>
      </c>
      <c r="AI164" s="100" t="s">
        <v>4854</v>
      </c>
      <c r="AJ164" s="91">
        <v>4.2670000000000003</v>
      </c>
      <c r="AK164" s="100" t="s">
        <v>4854</v>
      </c>
      <c r="AL164" s="100" t="s">
        <v>4854</v>
      </c>
      <c r="AM164" s="103" t="s">
        <v>4854</v>
      </c>
      <c r="AN164" s="103" t="s">
        <v>4854</v>
      </c>
      <c r="AO164" s="103" t="s">
        <v>4854</v>
      </c>
      <c r="AP164" s="103" t="s">
        <v>4854</v>
      </c>
      <c r="AQ164" s="103" t="s">
        <v>4854</v>
      </c>
      <c r="AR164" s="95">
        <v>0.66500000000000004</v>
      </c>
      <c r="AS164" s="103" t="s">
        <v>4854</v>
      </c>
      <c r="AT164" s="103" t="s">
        <v>4854</v>
      </c>
      <c r="AU164" s="103" t="s">
        <v>4854</v>
      </c>
      <c r="AV164" s="103" t="s">
        <v>4854</v>
      </c>
      <c r="AW164" s="103" t="s">
        <v>4854</v>
      </c>
      <c r="AX164" s="103" t="s">
        <v>4854</v>
      </c>
      <c r="AY164" s="103" t="s">
        <v>4854</v>
      </c>
      <c r="AZ164" s="95">
        <v>0.38600000000000001</v>
      </c>
      <c r="BA164" s="103" t="s">
        <v>4854</v>
      </c>
      <c r="BB164" s="103" t="s">
        <v>4854</v>
      </c>
      <c r="BC164" s="4" t="s">
        <v>4854</v>
      </c>
      <c r="BD164" s="4" t="s">
        <v>4854</v>
      </c>
      <c r="BE164" s="4" t="s">
        <v>4854</v>
      </c>
      <c r="BF164" s="4" t="s">
        <v>4854</v>
      </c>
      <c r="BG164" s="4" t="s">
        <v>4854</v>
      </c>
      <c r="BH164" s="10">
        <v>1</v>
      </c>
      <c r="BI164" s="4" t="s">
        <v>4854</v>
      </c>
      <c r="BJ164" s="4" t="s">
        <v>4854</v>
      </c>
      <c r="BK164" s="100" t="s">
        <v>4854</v>
      </c>
      <c r="BL164" s="100" t="s">
        <v>4854</v>
      </c>
      <c r="BM164" s="100" t="s">
        <v>4854</v>
      </c>
      <c r="BN164" s="100" t="s">
        <v>4854</v>
      </c>
      <c r="BO164" s="100" t="s">
        <v>4854</v>
      </c>
      <c r="BP164" s="91">
        <v>1</v>
      </c>
      <c r="BQ164" s="100" t="s">
        <v>4854</v>
      </c>
      <c r="BR164" s="100" t="s">
        <v>4854</v>
      </c>
      <c r="BS164" s="10" t="s">
        <v>4857</v>
      </c>
    </row>
    <row r="165" spans="1:71" s="30" customFormat="1" ht="17.100000000000001" customHeight="1">
      <c r="A165" s="10">
        <v>154</v>
      </c>
      <c r="B165" s="10" t="s">
        <v>4166</v>
      </c>
      <c r="C165" s="4" t="s">
        <v>4715</v>
      </c>
      <c r="D165" s="4" t="s">
        <v>4295</v>
      </c>
      <c r="E165" s="4" t="s">
        <v>4296</v>
      </c>
      <c r="F165" s="10" t="s">
        <v>5276</v>
      </c>
      <c r="G165" s="4" t="s">
        <v>4297</v>
      </c>
      <c r="H165" s="7" t="s">
        <v>4161</v>
      </c>
      <c r="I165" s="4" t="s">
        <v>4162</v>
      </c>
      <c r="J165" s="10" t="s">
        <v>4163</v>
      </c>
      <c r="K165" s="4" t="s">
        <v>5429</v>
      </c>
      <c r="L165" s="4" t="s">
        <v>4167</v>
      </c>
      <c r="M165" s="10">
        <v>4</v>
      </c>
      <c r="N165" s="95">
        <v>931.19240000000002</v>
      </c>
      <c r="O165" s="37" t="str">
        <f>HYPERLINK("http://ms.phosphosite.org:5080/cgi-bin/plot-msms.cgi?MassType=1&amp;NumAxis=1&amp;Mod1=147&amp;Mod15=170&amp;Pep=MSVVAPVREEYADFKPFEQAWEVKDTYEGSR&amp;Dta=/var/www/html/dta/S01/10558.11310.4.dta&amp;Global_Mod=CS57.0215", "11310")</f>
        <v>11310</v>
      </c>
      <c r="P165" s="37" t="str">
        <f>HYPERLINK("http://ms.phosphosite.org:5080/cgi-bin/plot-msms.cgi?MassType=1&amp;NumAxis=1&amp;Mod1=147&amp;Mod15=170&amp;Pep=MSVVAPVREEYADFKPFEQAWEVKDTYEGSR&amp;Dta=/var/www/html/dta/S01/10559.11325.4.dta&amp;Global_Mod=CS57.0215", "11325")</f>
        <v>11325</v>
      </c>
      <c r="Q165" s="37" t="str">
        <f>HYPERLINK("http://ms.phosphosite.org:5080/cgi-bin/plot-msms.cgi?MassType=1&amp;NumAxis=1&amp;Mod1=147&amp;Mod15=170&amp;Pep=MSVVAPVREEYADFKPFEQAWEVKDTYEGSR&amp;Dta=/var/www/html/dta/S01/10560.11338.4.dta&amp;Global_Mod=CS57.0215", "11338")</f>
        <v>11338</v>
      </c>
      <c r="R165" s="37" t="str">
        <f>HYPERLINK("http://ms.phosphosite.org:5080/cgi-bin/plot-msms.cgi?MassType=1&amp;NumAxis=1&amp;Mod1=147&amp;Mod15=170&amp;Pep=MSVVAPVREEYADFKPFEQAWEVKDTYEGSR&amp;Dta=/var/www/html/dta/S01/10561.11381.4.dta&amp;Global_Mod=CS57.0215", "11381")</f>
        <v>11381</v>
      </c>
      <c r="S165" s="37" t="str">
        <f>HYPERLINK("http://ms.phosphosite.org:5080/cgi-bin/plot-msms.cgi?MassType=1&amp;NumAxis=1&amp;Mod1=147&amp;Mod15=170&amp;Pep=MSVVAPVREEYADFKPFEQAWEVKDTYEGSR&amp;Dta=/var/www/html/dta/S01/10562.11552.4.dta&amp;Global_Mod=CS57.0215", "11552")</f>
        <v>11552</v>
      </c>
      <c r="T165" s="37" t="str">
        <f>HYPERLINK("http://ms.phosphosite.org:5080/cgi-bin/plot-msms.cgi?MassType=1&amp;NumAxis=1&amp;Mod1=147&amp;Mod15=170&amp;Pep=MSVVAPVREEYADFKPFEQAWEVKDTYEGSR&amp;Dta=/var/www/html/dta/S01/10563.11537.4.dta&amp;Global_Mod=CS57.0215", "11537")</f>
        <v>11537</v>
      </c>
      <c r="U165" s="37" t="str">
        <f>HYPERLINK("http://ms.phosphosite.org:5080/cgi-bin/plot-msms.cgi?MassType=1&amp;NumAxis=1&amp;Mod1=147&amp;Mod15=170&amp;Pep=MSVVAPVREEYADFKPFEQAWEVKDTYEGSR&amp;Dta=/var/www/html/dta/S01/10564.11995.4.dta&amp;Global_Mod=CS57.0215", "11995")</f>
        <v>11995</v>
      </c>
      <c r="V165" s="37" t="str">
        <f>HYPERLINK("http://ms.phosphosite.org:5080/cgi-bin/plot-msms.cgi?MassType=1&amp;NumAxis=1&amp;Mod1=147&amp;Mod15=170&amp;Pep=MSVVAPVREEYADFKPFEQAWEVKDTYEGSR&amp;Dta=/var/www/html/dta/S01/10565.11893.4.dta&amp;Global_Mod=CS57.0215", "11893")</f>
        <v>11893</v>
      </c>
      <c r="W165" s="10">
        <v>11372</v>
      </c>
      <c r="X165" s="10">
        <v>11350</v>
      </c>
      <c r="Y165" s="10">
        <v>11373</v>
      </c>
      <c r="Z165" s="10">
        <v>11401</v>
      </c>
      <c r="AA165" s="10">
        <v>11566</v>
      </c>
      <c r="AB165" s="10">
        <v>11476</v>
      </c>
      <c r="AC165" s="10">
        <v>12010</v>
      </c>
      <c r="AD165" s="10">
        <v>11898</v>
      </c>
      <c r="AE165" s="91">
        <v>4.5960000000000001</v>
      </c>
      <c r="AF165" s="91">
        <v>3.931</v>
      </c>
      <c r="AG165" s="91">
        <v>4.2229999999999999</v>
      </c>
      <c r="AH165" s="91">
        <v>4.4359999999999999</v>
      </c>
      <c r="AI165" s="91">
        <v>4.1779999999999999</v>
      </c>
      <c r="AJ165" s="91">
        <v>4.07</v>
      </c>
      <c r="AK165" s="91">
        <v>5.0439999999999996</v>
      </c>
      <c r="AL165" s="91">
        <v>4.3460000000000001</v>
      </c>
      <c r="AM165" s="95">
        <v>1.0377000000000001</v>
      </c>
      <c r="AN165" s="95">
        <v>0.96279999999999999</v>
      </c>
      <c r="AO165" s="95">
        <v>1.2089000000000001</v>
      </c>
      <c r="AP165" s="95">
        <v>0.87250000000000005</v>
      </c>
      <c r="AQ165" s="95">
        <v>0.92459999999999998</v>
      </c>
      <c r="AR165" s="95">
        <v>1.1304000000000001</v>
      </c>
      <c r="AS165" s="95">
        <v>1.2403</v>
      </c>
      <c r="AT165" s="95">
        <v>0.8891</v>
      </c>
      <c r="AU165" s="95">
        <v>0.35299999999999998</v>
      </c>
      <c r="AV165" s="95">
        <v>0.16500000000000001</v>
      </c>
      <c r="AW165" s="95">
        <v>0.40899999999999997</v>
      </c>
      <c r="AX165" s="95">
        <v>0.371</v>
      </c>
      <c r="AY165" s="95">
        <v>0.43</v>
      </c>
      <c r="AZ165" s="95">
        <v>0.33100000000000002</v>
      </c>
      <c r="BA165" s="95">
        <v>0.33800000000000002</v>
      </c>
      <c r="BB165" s="95">
        <v>0.309</v>
      </c>
      <c r="BC165" s="10">
        <v>1</v>
      </c>
      <c r="BD165" s="10">
        <v>3</v>
      </c>
      <c r="BE165" s="10">
        <v>1</v>
      </c>
      <c r="BF165" s="10">
        <v>2</v>
      </c>
      <c r="BG165" s="10">
        <v>1</v>
      </c>
      <c r="BH165" s="10">
        <v>1</v>
      </c>
      <c r="BI165" s="10">
        <v>1</v>
      </c>
      <c r="BJ165" s="10">
        <v>1</v>
      </c>
      <c r="BK165" s="91">
        <v>1</v>
      </c>
      <c r="BL165" s="91">
        <v>0.998</v>
      </c>
      <c r="BM165" s="91">
        <v>1</v>
      </c>
      <c r="BN165" s="91">
        <v>1</v>
      </c>
      <c r="BO165" s="91">
        <v>1</v>
      </c>
      <c r="BP165" s="91">
        <v>1</v>
      </c>
      <c r="BQ165" s="91">
        <v>1</v>
      </c>
      <c r="BR165" s="91">
        <v>1</v>
      </c>
      <c r="BS165" s="10" t="s">
        <v>4857</v>
      </c>
    </row>
    <row r="166" spans="1:71" s="30" customFormat="1" ht="17.100000000000001" customHeight="1">
      <c r="A166" s="10">
        <v>155</v>
      </c>
      <c r="B166" s="10" t="s">
        <v>4168</v>
      </c>
      <c r="C166" s="4" t="s">
        <v>4715</v>
      </c>
      <c r="D166" s="4" t="s">
        <v>4295</v>
      </c>
      <c r="E166" s="4" t="s">
        <v>4296</v>
      </c>
      <c r="F166" s="10" t="s">
        <v>5276</v>
      </c>
      <c r="G166" s="4" t="s">
        <v>4297</v>
      </c>
      <c r="H166" s="7" t="s">
        <v>4161</v>
      </c>
      <c r="I166" s="4" t="s">
        <v>4162</v>
      </c>
      <c r="J166" s="10" t="s">
        <v>4163</v>
      </c>
      <c r="K166" s="4" t="s">
        <v>5429</v>
      </c>
      <c r="L166" s="4" t="s">
        <v>4167</v>
      </c>
      <c r="M166" s="10">
        <v>4</v>
      </c>
      <c r="N166" s="95">
        <v>931.19240000000002</v>
      </c>
      <c r="O166" s="38" t="s">
        <v>4854</v>
      </c>
      <c r="P166" s="38" t="s">
        <v>4854</v>
      </c>
      <c r="Q166" s="38" t="s">
        <v>4854</v>
      </c>
      <c r="R166" s="38" t="s">
        <v>4854</v>
      </c>
      <c r="S166" s="38" t="s">
        <v>4854</v>
      </c>
      <c r="T166" s="37" t="str">
        <f>HYPERLINK("http://ms.phosphosite.org:5080/cgi-bin/plot-msms.cgi?MassType=1&amp;NumAxis=1&amp;Mod1=147&amp;Mod15=170&amp;Pep=MSVVAPVREEYADFKPFEQAWEVKDTYEGSR&amp;Dta=/var/www/html/dta/S01/10563.11453.4.dta&amp;Global_Mod=CS57.0215", "11453")</f>
        <v>11453</v>
      </c>
      <c r="U166" s="38" t="s">
        <v>4854</v>
      </c>
      <c r="V166" s="38" t="s">
        <v>4854</v>
      </c>
      <c r="W166" s="4" t="s">
        <v>4854</v>
      </c>
      <c r="X166" s="4" t="s">
        <v>4854</v>
      </c>
      <c r="Y166" s="4" t="s">
        <v>4854</v>
      </c>
      <c r="Z166" s="4" t="s">
        <v>4854</v>
      </c>
      <c r="AA166" s="4" t="s">
        <v>4854</v>
      </c>
      <c r="AB166" s="10">
        <v>11476</v>
      </c>
      <c r="AC166" s="4" t="s">
        <v>4854</v>
      </c>
      <c r="AD166" s="4" t="s">
        <v>4854</v>
      </c>
      <c r="AE166" s="100" t="s">
        <v>4854</v>
      </c>
      <c r="AF166" s="100" t="s">
        <v>4854</v>
      </c>
      <c r="AG166" s="100" t="s">
        <v>4854</v>
      </c>
      <c r="AH166" s="100" t="s">
        <v>4854</v>
      </c>
      <c r="AI166" s="100" t="s">
        <v>4854</v>
      </c>
      <c r="AJ166" s="91">
        <v>3.468</v>
      </c>
      <c r="AK166" s="100" t="s">
        <v>4854</v>
      </c>
      <c r="AL166" s="100" t="s">
        <v>4854</v>
      </c>
      <c r="AM166" s="103" t="s">
        <v>4854</v>
      </c>
      <c r="AN166" s="103" t="s">
        <v>4854</v>
      </c>
      <c r="AO166" s="103" t="s">
        <v>4854</v>
      </c>
      <c r="AP166" s="103" t="s">
        <v>4854</v>
      </c>
      <c r="AQ166" s="103" t="s">
        <v>4854</v>
      </c>
      <c r="AR166" s="95">
        <v>1.3434999999999999</v>
      </c>
      <c r="AS166" s="103" t="s">
        <v>4854</v>
      </c>
      <c r="AT166" s="103" t="s">
        <v>4854</v>
      </c>
      <c r="AU166" s="103" t="s">
        <v>4854</v>
      </c>
      <c r="AV166" s="103" t="s">
        <v>4854</v>
      </c>
      <c r="AW166" s="103" t="s">
        <v>4854</v>
      </c>
      <c r="AX166" s="103" t="s">
        <v>4854</v>
      </c>
      <c r="AY166" s="103" t="s">
        <v>4854</v>
      </c>
      <c r="AZ166" s="95">
        <v>0.249</v>
      </c>
      <c r="BA166" s="103" t="s">
        <v>4854</v>
      </c>
      <c r="BB166" s="103" t="s">
        <v>4854</v>
      </c>
      <c r="BC166" s="4" t="s">
        <v>4854</v>
      </c>
      <c r="BD166" s="4" t="s">
        <v>4854</v>
      </c>
      <c r="BE166" s="4" t="s">
        <v>4854</v>
      </c>
      <c r="BF166" s="4" t="s">
        <v>4854</v>
      </c>
      <c r="BG166" s="4" t="s">
        <v>4854</v>
      </c>
      <c r="BH166" s="10">
        <v>1</v>
      </c>
      <c r="BI166" s="4" t="s">
        <v>4854</v>
      </c>
      <c r="BJ166" s="4" t="s">
        <v>4854</v>
      </c>
      <c r="BK166" s="100" t="s">
        <v>4854</v>
      </c>
      <c r="BL166" s="100" t="s">
        <v>4854</v>
      </c>
      <c r="BM166" s="100" t="s">
        <v>4854</v>
      </c>
      <c r="BN166" s="100" t="s">
        <v>4854</v>
      </c>
      <c r="BO166" s="100" t="s">
        <v>4854</v>
      </c>
      <c r="BP166" s="91">
        <v>1</v>
      </c>
      <c r="BQ166" s="100" t="s">
        <v>4854</v>
      </c>
      <c r="BR166" s="100" t="s">
        <v>4854</v>
      </c>
      <c r="BS166" s="10" t="s">
        <v>4857</v>
      </c>
    </row>
    <row r="167" spans="1:71" s="30" customFormat="1" ht="17.100000000000001" customHeight="1">
      <c r="A167" s="14">
        <v>156</v>
      </c>
      <c r="B167" s="5" t="s">
        <v>4169</v>
      </c>
      <c r="C167" s="3" t="s">
        <v>4715</v>
      </c>
      <c r="D167" s="3" t="s">
        <v>4170</v>
      </c>
      <c r="E167" s="3" t="s">
        <v>4171</v>
      </c>
      <c r="F167" s="5" t="s">
        <v>4172</v>
      </c>
      <c r="G167" s="3" t="s">
        <v>4173</v>
      </c>
      <c r="H167" s="6" t="s">
        <v>4174</v>
      </c>
      <c r="I167" s="3" t="s">
        <v>4175</v>
      </c>
      <c r="J167" s="5" t="s">
        <v>4165</v>
      </c>
      <c r="K167" s="3" t="s">
        <v>5430</v>
      </c>
      <c r="L167" s="3" t="s">
        <v>4176</v>
      </c>
      <c r="M167" s="5">
        <v>2</v>
      </c>
      <c r="N167" s="21">
        <v>398.22719999999998</v>
      </c>
      <c r="O167" s="35" t="s">
        <v>4854</v>
      </c>
      <c r="P167" s="35" t="s">
        <v>4854</v>
      </c>
      <c r="Q167" s="35" t="s">
        <v>4854</v>
      </c>
      <c r="R167" s="36" t="str">
        <f>HYPERLINK("http://ms.phosphosite.org:5080/cgi-bin/plot-msms.cgi?MassType=1&amp;NumAxis=1&amp;Mod5=170&amp;Pep=HAIEKR&amp;Dta=/var/www/html/dta/S01/10561.1202.2.dta&amp;Global_Mod=CS57.0215", "1202")</f>
        <v>1202</v>
      </c>
      <c r="S167" s="35" t="s">
        <v>4854</v>
      </c>
      <c r="T167" s="36" t="str">
        <f>HYPERLINK("http://ms.phosphosite.org:5080/cgi-bin/plot-msms.cgi?MassType=1&amp;NumAxis=1&amp;Mod5=170&amp;Pep=HAIEKR&amp;Dta=/var/www/html/dta/S01/10563.1190.2.dta&amp;Global_Mod=CS57.0215", "1190")</f>
        <v>1190</v>
      </c>
      <c r="U167" s="35" t="s">
        <v>4854</v>
      </c>
      <c r="V167" s="35" t="s">
        <v>4854</v>
      </c>
      <c r="W167" s="3" t="s">
        <v>4854</v>
      </c>
      <c r="X167" s="3" t="s">
        <v>4854</v>
      </c>
      <c r="Y167" s="3" t="s">
        <v>4854</v>
      </c>
      <c r="Z167" s="3" t="s">
        <v>4854</v>
      </c>
      <c r="AA167" s="3" t="s">
        <v>4854</v>
      </c>
      <c r="AB167" s="3" t="s">
        <v>4854</v>
      </c>
      <c r="AC167" s="3" t="s">
        <v>4854</v>
      </c>
      <c r="AD167" s="3" t="s">
        <v>4854</v>
      </c>
      <c r="AE167" s="99" t="s">
        <v>4854</v>
      </c>
      <c r="AF167" s="99" t="s">
        <v>4854</v>
      </c>
      <c r="AG167" s="99" t="s">
        <v>4854</v>
      </c>
      <c r="AH167" s="90">
        <v>1.7430000000000001</v>
      </c>
      <c r="AI167" s="99" t="s">
        <v>4854</v>
      </c>
      <c r="AJ167" s="90">
        <v>1.7569999999999999</v>
      </c>
      <c r="AK167" s="99" t="s">
        <v>4854</v>
      </c>
      <c r="AL167" s="99" t="s">
        <v>4854</v>
      </c>
      <c r="AM167" s="102" t="s">
        <v>4854</v>
      </c>
      <c r="AN167" s="102" t="s">
        <v>4854</v>
      </c>
      <c r="AO167" s="102" t="s">
        <v>4854</v>
      </c>
      <c r="AP167" s="21">
        <v>-0.43569999999999998</v>
      </c>
      <c r="AQ167" s="102" t="s">
        <v>4854</v>
      </c>
      <c r="AR167" s="21">
        <v>0.27460000000000001</v>
      </c>
      <c r="AS167" s="102" t="s">
        <v>4854</v>
      </c>
      <c r="AT167" s="102" t="s">
        <v>4854</v>
      </c>
      <c r="AU167" s="102" t="s">
        <v>4854</v>
      </c>
      <c r="AV167" s="102" t="s">
        <v>4854</v>
      </c>
      <c r="AW167" s="102" t="s">
        <v>4854</v>
      </c>
      <c r="AX167" s="21">
        <v>0.03</v>
      </c>
      <c r="AY167" s="102" t="s">
        <v>4854</v>
      </c>
      <c r="AZ167" s="21">
        <v>2.8000000000000001E-2</v>
      </c>
      <c r="BA167" s="102" t="s">
        <v>4854</v>
      </c>
      <c r="BB167" s="102" t="s">
        <v>4854</v>
      </c>
      <c r="BC167" s="3" t="s">
        <v>4854</v>
      </c>
      <c r="BD167" s="3" t="s">
        <v>4854</v>
      </c>
      <c r="BE167" s="3" t="s">
        <v>4854</v>
      </c>
      <c r="BF167" s="5">
        <v>1</v>
      </c>
      <c r="BG167" s="3" t="s">
        <v>4854</v>
      </c>
      <c r="BH167" s="5">
        <v>1</v>
      </c>
      <c r="BI167" s="3" t="s">
        <v>4854</v>
      </c>
      <c r="BJ167" s="3" t="s">
        <v>4854</v>
      </c>
      <c r="BK167" s="99" t="s">
        <v>4854</v>
      </c>
      <c r="BL167" s="99" t="s">
        <v>4854</v>
      </c>
      <c r="BM167" s="99" t="s">
        <v>4854</v>
      </c>
      <c r="BN167" s="90">
        <v>0.47299999999999998</v>
      </c>
      <c r="BO167" s="99" t="s">
        <v>4854</v>
      </c>
      <c r="BP167" s="90">
        <v>0.47899999999999998</v>
      </c>
      <c r="BQ167" s="99" t="s">
        <v>4854</v>
      </c>
      <c r="BR167" s="99" t="s">
        <v>4854</v>
      </c>
      <c r="BS167" s="5" t="s">
        <v>4857</v>
      </c>
    </row>
    <row r="168" spans="1:71" s="30" customFormat="1" ht="17.100000000000001" customHeight="1">
      <c r="A168" s="14">
        <v>157</v>
      </c>
      <c r="B168" s="5" t="s">
        <v>4177</v>
      </c>
      <c r="C168" s="3" t="s">
        <v>4715</v>
      </c>
      <c r="D168" s="3" t="s">
        <v>4170</v>
      </c>
      <c r="E168" s="3" t="s">
        <v>4171</v>
      </c>
      <c r="F168" s="5" t="s">
        <v>4172</v>
      </c>
      <c r="G168" s="3" t="s">
        <v>4173</v>
      </c>
      <c r="H168" s="6" t="s">
        <v>4174</v>
      </c>
      <c r="I168" s="3" t="s">
        <v>4175</v>
      </c>
      <c r="J168" s="5" t="s">
        <v>4165</v>
      </c>
      <c r="K168" s="3" t="s">
        <v>5430</v>
      </c>
      <c r="L168" s="3" t="s">
        <v>4176</v>
      </c>
      <c r="M168" s="5">
        <v>2</v>
      </c>
      <c r="N168" s="21">
        <v>398.22719999999998</v>
      </c>
      <c r="O168" s="35" t="s">
        <v>4854</v>
      </c>
      <c r="P168" s="35" t="s">
        <v>4854</v>
      </c>
      <c r="Q168" s="35" t="s">
        <v>4854</v>
      </c>
      <c r="R168" s="35" t="s">
        <v>4854</v>
      </c>
      <c r="S168" s="35" t="s">
        <v>4854</v>
      </c>
      <c r="T168" s="36" t="str">
        <f>HYPERLINK("http://ms.phosphosite.org:5080/cgi-bin/plot-msms.cgi?MassType=1&amp;NumAxis=1&amp;Mod5=170&amp;Pep=HAIEKR&amp;Dta=/var/www/html/dta/S01/10563.1225.2.dta&amp;Global_Mod=CS57.0215", "1225")</f>
        <v>1225</v>
      </c>
      <c r="U168" s="35" t="s">
        <v>4854</v>
      </c>
      <c r="V168" s="35" t="s">
        <v>4854</v>
      </c>
      <c r="W168" s="3" t="s">
        <v>4854</v>
      </c>
      <c r="X168" s="3" t="s">
        <v>4854</v>
      </c>
      <c r="Y168" s="3" t="s">
        <v>4854</v>
      </c>
      <c r="Z168" s="3" t="s">
        <v>4854</v>
      </c>
      <c r="AA168" s="3" t="s">
        <v>4854</v>
      </c>
      <c r="AB168" s="3" t="s">
        <v>4854</v>
      </c>
      <c r="AC168" s="3" t="s">
        <v>4854</v>
      </c>
      <c r="AD168" s="3" t="s">
        <v>4854</v>
      </c>
      <c r="AE168" s="99" t="s">
        <v>4854</v>
      </c>
      <c r="AF168" s="99" t="s">
        <v>4854</v>
      </c>
      <c r="AG168" s="99" t="s">
        <v>4854</v>
      </c>
      <c r="AH168" s="99" t="s">
        <v>4854</v>
      </c>
      <c r="AI168" s="99" t="s">
        <v>4854</v>
      </c>
      <c r="AJ168" s="90">
        <v>1.538</v>
      </c>
      <c r="AK168" s="99" t="s">
        <v>4854</v>
      </c>
      <c r="AL168" s="99" t="s">
        <v>4854</v>
      </c>
      <c r="AM168" s="102" t="s">
        <v>4854</v>
      </c>
      <c r="AN168" s="102" t="s">
        <v>4854</v>
      </c>
      <c r="AO168" s="102" t="s">
        <v>4854</v>
      </c>
      <c r="AP168" s="102" t="s">
        <v>4854</v>
      </c>
      <c r="AQ168" s="102" t="s">
        <v>4854</v>
      </c>
      <c r="AR168" s="21">
        <v>0.2205</v>
      </c>
      <c r="AS168" s="102" t="s">
        <v>4854</v>
      </c>
      <c r="AT168" s="102" t="s">
        <v>4854</v>
      </c>
      <c r="AU168" s="102" t="s">
        <v>4854</v>
      </c>
      <c r="AV168" s="102" t="s">
        <v>4854</v>
      </c>
      <c r="AW168" s="102" t="s">
        <v>4854</v>
      </c>
      <c r="AX168" s="102" t="s">
        <v>4854</v>
      </c>
      <c r="AY168" s="102" t="s">
        <v>4854</v>
      </c>
      <c r="AZ168" s="21">
        <v>7.1999999999999995E-2</v>
      </c>
      <c r="BA168" s="102" t="s">
        <v>4854</v>
      </c>
      <c r="BB168" s="102" t="s">
        <v>4854</v>
      </c>
      <c r="BC168" s="3" t="s">
        <v>4854</v>
      </c>
      <c r="BD168" s="3" t="s">
        <v>4854</v>
      </c>
      <c r="BE168" s="3" t="s">
        <v>4854</v>
      </c>
      <c r="BF168" s="3" t="s">
        <v>4854</v>
      </c>
      <c r="BG168" s="3" t="s">
        <v>4854</v>
      </c>
      <c r="BH168" s="5">
        <v>1</v>
      </c>
      <c r="BI168" s="3" t="s">
        <v>4854</v>
      </c>
      <c r="BJ168" s="3" t="s">
        <v>4854</v>
      </c>
      <c r="BK168" s="99" t="s">
        <v>4854</v>
      </c>
      <c r="BL168" s="99" t="s">
        <v>4854</v>
      </c>
      <c r="BM168" s="99" t="s">
        <v>4854</v>
      </c>
      <c r="BN168" s="99" t="s">
        <v>4854</v>
      </c>
      <c r="BO168" s="99" t="s">
        <v>4854</v>
      </c>
      <c r="BP168" s="90">
        <v>0.40699999999999997</v>
      </c>
      <c r="BQ168" s="99" t="s">
        <v>4854</v>
      </c>
      <c r="BR168" s="99" t="s">
        <v>4854</v>
      </c>
      <c r="BS168" s="5" t="s">
        <v>4857</v>
      </c>
    </row>
    <row r="169" spans="1:71" s="30" customFormat="1" ht="17.100000000000001" customHeight="1">
      <c r="A169" s="10">
        <v>158</v>
      </c>
      <c r="B169" s="10" t="s">
        <v>4178</v>
      </c>
      <c r="C169" s="4" t="s">
        <v>4715</v>
      </c>
      <c r="D169" s="4" t="s">
        <v>4179</v>
      </c>
      <c r="E169" s="4" t="s">
        <v>4179</v>
      </c>
      <c r="F169" s="10" t="s">
        <v>4180</v>
      </c>
      <c r="G169" s="4" t="s">
        <v>4181</v>
      </c>
      <c r="H169" s="7" t="s">
        <v>4182</v>
      </c>
      <c r="I169" s="4" t="s">
        <v>4183</v>
      </c>
      <c r="J169" s="10" t="s">
        <v>4713</v>
      </c>
      <c r="K169" s="4" t="s">
        <v>5431</v>
      </c>
      <c r="L169" s="4" t="s">
        <v>4184</v>
      </c>
      <c r="M169" s="10">
        <v>2</v>
      </c>
      <c r="N169" s="95">
        <v>566.85239999999999</v>
      </c>
      <c r="O169" s="38" t="s">
        <v>4854</v>
      </c>
      <c r="P169" s="38" t="s">
        <v>4854</v>
      </c>
      <c r="Q169" s="37" t="str">
        <f>HYPERLINK("http://ms.phosphosite.org:5080/cgi-bin/plot-msms.cgi?MassType=1&amp;NumAxis=1&amp;Mod5=170&amp;Pep=ELISKFLLK&amp;Dta=/var/www/html/dta/S01/10560.11492.2.dta&amp;Global_Mod=CS57.0215", "11492")</f>
        <v>11492</v>
      </c>
      <c r="R169" s="38" t="s">
        <v>4854</v>
      </c>
      <c r="S169" s="38" t="s">
        <v>4854</v>
      </c>
      <c r="T169" s="38" t="s">
        <v>4854</v>
      </c>
      <c r="U169" s="38" t="s">
        <v>4854</v>
      </c>
      <c r="V169" s="38" t="s">
        <v>4854</v>
      </c>
      <c r="W169" s="4" t="s">
        <v>4854</v>
      </c>
      <c r="X169" s="4" t="s">
        <v>4854</v>
      </c>
      <c r="Y169" s="10">
        <v>11472</v>
      </c>
      <c r="Z169" s="4" t="s">
        <v>4854</v>
      </c>
      <c r="AA169" s="4" t="s">
        <v>4854</v>
      </c>
      <c r="AB169" s="4" t="s">
        <v>4854</v>
      </c>
      <c r="AC169" s="4" t="s">
        <v>4854</v>
      </c>
      <c r="AD169" s="4" t="s">
        <v>4854</v>
      </c>
      <c r="AE169" s="100" t="s">
        <v>4854</v>
      </c>
      <c r="AF169" s="100" t="s">
        <v>4854</v>
      </c>
      <c r="AG169" s="91">
        <v>1.72</v>
      </c>
      <c r="AH169" s="100" t="s">
        <v>4854</v>
      </c>
      <c r="AI169" s="100" t="s">
        <v>4854</v>
      </c>
      <c r="AJ169" s="100" t="s">
        <v>4854</v>
      </c>
      <c r="AK169" s="100" t="s">
        <v>4854</v>
      </c>
      <c r="AL169" s="100" t="s">
        <v>4854</v>
      </c>
      <c r="AM169" s="103" t="s">
        <v>4854</v>
      </c>
      <c r="AN169" s="103" t="s">
        <v>4854</v>
      </c>
      <c r="AO169" s="95">
        <v>0.67700000000000005</v>
      </c>
      <c r="AP169" s="103" t="s">
        <v>4854</v>
      </c>
      <c r="AQ169" s="103" t="s">
        <v>4854</v>
      </c>
      <c r="AR169" s="103" t="s">
        <v>4854</v>
      </c>
      <c r="AS169" s="103" t="s">
        <v>4854</v>
      </c>
      <c r="AT169" s="103" t="s">
        <v>4854</v>
      </c>
      <c r="AU169" s="103" t="s">
        <v>4854</v>
      </c>
      <c r="AV169" s="103" t="s">
        <v>4854</v>
      </c>
      <c r="AW169" s="95">
        <v>0.17</v>
      </c>
      <c r="AX169" s="103" t="s">
        <v>4854</v>
      </c>
      <c r="AY169" s="103" t="s">
        <v>4854</v>
      </c>
      <c r="AZ169" s="103" t="s">
        <v>4854</v>
      </c>
      <c r="BA169" s="103" t="s">
        <v>4854</v>
      </c>
      <c r="BB169" s="103" t="s">
        <v>4854</v>
      </c>
      <c r="BC169" s="4" t="s">
        <v>4854</v>
      </c>
      <c r="BD169" s="4" t="s">
        <v>4854</v>
      </c>
      <c r="BE169" s="10">
        <v>20</v>
      </c>
      <c r="BF169" s="4" t="s">
        <v>4854</v>
      </c>
      <c r="BG169" s="4" t="s">
        <v>4854</v>
      </c>
      <c r="BH169" s="4" t="s">
        <v>4854</v>
      </c>
      <c r="BI169" s="4" t="s">
        <v>4854</v>
      </c>
      <c r="BJ169" s="4" t="s">
        <v>4854</v>
      </c>
      <c r="BK169" s="100" t="s">
        <v>4854</v>
      </c>
      <c r="BL169" s="100" t="s">
        <v>4854</v>
      </c>
      <c r="BM169" s="91">
        <v>0.95799999999999996</v>
      </c>
      <c r="BN169" s="100" t="s">
        <v>4854</v>
      </c>
      <c r="BO169" s="100" t="s">
        <v>4854</v>
      </c>
      <c r="BP169" s="100" t="s">
        <v>4854</v>
      </c>
      <c r="BQ169" s="100" t="s">
        <v>4854</v>
      </c>
      <c r="BR169" s="100" t="s">
        <v>4854</v>
      </c>
      <c r="BS169" s="10" t="s">
        <v>4857</v>
      </c>
    </row>
    <row r="170" spans="1:71" s="30" customFormat="1" ht="17.100000000000001" customHeight="1">
      <c r="A170" s="14">
        <v>159</v>
      </c>
      <c r="B170" s="5" t="s">
        <v>4185</v>
      </c>
      <c r="C170" s="3" t="s">
        <v>4715</v>
      </c>
      <c r="D170" s="3" t="s">
        <v>4186</v>
      </c>
      <c r="E170" s="3" t="s">
        <v>4187</v>
      </c>
      <c r="F170" s="5" t="s">
        <v>5016</v>
      </c>
      <c r="G170" s="3" t="s">
        <v>4188</v>
      </c>
      <c r="H170" s="6" t="s">
        <v>4189</v>
      </c>
      <c r="I170" s="3" t="s">
        <v>4190</v>
      </c>
      <c r="J170" s="5" t="s">
        <v>4191</v>
      </c>
      <c r="K170" s="3" t="s">
        <v>5432</v>
      </c>
      <c r="L170" s="3" t="s">
        <v>4192</v>
      </c>
      <c r="M170" s="5">
        <v>3</v>
      </c>
      <c r="N170" s="21">
        <v>475.57010000000002</v>
      </c>
      <c r="O170" s="35" t="s">
        <v>4854</v>
      </c>
      <c r="P170" s="35" t="s">
        <v>4854</v>
      </c>
      <c r="Q170" s="36" t="str">
        <f>HYPERLINK("http://ms.phosphosite.org:5080/cgi-bin/plot-msms.cgi?MassType=1&amp;NumAxis=1&amp;Mod6=170&amp;Pep=FYHDAKEIFGR&amp;Dta=/var/www/html/dta/S01/10560.7274.3.dta&amp;Global_Mod=CS57.0215", "7274")</f>
        <v>7274</v>
      </c>
      <c r="R170" s="36" t="str">
        <f>HYPERLINK("http://ms.phosphosite.org:5080/cgi-bin/plot-msms.cgi?MassType=1&amp;NumAxis=1&amp;Mod6=170&amp;Pep=FYHDAKEIFGR&amp;Dta=/var/www/html/dta/S01/10561.7319.3.dta&amp;Global_Mod=CS57.0215", "7319")</f>
        <v>7319</v>
      </c>
      <c r="S170" s="35" t="s">
        <v>4854</v>
      </c>
      <c r="T170" s="36" t="str">
        <f>HYPERLINK("http://ms.phosphosite.org:5080/cgi-bin/plot-msms.cgi?MassType=1&amp;NumAxis=1&amp;Mod6=170&amp;Pep=FYHDAKEIFGR&amp;Dta=/var/www/html/dta/S01/10563.7396.3.dta&amp;Global_Mod=CS57.0215", "7396")</f>
        <v>7396</v>
      </c>
      <c r="U170" s="35" t="s">
        <v>4854</v>
      </c>
      <c r="V170" s="35" t="s">
        <v>4854</v>
      </c>
      <c r="W170" s="3" t="s">
        <v>4854</v>
      </c>
      <c r="X170" s="3" t="s">
        <v>4854</v>
      </c>
      <c r="Y170" s="5">
        <v>7279</v>
      </c>
      <c r="Z170" s="5">
        <v>7317</v>
      </c>
      <c r="AA170" s="3" t="s">
        <v>4854</v>
      </c>
      <c r="AB170" s="3" t="s">
        <v>4854</v>
      </c>
      <c r="AC170" s="3" t="s">
        <v>4854</v>
      </c>
      <c r="AD170" s="3" t="s">
        <v>4854</v>
      </c>
      <c r="AE170" s="99" t="s">
        <v>4854</v>
      </c>
      <c r="AF170" s="99" t="s">
        <v>4854</v>
      </c>
      <c r="AG170" s="90">
        <v>3.129</v>
      </c>
      <c r="AH170" s="90">
        <v>2.657</v>
      </c>
      <c r="AI170" s="99" t="s">
        <v>4854</v>
      </c>
      <c r="AJ170" s="90">
        <v>1.9590000000000001</v>
      </c>
      <c r="AK170" s="99" t="s">
        <v>4854</v>
      </c>
      <c r="AL170" s="99" t="s">
        <v>4854</v>
      </c>
      <c r="AM170" s="102" t="s">
        <v>4854</v>
      </c>
      <c r="AN170" s="102" t="s">
        <v>4854</v>
      </c>
      <c r="AO170" s="21">
        <v>1.0818000000000001</v>
      </c>
      <c r="AP170" s="21">
        <v>0.86560000000000004</v>
      </c>
      <c r="AQ170" s="102" t="s">
        <v>4854</v>
      </c>
      <c r="AR170" s="21">
        <v>0.28870000000000001</v>
      </c>
      <c r="AS170" s="102" t="s">
        <v>4854</v>
      </c>
      <c r="AT170" s="102" t="s">
        <v>4854</v>
      </c>
      <c r="AU170" s="102" t="s">
        <v>4854</v>
      </c>
      <c r="AV170" s="102" t="s">
        <v>4854</v>
      </c>
      <c r="AW170" s="21">
        <v>0.14199999999999999</v>
      </c>
      <c r="AX170" s="21">
        <v>0.11799999999999999</v>
      </c>
      <c r="AY170" s="102" t="s">
        <v>4854</v>
      </c>
      <c r="AZ170" s="21">
        <v>8.0000000000000002E-3</v>
      </c>
      <c r="BA170" s="102" t="s">
        <v>4854</v>
      </c>
      <c r="BB170" s="102" t="s">
        <v>4854</v>
      </c>
      <c r="BC170" s="3" t="s">
        <v>4854</v>
      </c>
      <c r="BD170" s="3" t="s">
        <v>4854</v>
      </c>
      <c r="BE170" s="5">
        <v>5</v>
      </c>
      <c r="BF170" s="5">
        <v>2</v>
      </c>
      <c r="BG170" s="3" t="s">
        <v>4854</v>
      </c>
      <c r="BH170" s="5">
        <v>17</v>
      </c>
      <c r="BI170" s="3" t="s">
        <v>4854</v>
      </c>
      <c r="BJ170" s="3" t="s">
        <v>4854</v>
      </c>
      <c r="BK170" s="99" t="s">
        <v>4854</v>
      </c>
      <c r="BL170" s="99" t="s">
        <v>4854</v>
      </c>
      <c r="BM170" s="90">
        <v>0.997</v>
      </c>
      <c r="BN170" s="90">
        <v>0.99399999999999999</v>
      </c>
      <c r="BO170" s="99" t="s">
        <v>4854</v>
      </c>
      <c r="BP170" s="90">
        <v>0.85699999999999998</v>
      </c>
      <c r="BQ170" s="99" t="s">
        <v>4854</v>
      </c>
      <c r="BR170" s="99" t="s">
        <v>4854</v>
      </c>
      <c r="BS170" s="5" t="s">
        <v>4857</v>
      </c>
    </row>
    <row r="171" spans="1:71" s="30" customFormat="1" ht="17.100000000000001" customHeight="1">
      <c r="A171" s="10">
        <v>160</v>
      </c>
      <c r="B171" s="10" t="s">
        <v>4193</v>
      </c>
      <c r="C171" s="4" t="s">
        <v>4715</v>
      </c>
      <c r="D171" s="4" t="s">
        <v>4186</v>
      </c>
      <c r="E171" s="4" t="s">
        <v>4187</v>
      </c>
      <c r="F171" s="10" t="s">
        <v>5163</v>
      </c>
      <c r="G171" s="4" t="s">
        <v>4188</v>
      </c>
      <c r="H171" s="7" t="s">
        <v>4189</v>
      </c>
      <c r="I171" s="4" t="s">
        <v>4190</v>
      </c>
      <c r="J171" s="10" t="s">
        <v>4191</v>
      </c>
      <c r="K171" s="4" t="s">
        <v>5433</v>
      </c>
      <c r="L171" s="4" t="s">
        <v>4194</v>
      </c>
      <c r="M171" s="10">
        <v>2</v>
      </c>
      <c r="N171" s="95">
        <v>546.78779999999995</v>
      </c>
      <c r="O171" s="37" t="str">
        <f>HYPERLINK("http://ms.phosphosite.org:5080/cgi-bin/plot-msms.cgi?MassType=1&amp;NumAxis=1&amp;Mod7=170&amp;Pep=LVDTGDKFR&amp;Dta=/var/www/html/dta/S01/10558.4990.2.dta&amp;Global_Mod=CS57.0215", "4990")</f>
        <v>4990</v>
      </c>
      <c r="P171" s="37" t="str">
        <f>HYPERLINK("http://ms.phosphosite.org:5080/cgi-bin/plot-msms.cgi?MassType=1&amp;NumAxis=1&amp;Mod7=170&amp;Pep=LVDTGDKFR&amp;Dta=/var/www/html/dta/S01/10559.4907.2.dta&amp;Global_Mod=CS57.0215", "4907")</f>
        <v>4907</v>
      </c>
      <c r="Q171" s="38" t="s">
        <v>4854</v>
      </c>
      <c r="R171" s="37" t="str">
        <f>HYPERLINK("http://ms.phosphosite.org:5080/cgi-bin/plot-msms.cgi?MassType=1&amp;NumAxis=1&amp;Mod7=170&amp;Pep=LVDTGDKFR&amp;Dta=/var/www/html/dta/S01/10561.4944.2.dta&amp;Global_Mod=CS57.0215", "4944")</f>
        <v>4944</v>
      </c>
      <c r="S171" s="37" t="str">
        <f>HYPERLINK("http://ms.phosphosite.org:5080/cgi-bin/plot-msms.cgi?MassType=1&amp;NumAxis=1&amp;Mod7=170&amp;Pep=LVDTGDKFR&amp;Dta=/var/www/html/dta/S01/10562.5046.2.dta&amp;Global_Mod=CS57.0215", "5046")</f>
        <v>5046</v>
      </c>
      <c r="T171" s="37" t="str">
        <f>HYPERLINK("http://ms.phosphosite.org:5080/cgi-bin/plot-msms.cgi?MassType=1&amp;NumAxis=1&amp;Mod7=170&amp;Pep=LVDTGDKFR&amp;Dta=/var/www/html/dta/S01/10563.4992.2.dta&amp;Global_Mod=CS57.0215", "4992")</f>
        <v>4992</v>
      </c>
      <c r="U171" s="37" t="str">
        <f>HYPERLINK("http://ms.phosphosite.org:5080/cgi-bin/plot-msms.cgi?MassType=1&amp;NumAxis=1&amp;Mod7=170&amp;Pep=LVDTGDKFR&amp;Dta=/var/www/html/dta/S01/10564.5353.2.dta&amp;Global_Mod=CS57.0215", "5353")</f>
        <v>5353</v>
      </c>
      <c r="V171" s="37" t="str">
        <f>HYPERLINK("http://ms.phosphosite.org:5080/cgi-bin/plot-msms.cgi?MassType=1&amp;NumAxis=1&amp;Mod7=170&amp;Pep=LVDTGDKFR&amp;Dta=/var/www/html/dta/S01/10565.5423.2.dta&amp;Global_Mod=CS57.0215", "5423")</f>
        <v>5423</v>
      </c>
      <c r="W171" s="10">
        <v>5010</v>
      </c>
      <c r="X171" s="4" t="s">
        <v>4854</v>
      </c>
      <c r="Y171" s="4" t="s">
        <v>4854</v>
      </c>
      <c r="Z171" s="10">
        <v>4941</v>
      </c>
      <c r="AA171" s="10">
        <v>5043</v>
      </c>
      <c r="AB171" s="10">
        <v>4980</v>
      </c>
      <c r="AC171" s="10">
        <v>5330</v>
      </c>
      <c r="AD171" s="10">
        <v>5460</v>
      </c>
      <c r="AE171" s="91">
        <v>2.6659999999999999</v>
      </c>
      <c r="AF171" s="91">
        <v>1.4430000000000001</v>
      </c>
      <c r="AG171" s="100" t="s">
        <v>4854</v>
      </c>
      <c r="AH171" s="91">
        <v>2.9249999999999998</v>
      </c>
      <c r="AI171" s="91">
        <v>2.5019999999999998</v>
      </c>
      <c r="AJ171" s="91">
        <v>2.46</v>
      </c>
      <c r="AK171" s="91">
        <v>2.6720000000000002</v>
      </c>
      <c r="AL171" s="91">
        <v>2.359</v>
      </c>
      <c r="AM171" s="95">
        <v>-0.1903</v>
      </c>
      <c r="AN171" s="95">
        <v>-0.26629999999999998</v>
      </c>
      <c r="AO171" s="103" t="s">
        <v>4854</v>
      </c>
      <c r="AP171" s="95">
        <v>7.3300000000000004E-2</v>
      </c>
      <c r="AQ171" s="95">
        <v>-5.2999999999999999E-2</v>
      </c>
      <c r="AR171" s="95">
        <v>5.9499999999999997E-2</v>
      </c>
      <c r="AS171" s="95">
        <v>-0.39900000000000002</v>
      </c>
      <c r="AT171" s="95">
        <v>-0.53449999999999998</v>
      </c>
      <c r="AU171" s="95">
        <v>0.28799999999999998</v>
      </c>
      <c r="AV171" s="95">
        <v>3.7999999999999999E-2</v>
      </c>
      <c r="AW171" s="103" t="s">
        <v>4854</v>
      </c>
      <c r="AX171" s="95">
        <v>0.315</v>
      </c>
      <c r="AY171" s="95">
        <v>0.313</v>
      </c>
      <c r="AZ171" s="95">
        <v>0.30099999999999999</v>
      </c>
      <c r="BA171" s="95">
        <v>0.29099999999999998</v>
      </c>
      <c r="BB171" s="95">
        <v>0.245</v>
      </c>
      <c r="BC171" s="10">
        <v>1</v>
      </c>
      <c r="BD171" s="10">
        <v>28</v>
      </c>
      <c r="BE171" s="4" t="s">
        <v>4854</v>
      </c>
      <c r="BF171" s="10">
        <v>1</v>
      </c>
      <c r="BG171" s="10">
        <v>1</v>
      </c>
      <c r="BH171" s="10">
        <v>1</v>
      </c>
      <c r="BI171" s="10">
        <v>1</v>
      </c>
      <c r="BJ171" s="10">
        <v>1</v>
      </c>
      <c r="BK171" s="91">
        <v>1</v>
      </c>
      <c r="BL171" s="91">
        <v>0.64500000000000002</v>
      </c>
      <c r="BM171" s="100" t="s">
        <v>4854</v>
      </c>
      <c r="BN171" s="91">
        <v>1</v>
      </c>
      <c r="BO171" s="91">
        <v>1</v>
      </c>
      <c r="BP171" s="91">
        <v>0.999</v>
      </c>
      <c r="BQ171" s="91">
        <v>1</v>
      </c>
      <c r="BR171" s="91">
        <v>0.997</v>
      </c>
      <c r="BS171" s="10" t="s">
        <v>4857</v>
      </c>
    </row>
    <row r="172" spans="1:71" s="30" customFormat="1" ht="17.100000000000001" customHeight="1">
      <c r="A172" s="14">
        <v>161</v>
      </c>
      <c r="B172" s="5" t="s">
        <v>4709</v>
      </c>
      <c r="C172" s="3" t="s">
        <v>4715</v>
      </c>
      <c r="D172" s="3" t="s">
        <v>4195</v>
      </c>
      <c r="E172" s="3" t="s">
        <v>4196</v>
      </c>
      <c r="F172" s="5" t="s">
        <v>4197</v>
      </c>
      <c r="G172" s="3" t="s">
        <v>4198</v>
      </c>
      <c r="H172" s="6" t="s">
        <v>4199</v>
      </c>
      <c r="I172" s="3" t="s">
        <v>4200</v>
      </c>
      <c r="J172" s="5" t="s">
        <v>4201</v>
      </c>
      <c r="K172" s="3" t="s">
        <v>5434</v>
      </c>
      <c r="L172" s="3" t="s">
        <v>4202</v>
      </c>
      <c r="M172" s="5">
        <v>2</v>
      </c>
      <c r="N172" s="21">
        <v>587.78899999999999</v>
      </c>
      <c r="O172" s="36" t="str">
        <f>HYPERLINK("http://ms.phosphosite.org:5080/cgi-bin/plot-msms.cgi?MassType=1&amp;NumAxis=1&amp;Mod3=160&amp;Mod7=170&amp;Pep=ALCQPMKER&amp;Dta=/var/www/html/dta/S01/10558.3296.2.dta&amp;Global_Mod=CS57.0215", "3296")</f>
        <v>3296</v>
      </c>
      <c r="P172" s="36" t="str">
        <f>HYPERLINK("http://ms.phosphosite.org:5080/cgi-bin/plot-msms.cgi?MassType=1&amp;NumAxis=1&amp;Mod3=160&amp;Mod7=170&amp;Pep=ALCQPMKER&amp;Dta=/var/www/html/dta/S01/10559.3228.2.dta&amp;Global_Mod=CS57.0215", "3228")</f>
        <v>3228</v>
      </c>
      <c r="Q172" s="36" t="str">
        <f>HYPERLINK("http://ms.phosphosite.org:5080/cgi-bin/plot-msms.cgi?MassType=1&amp;NumAxis=1&amp;Mod3=160&amp;Mod7=170&amp;Pep=ALCQPMKER&amp;Dta=/var/www/html/dta/S01/10560.3211.2.dta&amp;Global_Mod=CS57.0215", "3211")</f>
        <v>3211</v>
      </c>
      <c r="R172" s="36" t="str">
        <f>HYPERLINK("http://ms.phosphosite.org:5080/cgi-bin/plot-msms.cgi?MassType=1&amp;NumAxis=1&amp;Mod3=160&amp;Mod7=170&amp;Pep=ALCQPMKER&amp;Dta=/var/www/html/dta/S01/10561.3253.2.dta&amp;Global_Mod=CS57.0215", "3253")</f>
        <v>3253</v>
      </c>
      <c r="S172" s="36" t="str">
        <f>HYPERLINK("http://ms.phosphosite.org:5080/cgi-bin/plot-msms.cgi?MassType=1&amp;NumAxis=1&amp;Mod3=160&amp;Mod7=170&amp;Pep=ALCQPMKER&amp;Dta=/var/www/html/dta/S01/10562.3348.2.dta&amp;Global_Mod=CS57.0215", "3348")</f>
        <v>3348</v>
      </c>
      <c r="T172" s="36" t="str">
        <f>HYPERLINK("http://ms.phosphosite.org:5080/cgi-bin/plot-msms.cgi?MassType=1&amp;NumAxis=1&amp;Mod3=160&amp;Mod7=170&amp;Pep=ALCQPMKER&amp;Dta=/var/www/html/dta/S01/10563.3277.2.dta&amp;Global_Mod=CS57.0215", "3277")</f>
        <v>3277</v>
      </c>
      <c r="U172" s="36" t="str">
        <f>HYPERLINK("http://ms.phosphosite.org:5080/cgi-bin/plot-msms.cgi?MassType=1&amp;NumAxis=1&amp;Mod3=160&amp;Mod7=170&amp;Pep=ALCQPMKER&amp;Dta=/var/www/html/dta/S01/10564.3622.2.dta&amp;Global_Mod=CS57.0215", "3622")</f>
        <v>3622</v>
      </c>
      <c r="V172" s="35" t="s">
        <v>4854</v>
      </c>
      <c r="W172" s="5">
        <v>3305</v>
      </c>
      <c r="X172" s="5">
        <v>3242</v>
      </c>
      <c r="Y172" s="5">
        <v>3234</v>
      </c>
      <c r="Z172" s="5">
        <v>3251</v>
      </c>
      <c r="AA172" s="3" t="s">
        <v>4854</v>
      </c>
      <c r="AB172" s="5">
        <v>3273</v>
      </c>
      <c r="AC172" s="5">
        <v>3605</v>
      </c>
      <c r="AD172" s="3" t="s">
        <v>4854</v>
      </c>
      <c r="AE172" s="90">
        <v>2.5590000000000002</v>
      </c>
      <c r="AF172" s="90">
        <v>2.8530000000000002</v>
      </c>
      <c r="AG172" s="90">
        <v>2.48</v>
      </c>
      <c r="AH172" s="90">
        <v>2.4060000000000001</v>
      </c>
      <c r="AI172" s="90">
        <v>1.798</v>
      </c>
      <c r="AJ172" s="90">
        <v>2.4119999999999999</v>
      </c>
      <c r="AK172" s="90">
        <v>2.4420000000000002</v>
      </c>
      <c r="AL172" s="99" t="s">
        <v>4854</v>
      </c>
      <c r="AM172" s="21">
        <v>0.62839999999999996</v>
      </c>
      <c r="AN172" s="21">
        <v>0.2172</v>
      </c>
      <c r="AO172" s="21">
        <v>0.31340000000000001</v>
      </c>
      <c r="AP172" s="21">
        <v>0.29720000000000002</v>
      </c>
      <c r="AQ172" s="21">
        <v>0.20949999999999999</v>
      </c>
      <c r="AR172" s="21">
        <v>0.56200000000000006</v>
      </c>
      <c r="AS172" s="21">
        <v>0.1789</v>
      </c>
      <c r="AT172" s="102" t="s">
        <v>4854</v>
      </c>
      <c r="AU172" s="21">
        <v>0.19800000000000001</v>
      </c>
      <c r="AV172" s="21">
        <v>0.14099999999999999</v>
      </c>
      <c r="AW172" s="21">
        <v>0.157</v>
      </c>
      <c r="AX172" s="21">
        <v>0.20200000000000001</v>
      </c>
      <c r="AY172" s="21">
        <v>4.7E-2</v>
      </c>
      <c r="AZ172" s="21">
        <v>0.14699999999999999</v>
      </c>
      <c r="BA172" s="21">
        <v>0.183</v>
      </c>
      <c r="BB172" s="102" t="s">
        <v>4854</v>
      </c>
      <c r="BC172" s="5">
        <v>1</v>
      </c>
      <c r="BD172" s="5">
        <v>1</v>
      </c>
      <c r="BE172" s="5">
        <v>1</v>
      </c>
      <c r="BF172" s="5">
        <v>1</v>
      </c>
      <c r="BG172" s="5">
        <v>1</v>
      </c>
      <c r="BH172" s="5">
        <v>1</v>
      </c>
      <c r="BI172" s="5">
        <v>1</v>
      </c>
      <c r="BJ172" s="3" t="s">
        <v>4854</v>
      </c>
      <c r="BK172" s="90">
        <v>0.999</v>
      </c>
      <c r="BL172" s="90">
        <v>0.998</v>
      </c>
      <c r="BM172" s="90">
        <v>0.997</v>
      </c>
      <c r="BN172" s="90">
        <v>0.998</v>
      </c>
      <c r="BO172" s="90">
        <v>0.94599999999999995</v>
      </c>
      <c r="BP172" s="90">
        <v>0.996</v>
      </c>
      <c r="BQ172" s="90">
        <v>0.998</v>
      </c>
      <c r="BR172" s="99" t="s">
        <v>4854</v>
      </c>
      <c r="BS172" s="5" t="s">
        <v>4857</v>
      </c>
    </row>
    <row r="173" spans="1:71" s="30" customFormat="1" ht="17.100000000000001" customHeight="1">
      <c r="A173" s="10">
        <v>162</v>
      </c>
      <c r="B173" s="10" t="s">
        <v>4203</v>
      </c>
      <c r="C173" s="4" t="s">
        <v>4715</v>
      </c>
      <c r="D173" s="4" t="s">
        <v>4204</v>
      </c>
      <c r="E173" s="4" t="s">
        <v>4205</v>
      </c>
      <c r="F173" s="10" t="s">
        <v>4206</v>
      </c>
      <c r="G173" s="4" t="s">
        <v>4207</v>
      </c>
      <c r="H173" s="7" t="s">
        <v>4208</v>
      </c>
      <c r="I173" s="4" t="s">
        <v>4209</v>
      </c>
      <c r="J173" s="10" t="s">
        <v>4210</v>
      </c>
      <c r="K173" s="4" t="s">
        <v>5435</v>
      </c>
      <c r="L173" s="4" t="s">
        <v>4211</v>
      </c>
      <c r="M173" s="10">
        <v>3</v>
      </c>
      <c r="N173" s="95">
        <v>502.6352</v>
      </c>
      <c r="O173" s="38" t="s">
        <v>4854</v>
      </c>
      <c r="P173" s="38" t="s">
        <v>4854</v>
      </c>
      <c r="Q173" s="38" t="s">
        <v>4854</v>
      </c>
      <c r="R173" s="38" t="s">
        <v>4854</v>
      </c>
      <c r="S173" s="38" t="s">
        <v>4854</v>
      </c>
      <c r="T173" s="37" t="str">
        <f>HYPERLINK("http://ms.phosphosite.org:5080/cgi-bin/plot-msms.cgi?MassType=1&amp;NumAxis=1&amp;Mod8=170&amp;Pep=RRLLLASKELHQ&amp;Dta=/var/www/html/dta/S01/10563.775.3.dta&amp;Global_Mod=CS57.0215", "775")</f>
        <v>775</v>
      </c>
      <c r="U173" s="38" t="s">
        <v>4854</v>
      </c>
      <c r="V173" s="38" t="s">
        <v>4854</v>
      </c>
      <c r="W173" s="4" t="s">
        <v>4854</v>
      </c>
      <c r="X173" s="4" t="s">
        <v>4854</v>
      </c>
      <c r="Y173" s="4" t="s">
        <v>4854</v>
      </c>
      <c r="Z173" s="4" t="s">
        <v>4854</v>
      </c>
      <c r="AA173" s="4" t="s">
        <v>4854</v>
      </c>
      <c r="AB173" s="4" t="s">
        <v>4854</v>
      </c>
      <c r="AC173" s="4" t="s">
        <v>4854</v>
      </c>
      <c r="AD173" s="4" t="s">
        <v>4854</v>
      </c>
      <c r="AE173" s="100" t="s">
        <v>4854</v>
      </c>
      <c r="AF173" s="100" t="s">
        <v>4854</v>
      </c>
      <c r="AG173" s="100" t="s">
        <v>4854</v>
      </c>
      <c r="AH173" s="100" t="s">
        <v>4854</v>
      </c>
      <c r="AI173" s="100" t="s">
        <v>4854</v>
      </c>
      <c r="AJ173" s="91">
        <v>1.9610000000000001</v>
      </c>
      <c r="AK173" s="100" t="s">
        <v>4854</v>
      </c>
      <c r="AL173" s="100" t="s">
        <v>4854</v>
      </c>
      <c r="AM173" s="103" t="s">
        <v>4854</v>
      </c>
      <c r="AN173" s="103" t="s">
        <v>4854</v>
      </c>
      <c r="AO173" s="103" t="s">
        <v>4854</v>
      </c>
      <c r="AP173" s="103" t="s">
        <v>4854</v>
      </c>
      <c r="AQ173" s="103" t="s">
        <v>4854</v>
      </c>
      <c r="AR173" s="95">
        <v>1.1976</v>
      </c>
      <c r="AS173" s="103" t="s">
        <v>4854</v>
      </c>
      <c r="AT173" s="103" t="s">
        <v>4854</v>
      </c>
      <c r="AU173" s="103" t="s">
        <v>4854</v>
      </c>
      <c r="AV173" s="103" t="s">
        <v>4854</v>
      </c>
      <c r="AW173" s="103" t="s">
        <v>4854</v>
      </c>
      <c r="AX173" s="103" t="s">
        <v>4854</v>
      </c>
      <c r="AY173" s="103" t="s">
        <v>4854</v>
      </c>
      <c r="AZ173" s="95">
        <v>0.23499999999999999</v>
      </c>
      <c r="BA173" s="103" t="s">
        <v>4854</v>
      </c>
      <c r="BB173" s="103" t="s">
        <v>4854</v>
      </c>
      <c r="BC173" s="4" t="s">
        <v>4854</v>
      </c>
      <c r="BD173" s="4" t="s">
        <v>4854</v>
      </c>
      <c r="BE173" s="4" t="s">
        <v>4854</v>
      </c>
      <c r="BF173" s="4" t="s">
        <v>4854</v>
      </c>
      <c r="BG173" s="4" t="s">
        <v>4854</v>
      </c>
      <c r="BH173" s="10">
        <v>2</v>
      </c>
      <c r="BI173" s="4" t="s">
        <v>4854</v>
      </c>
      <c r="BJ173" s="4" t="s">
        <v>4854</v>
      </c>
      <c r="BK173" s="100" t="s">
        <v>4854</v>
      </c>
      <c r="BL173" s="100" t="s">
        <v>4854</v>
      </c>
      <c r="BM173" s="100" t="s">
        <v>4854</v>
      </c>
      <c r="BN173" s="100" t="s">
        <v>4854</v>
      </c>
      <c r="BO173" s="100" t="s">
        <v>4854</v>
      </c>
      <c r="BP173" s="91">
        <v>0.52500000000000002</v>
      </c>
      <c r="BQ173" s="100" t="s">
        <v>4854</v>
      </c>
      <c r="BR173" s="100" t="s">
        <v>4854</v>
      </c>
      <c r="BS173" s="10" t="s">
        <v>4857</v>
      </c>
    </row>
    <row r="174" spans="1:71" s="30" customFormat="1" ht="17.100000000000001" customHeight="1">
      <c r="A174" s="14">
        <v>163</v>
      </c>
      <c r="B174" s="5" t="s">
        <v>4828</v>
      </c>
      <c r="C174" s="3" t="s">
        <v>4715</v>
      </c>
      <c r="D174" s="3" t="s">
        <v>4212</v>
      </c>
      <c r="E174" s="6" t="s">
        <v>4213</v>
      </c>
      <c r="F174" s="5" t="s">
        <v>5290</v>
      </c>
      <c r="G174" s="3" t="s">
        <v>4214</v>
      </c>
      <c r="H174" s="6" t="s">
        <v>4215</v>
      </c>
      <c r="I174" s="3" t="s">
        <v>4216</v>
      </c>
      <c r="J174" s="5" t="s">
        <v>4217</v>
      </c>
      <c r="K174" s="3" t="s">
        <v>5436</v>
      </c>
      <c r="L174" s="3" t="s">
        <v>4218</v>
      </c>
      <c r="M174" s="5">
        <v>2</v>
      </c>
      <c r="N174" s="21">
        <v>670.36120000000005</v>
      </c>
      <c r="O174" s="36" t="str">
        <f>HYPERLINK("http://ms.phosphosite.org:5080/cgi-bin/plot-msms.cgi?MassType=1&amp;NumAxis=1&amp;Mod7=160&amp;Mod10=170&amp;Pep=SLHDALCVVKR&amp;Dta=/var/www/html/dta/S01/10558.6092.2.dta&amp;Global_Mod=CS57.0215", "6092")</f>
        <v>6092</v>
      </c>
      <c r="P174" s="35" t="s">
        <v>4854</v>
      </c>
      <c r="Q174" s="35" t="s">
        <v>4854</v>
      </c>
      <c r="R174" s="35" t="s">
        <v>4854</v>
      </c>
      <c r="S174" s="35" t="s">
        <v>4854</v>
      </c>
      <c r="T174" s="35" t="s">
        <v>4854</v>
      </c>
      <c r="U174" s="35" t="s">
        <v>4854</v>
      </c>
      <c r="V174" s="36" t="str">
        <f>HYPERLINK("http://ms.phosphosite.org:5080/cgi-bin/plot-msms.cgi?MassType=1&amp;NumAxis=1&amp;Mod7=160&amp;Mod10=170&amp;Pep=SLHDALCVVKR&amp;Dta=/var/www/html/dta/S01/10565.6572.2.dta&amp;Global_Mod=CS57.0215", "6572")</f>
        <v>6572</v>
      </c>
      <c r="W174" s="5">
        <v>6141</v>
      </c>
      <c r="X174" s="3" t="s">
        <v>4854</v>
      </c>
      <c r="Y174" s="3" t="s">
        <v>4854</v>
      </c>
      <c r="Z174" s="3" t="s">
        <v>4854</v>
      </c>
      <c r="AA174" s="3" t="s">
        <v>4854</v>
      </c>
      <c r="AB174" s="3" t="s">
        <v>4854</v>
      </c>
      <c r="AC174" s="3" t="s">
        <v>4854</v>
      </c>
      <c r="AD174" s="5">
        <v>6636</v>
      </c>
      <c r="AE174" s="90">
        <v>2.91</v>
      </c>
      <c r="AF174" s="99" t="s">
        <v>4854</v>
      </c>
      <c r="AG174" s="99" t="s">
        <v>4854</v>
      </c>
      <c r="AH174" s="99" t="s">
        <v>4854</v>
      </c>
      <c r="AI174" s="99" t="s">
        <v>4854</v>
      </c>
      <c r="AJ174" s="99" t="s">
        <v>4854</v>
      </c>
      <c r="AK174" s="99" t="s">
        <v>4854</v>
      </c>
      <c r="AL174" s="90">
        <v>3.3519999999999999</v>
      </c>
      <c r="AM174" s="21">
        <v>-4.6199999999999998E-2</v>
      </c>
      <c r="AN174" s="102" t="s">
        <v>4854</v>
      </c>
      <c r="AO174" s="102" t="s">
        <v>4854</v>
      </c>
      <c r="AP174" s="102" t="s">
        <v>4854</v>
      </c>
      <c r="AQ174" s="102" t="s">
        <v>4854</v>
      </c>
      <c r="AR174" s="102" t="s">
        <v>4854</v>
      </c>
      <c r="AS174" s="102" t="s">
        <v>4854</v>
      </c>
      <c r="AT174" s="21">
        <v>-0.2455</v>
      </c>
      <c r="AU174" s="21">
        <v>0.34699999999999998</v>
      </c>
      <c r="AV174" s="102" t="s">
        <v>4854</v>
      </c>
      <c r="AW174" s="102" t="s">
        <v>4854</v>
      </c>
      <c r="AX174" s="102" t="s">
        <v>4854</v>
      </c>
      <c r="AY174" s="102" t="s">
        <v>4854</v>
      </c>
      <c r="AZ174" s="102" t="s">
        <v>4854</v>
      </c>
      <c r="BA174" s="102" t="s">
        <v>4854</v>
      </c>
      <c r="BB174" s="21">
        <v>0.25700000000000001</v>
      </c>
      <c r="BC174" s="5">
        <v>1</v>
      </c>
      <c r="BD174" s="3" t="s">
        <v>4854</v>
      </c>
      <c r="BE174" s="3" t="s">
        <v>4854</v>
      </c>
      <c r="BF174" s="3" t="s">
        <v>4854</v>
      </c>
      <c r="BG174" s="3" t="s">
        <v>4854</v>
      </c>
      <c r="BH174" s="3" t="s">
        <v>4854</v>
      </c>
      <c r="BI174" s="3" t="s">
        <v>4854</v>
      </c>
      <c r="BJ174" s="5">
        <v>1</v>
      </c>
      <c r="BK174" s="90">
        <v>1</v>
      </c>
      <c r="BL174" s="99" t="s">
        <v>4854</v>
      </c>
      <c r="BM174" s="99" t="s">
        <v>4854</v>
      </c>
      <c r="BN174" s="99" t="s">
        <v>4854</v>
      </c>
      <c r="BO174" s="99" t="s">
        <v>4854</v>
      </c>
      <c r="BP174" s="99" t="s">
        <v>4854</v>
      </c>
      <c r="BQ174" s="99" t="s">
        <v>4854</v>
      </c>
      <c r="BR174" s="90">
        <v>1</v>
      </c>
      <c r="BS174" s="5" t="s">
        <v>4857</v>
      </c>
    </row>
    <row r="175" spans="1:71" s="30" customFormat="1" ht="17.100000000000001" customHeight="1">
      <c r="A175" s="14">
        <v>164</v>
      </c>
      <c r="B175" s="5" t="s">
        <v>4219</v>
      </c>
      <c r="C175" s="3" t="s">
        <v>4715</v>
      </c>
      <c r="D175" s="3" t="s">
        <v>4212</v>
      </c>
      <c r="E175" s="6" t="s">
        <v>4213</v>
      </c>
      <c r="F175" s="5" t="s">
        <v>5290</v>
      </c>
      <c r="G175" s="3" t="s">
        <v>4214</v>
      </c>
      <c r="H175" s="6" t="s">
        <v>4215</v>
      </c>
      <c r="I175" s="3" t="s">
        <v>4216</v>
      </c>
      <c r="J175" s="5" t="s">
        <v>4217</v>
      </c>
      <c r="K175" s="3" t="s">
        <v>5436</v>
      </c>
      <c r="L175" s="3" t="s">
        <v>4218</v>
      </c>
      <c r="M175" s="5">
        <v>3</v>
      </c>
      <c r="N175" s="21">
        <v>447.2432</v>
      </c>
      <c r="O175" s="36" t="str">
        <f>HYPERLINK("http://ms.phosphosite.org:5080/cgi-bin/plot-msms.cgi?MassType=1&amp;NumAxis=1&amp;Mod7=160&amp;Mod10=170&amp;Pep=SLHDALCVVKR&amp;Dta=/var/www/html/dta/S01/10558.6089.3.dta&amp;Global_Mod=CS57.0215", "6089")</f>
        <v>6089</v>
      </c>
      <c r="P175" s="36" t="str">
        <f>HYPERLINK("http://ms.phosphosite.org:5080/cgi-bin/plot-msms.cgi?MassType=1&amp;NumAxis=1&amp;Mod7=160&amp;Mod10=170&amp;Pep=SLHDALCVVKR&amp;Dta=/var/www/html/dta/S01/10559.6131.3.dta&amp;Global_Mod=CS57.0215", "6131")</f>
        <v>6131</v>
      </c>
      <c r="Q175" s="36" t="str">
        <f>HYPERLINK("http://ms.phosphosite.org:5080/cgi-bin/plot-msms.cgi?MassType=1&amp;NumAxis=1&amp;Mod7=160&amp;Mod10=170&amp;Pep=SLHDALCVVKR&amp;Dta=/var/www/html/dta/S01/10560.6081.3.dta&amp;Global_Mod=CS57.0215", "6081")</f>
        <v>6081</v>
      </c>
      <c r="R175" s="36" t="str">
        <f>HYPERLINK("http://ms.phosphosite.org:5080/cgi-bin/plot-msms.cgi?MassType=1&amp;NumAxis=1&amp;Mod7=160&amp;Mod10=170&amp;Pep=SLHDALCVVKR&amp;Dta=/var/www/html/dta/S01/10561.6097.3.dta&amp;Global_Mod=CS57.0215", "6097")</f>
        <v>6097</v>
      </c>
      <c r="S175" s="36" t="str">
        <f>HYPERLINK("http://ms.phosphosite.org:5080/cgi-bin/plot-msms.cgi?MassType=1&amp;NumAxis=1&amp;Mod7=160&amp;Mod10=170&amp;Pep=SLHDALCVVKR&amp;Dta=/var/www/html/dta/S01/10562.6195.3.dta&amp;Global_Mod=CS57.0215", "6195")</f>
        <v>6195</v>
      </c>
      <c r="T175" s="36" t="str">
        <f>HYPERLINK("http://ms.phosphosite.org:5080/cgi-bin/plot-msms.cgi?MassType=1&amp;NumAxis=1&amp;Mod7=160&amp;Mod10=170&amp;Pep=SLHDALCVVKR&amp;Dta=/var/www/html/dta/S01/10563.6135.3.dta&amp;Global_Mod=CS57.0215", "6135")</f>
        <v>6135</v>
      </c>
      <c r="U175" s="36" t="str">
        <f>HYPERLINK("http://ms.phosphosite.org:5080/cgi-bin/plot-msms.cgi?MassType=1&amp;NumAxis=1&amp;Mod7=160&amp;Mod10=170&amp;Pep=SLHDALCVVKR&amp;Dta=/var/www/html/dta/S01/10564.6473.3.dta&amp;Global_Mod=CS57.0215", "6473")</f>
        <v>6473</v>
      </c>
      <c r="V175" s="36" t="str">
        <f>HYPERLINK("http://ms.phosphosite.org:5080/cgi-bin/plot-msms.cgi?MassType=1&amp;NumAxis=1&amp;Mod7=160&amp;Mod10=170&amp;Pep=SLHDALCVVKR&amp;Dta=/var/www/html/dta/S01/10565.6560.3.dta&amp;Global_Mod=CS57.0215", "6560")</f>
        <v>6560</v>
      </c>
      <c r="W175" s="5">
        <v>6141</v>
      </c>
      <c r="X175" s="5">
        <v>6074</v>
      </c>
      <c r="Y175" s="5">
        <v>6058</v>
      </c>
      <c r="Z175" s="5">
        <v>6118</v>
      </c>
      <c r="AA175" s="5">
        <v>6205</v>
      </c>
      <c r="AB175" s="5">
        <v>6167</v>
      </c>
      <c r="AC175" s="5">
        <v>6507</v>
      </c>
      <c r="AD175" s="5">
        <v>6592</v>
      </c>
      <c r="AE175" s="90">
        <v>2.415</v>
      </c>
      <c r="AF175" s="90">
        <v>2.7130000000000001</v>
      </c>
      <c r="AG175" s="90">
        <v>3.1520000000000001</v>
      </c>
      <c r="AH175" s="90">
        <v>2.9740000000000002</v>
      </c>
      <c r="AI175" s="90">
        <v>3.1840000000000002</v>
      </c>
      <c r="AJ175" s="90">
        <v>2.141</v>
      </c>
      <c r="AK175" s="90">
        <v>2.968</v>
      </c>
      <c r="AL175" s="90">
        <v>2.8919999999999999</v>
      </c>
      <c r="AM175" s="21">
        <v>0.2135</v>
      </c>
      <c r="AN175" s="21">
        <v>0.34789999999999999</v>
      </c>
      <c r="AO175" s="21">
        <v>0.77929999999999999</v>
      </c>
      <c r="AP175" s="21">
        <v>0.65090000000000003</v>
      </c>
      <c r="AQ175" s="21">
        <v>0.49940000000000001</v>
      </c>
      <c r="AR175" s="21">
        <v>0.49790000000000001</v>
      </c>
      <c r="AS175" s="21">
        <v>0.433</v>
      </c>
      <c r="AT175" s="21">
        <v>0.14929999999999999</v>
      </c>
      <c r="AU175" s="21">
        <v>2.7E-2</v>
      </c>
      <c r="AV175" s="21">
        <v>0.06</v>
      </c>
      <c r="AW175" s="21">
        <v>0.191</v>
      </c>
      <c r="AX175" s="21">
        <v>0.20100000000000001</v>
      </c>
      <c r="AY175" s="21">
        <v>0.128</v>
      </c>
      <c r="AZ175" s="21">
        <v>3.5999999999999997E-2</v>
      </c>
      <c r="BA175" s="21">
        <v>4.3999999999999997E-2</v>
      </c>
      <c r="BB175" s="21">
        <v>9.2999999999999999E-2</v>
      </c>
      <c r="BC175" s="5">
        <v>787</v>
      </c>
      <c r="BD175" s="5">
        <v>75</v>
      </c>
      <c r="BE175" s="5">
        <v>20</v>
      </c>
      <c r="BF175" s="5">
        <v>67</v>
      </c>
      <c r="BG175" s="5">
        <v>16</v>
      </c>
      <c r="BH175" s="5">
        <v>297</v>
      </c>
      <c r="BI175" s="5">
        <v>139</v>
      </c>
      <c r="BJ175" s="5">
        <v>73</v>
      </c>
      <c r="BK175" s="90">
        <v>0.97299999999999998</v>
      </c>
      <c r="BL175" s="90">
        <v>0.99399999999999999</v>
      </c>
      <c r="BM175" s="90">
        <v>1</v>
      </c>
      <c r="BN175" s="90">
        <v>0.999</v>
      </c>
      <c r="BO175" s="90">
        <v>0.999</v>
      </c>
      <c r="BP175" s="90">
        <v>0.97099999999999997</v>
      </c>
      <c r="BQ175" s="90">
        <v>0.99299999999999999</v>
      </c>
      <c r="BR175" s="90">
        <v>0.997</v>
      </c>
      <c r="BS175" s="5" t="s">
        <v>4857</v>
      </c>
    </row>
    <row r="176" spans="1:71" s="30" customFormat="1" ht="17.100000000000001" customHeight="1">
      <c r="A176" s="14">
        <v>165</v>
      </c>
      <c r="B176" s="5" t="s">
        <v>4220</v>
      </c>
      <c r="C176" s="3" t="s">
        <v>4715</v>
      </c>
      <c r="D176" s="3" t="s">
        <v>4212</v>
      </c>
      <c r="E176" s="6" t="s">
        <v>4213</v>
      </c>
      <c r="F176" s="5" t="s">
        <v>5290</v>
      </c>
      <c r="G176" s="3" t="s">
        <v>4214</v>
      </c>
      <c r="H176" s="6" t="s">
        <v>4215</v>
      </c>
      <c r="I176" s="3" t="s">
        <v>4216</v>
      </c>
      <c r="J176" s="5" t="s">
        <v>4217</v>
      </c>
      <c r="K176" s="3" t="s">
        <v>5436</v>
      </c>
      <c r="L176" s="3" t="s">
        <v>4218</v>
      </c>
      <c r="M176" s="5">
        <v>3</v>
      </c>
      <c r="N176" s="21">
        <v>447.2432</v>
      </c>
      <c r="O176" s="35" t="s">
        <v>4854</v>
      </c>
      <c r="P176" s="36" t="str">
        <f>HYPERLINK("http://ms.phosphosite.org:5080/cgi-bin/plot-msms.cgi?MassType=1&amp;NumAxis=1&amp;Mod7=160&amp;Mod10=170&amp;Pep=SLHDALCVVKR&amp;Dta=/var/www/html/dta/S01/10559.6042.3.dta&amp;Global_Mod=CS57.0215", "6042")</f>
        <v>6042</v>
      </c>
      <c r="Q176" s="35" t="s">
        <v>4854</v>
      </c>
      <c r="R176" s="35" t="s">
        <v>4854</v>
      </c>
      <c r="S176" s="35" t="s">
        <v>4854</v>
      </c>
      <c r="T176" s="35" t="s">
        <v>4854</v>
      </c>
      <c r="U176" s="35" t="s">
        <v>4854</v>
      </c>
      <c r="V176" s="35" t="s">
        <v>4854</v>
      </c>
      <c r="W176" s="3" t="s">
        <v>4854</v>
      </c>
      <c r="X176" s="5">
        <v>6074</v>
      </c>
      <c r="Y176" s="3" t="s">
        <v>4854</v>
      </c>
      <c r="Z176" s="3" t="s">
        <v>4854</v>
      </c>
      <c r="AA176" s="3" t="s">
        <v>4854</v>
      </c>
      <c r="AB176" s="3" t="s">
        <v>4854</v>
      </c>
      <c r="AC176" s="3" t="s">
        <v>4854</v>
      </c>
      <c r="AD176" s="3" t="s">
        <v>4854</v>
      </c>
      <c r="AE176" s="99" t="s">
        <v>4854</v>
      </c>
      <c r="AF176" s="90">
        <v>2.41</v>
      </c>
      <c r="AG176" s="99" t="s">
        <v>4854</v>
      </c>
      <c r="AH176" s="99" t="s">
        <v>4854</v>
      </c>
      <c r="AI176" s="99" t="s">
        <v>4854</v>
      </c>
      <c r="AJ176" s="99" t="s">
        <v>4854</v>
      </c>
      <c r="AK176" s="99" t="s">
        <v>4854</v>
      </c>
      <c r="AL176" s="99" t="s">
        <v>4854</v>
      </c>
      <c r="AM176" s="102" t="s">
        <v>4854</v>
      </c>
      <c r="AN176" s="21">
        <v>0.36430000000000001</v>
      </c>
      <c r="AO176" s="102" t="s">
        <v>4854</v>
      </c>
      <c r="AP176" s="102" t="s">
        <v>4854</v>
      </c>
      <c r="AQ176" s="102" t="s">
        <v>4854</v>
      </c>
      <c r="AR176" s="102" t="s">
        <v>4854</v>
      </c>
      <c r="AS176" s="102" t="s">
        <v>4854</v>
      </c>
      <c r="AT176" s="102" t="s">
        <v>4854</v>
      </c>
      <c r="AU176" s="102" t="s">
        <v>4854</v>
      </c>
      <c r="AV176" s="21">
        <v>0.124</v>
      </c>
      <c r="AW176" s="102" t="s">
        <v>4854</v>
      </c>
      <c r="AX176" s="102" t="s">
        <v>4854</v>
      </c>
      <c r="AY176" s="102" t="s">
        <v>4854</v>
      </c>
      <c r="AZ176" s="102" t="s">
        <v>4854</v>
      </c>
      <c r="BA176" s="102" t="s">
        <v>4854</v>
      </c>
      <c r="BB176" s="102" t="s">
        <v>4854</v>
      </c>
      <c r="BC176" s="3" t="s">
        <v>4854</v>
      </c>
      <c r="BD176" s="5">
        <v>407</v>
      </c>
      <c r="BE176" s="3" t="s">
        <v>4854</v>
      </c>
      <c r="BF176" s="3" t="s">
        <v>4854</v>
      </c>
      <c r="BG176" s="3" t="s">
        <v>4854</v>
      </c>
      <c r="BH176" s="3" t="s">
        <v>4854</v>
      </c>
      <c r="BI176" s="3" t="s">
        <v>4854</v>
      </c>
      <c r="BJ176" s="3" t="s">
        <v>4854</v>
      </c>
      <c r="BK176" s="99" t="s">
        <v>4854</v>
      </c>
      <c r="BL176" s="90">
        <v>0.99399999999999999</v>
      </c>
      <c r="BM176" s="99" t="s">
        <v>4854</v>
      </c>
      <c r="BN176" s="99" t="s">
        <v>4854</v>
      </c>
      <c r="BO176" s="99" t="s">
        <v>4854</v>
      </c>
      <c r="BP176" s="99" t="s">
        <v>4854</v>
      </c>
      <c r="BQ176" s="99" t="s">
        <v>4854</v>
      </c>
      <c r="BR176" s="99" t="s">
        <v>4854</v>
      </c>
      <c r="BS176" s="5" t="s">
        <v>4857</v>
      </c>
    </row>
    <row r="177" spans="1:71" s="30" customFormat="1" ht="17.100000000000001" customHeight="1">
      <c r="A177" s="10">
        <v>166</v>
      </c>
      <c r="B177" s="10" t="s">
        <v>4221</v>
      </c>
      <c r="C177" s="4" t="s">
        <v>4715</v>
      </c>
      <c r="D177" s="4" t="s">
        <v>4222</v>
      </c>
      <c r="E177" s="4" t="s">
        <v>4223</v>
      </c>
      <c r="F177" s="10" t="s">
        <v>4991</v>
      </c>
      <c r="G177" s="4" t="s">
        <v>4224</v>
      </c>
      <c r="H177" s="7" t="s">
        <v>4225</v>
      </c>
      <c r="I177" s="4" t="s">
        <v>4226</v>
      </c>
      <c r="J177" s="10" t="s">
        <v>4862</v>
      </c>
      <c r="K177" s="4" t="s">
        <v>5437</v>
      </c>
      <c r="L177" s="4" t="s">
        <v>4227</v>
      </c>
      <c r="M177" s="10">
        <v>2</v>
      </c>
      <c r="N177" s="95">
        <v>783.36120000000005</v>
      </c>
      <c r="O177" s="37" t="str">
        <f>HYPERLINK("http://ms.phosphosite.org:5080/cgi-bin/plot-msms.cgi?MassType=1&amp;NumAxis=1&amp;Mod3=170&amp;Pep=ADKPDMGEIASFDK&amp;Dta=/var/www/html/dta/S01/10558.7966.2.dta&amp;Global_Mod=CS57.0215", "7966")</f>
        <v>7966</v>
      </c>
      <c r="P177" s="38" t="s">
        <v>4854</v>
      </c>
      <c r="Q177" s="38" t="s">
        <v>4854</v>
      </c>
      <c r="R177" s="38" t="s">
        <v>4854</v>
      </c>
      <c r="S177" s="37" t="str">
        <f>HYPERLINK("http://ms.phosphosite.org:5080/cgi-bin/plot-msms.cgi?MassType=1&amp;NumAxis=1&amp;Mod3=170&amp;Pep=ADKPDMGEIASFDK&amp;Dta=/var/www/html/dta/S01/10562.8058.2.dta&amp;Global_Mod=CS57.0215", "8058")</f>
        <v>8058</v>
      </c>
      <c r="T177" s="37" t="str">
        <f>HYPERLINK("http://ms.phosphosite.org:5080/cgi-bin/plot-msms.cgi?MassType=1&amp;NumAxis=1&amp;Mod3=170&amp;Pep=ADKPDMGEIASFDK&amp;Dta=/var/www/html/dta/S01/10563.8032.2.dta&amp;Global_Mod=CS57.0215", "8032")</f>
        <v>8032</v>
      </c>
      <c r="U177" s="38" t="s">
        <v>4854</v>
      </c>
      <c r="V177" s="38" t="s">
        <v>4854</v>
      </c>
      <c r="W177" s="4" t="s">
        <v>4854</v>
      </c>
      <c r="X177" s="4" t="s">
        <v>4854</v>
      </c>
      <c r="Y177" s="4" t="s">
        <v>4854</v>
      </c>
      <c r="Z177" s="4" t="s">
        <v>4854</v>
      </c>
      <c r="AA177" s="10">
        <v>8061</v>
      </c>
      <c r="AB177" s="4" t="s">
        <v>4854</v>
      </c>
      <c r="AC177" s="4" t="s">
        <v>4854</v>
      </c>
      <c r="AD177" s="4" t="s">
        <v>4854</v>
      </c>
      <c r="AE177" s="91">
        <v>2.7330000000000001</v>
      </c>
      <c r="AF177" s="100" t="s">
        <v>4854</v>
      </c>
      <c r="AG177" s="100" t="s">
        <v>4854</v>
      </c>
      <c r="AH177" s="100" t="s">
        <v>4854</v>
      </c>
      <c r="AI177" s="91">
        <v>3.3149999999999999</v>
      </c>
      <c r="AJ177" s="91">
        <v>3.113</v>
      </c>
      <c r="AK177" s="100" t="s">
        <v>4854</v>
      </c>
      <c r="AL177" s="100" t="s">
        <v>4854</v>
      </c>
      <c r="AM177" s="95">
        <v>1.0249999999999999</v>
      </c>
      <c r="AN177" s="103" t="s">
        <v>4854</v>
      </c>
      <c r="AO177" s="103" t="s">
        <v>4854</v>
      </c>
      <c r="AP177" s="103" t="s">
        <v>4854</v>
      </c>
      <c r="AQ177" s="95">
        <v>0.73499999999999999</v>
      </c>
      <c r="AR177" s="95">
        <v>0.4355</v>
      </c>
      <c r="AS177" s="103" t="s">
        <v>4854</v>
      </c>
      <c r="AT177" s="103" t="s">
        <v>4854</v>
      </c>
      <c r="AU177" s="95">
        <v>0.15</v>
      </c>
      <c r="AV177" s="103" t="s">
        <v>4854</v>
      </c>
      <c r="AW177" s="103" t="s">
        <v>4854</v>
      </c>
      <c r="AX177" s="103" t="s">
        <v>4854</v>
      </c>
      <c r="AY177" s="95">
        <v>0.14799999999999999</v>
      </c>
      <c r="AZ177" s="95">
        <v>0.1</v>
      </c>
      <c r="BA177" s="103" t="s">
        <v>4854</v>
      </c>
      <c r="BB177" s="103" t="s">
        <v>4854</v>
      </c>
      <c r="BC177" s="10">
        <v>2</v>
      </c>
      <c r="BD177" s="4" t="s">
        <v>4854</v>
      </c>
      <c r="BE177" s="4" t="s">
        <v>4854</v>
      </c>
      <c r="BF177" s="4" t="s">
        <v>4854</v>
      </c>
      <c r="BG177" s="10">
        <v>1</v>
      </c>
      <c r="BH177" s="10">
        <v>1</v>
      </c>
      <c r="BI177" s="4" t="s">
        <v>4854</v>
      </c>
      <c r="BJ177" s="4" t="s">
        <v>4854</v>
      </c>
      <c r="BK177" s="91">
        <v>0.90900000000000003</v>
      </c>
      <c r="BL177" s="100" t="s">
        <v>4854</v>
      </c>
      <c r="BM177" s="100" t="s">
        <v>4854</v>
      </c>
      <c r="BN177" s="100" t="s">
        <v>4854</v>
      </c>
      <c r="BO177" s="91">
        <v>0.96599999999999997</v>
      </c>
      <c r="BP177" s="91">
        <v>0.92600000000000005</v>
      </c>
      <c r="BQ177" s="100" t="s">
        <v>4854</v>
      </c>
      <c r="BR177" s="100" t="s">
        <v>4854</v>
      </c>
      <c r="BS177" s="10" t="s">
        <v>4857</v>
      </c>
    </row>
    <row r="178" spans="1:71" s="30" customFormat="1" ht="17.100000000000001" customHeight="1">
      <c r="A178" s="10">
        <v>167</v>
      </c>
      <c r="B178" s="10" t="s">
        <v>4228</v>
      </c>
      <c r="C178" s="4" t="s">
        <v>4715</v>
      </c>
      <c r="D178" s="4" t="s">
        <v>4222</v>
      </c>
      <c r="E178" s="4" t="s">
        <v>4223</v>
      </c>
      <c r="F178" s="10" t="s">
        <v>4991</v>
      </c>
      <c r="G178" s="4" t="s">
        <v>4224</v>
      </c>
      <c r="H178" s="7" t="s">
        <v>4225</v>
      </c>
      <c r="I178" s="4" t="s">
        <v>4226</v>
      </c>
      <c r="J178" s="10" t="s">
        <v>4862</v>
      </c>
      <c r="K178" s="4" t="s">
        <v>5437</v>
      </c>
      <c r="L178" s="4" t="s">
        <v>4229</v>
      </c>
      <c r="M178" s="10">
        <v>2</v>
      </c>
      <c r="N178" s="95">
        <v>791.3587</v>
      </c>
      <c r="O178" s="37" t="str">
        <f>HYPERLINK("http://ms.phosphosite.org:5080/cgi-bin/plot-msms.cgi?MassType=1&amp;NumAxis=1&amp;Mod3=170&amp;Mod6=147&amp;Pep=ADKPDMGEIASFDK&amp;Dta=/var/www/html/dta/S01/10558.5667.2.dta&amp;Global_Mod=CS57.0215", "5667")</f>
        <v>5667</v>
      </c>
      <c r="P178" s="37" t="str">
        <f>HYPERLINK("http://ms.phosphosite.org:5080/cgi-bin/plot-msms.cgi?MassType=1&amp;NumAxis=1&amp;Mod3=170&amp;Mod6=147&amp;Pep=ADKPDMGEIASFDK&amp;Dta=/var/www/html/dta/S01/10559.5594.2.dta&amp;Global_Mod=CS57.0215", "5594")</f>
        <v>5594</v>
      </c>
      <c r="Q178" s="37" t="str">
        <f>HYPERLINK("http://ms.phosphosite.org:5080/cgi-bin/plot-msms.cgi?MassType=1&amp;NumAxis=1&amp;Mod3=170&amp;Mod6=147&amp;Pep=ADKPDMGEIASFDK&amp;Dta=/var/www/html/dta/S01/10560.5581.2.dta&amp;Global_Mod=CS57.0215", "5581")</f>
        <v>5581</v>
      </c>
      <c r="R178" s="37" t="str">
        <f>HYPERLINK("http://ms.phosphosite.org:5080/cgi-bin/plot-msms.cgi?MassType=1&amp;NumAxis=1&amp;Mod3=170&amp;Mod6=147&amp;Pep=ADKPDMGEIASFDK&amp;Dta=/var/www/html/dta/S01/10561.5644.2.dta&amp;Global_Mod=CS57.0215", "5644")</f>
        <v>5644</v>
      </c>
      <c r="S178" s="37" t="str">
        <f>HYPERLINK("http://ms.phosphosite.org:5080/cgi-bin/plot-msms.cgi?MassType=1&amp;NumAxis=1&amp;Mod3=170&amp;Mod6=147&amp;Pep=ADKPDMGEIASFDK&amp;Dta=/var/www/html/dta/S01/10562.5695.2.dta&amp;Global_Mod=CS57.0215", "5695")</f>
        <v>5695</v>
      </c>
      <c r="T178" s="37" t="str">
        <f>HYPERLINK("http://ms.phosphosite.org:5080/cgi-bin/plot-msms.cgi?MassType=1&amp;NumAxis=1&amp;Mod3=170&amp;Mod6=147&amp;Pep=ADKPDMGEIASFDK&amp;Dta=/var/www/html/dta/S01/10563.5655.2.dta&amp;Global_Mod=CS57.0215", "5655")</f>
        <v>5655</v>
      </c>
      <c r="U178" s="38" t="s">
        <v>4854</v>
      </c>
      <c r="V178" s="38" t="s">
        <v>4854</v>
      </c>
      <c r="W178" s="10">
        <v>5679</v>
      </c>
      <c r="X178" s="10">
        <v>5590</v>
      </c>
      <c r="Y178" s="4" t="s">
        <v>4854</v>
      </c>
      <c r="Z178" s="10">
        <v>5623</v>
      </c>
      <c r="AA178" s="10">
        <v>5688</v>
      </c>
      <c r="AB178" s="10">
        <v>5672</v>
      </c>
      <c r="AC178" s="4" t="s">
        <v>4854</v>
      </c>
      <c r="AD178" s="4" t="s">
        <v>4854</v>
      </c>
      <c r="AE178" s="91">
        <v>2.7389999999999999</v>
      </c>
      <c r="AF178" s="91">
        <v>2.88</v>
      </c>
      <c r="AG178" s="91">
        <v>2.2629999999999999</v>
      </c>
      <c r="AH178" s="91">
        <v>2.4900000000000002</v>
      </c>
      <c r="AI178" s="91">
        <v>3.4049999999999998</v>
      </c>
      <c r="AJ178" s="91">
        <v>2.9889999999999999</v>
      </c>
      <c r="AK178" s="100" t="s">
        <v>4854</v>
      </c>
      <c r="AL178" s="100" t="s">
        <v>4854</v>
      </c>
      <c r="AM178" s="95">
        <v>0.49199999999999999</v>
      </c>
      <c r="AN178" s="95">
        <v>0.33019999999999999</v>
      </c>
      <c r="AO178" s="95">
        <v>-0.16669999999999999</v>
      </c>
      <c r="AP178" s="95">
        <v>0.74809999999999999</v>
      </c>
      <c r="AQ178" s="95">
        <v>0.41299999999999998</v>
      </c>
      <c r="AR178" s="95">
        <v>0.32069999999999999</v>
      </c>
      <c r="AS178" s="103" t="s">
        <v>4854</v>
      </c>
      <c r="AT178" s="103" t="s">
        <v>4854</v>
      </c>
      <c r="AU178" s="95">
        <v>0.35099999999999998</v>
      </c>
      <c r="AV178" s="95">
        <v>0.44</v>
      </c>
      <c r="AW178" s="95">
        <v>0.22800000000000001</v>
      </c>
      <c r="AX178" s="95">
        <v>0.27</v>
      </c>
      <c r="AY178" s="95">
        <v>0.30099999999999999</v>
      </c>
      <c r="AZ178" s="95">
        <v>0.40899999999999997</v>
      </c>
      <c r="BA178" s="103" t="s">
        <v>4854</v>
      </c>
      <c r="BB178" s="103" t="s">
        <v>4854</v>
      </c>
      <c r="BC178" s="10">
        <v>1</v>
      </c>
      <c r="BD178" s="10">
        <v>1</v>
      </c>
      <c r="BE178" s="10">
        <v>4</v>
      </c>
      <c r="BF178" s="10">
        <v>1</v>
      </c>
      <c r="BG178" s="10">
        <v>1</v>
      </c>
      <c r="BH178" s="10">
        <v>1</v>
      </c>
      <c r="BI178" s="4" t="s">
        <v>4854</v>
      </c>
      <c r="BJ178" s="4" t="s">
        <v>4854</v>
      </c>
      <c r="BK178" s="91">
        <v>0.99099999999999999</v>
      </c>
      <c r="BL178" s="91">
        <v>0.997</v>
      </c>
      <c r="BM178" s="91">
        <v>0.89600000000000002</v>
      </c>
      <c r="BN178" s="91">
        <v>0.97</v>
      </c>
      <c r="BO178" s="91">
        <v>0.99399999999999999</v>
      </c>
      <c r="BP178" s="91">
        <v>0.996</v>
      </c>
      <c r="BQ178" s="100" t="s">
        <v>4854</v>
      </c>
      <c r="BR178" s="100" t="s">
        <v>4854</v>
      </c>
      <c r="BS178" s="10" t="s">
        <v>4857</v>
      </c>
    </row>
    <row r="179" spans="1:71" s="30" customFormat="1" ht="17.100000000000001" customHeight="1">
      <c r="A179" s="10">
        <v>168</v>
      </c>
      <c r="B179" s="10" t="s">
        <v>4102</v>
      </c>
      <c r="C179" s="4" t="s">
        <v>4715</v>
      </c>
      <c r="D179" s="4" t="s">
        <v>4222</v>
      </c>
      <c r="E179" s="4" t="s">
        <v>4223</v>
      </c>
      <c r="F179" s="10" t="s">
        <v>4991</v>
      </c>
      <c r="G179" s="4" t="s">
        <v>4224</v>
      </c>
      <c r="H179" s="7" t="s">
        <v>4225</v>
      </c>
      <c r="I179" s="4" t="s">
        <v>4226</v>
      </c>
      <c r="J179" s="10" t="s">
        <v>4862</v>
      </c>
      <c r="K179" s="4" t="s">
        <v>5437</v>
      </c>
      <c r="L179" s="4" t="s">
        <v>4103</v>
      </c>
      <c r="M179" s="10">
        <v>3</v>
      </c>
      <c r="N179" s="95">
        <v>588.95389999999998</v>
      </c>
      <c r="O179" s="38" t="s">
        <v>4854</v>
      </c>
      <c r="P179" s="38" t="s">
        <v>4854</v>
      </c>
      <c r="Q179" s="38" t="s">
        <v>4854</v>
      </c>
      <c r="R179" s="38" t="s">
        <v>4854</v>
      </c>
      <c r="S179" s="37" t="str">
        <f>HYPERLINK("http://ms.phosphosite.org:5080/cgi-bin/plot-msms.cgi?MassType=1&amp;NumAxis=1&amp;Mod3=170&amp;Pep=ADKPDMGEIASFDKAK&amp;Dta=/var/www/html/dta/S01/10562.6975.3.dta&amp;Global_Mod=CS57.0215", "6975")</f>
        <v>6975</v>
      </c>
      <c r="T179" s="37" t="str">
        <f>HYPERLINK("http://ms.phosphosite.org:5080/cgi-bin/plot-msms.cgi?MassType=1&amp;NumAxis=1&amp;Mod3=170&amp;Pep=ADKPDMGEIASFDKAK&amp;Dta=/var/www/html/dta/S01/10563.6921.3.dta&amp;Global_Mod=CS57.0215", "6921")</f>
        <v>6921</v>
      </c>
      <c r="U179" s="38" t="s">
        <v>4854</v>
      </c>
      <c r="V179" s="37" t="str">
        <f>HYPERLINK("http://ms.phosphosite.org:5080/cgi-bin/plot-msms.cgi?MassType=1&amp;NumAxis=1&amp;Mod3=170&amp;Pep=ADKPDMGEIASFDKAK&amp;Dta=/var/www/html/dta/S01/10565.7367.3.dta&amp;Global_Mod=CS57.0215", "7367")</f>
        <v>7367</v>
      </c>
      <c r="W179" s="4" t="s">
        <v>4854</v>
      </c>
      <c r="X179" s="4" t="s">
        <v>4854</v>
      </c>
      <c r="Y179" s="4" t="s">
        <v>4854</v>
      </c>
      <c r="Z179" s="4" t="s">
        <v>4854</v>
      </c>
      <c r="AA179" s="4" t="s">
        <v>4854</v>
      </c>
      <c r="AB179" s="4" t="s">
        <v>4854</v>
      </c>
      <c r="AC179" s="4" t="s">
        <v>4854</v>
      </c>
      <c r="AD179" s="4" t="s">
        <v>4854</v>
      </c>
      <c r="AE179" s="100" t="s">
        <v>4854</v>
      </c>
      <c r="AF179" s="100" t="s">
        <v>4854</v>
      </c>
      <c r="AG179" s="100" t="s">
        <v>4854</v>
      </c>
      <c r="AH179" s="100" t="s">
        <v>4854</v>
      </c>
      <c r="AI179" s="91">
        <v>3.4180000000000001</v>
      </c>
      <c r="AJ179" s="91">
        <v>3.2360000000000002</v>
      </c>
      <c r="AK179" s="100" t="s">
        <v>4854</v>
      </c>
      <c r="AL179" s="91">
        <v>3.36</v>
      </c>
      <c r="AM179" s="103" t="s">
        <v>4854</v>
      </c>
      <c r="AN179" s="103" t="s">
        <v>4854</v>
      </c>
      <c r="AO179" s="103" t="s">
        <v>4854</v>
      </c>
      <c r="AP179" s="103" t="s">
        <v>4854</v>
      </c>
      <c r="AQ179" s="95">
        <v>0.46179999999999999</v>
      </c>
      <c r="AR179" s="95">
        <v>0.42330000000000001</v>
      </c>
      <c r="AS179" s="103" t="s">
        <v>4854</v>
      </c>
      <c r="AT179" s="95">
        <v>-0.26910000000000001</v>
      </c>
      <c r="AU179" s="103" t="s">
        <v>4854</v>
      </c>
      <c r="AV179" s="103" t="s">
        <v>4854</v>
      </c>
      <c r="AW179" s="103" t="s">
        <v>4854</v>
      </c>
      <c r="AX179" s="103" t="s">
        <v>4854</v>
      </c>
      <c r="AY179" s="95">
        <v>0.251</v>
      </c>
      <c r="AZ179" s="95">
        <v>0.26600000000000001</v>
      </c>
      <c r="BA179" s="103" t="s">
        <v>4854</v>
      </c>
      <c r="BB179" s="95">
        <v>0.23799999999999999</v>
      </c>
      <c r="BC179" s="4" t="s">
        <v>4854</v>
      </c>
      <c r="BD179" s="4" t="s">
        <v>4854</v>
      </c>
      <c r="BE179" s="4" t="s">
        <v>4854</v>
      </c>
      <c r="BF179" s="4" t="s">
        <v>4854</v>
      </c>
      <c r="BG179" s="10">
        <v>1</v>
      </c>
      <c r="BH179" s="10">
        <v>1</v>
      </c>
      <c r="BI179" s="4" t="s">
        <v>4854</v>
      </c>
      <c r="BJ179" s="10">
        <v>1</v>
      </c>
      <c r="BK179" s="100" t="s">
        <v>4854</v>
      </c>
      <c r="BL179" s="100" t="s">
        <v>4854</v>
      </c>
      <c r="BM179" s="100" t="s">
        <v>4854</v>
      </c>
      <c r="BN179" s="100" t="s">
        <v>4854</v>
      </c>
      <c r="BO179" s="91">
        <v>0.90400000000000003</v>
      </c>
      <c r="BP179" s="91">
        <v>0.90600000000000003</v>
      </c>
      <c r="BQ179" s="100" t="s">
        <v>4854</v>
      </c>
      <c r="BR179" s="91">
        <v>0.88200000000000001</v>
      </c>
      <c r="BS179" s="10" t="s">
        <v>4857</v>
      </c>
    </row>
    <row r="180" spans="1:71" s="30" customFormat="1" ht="17.100000000000001" customHeight="1">
      <c r="A180" s="14">
        <v>169</v>
      </c>
      <c r="B180" s="5" t="s">
        <v>4104</v>
      </c>
      <c r="C180" s="3" t="s">
        <v>4715</v>
      </c>
      <c r="D180" s="3" t="s">
        <v>4222</v>
      </c>
      <c r="E180" s="3" t="s">
        <v>4223</v>
      </c>
      <c r="F180" s="5" t="s">
        <v>5182</v>
      </c>
      <c r="G180" s="3" t="s">
        <v>4224</v>
      </c>
      <c r="H180" s="6" t="s">
        <v>4225</v>
      </c>
      <c r="I180" s="3" t="s">
        <v>4226</v>
      </c>
      <c r="J180" s="5" t="s">
        <v>4862</v>
      </c>
      <c r="K180" s="3" t="s">
        <v>5438</v>
      </c>
      <c r="L180" s="3" t="s">
        <v>4105</v>
      </c>
      <c r="M180" s="5">
        <v>2</v>
      </c>
      <c r="N180" s="21">
        <v>911.93</v>
      </c>
      <c r="O180" s="36" t="str">
        <f>HYPERLINK("http://ms.phosphosite.org:5080/cgi-bin/plot-msms.cgi?MassType=1&amp;NumAxis=1&amp;Mod3=170&amp;Mod6=147&amp;Mod14=170&amp;Pep=ADKPDMGEIASFDKAK&amp;Dta=/var/www/html/dta/S01/10558.6466.2.dta&amp;Global_Mod=CS57.0215", "6466")</f>
        <v>6466</v>
      </c>
      <c r="P180" s="36" t="str">
        <f>HYPERLINK("http://ms.phosphosite.org:5080/cgi-bin/plot-msms.cgi?MassType=1&amp;NumAxis=1&amp;Mod3=170&amp;Mod6=147&amp;Mod14=170&amp;Pep=ADKPDMGEIASFDKAK&amp;Dta=/var/www/html/dta/S01/10559.6423.2.dta&amp;Global_Mod=CS57.0215", "6423")</f>
        <v>6423</v>
      </c>
      <c r="Q180" s="35" t="s">
        <v>4854</v>
      </c>
      <c r="R180" s="35" t="s">
        <v>4854</v>
      </c>
      <c r="S180" s="35" t="s">
        <v>4854</v>
      </c>
      <c r="T180" s="35" t="s">
        <v>4854</v>
      </c>
      <c r="U180" s="35" t="s">
        <v>4854</v>
      </c>
      <c r="V180" s="35" t="s">
        <v>4854</v>
      </c>
      <c r="W180" s="3" t="s">
        <v>4854</v>
      </c>
      <c r="X180" s="3" t="s">
        <v>4854</v>
      </c>
      <c r="Y180" s="3" t="s">
        <v>4854</v>
      </c>
      <c r="Z180" s="3" t="s">
        <v>4854</v>
      </c>
      <c r="AA180" s="3" t="s">
        <v>4854</v>
      </c>
      <c r="AB180" s="3" t="s">
        <v>4854</v>
      </c>
      <c r="AC180" s="3" t="s">
        <v>4854</v>
      </c>
      <c r="AD180" s="3" t="s">
        <v>4854</v>
      </c>
      <c r="AE180" s="90">
        <v>2.2490000000000001</v>
      </c>
      <c r="AF180" s="90">
        <v>2.1539999999999999</v>
      </c>
      <c r="AG180" s="99" t="s">
        <v>4854</v>
      </c>
      <c r="AH180" s="99" t="s">
        <v>4854</v>
      </c>
      <c r="AI180" s="99" t="s">
        <v>4854</v>
      </c>
      <c r="AJ180" s="99" t="s">
        <v>4854</v>
      </c>
      <c r="AK180" s="99" t="s">
        <v>4854</v>
      </c>
      <c r="AL180" s="99" t="s">
        <v>4854</v>
      </c>
      <c r="AM180" s="21">
        <v>0.45850000000000002</v>
      </c>
      <c r="AN180" s="21">
        <v>0.29720000000000002</v>
      </c>
      <c r="AO180" s="102" t="s">
        <v>4854</v>
      </c>
      <c r="AP180" s="102" t="s">
        <v>4854</v>
      </c>
      <c r="AQ180" s="102" t="s">
        <v>4854</v>
      </c>
      <c r="AR180" s="102" t="s">
        <v>4854</v>
      </c>
      <c r="AS180" s="102" t="s">
        <v>4854</v>
      </c>
      <c r="AT180" s="102" t="s">
        <v>4854</v>
      </c>
      <c r="AU180" s="21">
        <v>0.34599999999999997</v>
      </c>
      <c r="AV180" s="21">
        <v>0.23799999999999999</v>
      </c>
      <c r="AW180" s="102" t="s">
        <v>4854</v>
      </c>
      <c r="AX180" s="102" t="s">
        <v>4854</v>
      </c>
      <c r="AY180" s="102" t="s">
        <v>4854</v>
      </c>
      <c r="AZ180" s="102" t="s">
        <v>4854</v>
      </c>
      <c r="BA180" s="102" t="s">
        <v>4854</v>
      </c>
      <c r="BB180" s="102" t="s">
        <v>4854</v>
      </c>
      <c r="BC180" s="5">
        <v>1</v>
      </c>
      <c r="BD180" s="5">
        <v>3</v>
      </c>
      <c r="BE180" s="3" t="s">
        <v>4854</v>
      </c>
      <c r="BF180" s="3" t="s">
        <v>4854</v>
      </c>
      <c r="BG180" s="3" t="s">
        <v>4854</v>
      </c>
      <c r="BH180" s="3" t="s">
        <v>4854</v>
      </c>
      <c r="BI180" s="3" t="s">
        <v>4854</v>
      </c>
      <c r="BJ180" s="3" t="s">
        <v>4854</v>
      </c>
      <c r="BK180" s="90">
        <v>0.88900000000000001</v>
      </c>
      <c r="BL180" s="90">
        <v>0.58299999999999996</v>
      </c>
      <c r="BM180" s="99" t="s">
        <v>4854</v>
      </c>
      <c r="BN180" s="99" t="s">
        <v>4854</v>
      </c>
      <c r="BO180" s="99" t="s">
        <v>4854</v>
      </c>
      <c r="BP180" s="99" t="s">
        <v>4854</v>
      </c>
      <c r="BQ180" s="99" t="s">
        <v>4854</v>
      </c>
      <c r="BR180" s="99" t="s">
        <v>4854</v>
      </c>
      <c r="BS180" s="5" t="s">
        <v>4857</v>
      </c>
    </row>
    <row r="181" spans="1:71" s="30" customFormat="1" ht="17.100000000000001" customHeight="1">
      <c r="A181" s="10">
        <v>170</v>
      </c>
      <c r="B181" s="10" t="s">
        <v>4106</v>
      </c>
      <c r="C181" s="4" t="s">
        <v>4715</v>
      </c>
      <c r="D181" s="4" t="s">
        <v>4107</v>
      </c>
      <c r="E181" s="4" t="s">
        <v>4108</v>
      </c>
      <c r="F181" s="10" t="s">
        <v>4965</v>
      </c>
      <c r="G181" s="4" t="s">
        <v>4109</v>
      </c>
      <c r="H181" s="7" t="s">
        <v>4110</v>
      </c>
      <c r="I181" s="4" t="s">
        <v>4111</v>
      </c>
      <c r="J181" s="10" t="s">
        <v>4863</v>
      </c>
      <c r="K181" s="4" t="s">
        <v>5439</v>
      </c>
      <c r="L181" s="4" t="s">
        <v>4112</v>
      </c>
      <c r="M181" s="10">
        <v>2</v>
      </c>
      <c r="N181" s="95">
        <v>652.80560000000003</v>
      </c>
      <c r="O181" s="38" t="s">
        <v>4854</v>
      </c>
      <c r="P181" s="38" t="s">
        <v>4854</v>
      </c>
      <c r="Q181" s="38" t="s">
        <v>4854</v>
      </c>
      <c r="R181" s="38" t="s">
        <v>4854</v>
      </c>
      <c r="S181" s="38" t="s">
        <v>4854</v>
      </c>
      <c r="T181" s="37" t="str">
        <f>HYPERLINK("http://ms.phosphosite.org:5080/cgi-bin/plot-msms.cgi?MassType=1&amp;NumAxis=1&amp;Mod3=170&amp;Pep=SDKPDMAEIEK&amp;Dta=/var/www/html/dta/S01/10563.4371.2.dta&amp;Global_Mod=CS57.0215", "4371")</f>
        <v>4371</v>
      </c>
      <c r="U181" s="38" t="s">
        <v>4854</v>
      </c>
      <c r="V181" s="38" t="s">
        <v>4854</v>
      </c>
      <c r="W181" s="4" t="s">
        <v>4854</v>
      </c>
      <c r="X181" s="4" t="s">
        <v>4854</v>
      </c>
      <c r="Y181" s="4" t="s">
        <v>4854</v>
      </c>
      <c r="Z181" s="4" t="s">
        <v>4854</v>
      </c>
      <c r="AA181" s="4" t="s">
        <v>4854</v>
      </c>
      <c r="AB181" s="4" t="s">
        <v>4854</v>
      </c>
      <c r="AC181" s="4" t="s">
        <v>4854</v>
      </c>
      <c r="AD181" s="4" t="s">
        <v>4854</v>
      </c>
      <c r="AE181" s="100" t="s">
        <v>4854</v>
      </c>
      <c r="AF181" s="100" t="s">
        <v>4854</v>
      </c>
      <c r="AG181" s="100" t="s">
        <v>4854</v>
      </c>
      <c r="AH181" s="100" t="s">
        <v>4854</v>
      </c>
      <c r="AI181" s="100" t="s">
        <v>4854</v>
      </c>
      <c r="AJ181" s="91">
        <v>2.1459999999999999</v>
      </c>
      <c r="AK181" s="100" t="s">
        <v>4854</v>
      </c>
      <c r="AL181" s="100" t="s">
        <v>4854</v>
      </c>
      <c r="AM181" s="103" t="s">
        <v>4854</v>
      </c>
      <c r="AN181" s="103" t="s">
        <v>4854</v>
      </c>
      <c r="AO181" s="103" t="s">
        <v>4854</v>
      </c>
      <c r="AP181" s="103" t="s">
        <v>4854</v>
      </c>
      <c r="AQ181" s="103" t="s">
        <v>4854</v>
      </c>
      <c r="AR181" s="95">
        <v>0.1305</v>
      </c>
      <c r="AS181" s="103" t="s">
        <v>4854</v>
      </c>
      <c r="AT181" s="103" t="s">
        <v>4854</v>
      </c>
      <c r="AU181" s="103" t="s">
        <v>4854</v>
      </c>
      <c r="AV181" s="103" t="s">
        <v>4854</v>
      </c>
      <c r="AW181" s="103" t="s">
        <v>4854</v>
      </c>
      <c r="AX181" s="103" t="s">
        <v>4854</v>
      </c>
      <c r="AY181" s="103" t="s">
        <v>4854</v>
      </c>
      <c r="AZ181" s="95">
        <v>0.129</v>
      </c>
      <c r="BA181" s="103" t="s">
        <v>4854</v>
      </c>
      <c r="BB181" s="103" t="s">
        <v>4854</v>
      </c>
      <c r="BC181" s="4" t="s">
        <v>4854</v>
      </c>
      <c r="BD181" s="4" t="s">
        <v>4854</v>
      </c>
      <c r="BE181" s="4" t="s">
        <v>4854</v>
      </c>
      <c r="BF181" s="4" t="s">
        <v>4854</v>
      </c>
      <c r="BG181" s="4" t="s">
        <v>4854</v>
      </c>
      <c r="BH181" s="10">
        <v>2</v>
      </c>
      <c r="BI181" s="4" t="s">
        <v>4854</v>
      </c>
      <c r="BJ181" s="4" t="s">
        <v>4854</v>
      </c>
      <c r="BK181" s="100" t="s">
        <v>4854</v>
      </c>
      <c r="BL181" s="100" t="s">
        <v>4854</v>
      </c>
      <c r="BM181" s="100" t="s">
        <v>4854</v>
      </c>
      <c r="BN181" s="100" t="s">
        <v>4854</v>
      </c>
      <c r="BO181" s="100" t="s">
        <v>4854</v>
      </c>
      <c r="BP181" s="91">
        <v>0.77300000000000002</v>
      </c>
      <c r="BQ181" s="100" t="s">
        <v>4854</v>
      </c>
      <c r="BR181" s="100" t="s">
        <v>4854</v>
      </c>
      <c r="BS181" s="10" t="s">
        <v>4857</v>
      </c>
    </row>
    <row r="182" spans="1:71" s="30" customFormat="1" ht="17.100000000000001" customHeight="1">
      <c r="A182" s="10">
        <v>171</v>
      </c>
      <c r="B182" s="10" t="s">
        <v>4113</v>
      </c>
      <c r="C182" s="4" t="s">
        <v>4715</v>
      </c>
      <c r="D182" s="4" t="s">
        <v>4107</v>
      </c>
      <c r="E182" s="4" t="s">
        <v>4108</v>
      </c>
      <c r="F182" s="10" t="s">
        <v>4965</v>
      </c>
      <c r="G182" s="4" t="s">
        <v>4109</v>
      </c>
      <c r="H182" s="7" t="s">
        <v>4110</v>
      </c>
      <c r="I182" s="4" t="s">
        <v>4111</v>
      </c>
      <c r="J182" s="10" t="s">
        <v>4863</v>
      </c>
      <c r="K182" s="4" t="s">
        <v>5439</v>
      </c>
      <c r="L182" s="4" t="s">
        <v>4114</v>
      </c>
      <c r="M182" s="10">
        <v>3</v>
      </c>
      <c r="N182" s="95">
        <v>565.60289999999998</v>
      </c>
      <c r="O182" s="38" t="s">
        <v>4854</v>
      </c>
      <c r="P182" s="38" t="s">
        <v>4854</v>
      </c>
      <c r="Q182" s="38" t="s">
        <v>4854</v>
      </c>
      <c r="R182" s="38" t="s">
        <v>4854</v>
      </c>
      <c r="S182" s="37" t="str">
        <f>HYPERLINK("http://ms.phosphosite.org:5080/cgi-bin/plot-msms.cgi?MassType=1&amp;NumAxis=1&amp;Mod3=170&amp;Pep=SDKPDMAEIEKFDK&amp;Dta=/var/www/html/dta/S01/10562.7025.3.dta&amp;Global_Mod=CS57.0215", "7025")</f>
        <v>7025</v>
      </c>
      <c r="T182" s="38" t="s">
        <v>4854</v>
      </c>
      <c r="U182" s="38" t="s">
        <v>4854</v>
      </c>
      <c r="V182" s="38" t="s">
        <v>4854</v>
      </c>
      <c r="W182" s="4" t="s">
        <v>4854</v>
      </c>
      <c r="X182" s="4" t="s">
        <v>4854</v>
      </c>
      <c r="Y182" s="4" t="s">
        <v>4854</v>
      </c>
      <c r="Z182" s="4" t="s">
        <v>4854</v>
      </c>
      <c r="AA182" s="4" t="s">
        <v>4854</v>
      </c>
      <c r="AB182" s="4" t="s">
        <v>4854</v>
      </c>
      <c r="AC182" s="4" t="s">
        <v>4854</v>
      </c>
      <c r="AD182" s="4" t="s">
        <v>4854</v>
      </c>
      <c r="AE182" s="100" t="s">
        <v>4854</v>
      </c>
      <c r="AF182" s="100" t="s">
        <v>4854</v>
      </c>
      <c r="AG182" s="100" t="s">
        <v>4854</v>
      </c>
      <c r="AH182" s="100" t="s">
        <v>4854</v>
      </c>
      <c r="AI182" s="91">
        <v>2.952</v>
      </c>
      <c r="AJ182" s="100" t="s">
        <v>4854</v>
      </c>
      <c r="AK182" s="100" t="s">
        <v>4854</v>
      </c>
      <c r="AL182" s="100" t="s">
        <v>4854</v>
      </c>
      <c r="AM182" s="103" t="s">
        <v>4854</v>
      </c>
      <c r="AN182" s="103" t="s">
        <v>4854</v>
      </c>
      <c r="AO182" s="103" t="s">
        <v>4854</v>
      </c>
      <c r="AP182" s="103" t="s">
        <v>4854</v>
      </c>
      <c r="AQ182" s="95">
        <v>0.62439999999999996</v>
      </c>
      <c r="AR182" s="103" t="s">
        <v>4854</v>
      </c>
      <c r="AS182" s="103" t="s">
        <v>4854</v>
      </c>
      <c r="AT182" s="103" t="s">
        <v>4854</v>
      </c>
      <c r="AU182" s="103" t="s">
        <v>4854</v>
      </c>
      <c r="AV182" s="103" t="s">
        <v>4854</v>
      </c>
      <c r="AW182" s="103" t="s">
        <v>4854</v>
      </c>
      <c r="AX182" s="103" t="s">
        <v>4854</v>
      </c>
      <c r="AY182" s="95">
        <v>0.17699999999999999</v>
      </c>
      <c r="AZ182" s="103" t="s">
        <v>4854</v>
      </c>
      <c r="BA182" s="103" t="s">
        <v>4854</v>
      </c>
      <c r="BB182" s="103" t="s">
        <v>4854</v>
      </c>
      <c r="BC182" s="4" t="s">
        <v>4854</v>
      </c>
      <c r="BD182" s="4" t="s">
        <v>4854</v>
      </c>
      <c r="BE182" s="4" t="s">
        <v>4854</v>
      </c>
      <c r="BF182" s="4" t="s">
        <v>4854</v>
      </c>
      <c r="BG182" s="10">
        <v>1</v>
      </c>
      <c r="BH182" s="4" t="s">
        <v>4854</v>
      </c>
      <c r="BI182" s="4" t="s">
        <v>4854</v>
      </c>
      <c r="BJ182" s="4" t="s">
        <v>4854</v>
      </c>
      <c r="BK182" s="100" t="s">
        <v>4854</v>
      </c>
      <c r="BL182" s="100" t="s">
        <v>4854</v>
      </c>
      <c r="BM182" s="100" t="s">
        <v>4854</v>
      </c>
      <c r="BN182" s="100" t="s">
        <v>4854</v>
      </c>
      <c r="BO182" s="91">
        <v>0.69899999999999995</v>
      </c>
      <c r="BP182" s="100" t="s">
        <v>4854</v>
      </c>
      <c r="BQ182" s="100" t="s">
        <v>4854</v>
      </c>
      <c r="BR182" s="100" t="s">
        <v>4854</v>
      </c>
      <c r="BS182" s="10" t="s">
        <v>4857</v>
      </c>
    </row>
    <row r="183" spans="1:71" s="30" customFormat="1" ht="17.100000000000001" customHeight="1">
      <c r="A183" s="14">
        <v>172</v>
      </c>
      <c r="B183" s="5" t="s">
        <v>4115</v>
      </c>
      <c r="C183" s="3" t="s">
        <v>4715</v>
      </c>
      <c r="D183" s="3" t="s">
        <v>4107</v>
      </c>
      <c r="E183" s="3" t="s">
        <v>4108</v>
      </c>
      <c r="F183" s="5" t="s">
        <v>5194</v>
      </c>
      <c r="G183" s="3" t="s">
        <v>4109</v>
      </c>
      <c r="H183" s="6" t="s">
        <v>4110</v>
      </c>
      <c r="I183" s="3" t="s">
        <v>4111</v>
      </c>
      <c r="J183" s="5" t="s">
        <v>4863</v>
      </c>
      <c r="K183" s="3" t="s">
        <v>5440</v>
      </c>
      <c r="L183" s="3" t="s">
        <v>4116</v>
      </c>
      <c r="M183" s="5">
        <v>3</v>
      </c>
      <c r="N183" s="21">
        <v>651.31539999999995</v>
      </c>
      <c r="O183" s="36" t="str">
        <f>HYPERLINK("http://ms.phosphosite.org:5080/cgi-bin/plot-msms.cgi?MassType=1&amp;NumAxis=1&amp;Mod3=170&amp;Mod14=170&amp;Pep=SDKPDMAEIEKFDKSK&amp;Dta=/var/www/html/dta/S01/10558.7308.3.dta&amp;Global_Mod=CS57.0215", "7308")</f>
        <v>7308</v>
      </c>
      <c r="P183" s="35" t="s">
        <v>4854</v>
      </c>
      <c r="Q183" s="35" t="s">
        <v>4854</v>
      </c>
      <c r="R183" s="35" t="s">
        <v>4854</v>
      </c>
      <c r="S183" s="35" t="s">
        <v>4854</v>
      </c>
      <c r="T183" s="35" t="s">
        <v>4854</v>
      </c>
      <c r="U183" s="35" t="s">
        <v>4854</v>
      </c>
      <c r="V183" s="36" t="str">
        <f>HYPERLINK("http://ms.phosphosite.org:5080/cgi-bin/plot-msms.cgi?MassType=1&amp;NumAxis=1&amp;Mod3=170&amp;Mod14=170&amp;Pep=SDKPDMAEIEKFDKSK&amp;Dta=/var/www/html/dta/S01/10565.7781.3.dta&amp;Global_Mod=CS57.0215", "7781")</f>
        <v>7781</v>
      </c>
      <c r="W183" s="3" t="s">
        <v>4854</v>
      </c>
      <c r="X183" s="3" t="s">
        <v>4854</v>
      </c>
      <c r="Y183" s="3" t="s">
        <v>4854</v>
      </c>
      <c r="Z183" s="3" t="s">
        <v>4854</v>
      </c>
      <c r="AA183" s="3" t="s">
        <v>4854</v>
      </c>
      <c r="AB183" s="3" t="s">
        <v>4854</v>
      </c>
      <c r="AC183" s="3" t="s">
        <v>4854</v>
      </c>
      <c r="AD183" s="3" t="s">
        <v>4854</v>
      </c>
      <c r="AE183" s="90">
        <v>3.0459999999999998</v>
      </c>
      <c r="AF183" s="99" t="s">
        <v>4854</v>
      </c>
      <c r="AG183" s="99" t="s">
        <v>4854</v>
      </c>
      <c r="AH183" s="99" t="s">
        <v>4854</v>
      </c>
      <c r="AI183" s="99" t="s">
        <v>4854</v>
      </c>
      <c r="AJ183" s="99" t="s">
        <v>4854</v>
      </c>
      <c r="AK183" s="99" t="s">
        <v>4854</v>
      </c>
      <c r="AL183" s="90">
        <v>3.347</v>
      </c>
      <c r="AM183" s="21">
        <v>0.17069999999999999</v>
      </c>
      <c r="AN183" s="102" t="s">
        <v>4854</v>
      </c>
      <c r="AO183" s="102" t="s">
        <v>4854</v>
      </c>
      <c r="AP183" s="102" t="s">
        <v>4854</v>
      </c>
      <c r="AQ183" s="102" t="s">
        <v>4854</v>
      </c>
      <c r="AR183" s="102" t="s">
        <v>4854</v>
      </c>
      <c r="AS183" s="102" t="s">
        <v>4854</v>
      </c>
      <c r="AT183" s="21">
        <v>0.42680000000000001</v>
      </c>
      <c r="AU183" s="21">
        <v>0.26400000000000001</v>
      </c>
      <c r="AV183" s="102" t="s">
        <v>4854</v>
      </c>
      <c r="AW183" s="102" t="s">
        <v>4854</v>
      </c>
      <c r="AX183" s="102" t="s">
        <v>4854</v>
      </c>
      <c r="AY183" s="102" t="s">
        <v>4854</v>
      </c>
      <c r="AZ183" s="102" t="s">
        <v>4854</v>
      </c>
      <c r="BA183" s="102" t="s">
        <v>4854</v>
      </c>
      <c r="BB183" s="21">
        <v>0.218</v>
      </c>
      <c r="BC183" s="5">
        <v>3</v>
      </c>
      <c r="BD183" s="3" t="s">
        <v>4854</v>
      </c>
      <c r="BE183" s="3" t="s">
        <v>4854</v>
      </c>
      <c r="BF183" s="3" t="s">
        <v>4854</v>
      </c>
      <c r="BG183" s="3" t="s">
        <v>4854</v>
      </c>
      <c r="BH183" s="3" t="s">
        <v>4854</v>
      </c>
      <c r="BI183" s="3" t="s">
        <v>4854</v>
      </c>
      <c r="BJ183" s="5">
        <v>1</v>
      </c>
      <c r="BK183" s="90">
        <v>0.85299999999999998</v>
      </c>
      <c r="BL183" s="99" t="s">
        <v>4854</v>
      </c>
      <c r="BM183" s="99" t="s">
        <v>4854</v>
      </c>
      <c r="BN183" s="99" t="s">
        <v>4854</v>
      </c>
      <c r="BO183" s="99" t="s">
        <v>4854</v>
      </c>
      <c r="BP183" s="99" t="s">
        <v>4854</v>
      </c>
      <c r="BQ183" s="99" t="s">
        <v>4854</v>
      </c>
      <c r="BR183" s="90">
        <v>0.84899999999999998</v>
      </c>
      <c r="BS183" s="5" t="s">
        <v>4857</v>
      </c>
    </row>
    <row r="184" spans="1:71" s="30" customFormat="1" ht="17.100000000000001" customHeight="1">
      <c r="A184" s="10">
        <v>173</v>
      </c>
      <c r="B184" s="10" t="s">
        <v>4117</v>
      </c>
      <c r="C184" s="4" t="s">
        <v>4715</v>
      </c>
      <c r="D184" s="4" t="s">
        <v>4107</v>
      </c>
      <c r="E184" s="4" t="s">
        <v>4108</v>
      </c>
      <c r="F184" s="10" t="s">
        <v>5195</v>
      </c>
      <c r="G184" s="4" t="s">
        <v>4109</v>
      </c>
      <c r="H184" s="7" t="s">
        <v>4110</v>
      </c>
      <c r="I184" s="4" t="s">
        <v>4111</v>
      </c>
      <c r="J184" s="10" t="s">
        <v>4863</v>
      </c>
      <c r="K184" s="4" t="s">
        <v>5441</v>
      </c>
      <c r="L184" s="4" t="s">
        <v>4118</v>
      </c>
      <c r="M184" s="10">
        <v>3</v>
      </c>
      <c r="N184" s="95">
        <v>651.31539999999995</v>
      </c>
      <c r="O184" s="38" t="s">
        <v>4854</v>
      </c>
      <c r="P184" s="38" t="s">
        <v>4854</v>
      </c>
      <c r="Q184" s="38" t="s">
        <v>4854</v>
      </c>
      <c r="R184" s="38" t="s">
        <v>4854</v>
      </c>
      <c r="S184" s="38" t="s">
        <v>4854</v>
      </c>
      <c r="T184" s="38" t="s">
        <v>4854</v>
      </c>
      <c r="U184" s="37" t="str">
        <f>HYPERLINK("http://ms.phosphosite.org:5080/cgi-bin/plot-msms.cgi?MassType=1&amp;NumAxis=1&amp;Mod3=170&amp;Mod16=170&amp;Pep=SDKPDMAEIEKFDKSK&amp;Dta=/var/www/html/dta/S01/10564.7724.3.dta&amp;Global_Mod=CS57.0215", "7724")</f>
        <v>7724</v>
      </c>
      <c r="V184" s="38" t="s">
        <v>4854</v>
      </c>
      <c r="W184" s="4" t="s">
        <v>4854</v>
      </c>
      <c r="X184" s="4" t="s">
        <v>4854</v>
      </c>
      <c r="Y184" s="4" t="s">
        <v>4854</v>
      </c>
      <c r="Z184" s="4" t="s">
        <v>4854</v>
      </c>
      <c r="AA184" s="4" t="s">
        <v>4854</v>
      </c>
      <c r="AB184" s="4" t="s">
        <v>4854</v>
      </c>
      <c r="AC184" s="4" t="s">
        <v>4854</v>
      </c>
      <c r="AD184" s="4" t="s">
        <v>4854</v>
      </c>
      <c r="AE184" s="100" t="s">
        <v>4854</v>
      </c>
      <c r="AF184" s="100" t="s">
        <v>4854</v>
      </c>
      <c r="AG184" s="100" t="s">
        <v>4854</v>
      </c>
      <c r="AH184" s="100" t="s">
        <v>4854</v>
      </c>
      <c r="AI184" s="100" t="s">
        <v>4854</v>
      </c>
      <c r="AJ184" s="100" t="s">
        <v>4854</v>
      </c>
      <c r="AK184" s="91">
        <v>3.3340000000000001</v>
      </c>
      <c r="AL184" s="100" t="s">
        <v>4854</v>
      </c>
      <c r="AM184" s="103" t="s">
        <v>4854</v>
      </c>
      <c r="AN184" s="103" t="s">
        <v>4854</v>
      </c>
      <c r="AO184" s="103" t="s">
        <v>4854</v>
      </c>
      <c r="AP184" s="103" t="s">
        <v>4854</v>
      </c>
      <c r="AQ184" s="103" t="s">
        <v>4854</v>
      </c>
      <c r="AR184" s="103" t="s">
        <v>4854</v>
      </c>
      <c r="AS184" s="95">
        <v>0.32540000000000002</v>
      </c>
      <c r="AT184" s="103" t="s">
        <v>4854</v>
      </c>
      <c r="AU184" s="103" t="s">
        <v>4854</v>
      </c>
      <c r="AV184" s="103" t="s">
        <v>4854</v>
      </c>
      <c r="AW184" s="103" t="s">
        <v>4854</v>
      </c>
      <c r="AX184" s="103" t="s">
        <v>4854</v>
      </c>
      <c r="AY184" s="103" t="s">
        <v>4854</v>
      </c>
      <c r="AZ184" s="103" t="s">
        <v>4854</v>
      </c>
      <c r="BA184" s="95">
        <v>0.20599999999999999</v>
      </c>
      <c r="BB184" s="103" t="s">
        <v>4854</v>
      </c>
      <c r="BC184" s="4" t="s">
        <v>4854</v>
      </c>
      <c r="BD184" s="4" t="s">
        <v>4854</v>
      </c>
      <c r="BE184" s="4" t="s">
        <v>4854</v>
      </c>
      <c r="BF184" s="4" t="s">
        <v>4854</v>
      </c>
      <c r="BG184" s="4" t="s">
        <v>4854</v>
      </c>
      <c r="BH184" s="4" t="s">
        <v>4854</v>
      </c>
      <c r="BI184" s="10">
        <v>6</v>
      </c>
      <c r="BJ184" s="4" t="s">
        <v>4854</v>
      </c>
      <c r="BK184" s="100" t="s">
        <v>4854</v>
      </c>
      <c r="BL184" s="100" t="s">
        <v>4854</v>
      </c>
      <c r="BM184" s="100" t="s">
        <v>4854</v>
      </c>
      <c r="BN184" s="100" t="s">
        <v>4854</v>
      </c>
      <c r="BO184" s="100" t="s">
        <v>4854</v>
      </c>
      <c r="BP184" s="100" t="s">
        <v>4854</v>
      </c>
      <c r="BQ184" s="91">
        <v>0.746</v>
      </c>
      <c r="BR184" s="100" t="s">
        <v>4854</v>
      </c>
      <c r="BS184" s="10" t="s">
        <v>4857</v>
      </c>
    </row>
    <row r="185" spans="1:71" s="30" customFormat="1" ht="17.100000000000001" customHeight="1">
      <c r="A185" s="14">
        <v>174</v>
      </c>
      <c r="B185" s="5" t="s">
        <v>4835</v>
      </c>
      <c r="C185" s="3" t="s">
        <v>4715</v>
      </c>
      <c r="D185" s="3" t="s">
        <v>4119</v>
      </c>
      <c r="E185" s="6" t="s">
        <v>4120</v>
      </c>
      <c r="F185" s="5" t="s">
        <v>5319</v>
      </c>
      <c r="G185" s="3" t="s">
        <v>4121</v>
      </c>
      <c r="H185" s="6" t="s">
        <v>4122</v>
      </c>
      <c r="I185" s="3" t="s">
        <v>4123</v>
      </c>
      <c r="J185" s="5" t="s">
        <v>4124</v>
      </c>
      <c r="K185" s="3" t="s">
        <v>5442</v>
      </c>
      <c r="L185" s="3" t="s">
        <v>4125</v>
      </c>
      <c r="M185" s="5">
        <v>3</v>
      </c>
      <c r="N185" s="21">
        <v>628.67899999999997</v>
      </c>
      <c r="O185" s="36" t="str">
        <f>HYPERLINK("http://ms.phosphosite.org:5080/cgi-bin/plot-msms.cgi?MassType=1&amp;NumAxis=1&amp;Mod7=170&amp;Pep=GHYTIGKEIIDLVLDR&amp;Dta=/var/www/html/dta/S01/10558.14546.3.dta&amp;Global_Mod=CS57.0215", "14546")</f>
        <v>14546</v>
      </c>
      <c r="P185" s="35" t="s">
        <v>4854</v>
      </c>
      <c r="Q185" s="35" t="s">
        <v>4854</v>
      </c>
      <c r="R185" s="36" t="str">
        <f>HYPERLINK("http://ms.phosphosite.org:5080/cgi-bin/plot-msms.cgi?MassType=1&amp;NumAxis=1&amp;Mod7=170&amp;Pep=GHYTIGKEIIDLVLDR&amp;Dta=/var/www/html/dta/S01/10561.14595.3.dta&amp;Global_Mod=CS57.0215", "14595")</f>
        <v>14595</v>
      </c>
      <c r="S185" s="35" t="s">
        <v>4854</v>
      </c>
      <c r="T185" s="35" t="s">
        <v>4854</v>
      </c>
      <c r="U185" s="35" t="s">
        <v>4854</v>
      </c>
      <c r="V185" s="36" t="str">
        <f>HYPERLINK("http://ms.phosphosite.org:5080/cgi-bin/plot-msms.cgi?MassType=1&amp;NumAxis=1&amp;Mod7=170&amp;Pep=GHYTIGKEIIDLVLDR&amp;Dta=/var/www/html/dta/S01/10565.15353.3.dta&amp;Global_Mod=CS57.0215", "15353")</f>
        <v>15353</v>
      </c>
      <c r="W185" s="3" t="s">
        <v>4854</v>
      </c>
      <c r="X185" s="3" t="s">
        <v>4854</v>
      </c>
      <c r="Y185" s="3" t="s">
        <v>4854</v>
      </c>
      <c r="Z185" s="5">
        <v>14624</v>
      </c>
      <c r="AA185" s="3" t="s">
        <v>4854</v>
      </c>
      <c r="AB185" s="3" t="s">
        <v>4854</v>
      </c>
      <c r="AC185" s="3" t="s">
        <v>4854</v>
      </c>
      <c r="AD185" s="5">
        <v>15374</v>
      </c>
      <c r="AE185" s="90">
        <v>2.1589999999999998</v>
      </c>
      <c r="AF185" s="99" t="s">
        <v>4854</v>
      </c>
      <c r="AG185" s="99" t="s">
        <v>4854</v>
      </c>
      <c r="AH185" s="90">
        <v>2.4169999999999998</v>
      </c>
      <c r="AI185" s="99" t="s">
        <v>4854</v>
      </c>
      <c r="AJ185" s="99" t="s">
        <v>4854</v>
      </c>
      <c r="AK185" s="99" t="s">
        <v>4854</v>
      </c>
      <c r="AL185" s="90">
        <v>3.2549999999999999</v>
      </c>
      <c r="AM185" s="21">
        <v>0.51270000000000004</v>
      </c>
      <c r="AN185" s="102" t="s">
        <v>4854</v>
      </c>
      <c r="AO185" s="102" t="s">
        <v>4854</v>
      </c>
      <c r="AP185" s="21">
        <v>0.84489999999999998</v>
      </c>
      <c r="AQ185" s="102" t="s">
        <v>4854</v>
      </c>
      <c r="AR185" s="102" t="s">
        <v>4854</v>
      </c>
      <c r="AS185" s="102" t="s">
        <v>4854</v>
      </c>
      <c r="AT185" s="21">
        <v>0.38</v>
      </c>
      <c r="AU185" s="21">
        <v>6.5000000000000002E-2</v>
      </c>
      <c r="AV185" s="102" t="s">
        <v>4854</v>
      </c>
      <c r="AW185" s="102" t="s">
        <v>4854</v>
      </c>
      <c r="AX185" s="21">
        <v>0.115</v>
      </c>
      <c r="AY185" s="102" t="s">
        <v>4854</v>
      </c>
      <c r="AZ185" s="102" t="s">
        <v>4854</v>
      </c>
      <c r="BA185" s="102" t="s">
        <v>4854</v>
      </c>
      <c r="BB185" s="21">
        <v>0.10299999999999999</v>
      </c>
      <c r="BC185" s="5">
        <v>16</v>
      </c>
      <c r="BD185" s="3" t="s">
        <v>4854</v>
      </c>
      <c r="BE185" s="3" t="s">
        <v>4854</v>
      </c>
      <c r="BF185" s="5">
        <v>4</v>
      </c>
      <c r="BG185" s="3" t="s">
        <v>4854</v>
      </c>
      <c r="BH185" s="3" t="s">
        <v>4854</v>
      </c>
      <c r="BI185" s="3" t="s">
        <v>4854</v>
      </c>
      <c r="BJ185" s="5">
        <v>4</v>
      </c>
      <c r="BK185" s="90">
        <v>0.93300000000000005</v>
      </c>
      <c r="BL185" s="99" t="s">
        <v>4854</v>
      </c>
      <c r="BM185" s="99" t="s">
        <v>4854</v>
      </c>
      <c r="BN185" s="90">
        <v>0.98399999999999999</v>
      </c>
      <c r="BO185" s="99" t="s">
        <v>4854</v>
      </c>
      <c r="BP185" s="99" t="s">
        <v>4854</v>
      </c>
      <c r="BQ185" s="99" t="s">
        <v>4854</v>
      </c>
      <c r="BR185" s="90">
        <v>0.99299999999999999</v>
      </c>
      <c r="BS185" s="5" t="s">
        <v>4857</v>
      </c>
    </row>
    <row r="186" spans="1:71" s="30" customFormat="1" ht="17.100000000000001" customHeight="1">
      <c r="A186" s="10">
        <v>175</v>
      </c>
      <c r="B186" s="10" t="s">
        <v>4126</v>
      </c>
      <c r="C186" s="4" t="s">
        <v>4715</v>
      </c>
      <c r="D186" s="4" t="s">
        <v>4127</v>
      </c>
      <c r="E186" s="7" t="s">
        <v>4128</v>
      </c>
      <c r="F186" s="10" t="s">
        <v>5113</v>
      </c>
      <c r="G186" s="4" t="s">
        <v>4121</v>
      </c>
      <c r="H186" s="7" t="s">
        <v>4129</v>
      </c>
      <c r="I186" s="4" t="s">
        <v>4123</v>
      </c>
      <c r="J186" s="10" t="s">
        <v>4381</v>
      </c>
      <c r="K186" s="4" t="s">
        <v>5443</v>
      </c>
      <c r="L186" s="4" t="s">
        <v>4130</v>
      </c>
      <c r="M186" s="10">
        <v>2</v>
      </c>
      <c r="N186" s="95">
        <v>826.96450000000004</v>
      </c>
      <c r="O186" s="37" t="str">
        <f>HYPERLINK("http://ms.phosphosite.org:5080/cgi-bin/plot-msms.cgi?MassType=1&amp;NumAxis=1&amp;Mod6=170&amp;Pep=GDVVPKDVNAAIATIK&amp;Dta=/var/www/html/dta/S01/10558.9980.2.dta&amp;Global_Mod=CS57.0215", "9980")</f>
        <v>9980</v>
      </c>
      <c r="P186" s="37" t="str">
        <f>HYPERLINK("http://ms.phosphosite.org:5080/cgi-bin/plot-msms.cgi?MassType=1&amp;NumAxis=1&amp;Mod6=170&amp;Pep=GDVVPKDVNAAIATIK&amp;Dta=/var/www/html/dta/S01/10559.10061.2.dta&amp;Global_Mod=CS57.0215", "10061")</f>
        <v>10061</v>
      </c>
      <c r="Q186" s="37" t="str">
        <f>HYPERLINK("http://ms.phosphosite.org:5080/cgi-bin/plot-msms.cgi?MassType=1&amp;NumAxis=1&amp;Mod6=170&amp;Pep=GDVVPKDVNAAIATIK&amp;Dta=/var/www/html/dta/S01/10560.10011.2.dta&amp;Global_Mod=CS57.0215", "10011")</f>
        <v>10011</v>
      </c>
      <c r="R186" s="37" t="str">
        <f>HYPERLINK("http://ms.phosphosite.org:5080/cgi-bin/plot-msms.cgi?MassType=1&amp;NumAxis=1&amp;Mod6=170&amp;Pep=GDVVPKDVNAAIATIK&amp;Dta=/var/www/html/dta/S01/10561.10006.2.dta&amp;Global_Mod=CS57.0215", "10006")</f>
        <v>10006</v>
      </c>
      <c r="S186" s="37" t="str">
        <f>HYPERLINK("http://ms.phosphosite.org:5080/cgi-bin/plot-msms.cgi?MassType=1&amp;NumAxis=1&amp;Mod6=170&amp;Pep=GDVVPKDVNAAIATIK&amp;Dta=/var/www/html/dta/S01/10562.10176.2.dta&amp;Global_Mod=CS57.0215", "10176")</f>
        <v>10176</v>
      </c>
      <c r="T186" s="37" t="str">
        <f>HYPERLINK("http://ms.phosphosite.org:5080/cgi-bin/plot-msms.cgi?MassType=1&amp;NumAxis=1&amp;Mod6=170&amp;Pep=GDVVPKDVNAAIATIK&amp;Dta=/var/www/html/dta/S01/10563.10121.2.dta&amp;Global_Mod=CS57.0215", "10121")</f>
        <v>10121</v>
      </c>
      <c r="U186" s="37" t="str">
        <f>HYPERLINK("http://ms.phosphosite.org:5080/cgi-bin/plot-msms.cgi?MassType=1&amp;NumAxis=1&amp;Mod6=170&amp;Pep=GDVVPKDVNAAIATIK&amp;Dta=/var/www/html/dta/S01/10564.10706.2.dta&amp;Global_Mod=CS57.0215", "10706")</f>
        <v>10706</v>
      </c>
      <c r="V186" s="37" t="str">
        <f>HYPERLINK("http://ms.phosphosite.org:5080/cgi-bin/plot-msms.cgi?MassType=1&amp;NumAxis=1&amp;Mod6=170&amp;Pep=GDVVPKDVNAAIATIK&amp;Dta=/var/www/html/dta/S01/10565.10653.2.dta&amp;Global_Mod=CS57.0215", "10653")</f>
        <v>10653</v>
      </c>
      <c r="W186" s="4" t="s">
        <v>4854</v>
      </c>
      <c r="X186" s="10">
        <v>10058</v>
      </c>
      <c r="Y186" s="4" t="s">
        <v>4854</v>
      </c>
      <c r="Z186" s="10">
        <v>10066</v>
      </c>
      <c r="AA186" s="4" t="s">
        <v>4854</v>
      </c>
      <c r="AB186" s="10">
        <v>10215</v>
      </c>
      <c r="AC186" s="10">
        <v>10687</v>
      </c>
      <c r="AD186" s="10">
        <v>10640</v>
      </c>
      <c r="AE186" s="91">
        <v>1.978</v>
      </c>
      <c r="AF186" s="91">
        <v>2.8839999999999999</v>
      </c>
      <c r="AG186" s="91">
        <v>1.837</v>
      </c>
      <c r="AH186" s="91">
        <v>2.0310000000000001</v>
      </c>
      <c r="AI186" s="91">
        <v>1.758</v>
      </c>
      <c r="AJ186" s="91">
        <v>2.0430000000000001</v>
      </c>
      <c r="AK186" s="91">
        <v>2.145</v>
      </c>
      <c r="AL186" s="91">
        <v>2.1949999999999998</v>
      </c>
      <c r="AM186" s="95">
        <v>0.57750000000000001</v>
      </c>
      <c r="AN186" s="95">
        <v>0.78739999999999999</v>
      </c>
      <c r="AO186" s="95">
        <v>0.71719999999999995</v>
      </c>
      <c r="AP186" s="95">
        <v>0.71660000000000001</v>
      </c>
      <c r="AQ186" s="95">
        <v>0.44440000000000002</v>
      </c>
      <c r="AR186" s="95">
        <v>0.79590000000000005</v>
      </c>
      <c r="AS186" s="95">
        <v>0.58840000000000003</v>
      </c>
      <c r="AT186" s="95">
        <v>0.32100000000000001</v>
      </c>
      <c r="AU186" s="95">
        <v>5.8000000000000003E-2</v>
      </c>
      <c r="AV186" s="95">
        <v>0.29599999999999999</v>
      </c>
      <c r="AW186" s="95">
        <v>0.01</v>
      </c>
      <c r="AX186" s="95">
        <v>0.20799999999999999</v>
      </c>
      <c r="AY186" s="95">
        <v>0.114</v>
      </c>
      <c r="AZ186" s="95">
        <v>0.27900000000000003</v>
      </c>
      <c r="BA186" s="95">
        <v>0.20300000000000001</v>
      </c>
      <c r="BB186" s="95">
        <v>0.154</v>
      </c>
      <c r="BC186" s="10">
        <v>7</v>
      </c>
      <c r="BD186" s="10">
        <v>2</v>
      </c>
      <c r="BE186" s="10">
        <v>887</v>
      </c>
      <c r="BF186" s="10">
        <v>59</v>
      </c>
      <c r="BG186" s="10">
        <v>33</v>
      </c>
      <c r="BH186" s="10">
        <v>3</v>
      </c>
      <c r="BI186" s="10">
        <v>1</v>
      </c>
      <c r="BJ186" s="10">
        <v>8</v>
      </c>
      <c r="BK186" s="91">
        <v>0.91</v>
      </c>
      <c r="BL186" s="91">
        <v>0.999</v>
      </c>
      <c r="BM186" s="91">
        <v>0.51100000000000001</v>
      </c>
      <c r="BN186" s="91">
        <v>0.97199999999999998</v>
      </c>
      <c r="BO186" s="91">
        <v>0.876</v>
      </c>
      <c r="BP186" s="91">
        <v>0.996</v>
      </c>
      <c r="BQ186" s="91">
        <v>0.99399999999999999</v>
      </c>
      <c r="BR186" s="91">
        <v>0.98</v>
      </c>
      <c r="BS186" s="10" t="s">
        <v>4857</v>
      </c>
    </row>
    <row r="187" spans="1:71" s="30" customFormat="1" ht="17.100000000000001" customHeight="1">
      <c r="A187" s="10">
        <v>176</v>
      </c>
      <c r="B187" s="10" t="s">
        <v>4131</v>
      </c>
      <c r="C187" s="4" t="s">
        <v>4715</v>
      </c>
      <c r="D187" s="4" t="s">
        <v>4127</v>
      </c>
      <c r="E187" s="7" t="s">
        <v>4128</v>
      </c>
      <c r="F187" s="10" t="s">
        <v>5113</v>
      </c>
      <c r="G187" s="4" t="s">
        <v>4121</v>
      </c>
      <c r="H187" s="7" t="s">
        <v>4129</v>
      </c>
      <c r="I187" s="4" t="s">
        <v>4123</v>
      </c>
      <c r="J187" s="10" t="s">
        <v>4381</v>
      </c>
      <c r="K187" s="4" t="s">
        <v>5443</v>
      </c>
      <c r="L187" s="4" t="s">
        <v>4130</v>
      </c>
      <c r="M187" s="10">
        <v>2</v>
      </c>
      <c r="N187" s="95">
        <v>826.96450000000004</v>
      </c>
      <c r="O187" s="38" t="s">
        <v>4854</v>
      </c>
      <c r="P187" s="38" t="s">
        <v>4854</v>
      </c>
      <c r="Q187" s="38" t="s">
        <v>4854</v>
      </c>
      <c r="R187" s="37" t="str">
        <f>HYPERLINK("http://ms.phosphosite.org:5080/cgi-bin/plot-msms.cgi?MassType=1&amp;NumAxis=1&amp;Mod6=170&amp;Pep=GDVVPKDVNAAIATIK&amp;Dta=/var/www/html/dta/S01/10561.10057.2.dta&amp;Global_Mod=CS57.0215", "10057")</f>
        <v>10057</v>
      </c>
      <c r="S187" s="38" t="s">
        <v>4854</v>
      </c>
      <c r="T187" s="38" t="s">
        <v>4854</v>
      </c>
      <c r="U187" s="38" t="s">
        <v>4854</v>
      </c>
      <c r="V187" s="37" t="str">
        <f>HYPERLINK("http://ms.phosphosite.org:5080/cgi-bin/plot-msms.cgi?MassType=1&amp;NumAxis=1&amp;Mod6=170&amp;Pep=GDVVPKDVNAAIATIK&amp;Dta=/var/www/html/dta/S01/10565.10582.2.dta&amp;Global_Mod=CS57.0215", "10582")</f>
        <v>10582</v>
      </c>
      <c r="W187" s="4" t="s">
        <v>4854</v>
      </c>
      <c r="X187" s="4" t="s">
        <v>4854</v>
      </c>
      <c r="Y187" s="4" t="s">
        <v>4854</v>
      </c>
      <c r="Z187" s="4" t="s">
        <v>4854</v>
      </c>
      <c r="AA187" s="4" t="s">
        <v>4854</v>
      </c>
      <c r="AB187" s="4" t="s">
        <v>4854</v>
      </c>
      <c r="AC187" s="4" t="s">
        <v>4854</v>
      </c>
      <c r="AD187" s="4" t="s">
        <v>4854</v>
      </c>
      <c r="AE187" s="100" t="s">
        <v>4854</v>
      </c>
      <c r="AF187" s="100" t="s">
        <v>4854</v>
      </c>
      <c r="AG187" s="100" t="s">
        <v>4854</v>
      </c>
      <c r="AH187" s="91">
        <v>2.0550000000000002</v>
      </c>
      <c r="AI187" s="100" t="s">
        <v>4854</v>
      </c>
      <c r="AJ187" s="100" t="s">
        <v>4854</v>
      </c>
      <c r="AK187" s="100" t="s">
        <v>4854</v>
      </c>
      <c r="AL187" s="91">
        <v>2.2480000000000002</v>
      </c>
      <c r="AM187" s="103" t="s">
        <v>4854</v>
      </c>
      <c r="AN187" s="103" t="s">
        <v>4854</v>
      </c>
      <c r="AO187" s="103" t="s">
        <v>4854</v>
      </c>
      <c r="AP187" s="95">
        <v>0.71540000000000004</v>
      </c>
      <c r="AQ187" s="103" t="s">
        <v>4854</v>
      </c>
      <c r="AR187" s="103" t="s">
        <v>4854</v>
      </c>
      <c r="AS187" s="103" t="s">
        <v>4854</v>
      </c>
      <c r="AT187" s="95">
        <v>0.32879999999999998</v>
      </c>
      <c r="AU187" s="103" t="s">
        <v>4854</v>
      </c>
      <c r="AV187" s="103" t="s">
        <v>4854</v>
      </c>
      <c r="AW187" s="103" t="s">
        <v>4854</v>
      </c>
      <c r="AX187" s="95">
        <v>5.8000000000000003E-2</v>
      </c>
      <c r="AY187" s="103" t="s">
        <v>4854</v>
      </c>
      <c r="AZ187" s="103" t="s">
        <v>4854</v>
      </c>
      <c r="BA187" s="103" t="s">
        <v>4854</v>
      </c>
      <c r="BB187" s="95">
        <v>0.16900000000000001</v>
      </c>
      <c r="BC187" s="4" t="s">
        <v>4854</v>
      </c>
      <c r="BD187" s="4" t="s">
        <v>4854</v>
      </c>
      <c r="BE187" s="4" t="s">
        <v>4854</v>
      </c>
      <c r="BF187" s="10">
        <v>24</v>
      </c>
      <c r="BG187" s="4" t="s">
        <v>4854</v>
      </c>
      <c r="BH187" s="4" t="s">
        <v>4854</v>
      </c>
      <c r="BI187" s="4" t="s">
        <v>4854</v>
      </c>
      <c r="BJ187" s="10">
        <v>506</v>
      </c>
      <c r="BK187" s="100" t="s">
        <v>4854</v>
      </c>
      <c r="BL187" s="100" t="s">
        <v>4854</v>
      </c>
      <c r="BM187" s="100" t="s">
        <v>4854</v>
      </c>
      <c r="BN187" s="91">
        <v>0.88900000000000001</v>
      </c>
      <c r="BO187" s="100" t="s">
        <v>4854</v>
      </c>
      <c r="BP187" s="100" t="s">
        <v>4854</v>
      </c>
      <c r="BQ187" s="100" t="s">
        <v>4854</v>
      </c>
      <c r="BR187" s="91">
        <v>0.94399999999999995</v>
      </c>
      <c r="BS187" s="10" t="s">
        <v>4857</v>
      </c>
    </row>
    <row r="188" spans="1:71" s="30" customFormat="1" ht="17.100000000000001" customHeight="1">
      <c r="A188" s="10">
        <v>177</v>
      </c>
      <c r="B188" s="10" t="s">
        <v>4132</v>
      </c>
      <c r="C188" s="4" t="s">
        <v>4715</v>
      </c>
      <c r="D188" s="4" t="s">
        <v>4127</v>
      </c>
      <c r="E188" s="7" t="s">
        <v>4128</v>
      </c>
      <c r="F188" s="10" t="s">
        <v>5113</v>
      </c>
      <c r="G188" s="4" t="s">
        <v>4121</v>
      </c>
      <c r="H188" s="7" t="s">
        <v>4129</v>
      </c>
      <c r="I188" s="4" t="s">
        <v>4123</v>
      </c>
      <c r="J188" s="10" t="s">
        <v>4381</v>
      </c>
      <c r="K188" s="4" t="s">
        <v>5443</v>
      </c>
      <c r="L188" s="4" t="s">
        <v>4130</v>
      </c>
      <c r="M188" s="10">
        <v>3</v>
      </c>
      <c r="N188" s="95">
        <v>551.6454</v>
      </c>
      <c r="O188" s="38" t="s">
        <v>4854</v>
      </c>
      <c r="P188" s="38" t="s">
        <v>4854</v>
      </c>
      <c r="Q188" s="38" t="s">
        <v>4854</v>
      </c>
      <c r="R188" s="37" t="str">
        <f>HYPERLINK("http://ms.phosphosite.org:5080/cgi-bin/plot-msms.cgi?MassType=1&amp;NumAxis=1&amp;Mod6=170&amp;Pep=GDVVPKDVNAAIATIK&amp;Dta=/var/www/html/dta/S01/10561.10094.3.dta&amp;Global_Mod=CS57.0215", "10094")</f>
        <v>10094</v>
      </c>
      <c r="S188" s="37" t="str">
        <f>HYPERLINK("http://ms.phosphosite.org:5080/cgi-bin/plot-msms.cgi?MassType=1&amp;NumAxis=1&amp;Mod6=170&amp;Pep=GDVVPKDVNAAIATIK&amp;Dta=/var/www/html/dta/S01/10562.10227.3.dta&amp;Global_Mod=CS57.0215", "10227")</f>
        <v>10227</v>
      </c>
      <c r="T188" s="37" t="str">
        <f>HYPERLINK("http://ms.phosphosite.org:5080/cgi-bin/plot-msms.cgi?MassType=1&amp;NumAxis=1&amp;Mod6=170&amp;Pep=GDVVPKDVNAAIATIK&amp;Dta=/var/www/html/dta/S01/10563.10184.3.dta&amp;Global_Mod=CS57.0215", "10184")</f>
        <v>10184</v>
      </c>
      <c r="U188" s="38" t="s">
        <v>4854</v>
      </c>
      <c r="V188" s="38" t="s">
        <v>4854</v>
      </c>
      <c r="W188" s="4" t="s">
        <v>4854</v>
      </c>
      <c r="X188" s="4" t="s">
        <v>4854</v>
      </c>
      <c r="Y188" s="4" t="s">
        <v>4854</v>
      </c>
      <c r="Z188" s="10">
        <v>10066</v>
      </c>
      <c r="AA188" s="10">
        <v>10268</v>
      </c>
      <c r="AB188" s="10">
        <v>10215</v>
      </c>
      <c r="AC188" s="4" t="s">
        <v>4854</v>
      </c>
      <c r="AD188" s="4" t="s">
        <v>4854</v>
      </c>
      <c r="AE188" s="100" t="s">
        <v>4854</v>
      </c>
      <c r="AF188" s="100" t="s">
        <v>4854</v>
      </c>
      <c r="AG188" s="100" t="s">
        <v>4854</v>
      </c>
      <c r="AH188" s="91">
        <v>2.0720000000000001</v>
      </c>
      <c r="AI188" s="91">
        <v>2.0739999999999998</v>
      </c>
      <c r="AJ188" s="91">
        <v>2.294</v>
      </c>
      <c r="AK188" s="100" t="s">
        <v>4854</v>
      </c>
      <c r="AL188" s="100" t="s">
        <v>4854</v>
      </c>
      <c r="AM188" s="103" t="s">
        <v>4854</v>
      </c>
      <c r="AN188" s="103" t="s">
        <v>4854</v>
      </c>
      <c r="AO188" s="103" t="s">
        <v>4854</v>
      </c>
      <c r="AP188" s="95">
        <v>0.59499999999999997</v>
      </c>
      <c r="AQ188" s="95">
        <v>0.55510000000000004</v>
      </c>
      <c r="AR188" s="95">
        <v>0.65969999999999995</v>
      </c>
      <c r="AS188" s="103" t="s">
        <v>4854</v>
      </c>
      <c r="AT188" s="103" t="s">
        <v>4854</v>
      </c>
      <c r="AU188" s="103" t="s">
        <v>4854</v>
      </c>
      <c r="AV188" s="103" t="s">
        <v>4854</v>
      </c>
      <c r="AW188" s="103" t="s">
        <v>4854</v>
      </c>
      <c r="AX188" s="95">
        <v>0.252</v>
      </c>
      <c r="AY188" s="95">
        <v>6.8000000000000005E-2</v>
      </c>
      <c r="AZ188" s="95">
        <v>8.4000000000000005E-2</v>
      </c>
      <c r="BA188" s="103" t="s">
        <v>4854</v>
      </c>
      <c r="BB188" s="103" t="s">
        <v>4854</v>
      </c>
      <c r="BC188" s="4" t="s">
        <v>4854</v>
      </c>
      <c r="BD188" s="4" t="s">
        <v>4854</v>
      </c>
      <c r="BE188" s="4" t="s">
        <v>4854</v>
      </c>
      <c r="BF188" s="10">
        <v>1</v>
      </c>
      <c r="BG188" s="10">
        <v>3</v>
      </c>
      <c r="BH188" s="10">
        <v>4</v>
      </c>
      <c r="BI188" s="4" t="s">
        <v>4854</v>
      </c>
      <c r="BJ188" s="4" t="s">
        <v>4854</v>
      </c>
      <c r="BK188" s="100" t="s">
        <v>4854</v>
      </c>
      <c r="BL188" s="100" t="s">
        <v>4854</v>
      </c>
      <c r="BM188" s="100" t="s">
        <v>4854</v>
      </c>
      <c r="BN188" s="91">
        <v>0.997</v>
      </c>
      <c r="BO188" s="91">
        <v>0.95099999999999996</v>
      </c>
      <c r="BP188" s="91">
        <v>0.97</v>
      </c>
      <c r="BQ188" s="100" t="s">
        <v>4854</v>
      </c>
      <c r="BR188" s="100" t="s">
        <v>4854</v>
      </c>
      <c r="BS188" s="10" t="s">
        <v>4857</v>
      </c>
    </row>
    <row r="189" spans="1:71" s="30" customFormat="1" ht="17.100000000000001" customHeight="1">
      <c r="A189" s="14">
        <v>178</v>
      </c>
      <c r="B189" s="5" t="s">
        <v>4133</v>
      </c>
      <c r="C189" s="3" t="s">
        <v>4715</v>
      </c>
      <c r="D189" s="3" t="s">
        <v>4127</v>
      </c>
      <c r="E189" s="6" t="s">
        <v>4128</v>
      </c>
      <c r="F189" s="8" t="s">
        <v>5004</v>
      </c>
      <c r="G189" s="3" t="s">
        <v>4121</v>
      </c>
      <c r="H189" s="6" t="s">
        <v>4129</v>
      </c>
      <c r="I189" s="3" t="s">
        <v>4123</v>
      </c>
      <c r="J189" s="5" t="s">
        <v>4381</v>
      </c>
      <c r="K189" s="3" t="s">
        <v>5444</v>
      </c>
      <c r="L189" s="3" t="s">
        <v>4134</v>
      </c>
      <c r="M189" s="5">
        <v>4</v>
      </c>
      <c r="N189" s="21">
        <v>965.42690000000005</v>
      </c>
      <c r="O189" s="36" t="str">
        <f>HYPERLINK("http://ms.phosphosite.org:5080/cgi-bin/plot-msms.cgi?MassType=1&amp;NumAxis=1&amp;Mod1=160&amp;Mod12=147&amp;Mod16=170&amp;Pep=CLEHGIQPDGQMPSDKTIGGGDDSFNTFFSETGAGK&amp;Dta=/var/www/html/dta/S01/10558.10269.4.dta&amp;Global_Mod=CS57.0215", "10269")</f>
        <v>10269</v>
      </c>
      <c r="P189" s="36" t="str">
        <f>HYPERLINK("http://ms.phosphosite.org:5080/cgi-bin/plot-msms.cgi?MassType=1&amp;NumAxis=1&amp;Mod1=160&amp;Mod12=147&amp;Mod16=170&amp;Pep=CLEHGIQPDGQMPSDKTIGGGDDSFNTFFSETGAGK&amp;Dta=/var/www/html/dta/S01/10559.10239.4.dta&amp;Global_Mod=CS57.0215", "10239")</f>
        <v>10239</v>
      </c>
      <c r="Q189" s="36" t="str">
        <f>HYPERLINK("http://ms.phosphosite.org:5080/cgi-bin/plot-msms.cgi?MassType=1&amp;NumAxis=1&amp;Mod1=160&amp;Mod12=147&amp;Mod16=170&amp;Pep=CLEHGIQPDGQMPSDKTIGGGDDSFNTFFSETGAGK&amp;Dta=/var/www/html/dta/S01/10560.10276.4.dta&amp;Global_Mod=CS57.0215", "10276")</f>
        <v>10276</v>
      </c>
      <c r="R189" s="36" t="str">
        <f>HYPERLINK("http://ms.phosphosite.org:5080/cgi-bin/plot-msms.cgi?MassType=1&amp;NumAxis=1&amp;Mod1=160&amp;Mod12=147&amp;Mod16=170&amp;Pep=CLEHGIQPDGQMPSDKTIGGGDDSFNTFFSETGAGK&amp;Dta=/var/www/html/dta/S01/10561.10273.4.dta&amp;Global_Mod=CS57.0215", "10273")</f>
        <v>10273</v>
      </c>
      <c r="S189" s="36" t="str">
        <f>HYPERLINK("http://ms.phosphosite.org:5080/cgi-bin/plot-msms.cgi?MassType=1&amp;NumAxis=1&amp;Mod1=160&amp;Mod12=147&amp;Mod16=170&amp;Pep=CLEHGIQPDGQMPSDKTIGGGDDSFNTFFSETGAGK&amp;Dta=/var/www/html/dta/S01/10562.10446.4.dta&amp;Global_Mod=CS57.0215", "10446")</f>
        <v>10446</v>
      </c>
      <c r="T189" s="36" t="str">
        <f>HYPERLINK("http://ms.phosphosite.org:5080/cgi-bin/plot-msms.cgi?MassType=1&amp;NumAxis=1&amp;Mod1=160&amp;Mod12=147&amp;Mod16=170&amp;Pep=CLEHGIQPDGQMPSDKTIGGGDDSFNTFFSETGAGK&amp;Dta=/var/www/html/dta/S01/10563.10401.4.dta&amp;Global_Mod=CS57.0215", "10401")</f>
        <v>10401</v>
      </c>
      <c r="U189" s="36" t="str">
        <f>HYPERLINK("http://ms.phosphosite.org:5080/cgi-bin/plot-msms.cgi?MassType=1&amp;NumAxis=1&amp;Mod1=160&amp;Mod12=147&amp;Mod16=170&amp;Pep=CLEHGIQPDGQMPSDKTIGGGDDSFNTFFSETGAGK&amp;Dta=/var/www/html/dta/S01/10564.10855.4.dta&amp;Global_Mod=CS57.0215", "10855")</f>
        <v>10855</v>
      </c>
      <c r="V189" s="36" t="str">
        <f>HYPERLINK("http://ms.phosphosite.org:5080/cgi-bin/plot-msms.cgi?MassType=1&amp;NumAxis=1&amp;Mod1=160&amp;Mod12=147&amp;Mod16=170&amp;Pep=CLEHGIQPDGQMPSDKTIGGGDDSFNTFFSETGAGK&amp;Dta=/var/www/html/dta/S01/10565.10820.4.dta&amp;Global_Mod=CS57.0215", "10820")</f>
        <v>10820</v>
      </c>
      <c r="W189" s="5">
        <v>10295</v>
      </c>
      <c r="X189" s="5">
        <v>10267</v>
      </c>
      <c r="Y189" s="5">
        <v>10315</v>
      </c>
      <c r="Z189" s="5">
        <v>10308</v>
      </c>
      <c r="AA189" s="5">
        <v>10488</v>
      </c>
      <c r="AB189" s="3" t="s">
        <v>4854</v>
      </c>
      <c r="AC189" s="5">
        <v>10896</v>
      </c>
      <c r="AD189" s="5">
        <v>10849</v>
      </c>
      <c r="AE189" s="90">
        <v>5.032</v>
      </c>
      <c r="AF189" s="90">
        <v>5.3259999999999996</v>
      </c>
      <c r="AG189" s="90">
        <v>4.923</v>
      </c>
      <c r="AH189" s="90">
        <v>4.3040000000000003</v>
      </c>
      <c r="AI189" s="90">
        <v>4.1420000000000003</v>
      </c>
      <c r="AJ189" s="90">
        <v>3.214</v>
      </c>
      <c r="AK189" s="90">
        <v>5.5579999999999998</v>
      </c>
      <c r="AL189" s="90">
        <v>4.1459999999999999</v>
      </c>
      <c r="AM189" s="21">
        <v>1.1932</v>
      </c>
      <c r="AN189" s="21">
        <v>1.6904999999999999</v>
      </c>
      <c r="AO189" s="21">
        <v>1.3648</v>
      </c>
      <c r="AP189" s="21">
        <v>1.4876</v>
      </c>
      <c r="AQ189" s="21">
        <v>0.96179999999999999</v>
      </c>
      <c r="AR189" s="21">
        <v>1.1002000000000001</v>
      </c>
      <c r="AS189" s="21">
        <v>0.98170000000000002</v>
      </c>
      <c r="AT189" s="21">
        <v>1.1947000000000001</v>
      </c>
      <c r="AU189" s="21">
        <v>0.436</v>
      </c>
      <c r="AV189" s="21">
        <v>0.53600000000000003</v>
      </c>
      <c r="AW189" s="21">
        <v>0.40500000000000003</v>
      </c>
      <c r="AX189" s="21">
        <v>0.42</v>
      </c>
      <c r="AY189" s="21">
        <v>0.28699999999999998</v>
      </c>
      <c r="AZ189" s="21">
        <v>0.22</v>
      </c>
      <c r="BA189" s="21">
        <v>0.44</v>
      </c>
      <c r="BB189" s="21">
        <v>0.39200000000000002</v>
      </c>
      <c r="BC189" s="5">
        <v>1</v>
      </c>
      <c r="BD189" s="5">
        <v>1</v>
      </c>
      <c r="BE189" s="5">
        <v>1</v>
      </c>
      <c r="BF189" s="5">
        <v>1</v>
      </c>
      <c r="BG189" s="5">
        <v>1</v>
      </c>
      <c r="BH189" s="5">
        <v>46</v>
      </c>
      <c r="BI189" s="5">
        <v>1</v>
      </c>
      <c r="BJ189" s="5">
        <v>1</v>
      </c>
      <c r="BK189" s="90">
        <v>1</v>
      </c>
      <c r="BL189" s="90">
        <v>1</v>
      </c>
      <c r="BM189" s="90">
        <v>1</v>
      </c>
      <c r="BN189" s="90">
        <v>1</v>
      </c>
      <c r="BO189" s="90">
        <v>0.95199999999999996</v>
      </c>
      <c r="BP189" s="90">
        <v>0.34399999999999997</v>
      </c>
      <c r="BQ189" s="90">
        <v>1</v>
      </c>
      <c r="BR189" s="90">
        <v>1</v>
      </c>
      <c r="BS189" s="5" t="s">
        <v>4857</v>
      </c>
    </row>
    <row r="190" spans="1:71" s="30" customFormat="1" ht="17.100000000000001" customHeight="1">
      <c r="A190" s="14">
        <v>179</v>
      </c>
      <c r="B190" s="5" t="s">
        <v>4135</v>
      </c>
      <c r="C190" s="3" t="s">
        <v>4715</v>
      </c>
      <c r="D190" s="3" t="s">
        <v>4127</v>
      </c>
      <c r="E190" s="6" t="s">
        <v>4128</v>
      </c>
      <c r="F190" s="8" t="s">
        <v>5004</v>
      </c>
      <c r="G190" s="3" t="s">
        <v>4121</v>
      </c>
      <c r="H190" s="6" t="s">
        <v>4129</v>
      </c>
      <c r="I190" s="3" t="s">
        <v>4123</v>
      </c>
      <c r="J190" s="5" t="s">
        <v>4381</v>
      </c>
      <c r="K190" s="3" t="s">
        <v>5444</v>
      </c>
      <c r="L190" s="3" t="s">
        <v>4136</v>
      </c>
      <c r="M190" s="5">
        <v>3</v>
      </c>
      <c r="N190" s="21">
        <v>1107.1614</v>
      </c>
      <c r="O190" s="35" t="s">
        <v>4854</v>
      </c>
      <c r="P190" s="35" t="s">
        <v>4854</v>
      </c>
      <c r="Q190" s="35" t="s">
        <v>4854</v>
      </c>
      <c r="R190" s="35" t="s">
        <v>4854</v>
      </c>
      <c r="S190" s="35" t="s">
        <v>4854</v>
      </c>
      <c r="T190" s="36" t="str">
        <f>HYPERLINK("http://ms.phosphosite.org:5080/cgi-bin/plot-msms.cgi?MassType=1&amp;NumAxis=1&amp;Mod8=147&amp;Mod12=170&amp;Pep=GIQPDGQMPSDKTIGGGDDSFNTFFSETGAGK&amp;Dta=/var/www/html/dta/S01/10563.11258.3.dta&amp;Global_Mod=CS57.0215", "11258")</f>
        <v>11258</v>
      </c>
      <c r="U190" s="35" t="s">
        <v>4854</v>
      </c>
      <c r="V190" s="36" t="str">
        <f>HYPERLINK("http://ms.phosphosite.org:5080/cgi-bin/plot-msms.cgi?MassType=1&amp;NumAxis=1&amp;Mod8=147&amp;Mod12=170&amp;Pep=GIQPDGQMPSDKTIGGGDDSFNTFFSETGAGK&amp;Dta=/var/www/html/dta/S01/10565.11707.3.dta&amp;Global_Mod=CS57.0215", "11707")</f>
        <v>11707</v>
      </c>
      <c r="W190" s="3" t="s">
        <v>4854</v>
      </c>
      <c r="X190" s="3" t="s">
        <v>4854</v>
      </c>
      <c r="Y190" s="3" t="s">
        <v>4854</v>
      </c>
      <c r="Z190" s="3" t="s">
        <v>4854</v>
      </c>
      <c r="AA190" s="3" t="s">
        <v>4854</v>
      </c>
      <c r="AB190" s="3" t="s">
        <v>4854</v>
      </c>
      <c r="AC190" s="3" t="s">
        <v>4854</v>
      </c>
      <c r="AD190" s="3" t="s">
        <v>4854</v>
      </c>
      <c r="AE190" s="99" t="s">
        <v>4854</v>
      </c>
      <c r="AF190" s="99" t="s">
        <v>4854</v>
      </c>
      <c r="AG190" s="99" t="s">
        <v>4854</v>
      </c>
      <c r="AH190" s="99" t="s">
        <v>4854</v>
      </c>
      <c r="AI190" s="99" t="s">
        <v>4854</v>
      </c>
      <c r="AJ190" s="90">
        <v>2.4020000000000001</v>
      </c>
      <c r="AK190" s="99" t="s">
        <v>4854</v>
      </c>
      <c r="AL190" s="90">
        <v>2.5249999999999999</v>
      </c>
      <c r="AM190" s="102" t="s">
        <v>4854</v>
      </c>
      <c r="AN190" s="102" t="s">
        <v>4854</v>
      </c>
      <c r="AO190" s="102" t="s">
        <v>4854</v>
      </c>
      <c r="AP190" s="102" t="s">
        <v>4854</v>
      </c>
      <c r="AQ190" s="102" t="s">
        <v>4854</v>
      </c>
      <c r="AR190" s="21">
        <v>2.9878999999999998</v>
      </c>
      <c r="AS190" s="102" t="s">
        <v>4854</v>
      </c>
      <c r="AT190" s="21">
        <v>2.2465000000000002</v>
      </c>
      <c r="AU190" s="102" t="s">
        <v>4854</v>
      </c>
      <c r="AV190" s="102" t="s">
        <v>4854</v>
      </c>
      <c r="AW190" s="102" t="s">
        <v>4854</v>
      </c>
      <c r="AX190" s="102" t="s">
        <v>4854</v>
      </c>
      <c r="AY190" s="102" t="s">
        <v>4854</v>
      </c>
      <c r="AZ190" s="21">
        <v>0.32800000000000001</v>
      </c>
      <c r="BA190" s="102" t="s">
        <v>4854</v>
      </c>
      <c r="BB190" s="21">
        <v>0.42599999999999999</v>
      </c>
      <c r="BC190" s="3" t="s">
        <v>4854</v>
      </c>
      <c r="BD190" s="3" t="s">
        <v>4854</v>
      </c>
      <c r="BE190" s="3" t="s">
        <v>4854</v>
      </c>
      <c r="BF190" s="3" t="s">
        <v>4854</v>
      </c>
      <c r="BG190" s="3" t="s">
        <v>4854</v>
      </c>
      <c r="BH190" s="5">
        <v>1</v>
      </c>
      <c r="BI190" s="3" t="s">
        <v>4854</v>
      </c>
      <c r="BJ190" s="5">
        <v>1</v>
      </c>
      <c r="BK190" s="99" t="s">
        <v>4854</v>
      </c>
      <c r="BL190" s="99" t="s">
        <v>4854</v>
      </c>
      <c r="BM190" s="99" t="s">
        <v>4854</v>
      </c>
      <c r="BN190" s="99" t="s">
        <v>4854</v>
      </c>
      <c r="BO190" s="99" t="s">
        <v>4854</v>
      </c>
      <c r="BP190" s="90">
        <v>5.7000000000000002E-2</v>
      </c>
      <c r="BQ190" s="99" t="s">
        <v>4854</v>
      </c>
      <c r="BR190" s="90">
        <v>0.64200000000000002</v>
      </c>
      <c r="BS190" s="5" t="s">
        <v>4857</v>
      </c>
    </row>
    <row r="191" spans="1:71" s="30" customFormat="1" ht="17.100000000000001" customHeight="1">
      <c r="A191" s="14">
        <v>180</v>
      </c>
      <c r="B191" s="5" t="s">
        <v>4137</v>
      </c>
      <c r="C191" s="3" t="s">
        <v>4715</v>
      </c>
      <c r="D191" s="3" t="s">
        <v>4127</v>
      </c>
      <c r="E191" s="6" t="s">
        <v>4128</v>
      </c>
      <c r="F191" s="8" t="s">
        <v>5004</v>
      </c>
      <c r="G191" s="3" t="s">
        <v>4121</v>
      </c>
      <c r="H191" s="6" t="s">
        <v>4129</v>
      </c>
      <c r="I191" s="3" t="s">
        <v>4123</v>
      </c>
      <c r="J191" s="5" t="s">
        <v>4381</v>
      </c>
      <c r="K191" s="3" t="s">
        <v>5444</v>
      </c>
      <c r="L191" s="3" t="s">
        <v>4138</v>
      </c>
      <c r="M191" s="5">
        <v>3</v>
      </c>
      <c r="N191" s="21">
        <v>937.08010000000002</v>
      </c>
      <c r="O191" s="35" t="s">
        <v>4854</v>
      </c>
      <c r="P191" s="36" t="str">
        <f>HYPERLINK("http://ms.phosphosite.org:5080/cgi-bin/plot-msms.cgi?MassType=1&amp;NumAxis=1&amp;Mod3=147&amp;Mod7=170&amp;Pep=GQMPSDKTIGGGDDSFNTFFSETGAGK&amp;Dta=/var/www/html/dta/S01/10559.10658.3.dta&amp;Global_Mod=CS57.0215", "10658")</f>
        <v>10658</v>
      </c>
      <c r="Q191" s="36" t="str">
        <f>HYPERLINK("http://ms.phosphosite.org:5080/cgi-bin/plot-msms.cgi?MassType=1&amp;NumAxis=1&amp;Mod3=147&amp;Mod7=170&amp;Pep=GQMPSDKTIGGGDDSFNTFFSETGAGK&amp;Dta=/var/www/html/dta/S01/10560.10704.3.dta&amp;Global_Mod=CS57.0215", "10704")</f>
        <v>10704</v>
      </c>
      <c r="R191" s="36" t="str">
        <f>HYPERLINK("http://ms.phosphosite.org:5080/cgi-bin/plot-msms.cgi?MassType=1&amp;NumAxis=1&amp;Mod3=147&amp;Mod7=170&amp;Pep=GQMPSDKTIGGGDDSFNTFFSETGAGK&amp;Dta=/var/www/html/dta/S01/10561.10729.3.dta&amp;Global_Mod=CS57.0215", "10729")</f>
        <v>10729</v>
      </c>
      <c r="S191" s="36" t="str">
        <f>HYPERLINK("http://ms.phosphosite.org:5080/cgi-bin/plot-msms.cgi?MassType=1&amp;NumAxis=1&amp;Mod3=147&amp;Mod7=170&amp;Pep=GQMPSDKTIGGGDDSFNTFFSETGAGK&amp;Dta=/var/www/html/dta/S01/10562.10886.3.dta&amp;Global_Mod=CS57.0215", "10886")</f>
        <v>10886</v>
      </c>
      <c r="T191" s="36" t="str">
        <f>HYPERLINK("http://ms.phosphosite.org:5080/cgi-bin/plot-msms.cgi?MassType=1&amp;NumAxis=1&amp;Mod3=147&amp;Mod7=170&amp;Pep=GQMPSDKTIGGGDDSFNTFFSETGAGK&amp;Dta=/var/www/html/dta/S01/10563.10833.3.dta&amp;Global_Mod=CS57.0215", "10833")</f>
        <v>10833</v>
      </c>
      <c r="U191" s="36" t="str">
        <f>HYPERLINK("http://ms.phosphosite.org:5080/cgi-bin/plot-msms.cgi?MassType=1&amp;NumAxis=1&amp;Mod3=147&amp;Mod7=170&amp;Pep=GQMPSDKTIGGGDDSFNTFFSETGAGK&amp;Dta=/var/www/html/dta/S01/10564.11354.3.dta&amp;Global_Mod=CS57.0215", "11354")</f>
        <v>11354</v>
      </c>
      <c r="V191" s="36" t="str">
        <f>HYPERLINK("http://ms.phosphosite.org:5080/cgi-bin/plot-msms.cgi?MassType=1&amp;NumAxis=1&amp;Mod3=147&amp;Mod7=170&amp;Pep=GQMPSDKTIGGGDDSFNTFFSETGAGK&amp;Dta=/var/www/html/dta/S01/10565.11323.3.dta&amp;Global_Mod=CS57.0215", "11323")</f>
        <v>11323</v>
      </c>
      <c r="W191" s="3" t="s">
        <v>4854</v>
      </c>
      <c r="X191" s="5">
        <v>10685</v>
      </c>
      <c r="Y191" s="5">
        <v>10733</v>
      </c>
      <c r="Z191" s="3" t="s">
        <v>4854</v>
      </c>
      <c r="AA191" s="5">
        <v>10906</v>
      </c>
      <c r="AB191" s="5">
        <v>10864</v>
      </c>
      <c r="AC191" s="5">
        <v>11391</v>
      </c>
      <c r="AD191" s="5">
        <v>11322</v>
      </c>
      <c r="AE191" s="99" t="s">
        <v>4854</v>
      </c>
      <c r="AF191" s="90">
        <v>3.778</v>
      </c>
      <c r="AG191" s="90">
        <v>4.577</v>
      </c>
      <c r="AH191" s="90">
        <v>2.891</v>
      </c>
      <c r="AI191" s="90">
        <v>4.7320000000000002</v>
      </c>
      <c r="AJ191" s="90">
        <v>4.1280000000000001</v>
      </c>
      <c r="AK191" s="90">
        <v>4.093</v>
      </c>
      <c r="AL191" s="90">
        <v>4.4640000000000004</v>
      </c>
      <c r="AM191" s="102" t="s">
        <v>4854</v>
      </c>
      <c r="AN191" s="21">
        <v>1.0798000000000001</v>
      </c>
      <c r="AO191" s="21">
        <v>1.2208000000000001</v>
      </c>
      <c r="AP191" s="21">
        <v>1.3909</v>
      </c>
      <c r="AQ191" s="21">
        <v>0.90890000000000004</v>
      </c>
      <c r="AR191" s="21">
        <v>1.0058</v>
      </c>
      <c r="AS191" s="21">
        <v>1.135</v>
      </c>
      <c r="AT191" s="21">
        <v>0.93489999999999995</v>
      </c>
      <c r="AU191" s="102" t="s">
        <v>4854</v>
      </c>
      <c r="AV191" s="21">
        <v>0.376</v>
      </c>
      <c r="AW191" s="21">
        <v>0.436</v>
      </c>
      <c r="AX191" s="21">
        <v>0.316</v>
      </c>
      <c r="AY191" s="21">
        <v>0.48099999999999998</v>
      </c>
      <c r="AZ191" s="21">
        <v>0.51300000000000001</v>
      </c>
      <c r="BA191" s="21">
        <v>0.38400000000000001</v>
      </c>
      <c r="BB191" s="21">
        <v>0.51600000000000001</v>
      </c>
      <c r="BC191" s="3" t="s">
        <v>4854</v>
      </c>
      <c r="BD191" s="5">
        <v>1</v>
      </c>
      <c r="BE191" s="5">
        <v>1</v>
      </c>
      <c r="BF191" s="5">
        <v>1</v>
      </c>
      <c r="BG191" s="5">
        <v>1</v>
      </c>
      <c r="BH191" s="5">
        <v>1</v>
      </c>
      <c r="BI191" s="5">
        <v>1</v>
      </c>
      <c r="BJ191" s="5">
        <v>1</v>
      </c>
      <c r="BK191" s="99" t="s">
        <v>4854</v>
      </c>
      <c r="BL191" s="90">
        <v>0.97699999999999998</v>
      </c>
      <c r="BM191" s="90">
        <v>1</v>
      </c>
      <c r="BN191" s="90">
        <v>0.872</v>
      </c>
      <c r="BO191" s="90">
        <v>1</v>
      </c>
      <c r="BP191" s="90">
        <v>1</v>
      </c>
      <c r="BQ191" s="90">
        <v>0.98299999999999998</v>
      </c>
      <c r="BR191" s="90">
        <v>1</v>
      </c>
      <c r="BS191" s="5" t="s">
        <v>4857</v>
      </c>
    </row>
    <row r="192" spans="1:71" s="30" customFormat="1" ht="17.100000000000001" customHeight="1">
      <c r="A192" s="14">
        <v>181</v>
      </c>
      <c r="B192" s="5" t="s">
        <v>4139</v>
      </c>
      <c r="C192" s="3" t="s">
        <v>4715</v>
      </c>
      <c r="D192" s="3" t="s">
        <v>4127</v>
      </c>
      <c r="E192" s="6" t="s">
        <v>4128</v>
      </c>
      <c r="F192" s="8" t="s">
        <v>5004</v>
      </c>
      <c r="G192" s="3" t="s">
        <v>4121</v>
      </c>
      <c r="H192" s="6" t="s">
        <v>4129</v>
      </c>
      <c r="I192" s="3" t="s">
        <v>4123</v>
      </c>
      <c r="J192" s="5" t="s">
        <v>4381</v>
      </c>
      <c r="K192" s="3" t="s">
        <v>5444</v>
      </c>
      <c r="L192" s="3" t="s">
        <v>4140</v>
      </c>
      <c r="M192" s="5">
        <v>4</v>
      </c>
      <c r="N192" s="21">
        <v>864.88760000000002</v>
      </c>
      <c r="O192" s="35" t="s">
        <v>4854</v>
      </c>
      <c r="P192" s="35" t="s">
        <v>4854</v>
      </c>
      <c r="Q192" s="36" t="str">
        <f>HYPERLINK("http://ms.phosphosite.org:5080/cgi-bin/plot-msms.cgi?MassType=1&amp;NumAxis=1&amp;Mod9=147&amp;Mod13=170&amp;Pep=HGIQPDGQMPSDKTIGGGDDSFNTFFSETGAGK&amp;Dta=/var/www/html/dta/S01/10560.9961.4.dta&amp;Global_Mod=CS57.0215", "9961")</f>
        <v>9961</v>
      </c>
      <c r="R192" s="36" t="str">
        <f>HYPERLINK("http://ms.phosphosite.org:5080/cgi-bin/plot-msms.cgi?MassType=1&amp;NumAxis=1&amp;Mod9=147&amp;Mod13=170&amp;Pep=HGIQPDGQMPSDKTIGGGDDSFNTFFSETGAGK&amp;Dta=/var/www/html/dta/S01/10561.9975.4.dta&amp;Global_Mod=CS57.0215", "9975")</f>
        <v>9975</v>
      </c>
      <c r="S192" s="35" t="s">
        <v>4854</v>
      </c>
      <c r="T192" s="36" t="str">
        <f>HYPERLINK("http://ms.phosphosite.org:5080/cgi-bin/plot-msms.cgi?MassType=1&amp;NumAxis=1&amp;Mod9=147&amp;Mod13=170&amp;Pep=HGIQPDGQMPSDKTIGGGDDSFNTFFSETGAGK&amp;Dta=/var/www/html/dta/S01/10563.10087.4.dta&amp;Global_Mod=CS57.0215", "10087")</f>
        <v>10087</v>
      </c>
      <c r="U192" s="35" t="s">
        <v>4854</v>
      </c>
      <c r="V192" s="35" t="s">
        <v>4854</v>
      </c>
      <c r="W192" s="3" t="s">
        <v>4854</v>
      </c>
      <c r="X192" s="3" t="s">
        <v>4854</v>
      </c>
      <c r="Y192" s="5">
        <v>9985</v>
      </c>
      <c r="Z192" s="3" t="s">
        <v>4854</v>
      </c>
      <c r="AA192" s="3" t="s">
        <v>4854</v>
      </c>
      <c r="AB192" s="5">
        <v>10094</v>
      </c>
      <c r="AC192" s="3" t="s">
        <v>4854</v>
      </c>
      <c r="AD192" s="3" t="s">
        <v>4854</v>
      </c>
      <c r="AE192" s="99" t="s">
        <v>4854</v>
      </c>
      <c r="AF192" s="99" t="s">
        <v>4854</v>
      </c>
      <c r="AG192" s="90">
        <v>4.306</v>
      </c>
      <c r="AH192" s="90">
        <v>3.5659999999999998</v>
      </c>
      <c r="AI192" s="99" t="s">
        <v>4854</v>
      </c>
      <c r="AJ192" s="90">
        <v>4.5350000000000001</v>
      </c>
      <c r="AK192" s="99" t="s">
        <v>4854</v>
      </c>
      <c r="AL192" s="99" t="s">
        <v>4854</v>
      </c>
      <c r="AM192" s="102" t="s">
        <v>4854</v>
      </c>
      <c r="AN192" s="102" t="s">
        <v>4854</v>
      </c>
      <c r="AO192" s="21">
        <v>2.7869999999999999</v>
      </c>
      <c r="AP192" s="21">
        <v>2.0087999999999999</v>
      </c>
      <c r="AQ192" s="102" t="s">
        <v>4854</v>
      </c>
      <c r="AR192" s="21">
        <v>2.3719000000000001</v>
      </c>
      <c r="AS192" s="102" t="s">
        <v>4854</v>
      </c>
      <c r="AT192" s="102" t="s">
        <v>4854</v>
      </c>
      <c r="AU192" s="102" t="s">
        <v>4854</v>
      </c>
      <c r="AV192" s="102" t="s">
        <v>4854</v>
      </c>
      <c r="AW192" s="21">
        <v>0.34599999999999997</v>
      </c>
      <c r="AX192" s="21">
        <v>0.23200000000000001</v>
      </c>
      <c r="AY192" s="102" t="s">
        <v>4854</v>
      </c>
      <c r="AZ192" s="21">
        <v>0.41499999999999998</v>
      </c>
      <c r="BA192" s="102" t="s">
        <v>4854</v>
      </c>
      <c r="BB192" s="102" t="s">
        <v>4854</v>
      </c>
      <c r="BC192" s="3" t="s">
        <v>4854</v>
      </c>
      <c r="BD192" s="3" t="s">
        <v>4854</v>
      </c>
      <c r="BE192" s="5">
        <v>1</v>
      </c>
      <c r="BF192" s="5">
        <v>1</v>
      </c>
      <c r="BG192" s="3" t="s">
        <v>4854</v>
      </c>
      <c r="BH192" s="5">
        <v>1</v>
      </c>
      <c r="BI192" s="3" t="s">
        <v>4854</v>
      </c>
      <c r="BJ192" s="3" t="s">
        <v>4854</v>
      </c>
      <c r="BK192" s="99" t="s">
        <v>4854</v>
      </c>
      <c r="BL192" s="99" t="s">
        <v>4854</v>
      </c>
      <c r="BM192" s="90">
        <v>1</v>
      </c>
      <c r="BN192" s="90">
        <v>0.71799999999999997</v>
      </c>
      <c r="BO192" s="99" t="s">
        <v>4854</v>
      </c>
      <c r="BP192" s="90">
        <v>1</v>
      </c>
      <c r="BQ192" s="99" t="s">
        <v>4854</v>
      </c>
      <c r="BR192" s="99" t="s">
        <v>4854</v>
      </c>
      <c r="BS192" s="5" t="s">
        <v>4857</v>
      </c>
    </row>
    <row r="193" spans="1:71" s="30" customFormat="1" ht="17.100000000000001" customHeight="1">
      <c r="A193" s="14">
        <v>182</v>
      </c>
      <c r="B193" s="5" t="s">
        <v>4141</v>
      </c>
      <c r="C193" s="3" t="s">
        <v>4715</v>
      </c>
      <c r="D193" s="3" t="s">
        <v>4127</v>
      </c>
      <c r="E193" s="6" t="s">
        <v>4128</v>
      </c>
      <c r="F193" s="8" t="s">
        <v>5004</v>
      </c>
      <c r="G193" s="3" t="s">
        <v>4121</v>
      </c>
      <c r="H193" s="6" t="s">
        <v>4129</v>
      </c>
      <c r="I193" s="3" t="s">
        <v>4123</v>
      </c>
      <c r="J193" s="5" t="s">
        <v>4381</v>
      </c>
      <c r="K193" s="3" t="s">
        <v>5444</v>
      </c>
      <c r="L193" s="3" t="s">
        <v>4142</v>
      </c>
      <c r="M193" s="5">
        <v>2</v>
      </c>
      <c r="N193" s="21">
        <v>1089.5029</v>
      </c>
      <c r="O193" s="36" t="str">
        <f>HYPERLINK("http://ms.phosphosite.org:5080/cgi-bin/plot-msms.cgi?MassType=1&amp;NumAxis=1&amp;Mod1=170&amp;Pep=KTIGGGDDSFNTFFSETGAGK&amp;Dta=/var/www/html/dta/S01/10558.10620.2.dta&amp;Global_Mod=CS57.0215", "10620")</f>
        <v>10620</v>
      </c>
      <c r="P193" s="35" t="s">
        <v>4854</v>
      </c>
      <c r="Q193" s="35" t="s">
        <v>4854</v>
      </c>
      <c r="R193" s="36" t="str">
        <f>HYPERLINK("http://ms.phosphosite.org:5080/cgi-bin/plot-msms.cgi?MassType=1&amp;NumAxis=1&amp;Mod1=170&amp;Pep=KTIGGGDDSFNTFFSETGAGK&amp;Dta=/var/www/html/dta/S01/10561.10666.2.dta&amp;Global_Mod=CS57.0215", "10666")</f>
        <v>10666</v>
      </c>
      <c r="S193" s="35" t="s">
        <v>4854</v>
      </c>
      <c r="T193" s="35" t="s">
        <v>4854</v>
      </c>
      <c r="U193" s="35" t="s">
        <v>4854</v>
      </c>
      <c r="V193" s="35" t="s">
        <v>4854</v>
      </c>
      <c r="W193" s="3" t="s">
        <v>4854</v>
      </c>
      <c r="X193" s="3" t="s">
        <v>4854</v>
      </c>
      <c r="Y193" s="3" t="s">
        <v>4854</v>
      </c>
      <c r="Z193" s="3" t="s">
        <v>4854</v>
      </c>
      <c r="AA193" s="3" t="s">
        <v>4854</v>
      </c>
      <c r="AB193" s="3" t="s">
        <v>4854</v>
      </c>
      <c r="AC193" s="3" t="s">
        <v>4854</v>
      </c>
      <c r="AD193" s="3" t="s">
        <v>4854</v>
      </c>
      <c r="AE193" s="90">
        <v>1.827</v>
      </c>
      <c r="AF193" s="99" t="s">
        <v>4854</v>
      </c>
      <c r="AG193" s="99" t="s">
        <v>4854</v>
      </c>
      <c r="AH193" s="90">
        <v>2.0070000000000001</v>
      </c>
      <c r="AI193" s="99" t="s">
        <v>4854</v>
      </c>
      <c r="AJ193" s="99" t="s">
        <v>4854</v>
      </c>
      <c r="AK193" s="99" t="s">
        <v>4854</v>
      </c>
      <c r="AL193" s="99" t="s">
        <v>4854</v>
      </c>
      <c r="AM193" s="21">
        <v>1.018</v>
      </c>
      <c r="AN193" s="102" t="s">
        <v>4854</v>
      </c>
      <c r="AO193" s="102" t="s">
        <v>4854</v>
      </c>
      <c r="AP193" s="21">
        <v>1.6194999999999999</v>
      </c>
      <c r="AQ193" s="102" t="s">
        <v>4854</v>
      </c>
      <c r="AR193" s="102" t="s">
        <v>4854</v>
      </c>
      <c r="AS193" s="102" t="s">
        <v>4854</v>
      </c>
      <c r="AT193" s="102" t="s">
        <v>4854</v>
      </c>
      <c r="AU193" s="21">
        <v>0.497</v>
      </c>
      <c r="AV193" s="102" t="s">
        <v>4854</v>
      </c>
      <c r="AW193" s="102" t="s">
        <v>4854</v>
      </c>
      <c r="AX193" s="21">
        <v>0.434</v>
      </c>
      <c r="AY193" s="102" t="s">
        <v>4854</v>
      </c>
      <c r="AZ193" s="102" t="s">
        <v>4854</v>
      </c>
      <c r="BA193" s="102" t="s">
        <v>4854</v>
      </c>
      <c r="BB193" s="102" t="s">
        <v>4854</v>
      </c>
      <c r="BC193" s="5">
        <v>2</v>
      </c>
      <c r="BD193" s="3" t="s">
        <v>4854</v>
      </c>
      <c r="BE193" s="3" t="s">
        <v>4854</v>
      </c>
      <c r="BF193" s="5">
        <v>38</v>
      </c>
      <c r="BG193" s="3" t="s">
        <v>4854</v>
      </c>
      <c r="BH193" s="3" t="s">
        <v>4854</v>
      </c>
      <c r="BI193" s="3" t="s">
        <v>4854</v>
      </c>
      <c r="BJ193" s="3" t="s">
        <v>4854</v>
      </c>
      <c r="BK193" s="90">
        <v>0.93500000000000005</v>
      </c>
      <c r="BL193" s="99" t="s">
        <v>4854</v>
      </c>
      <c r="BM193" s="99" t="s">
        <v>4854</v>
      </c>
      <c r="BN193" s="90">
        <v>0.127</v>
      </c>
      <c r="BO193" s="99" t="s">
        <v>4854</v>
      </c>
      <c r="BP193" s="99" t="s">
        <v>4854</v>
      </c>
      <c r="BQ193" s="99" t="s">
        <v>4854</v>
      </c>
      <c r="BR193" s="99" t="s">
        <v>4854</v>
      </c>
      <c r="BS193" s="5" t="s">
        <v>4857</v>
      </c>
    </row>
    <row r="194" spans="1:71" s="30" customFormat="1" ht="17.100000000000001" customHeight="1">
      <c r="A194" s="14">
        <v>183</v>
      </c>
      <c r="B194" s="5" t="s">
        <v>4143</v>
      </c>
      <c r="C194" s="3" t="s">
        <v>4715</v>
      </c>
      <c r="D194" s="3" t="s">
        <v>4127</v>
      </c>
      <c r="E194" s="6" t="s">
        <v>4128</v>
      </c>
      <c r="F194" s="8" t="s">
        <v>5004</v>
      </c>
      <c r="G194" s="3" t="s">
        <v>4121</v>
      </c>
      <c r="H194" s="6" t="s">
        <v>4129</v>
      </c>
      <c r="I194" s="3" t="s">
        <v>4123</v>
      </c>
      <c r="J194" s="5" t="s">
        <v>4381</v>
      </c>
      <c r="K194" s="3" t="s">
        <v>5444</v>
      </c>
      <c r="L194" s="3" t="s">
        <v>4142</v>
      </c>
      <c r="M194" s="5">
        <v>3</v>
      </c>
      <c r="N194" s="21">
        <v>726.67100000000005</v>
      </c>
      <c r="O194" s="36" t="str">
        <f>HYPERLINK("http://ms.phosphosite.org:5080/cgi-bin/plot-msms.cgi?MassType=1&amp;NumAxis=1&amp;Mod1=170&amp;Pep=KTIGGGDDSFNTFFSETGAGK&amp;Dta=/var/www/html/dta/S01/10558.10632.3.dta&amp;Global_Mod=CS57.0215", "10632")</f>
        <v>10632</v>
      </c>
      <c r="P194" s="36" t="str">
        <f>HYPERLINK("http://ms.phosphosite.org:5080/cgi-bin/plot-msms.cgi?MassType=1&amp;NumAxis=1&amp;Mod1=170&amp;Pep=KTIGGGDDSFNTFFSETGAGK&amp;Dta=/var/www/html/dta/S01/10559.10603.3.dta&amp;Global_Mod=CS57.0215", "10603")</f>
        <v>10603</v>
      </c>
      <c r="Q194" s="36" t="str">
        <f>HYPERLINK("http://ms.phosphosite.org:5080/cgi-bin/plot-msms.cgi?MassType=1&amp;NumAxis=1&amp;Mod1=170&amp;Pep=KTIGGGDDSFNTFFSETGAGK&amp;Dta=/var/www/html/dta/S01/10560.10652.3.dta&amp;Global_Mod=CS57.0215", "10652")</f>
        <v>10652</v>
      </c>
      <c r="R194" s="36" t="str">
        <f>HYPERLINK("http://ms.phosphosite.org:5080/cgi-bin/plot-msms.cgi?MassType=1&amp;NumAxis=1&amp;Mod1=170&amp;Pep=KTIGGGDDSFNTFFSETGAGK&amp;Dta=/var/www/html/dta/S01/10561.10665.3.dta&amp;Global_Mod=CS57.0215", "10665")</f>
        <v>10665</v>
      </c>
      <c r="S194" s="36" t="str">
        <f>HYPERLINK("http://ms.phosphosite.org:5080/cgi-bin/plot-msms.cgi?MassType=1&amp;NumAxis=1&amp;Mod1=170&amp;Pep=KTIGGGDDSFNTFFSETGAGK&amp;Dta=/var/www/html/dta/S01/10562.10813.3.dta&amp;Global_Mod=CS57.0215", "10813")</f>
        <v>10813</v>
      </c>
      <c r="T194" s="35" t="s">
        <v>4854</v>
      </c>
      <c r="U194" s="35" t="s">
        <v>4854</v>
      </c>
      <c r="V194" s="35" t="s">
        <v>4854</v>
      </c>
      <c r="W194" s="3" t="s">
        <v>4854</v>
      </c>
      <c r="X194" s="3" t="s">
        <v>4854</v>
      </c>
      <c r="Y194" s="3" t="s">
        <v>4854</v>
      </c>
      <c r="Z194" s="3" t="s">
        <v>4854</v>
      </c>
      <c r="AA194" s="3" t="s">
        <v>4854</v>
      </c>
      <c r="AB194" s="3" t="s">
        <v>4854</v>
      </c>
      <c r="AC194" s="3" t="s">
        <v>4854</v>
      </c>
      <c r="AD194" s="3" t="s">
        <v>4854</v>
      </c>
      <c r="AE194" s="90">
        <v>2.4390000000000001</v>
      </c>
      <c r="AF194" s="90">
        <v>3.024</v>
      </c>
      <c r="AG194" s="90">
        <v>3.2469999999999999</v>
      </c>
      <c r="AH194" s="90">
        <v>3.8220000000000001</v>
      </c>
      <c r="AI194" s="90">
        <v>3.5</v>
      </c>
      <c r="AJ194" s="99" t="s">
        <v>4854</v>
      </c>
      <c r="AK194" s="99" t="s">
        <v>4854</v>
      </c>
      <c r="AL194" s="99" t="s">
        <v>4854</v>
      </c>
      <c r="AM194" s="21">
        <v>0.64290000000000003</v>
      </c>
      <c r="AN194" s="21">
        <v>0.76180000000000003</v>
      </c>
      <c r="AO194" s="21">
        <v>1.4477</v>
      </c>
      <c r="AP194" s="21">
        <v>0.76780000000000004</v>
      </c>
      <c r="AQ194" s="21">
        <v>0.8871</v>
      </c>
      <c r="AR194" s="102" t="s">
        <v>4854</v>
      </c>
      <c r="AS194" s="102" t="s">
        <v>4854</v>
      </c>
      <c r="AT194" s="102" t="s">
        <v>4854</v>
      </c>
      <c r="AU194" s="21">
        <v>0.16800000000000001</v>
      </c>
      <c r="AV194" s="21">
        <v>0.106</v>
      </c>
      <c r="AW194" s="21">
        <v>0.20100000000000001</v>
      </c>
      <c r="AX194" s="21">
        <v>0.30099999999999999</v>
      </c>
      <c r="AY194" s="21">
        <v>0.27600000000000002</v>
      </c>
      <c r="AZ194" s="102" t="s">
        <v>4854</v>
      </c>
      <c r="BA194" s="102" t="s">
        <v>4854</v>
      </c>
      <c r="BB194" s="102" t="s">
        <v>4854</v>
      </c>
      <c r="BC194" s="5">
        <v>72</v>
      </c>
      <c r="BD194" s="5">
        <v>10</v>
      </c>
      <c r="BE194" s="5">
        <v>2</v>
      </c>
      <c r="BF194" s="5">
        <v>9</v>
      </c>
      <c r="BG194" s="5">
        <v>8</v>
      </c>
      <c r="BH194" s="3" t="s">
        <v>4854</v>
      </c>
      <c r="BI194" s="3" t="s">
        <v>4854</v>
      </c>
      <c r="BJ194" s="3" t="s">
        <v>4854</v>
      </c>
      <c r="BK194" s="90">
        <v>0.186</v>
      </c>
      <c r="BL194" s="90">
        <v>0.245</v>
      </c>
      <c r="BM194" s="90">
        <v>0.71799999999999997</v>
      </c>
      <c r="BN194" s="90">
        <v>0.92100000000000004</v>
      </c>
      <c r="BO194" s="90">
        <v>0.86599999999999999</v>
      </c>
      <c r="BP194" s="99" t="s">
        <v>4854</v>
      </c>
      <c r="BQ194" s="99" t="s">
        <v>4854</v>
      </c>
      <c r="BR194" s="99" t="s">
        <v>4854</v>
      </c>
      <c r="BS194" s="5" t="s">
        <v>4857</v>
      </c>
    </row>
    <row r="195" spans="1:71" s="30" customFormat="1" ht="17.100000000000001" customHeight="1">
      <c r="A195" s="14">
        <v>184</v>
      </c>
      <c r="B195" s="5" t="s">
        <v>4144</v>
      </c>
      <c r="C195" s="3" t="s">
        <v>4715</v>
      </c>
      <c r="D195" s="3" t="s">
        <v>4127</v>
      </c>
      <c r="E195" s="6" t="s">
        <v>4128</v>
      </c>
      <c r="F195" s="8" t="s">
        <v>5004</v>
      </c>
      <c r="G195" s="3" t="s">
        <v>4121</v>
      </c>
      <c r="H195" s="6" t="s">
        <v>4129</v>
      </c>
      <c r="I195" s="3" t="s">
        <v>4123</v>
      </c>
      <c r="J195" s="5" t="s">
        <v>4381</v>
      </c>
      <c r="K195" s="3" t="s">
        <v>5444</v>
      </c>
      <c r="L195" s="3" t="s">
        <v>4145</v>
      </c>
      <c r="M195" s="5">
        <v>3</v>
      </c>
      <c r="N195" s="21">
        <v>826.375</v>
      </c>
      <c r="O195" s="35" t="s">
        <v>4854</v>
      </c>
      <c r="P195" s="35" t="s">
        <v>4854</v>
      </c>
      <c r="Q195" s="35" t="s">
        <v>4854</v>
      </c>
      <c r="R195" s="36" t="str">
        <f>HYPERLINK("http://ms.phosphosite.org:5080/cgi-bin/plot-msms.cgi?MassType=1&amp;NumAxis=1&amp;Mod4=170&amp;Pep=PSDKTIGGGDDSFNTFFSETGAGK&amp;Dta=/var/www/html/dta/S01/10561.10870.3.dta&amp;Global_Mod=CS57.0215", "10870")</f>
        <v>10870</v>
      </c>
      <c r="S195" s="35" t="s">
        <v>4854</v>
      </c>
      <c r="T195" s="35" t="s">
        <v>4854</v>
      </c>
      <c r="U195" s="35" t="s">
        <v>4854</v>
      </c>
      <c r="V195" s="35" t="s">
        <v>4854</v>
      </c>
      <c r="W195" s="3" t="s">
        <v>4854</v>
      </c>
      <c r="X195" s="3" t="s">
        <v>4854</v>
      </c>
      <c r="Y195" s="3" t="s">
        <v>4854</v>
      </c>
      <c r="Z195" s="3" t="s">
        <v>4854</v>
      </c>
      <c r="AA195" s="3" t="s">
        <v>4854</v>
      </c>
      <c r="AB195" s="3" t="s">
        <v>4854</v>
      </c>
      <c r="AC195" s="3" t="s">
        <v>4854</v>
      </c>
      <c r="AD195" s="3" t="s">
        <v>4854</v>
      </c>
      <c r="AE195" s="99" t="s">
        <v>4854</v>
      </c>
      <c r="AF195" s="99" t="s">
        <v>4854</v>
      </c>
      <c r="AG195" s="99" t="s">
        <v>4854</v>
      </c>
      <c r="AH195" s="90">
        <v>3.3340000000000001</v>
      </c>
      <c r="AI195" s="99" t="s">
        <v>4854</v>
      </c>
      <c r="AJ195" s="99" t="s">
        <v>4854</v>
      </c>
      <c r="AK195" s="99" t="s">
        <v>4854</v>
      </c>
      <c r="AL195" s="99" t="s">
        <v>4854</v>
      </c>
      <c r="AM195" s="102" t="s">
        <v>4854</v>
      </c>
      <c r="AN195" s="102" t="s">
        <v>4854</v>
      </c>
      <c r="AO195" s="102" t="s">
        <v>4854</v>
      </c>
      <c r="AP195" s="21">
        <v>0.96519999999999995</v>
      </c>
      <c r="AQ195" s="102" t="s">
        <v>4854</v>
      </c>
      <c r="AR195" s="102" t="s">
        <v>4854</v>
      </c>
      <c r="AS195" s="102" t="s">
        <v>4854</v>
      </c>
      <c r="AT195" s="102" t="s">
        <v>4854</v>
      </c>
      <c r="AU195" s="102" t="s">
        <v>4854</v>
      </c>
      <c r="AV195" s="102" t="s">
        <v>4854</v>
      </c>
      <c r="AW195" s="102" t="s">
        <v>4854</v>
      </c>
      <c r="AX195" s="21">
        <v>0.371</v>
      </c>
      <c r="AY195" s="102" t="s">
        <v>4854</v>
      </c>
      <c r="AZ195" s="102" t="s">
        <v>4854</v>
      </c>
      <c r="BA195" s="102" t="s">
        <v>4854</v>
      </c>
      <c r="BB195" s="102" t="s">
        <v>4854</v>
      </c>
      <c r="BC195" s="3" t="s">
        <v>4854</v>
      </c>
      <c r="BD195" s="3" t="s">
        <v>4854</v>
      </c>
      <c r="BE195" s="3" t="s">
        <v>4854</v>
      </c>
      <c r="BF195" s="5">
        <v>98</v>
      </c>
      <c r="BG195" s="3" t="s">
        <v>4854</v>
      </c>
      <c r="BH195" s="3" t="s">
        <v>4854</v>
      </c>
      <c r="BI195" s="3" t="s">
        <v>4854</v>
      </c>
      <c r="BJ195" s="3" t="s">
        <v>4854</v>
      </c>
      <c r="BK195" s="99" t="s">
        <v>4854</v>
      </c>
      <c r="BL195" s="99" t="s">
        <v>4854</v>
      </c>
      <c r="BM195" s="99" t="s">
        <v>4854</v>
      </c>
      <c r="BN195" s="90">
        <v>0.90600000000000003</v>
      </c>
      <c r="BO195" s="99" t="s">
        <v>4854</v>
      </c>
      <c r="BP195" s="99" t="s">
        <v>4854</v>
      </c>
      <c r="BQ195" s="99" t="s">
        <v>4854</v>
      </c>
      <c r="BR195" s="99" t="s">
        <v>4854</v>
      </c>
      <c r="BS195" s="5" t="s">
        <v>4857</v>
      </c>
    </row>
    <row r="196" spans="1:71" s="30" customFormat="1" ht="17.100000000000001" customHeight="1">
      <c r="A196" s="14">
        <v>185</v>
      </c>
      <c r="B196" s="5" t="s">
        <v>4146</v>
      </c>
      <c r="C196" s="3" t="s">
        <v>4715</v>
      </c>
      <c r="D196" s="3" t="s">
        <v>4127</v>
      </c>
      <c r="E196" s="6" t="s">
        <v>4128</v>
      </c>
      <c r="F196" s="8" t="s">
        <v>5004</v>
      </c>
      <c r="G196" s="3" t="s">
        <v>4121</v>
      </c>
      <c r="H196" s="6" t="s">
        <v>4129</v>
      </c>
      <c r="I196" s="3" t="s">
        <v>4123</v>
      </c>
      <c r="J196" s="5" t="s">
        <v>4381</v>
      </c>
      <c r="K196" s="3" t="s">
        <v>5444</v>
      </c>
      <c r="L196" s="3" t="s">
        <v>4147</v>
      </c>
      <c r="M196" s="5">
        <v>4</v>
      </c>
      <c r="N196" s="21">
        <v>1006.1926999999999</v>
      </c>
      <c r="O196" s="36" t="str">
        <f>HYPERLINK("http://ms.phosphosite.org:5080/cgi-bin/plot-msms.cgi?MassType=1&amp;NumAxis=1&amp;Mod2=160&amp;Mod13=147&amp;Mod17=170&amp;Pep=YCLEHGIQPDGQMPSDKTIGGGDDSFNTFFSETGAGK&amp;Dta=/var/www/html/dta/S01/10558.10751.4.dta&amp;Global_Mod=CS57.0215", "10751")</f>
        <v>10751</v>
      </c>
      <c r="P196" s="35" t="s">
        <v>4854</v>
      </c>
      <c r="Q196" s="35" t="s">
        <v>4854</v>
      </c>
      <c r="R196" s="36" t="str">
        <f>HYPERLINK("http://ms.phosphosite.org:5080/cgi-bin/plot-msms.cgi?MassType=1&amp;NumAxis=1&amp;Mod2=160&amp;Mod13=147&amp;Mod17=170&amp;Pep=YCLEHGIQPDGQMPSDKTIGGGDDSFNTFFSETGAGK&amp;Dta=/var/www/html/dta/S01/10561.10802.4.dta&amp;Global_Mod=CS57.0215", "10802")</f>
        <v>10802</v>
      </c>
      <c r="S196" s="35" t="s">
        <v>4854</v>
      </c>
      <c r="T196" s="36" t="str">
        <f>HYPERLINK("http://ms.phosphosite.org:5080/cgi-bin/plot-msms.cgi?MassType=1&amp;NumAxis=1&amp;Mod2=160&amp;Mod13=147&amp;Mod17=170&amp;Pep=YCLEHGIQPDGQMPSDKTIGGGDDSFNTFFSETGAGK&amp;Dta=/var/www/html/dta/S01/10563.10918.4.dta&amp;Global_Mod=CS57.0215", "10918")</f>
        <v>10918</v>
      </c>
      <c r="U196" s="35" t="s">
        <v>4854</v>
      </c>
      <c r="V196" s="35" t="s">
        <v>4854</v>
      </c>
      <c r="W196" s="5">
        <v>10746</v>
      </c>
      <c r="X196" s="3" t="s">
        <v>4854</v>
      </c>
      <c r="Y196" s="3" t="s">
        <v>4854</v>
      </c>
      <c r="Z196" s="5">
        <v>10814</v>
      </c>
      <c r="AA196" s="3" t="s">
        <v>4854</v>
      </c>
      <c r="AB196" s="5">
        <v>10919</v>
      </c>
      <c r="AC196" s="3" t="s">
        <v>4854</v>
      </c>
      <c r="AD196" s="3" t="s">
        <v>4854</v>
      </c>
      <c r="AE196" s="90">
        <v>4.0810000000000004</v>
      </c>
      <c r="AF196" s="99" t="s">
        <v>4854</v>
      </c>
      <c r="AG196" s="99" t="s">
        <v>4854</v>
      </c>
      <c r="AH196" s="90">
        <v>4.3940000000000001</v>
      </c>
      <c r="AI196" s="99" t="s">
        <v>4854</v>
      </c>
      <c r="AJ196" s="90">
        <v>3.968</v>
      </c>
      <c r="AK196" s="99" t="s">
        <v>4854</v>
      </c>
      <c r="AL196" s="99" t="s">
        <v>4854</v>
      </c>
      <c r="AM196" s="21">
        <v>2.2391999999999999</v>
      </c>
      <c r="AN196" s="102" t="s">
        <v>4854</v>
      </c>
      <c r="AO196" s="102" t="s">
        <v>4854</v>
      </c>
      <c r="AP196" s="21">
        <v>1.4610000000000001</v>
      </c>
      <c r="AQ196" s="102" t="s">
        <v>4854</v>
      </c>
      <c r="AR196" s="21">
        <v>0.29880000000000001</v>
      </c>
      <c r="AS196" s="102" t="s">
        <v>4854</v>
      </c>
      <c r="AT196" s="102" t="s">
        <v>4854</v>
      </c>
      <c r="AU196" s="21">
        <v>0.438</v>
      </c>
      <c r="AV196" s="102" t="s">
        <v>4854</v>
      </c>
      <c r="AW196" s="102" t="s">
        <v>4854</v>
      </c>
      <c r="AX196" s="21">
        <v>0.432</v>
      </c>
      <c r="AY196" s="102" t="s">
        <v>4854</v>
      </c>
      <c r="AZ196" s="21">
        <v>0.34</v>
      </c>
      <c r="BA196" s="102" t="s">
        <v>4854</v>
      </c>
      <c r="BB196" s="102" t="s">
        <v>4854</v>
      </c>
      <c r="BC196" s="5">
        <v>1</v>
      </c>
      <c r="BD196" s="3" t="s">
        <v>4854</v>
      </c>
      <c r="BE196" s="3" t="s">
        <v>4854</v>
      </c>
      <c r="BF196" s="5">
        <v>1</v>
      </c>
      <c r="BG196" s="3" t="s">
        <v>4854</v>
      </c>
      <c r="BH196" s="5">
        <v>2</v>
      </c>
      <c r="BI196" s="3" t="s">
        <v>4854</v>
      </c>
      <c r="BJ196" s="3" t="s">
        <v>4854</v>
      </c>
      <c r="BK196" s="90">
        <v>1</v>
      </c>
      <c r="BL196" s="99" t="s">
        <v>4854</v>
      </c>
      <c r="BM196" s="99" t="s">
        <v>4854</v>
      </c>
      <c r="BN196" s="90">
        <v>1</v>
      </c>
      <c r="BO196" s="99" t="s">
        <v>4854</v>
      </c>
      <c r="BP196" s="90">
        <v>0.96599999999999997</v>
      </c>
      <c r="BQ196" s="99" t="s">
        <v>4854</v>
      </c>
      <c r="BR196" s="99" t="s">
        <v>4854</v>
      </c>
      <c r="BS196" s="5" t="s">
        <v>4857</v>
      </c>
    </row>
    <row r="197" spans="1:71" s="30" customFormat="1" ht="17.100000000000001" customHeight="1">
      <c r="A197" s="10">
        <v>186</v>
      </c>
      <c r="B197" s="10" t="s">
        <v>4148</v>
      </c>
      <c r="C197" s="4" t="s">
        <v>4715</v>
      </c>
      <c r="D197" s="4" t="s">
        <v>4149</v>
      </c>
      <c r="E197" s="4" t="s">
        <v>4150</v>
      </c>
      <c r="F197" s="10" t="s">
        <v>4151</v>
      </c>
      <c r="G197" s="4" t="s">
        <v>4152</v>
      </c>
      <c r="H197" s="7" t="s">
        <v>4153</v>
      </c>
      <c r="I197" s="4" t="s">
        <v>4154</v>
      </c>
      <c r="J197" s="10" t="s">
        <v>4124</v>
      </c>
      <c r="K197" s="4" t="s">
        <v>5445</v>
      </c>
      <c r="L197" s="4" t="s">
        <v>4155</v>
      </c>
      <c r="M197" s="10">
        <v>3</v>
      </c>
      <c r="N197" s="95">
        <v>691.35419999999999</v>
      </c>
      <c r="O197" s="37" t="str">
        <f>HYPERLINK("http://ms.phosphosite.org:5080/cgi-bin/plot-msms.cgi?MassType=1&amp;NumAxis=1&amp;Mod1=147&amp;Mod17=170&amp;Pep=MSATFIGNSTAIQELFKR&amp;Dta=/var/www/html/dta/S01/10558.12609.3.dta&amp;Global_Mod=CS57.0215", "12609")</f>
        <v>12609</v>
      </c>
      <c r="P197" s="38" t="s">
        <v>4854</v>
      </c>
      <c r="Q197" s="38" t="s">
        <v>4854</v>
      </c>
      <c r="R197" s="38" t="s">
        <v>4854</v>
      </c>
      <c r="S197" s="38" t="s">
        <v>4854</v>
      </c>
      <c r="T197" s="37" t="str">
        <f>HYPERLINK("http://ms.phosphosite.org:5080/cgi-bin/plot-msms.cgi?MassType=1&amp;NumAxis=1&amp;Mod1=147&amp;Mod17=170&amp;Pep=MSATFIGNSTAIQELFKR&amp;Dta=/var/www/html/dta/S01/10563.12824.3.dta&amp;Global_Mod=CS57.0215", "12824")</f>
        <v>12824</v>
      </c>
      <c r="U197" s="38" t="s">
        <v>4854</v>
      </c>
      <c r="V197" s="38" t="s">
        <v>4854</v>
      </c>
      <c r="W197" s="10">
        <v>12604</v>
      </c>
      <c r="X197" s="4" t="s">
        <v>4854</v>
      </c>
      <c r="Y197" s="4" t="s">
        <v>4854</v>
      </c>
      <c r="Z197" s="4" t="s">
        <v>4854</v>
      </c>
      <c r="AA197" s="4" t="s">
        <v>4854</v>
      </c>
      <c r="AB197" s="10">
        <v>12785</v>
      </c>
      <c r="AC197" s="4" t="s">
        <v>4854</v>
      </c>
      <c r="AD197" s="4" t="s">
        <v>4854</v>
      </c>
      <c r="AE197" s="91">
        <v>2.4620000000000002</v>
      </c>
      <c r="AF197" s="100" t="s">
        <v>4854</v>
      </c>
      <c r="AG197" s="100" t="s">
        <v>4854</v>
      </c>
      <c r="AH197" s="100" t="s">
        <v>4854</v>
      </c>
      <c r="AI197" s="100" t="s">
        <v>4854</v>
      </c>
      <c r="AJ197" s="91">
        <v>2.3460000000000001</v>
      </c>
      <c r="AK197" s="100" t="s">
        <v>4854</v>
      </c>
      <c r="AL197" s="100" t="s">
        <v>4854</v>
      </c>
      <c r="AM197" s="95">
        <v>-9.1200000000000003E-2</v>
      </c>
      <c r="AN197" s="103" t="s">
        <v>4854</v>
      </c>
      <c r="AO197" s="103" t="s">
        <v>4854</v>
      </c>
      <c r="AP197" s="103" t="s">
        <v>4854</v>
      </c>
      <c r="AQ197" s="103" t="s">
        <v>4854</v>
      </c>
      <c r="AR197" s="95">
        <v>0.47439999999999999</v>
      </c>
      <c r="AS197" s="103" t="s">
        <v>4854</v>
      </c>
      <c r="AT197" s="103" t="s">
        <v>4854</v>
      </c>
      <c r="AU197" s="95">
        <v>0.18099999999999999</v>
      </c>
      <c r="AV197" s="103" t="s">
        <v>4854</v>
      </c>
      <c r="AW197" s="103" t="s">
        <v>4854</v>
      </c>
      <c r="AX197" s="103" t="s">
        <v>4854</v>
      </c>
      <c r="AY197" s="103" t="s">
        <v>4854</v>
      </c>
      <c r="AZ197" s="95">
        <v>0.185</v>
      </c>
      <c r="BA197" s="103" t="s">
        <v>4854</v>
      </c>
      <c r="BB197" s="103" t="s">
        <v>4854</v>
      </c>
      <c r="BC197" s="10">
        <v>1</v>
      </c>
      <c r="BD197" s="4" t="s">
        <v>4854</v>
      </c>
      <c r="BE197" s="4" t="s">
        <v>4854</v>
      </c>
      <c r="BF197" s="4" t="s">
        <v>4854</v>
      </c>
      <c r="BG197" s="4" t="s">
        <v>4854</v>
      </c>
      <c r="BH197" s="10">
        <v>43</v>
      </c>
      <c r="BI197" s="4" t="s">
        <v>4854</v>
      </c>
      <c r="BJ197" s="4" t="s">
        <v>4854</v>
      </c>
      <c r="BK197" s="91">
        <v>0.999</v>
      </c>
      <c r="BL197" s="100" t="s">
        <v>4854</v>
      </c>
      <c r="BM197" s="100" t="s">
        <v>4854</v>
      </c>
      <c r="BN197" s="100" t="s">
        <v>4854</v>
      </c>
      <c r="BO197" s="100" t="s">
        <v>4854</v>
      </c>
      <c r="BP197" s="91">
        <v>0.998</v>
      </c>
      <c r="BQ197" s="100" t="s">
        <v>4854</v>
      </c>
      <c r="BR197" s="100" t="s">
        <v>4854</v>
      </c>
      <c r="BS197" s="10" t="s">
        <v>4857</v>
      </c>
    </row>
    <row r="198" spans="1:71" s="30" customFormat="1" ht="17.100000000000001" customHeight="1">
      <c r="A198" s="14">
        <v>187</v>
      </c>
      <c r="B198" s="5" t="s">
        <v>4156</v>
      </c>
      <c r="C198" s="3" t="s">
        <v>4715</v>
      </c>
      <c r="D198" s="3" t="s">
        <v>4157</v>
      </c>
      <c r="E198" s="3" t="s">
        <v>4158</v>
      </c>
      <c r="F198" s="5" t="s">
        <v>4631</v>
      </c>
      <c r="G198" s="3" t="s">
        <v>4152</v>
      </c>
      <c r="H198" s="6" t="s">
        <v>4159</v>
      </c>
      <c r="I198" s="3" t="s">
        <v>4154</v>
      </c>
      <c r="J198" s="5" t="s">
        <v>4823</v>
      </c>
      <c r="K198" s="3" t="s">
        <v>5446</v>
      </c>
      <c r="L198" s="3" t="s">
        <v>4160</v>
      </c>
      <c r="M198" s="5">
        <v>2</v>
      </c>
      <c r="N198" s="21">
        <v>956.98119999999994</v>
      </c>
      <c r="O198" s="36" t="str">
        <f>HYPERLINK("http://ms.phosphosite.org:5080/cgi-bin/plot-msms.cgi?MassType=1&amp;NumAxis=1&amp;Mod12=170&amp;Pep=INVYYNEAAGNKYVPR&amp;Dta=/var/www/html/dta/S01/10558.7758.2.dta&amp;Global_Mod=CS57.0215", "7758")</f>
        <v>7758</v>
      </c>
      <c r="P198" s="36" t="str">
        <f>HYPERLINK("http://ms.phosphosite.org:5080/cgi-bin/plot-msms.cgi?MassType=1&amp;NumAxis=1&amp;Mod12=170&amp;Pep=INVYYNEAAGNKYVPR&amp;Dta=/var/www/html/dta/S01/10559.7718.2.dta&amp;Global_Mod=CS57.0215", "7718")</f>
        <v>7718</v>
      </c>
      <c r="Q198" s="36" t="str">
        <f>HYPERLINK("http://ms.phosphosite.org:5080/cgi-bin/plot-msms.cgi?MassType=1&amp;NumAxis=1&amp;Mod12=170&amp;Pep=INVYYNEAAGNKYVPR&amp;Dta=/var/www/html/dta/S01/10560.7695.2.dta&amp;Global_Mod=CS57.0215", "7695")</f>
        <v>7695</v>
      </c>
      <c r="R198" s="36" t="str">
        <f>HYPERLINK("http://ms.phosphosite.org:5080/cgi-bin/plot-msms.cgi?MassType=1&amp;NumAxis=1&amp;Mod12=170&amp;Pep=INVYYNEAAGNKYVPR&amp;Dta=/var/www/html/dta/S01/10561.7741.2.dta&amp;Global_Mod=CS57.0215", "7741")</f>
        <v>7741</v>
      </c>
      <c r="S198" s="36" t="str">
        <f>HYPERLINK("http://ms.phosphosite.org:5080/cgi-bin/plot-msms.cgi?MassType=1&amp;NumAxis=1&amp;Mod12=170&amp;Pep=INVYYNEAAGNKYVPR&amp;Dta=/var/www/html/dta/S01/10562.7839.2.dta&amp;Global_Mod=CS57.0215", "7839")</f>
        <v>7839</v>
      </c>
      <c r="T198" s="36" t="str">
        <f>HYPERLINK("http://ms.phosphosite.org:5080/cgi-bin/plot-msms.cgi?MassType=1&amp;NumAxis=1&amp;Mod12=170&amp;Pep=INVYYNEAAGNKYVPR&amp;Dta=/var/www/html/dta/S01/10563.7823.2.dta&amp;Global_Mod=CS57.0215", "7823")</f>
        <v>7823</v>
      </c>
      <c r="U198" s="36" t="str">
        <f>HYPERLINK("http://ms.phosphosite.org:5080/cgi-bin/plot-msms.cgi?MassType=1&amp;NumAxis=1&amp;Mod12=170&amp;Pep=INVYYNEAAGNKYVPR&amp;Dta=/var/www/html/dta/S01/10564.8199.2.dta&amp;Global_Mod=CS57.0215", "8199")</f>
        <v>8199</v>
      </c>
      <c r="V198" s="36" t="str">
        <f>HYPERLINK("http://ms.phosphosite.org:5080/cgi-bin/plot-msms.cgi?MassType=1&amp;NumAxis=1&amp;Mod12=170&amp;Pep=INVYYNEAAGNKYVPR&amp;Dta=/var/www/html/dta/S01/10565.8241.2.dta&amp;Global_Mod=CS57.0215", "8241")</f>
        <v>8241</v>
      </c>
      <c r="W198" s="5">
        <v>7754</v>
      </c>
      <c r="X198" s="5">
        <v>7713</v>
      </c>
      <c r="Y198" s="5">
        <v>7697</v>
      </c>
      <c r="Z198" s="5">
        <v>7746</v>
      </c>
      <c r="AA198" s="5">
        <v>7841</v>
      </c>
      <c r="AB198" s="5">
        <v>7828</v>
      </c>
      <c r="AC198" s="5">
        <v>8201</v>
      </c>
      <c r="AD198" s="5">
        <v>8242</v>
      </c>
      <c r="AE198" s="90">
        <v>4.6870000000000003</v>
      </c>
      <c r="AF198" s="90">
        <v>3.472</v>
      </c>
      <c r="AG198" s="90">
        <v>4.8559999999999999</v>
      </c>
      <c r="AH198" s="90">
        <v>4.0949999999999998</v>
      </c>
      <c r="AI198" s="90">
        <v>4.8259999999999996</v>
      </c>
      <c r="AJ198" s="90">
        <v>4.7510000000000003</v>
      </c>
      <c r="AK198" s="90">
        <v>4.6210000000000004</v>
      </c>
      <c r="AL198" s="90">
        <v>4.8609999999999998</v>
      </c>
      <c r="AM198" s="21">
        <v>0.73660000000000003</v>
      </c>
      <c r="AN198" s="21">
        <v>1.7393000000000001</v>
      </c>
      <c r="AO198" s="21">
        <v>1.3942000000000001</v>
      </c>
      <c r="AP198" s="21">
        <v>1.1355</v>
      </c>
      <c r="AQ198" s="21">
        <v>0.66500000000000004</v>
      </c>
      <c r="AR198" s="21">
        <v>1.0545</v>
      </c>
      <c r="AS198" s="21">
        <v>1.1146</v>
      </c>
      <c r="AT198" s="21">
        <v>0.12239999999999999</v>
      </c>
      <c r="AU198" s="21">
        <v>0.34599999999999997</v>
      </c>
      <c r="AV198" s="21">
        <v>0.38900000000000001</v>
      </c>
      <c r="AW198" s="21">
        <v>0.41</v>
      </c>
      <c r="AX198" s="21">
        <v>0.38100000000000001</v>
      </c>
      <c r="AY198" s="21">
        <v>0.38400000000000001</v>
      </c>
      <c r="AZ198" s="21">
        <v>0.39</v>
      </c>
      <c r="BA198" s="21">
        <v>0.38900000000000001</v>
      </c>
      <c r="BB198" s="21">
        <v>0.38600000000000001</v>
      </c>
      <c r="BC198" s="5">
        <v>1</v>
      </c>
      <c r="BD198" s="5">
        <v>1</v>
      </c>
      <c r="BE198" s="5">
        <v>1</v>
      </c>
      <c r="BF198" s="5">
        <v>1</v>
      </c>
      <c r="BG198" s="5">
        <v>1</v>
      </c>
      <c r="BH198" s="5">
        <v>1</v>
      </c>
      <c r="BI198" s="5">
        <v>1</v>
      </c>
      <c r="BJ198" s="5">
        <v>1</v>
      </c>
      <c r="BK198" s="90">
        <v>1</v>
      </c>
      <c r="BL198" s="90">
        <v>1</v>
      </c>
      <c r="BM198" s="90">
        <v>1</v>
      </c>
      <c r="BN198" s="90">
        <v>1</v>
      </c>
      <c r="BO198" s="90">
        <v>1</v>
      </c>
      <c r="BP198" s="90">
        <v>1</v>
      </c>
      <c r="BQ198" s="90">
        <v>1</v>
      </c>
      <c r="BR198" s="90">
        <v>1</v>
      </c>
      <c r="BS198" s="5" t="s">
        <v>4857</v>
      </c>
    </row>
    <row r="199" spans="1:71" s="30" customFormat="1" ht="17.100000000000001" customHeight="1">
      <c r="A199" s="14">
        <v>188</v>
      </c>
      <c r="B199" s="5" t="s">
        <v>4027</v>
      </c>
      <c r="C199" s="3" t="s">
        <v>4715</v>
      </c>
      <c r="D199" s="3" t="s">
        <v>4157</v>
      </c>
      <c r="E199" s="3" t="s">
        <v>4158</v>
      </c>
      <c r="F199" s="5" t="s">
        <v>4631</v>
      </c>
      <c r="G199" s="3" t="s">
        <v>4152</v>
      </c>
      <c r="H199" s="6" t="s">
        <v>4159</v>
      </c>
      <c r="I199" s="3" t="s">
        <v>4154</v>
      </c>
      <c r="J199" s="5" t="s">
        <v>4823</v>
      </c>
      <c r="K199" s="3" t="s">
        <v>5446</v>
      </c>
      <c r="L199" s="3" t="s">
        <v>4160</v>
      </c>
      <c r="M199" s="5">
        <v>3</v>
      </c>
      <c r="N199" s="21">
        <v>638.32330000000002</v>
      </c>
      <c r="O199" s="36" t="str">
        <f>HYPERLINK("http://ms.phosphosite.org:5080/cgi-bin/plot-msms.cgi?MassType=1&amp;NumAxis=1&amp;Mod12=170&amp;Pep=INVYYNEAAGNKYVPR&amp;Dta=/var/www/html/dta/S01/10558.7759.3.dta&amp;Global_Mod=CS57.0215", "7759")</f>
        <v>7759</v>
      </c>
      <c r="P199" s="36" t="str">
        <f>HYPERLINK("http://ms.phosphosite.org:5080/cgi-bin/plot-msms.cgi?MassType=1&amp;NumAxis=1&amp;Mod12=170&amp;Pep=INVYYNEAAGNKYVPR&amp;Dta=/var/www/html/dta/S01/10559.7720.3.dta&amp;Global_Mod=CS57.0215", "7720")</f>
        <v>7720</v>
      </c>
      <c r="Q199" s="36" t="str">
        <f>HYPERLINK("http://ms.phosphosite.org:5080/cgi-bin/plot-msms.cgi?MassType=1&amp;NumAxis=1&amp;Mod12=170&amp;Pep=INVYYNEAAGNKYVPR&amp;Dta=/var/www/html/dta/S01/10560.7716.3.dta&amp;Global_Mod=CS57.0215", "7716")</f>
        <v>7716</v>
      </c>
      <c r="R199" s="36" t="str">
        <f>HYPERLINK("http://ms.phosphosite.org:5080/cgi-bin/plot-msms.cgi?MassType=1&amp;NumAxis=1&amp;Mod12=170&amp;Pep=INVYYNEAAGNKYVPR&amp;Dta=/var/www/html/dta/S01/10561.7739.3.dta&amp;Global_Mod=CS57.0215", "7739")</f>
        <v>7739</v>
      </c>
      <c r="S199" s="36" t="str">
        <f>HYPERLINK("http://ms.phosphosite.org:5080/cgi-bin/plot-msms.cgi?MassType=1&amp;NumAxis=1&amp;Mod12=170&amp;Pep=INVYYNEAAGNKYVPR&amp;Dta=/var/www/html/dta/S01/10562.7871.3.dta&amp;Global_Mod=CS57.0215", "7871")</f>
        <v>7871</v>
      </c>
      <c r="T199" s="36" t="str">
        <f>HYPERLINK("http://ms.phosphosite.org:5080/cgi-bin/plot-msms.cgi?MassType=1&amp;NumAxis=1&amp;Mod12=170&amp;Pep=INVYYNEAAGNKYVPR&amp;Dta=/var/www/html/dta/S01/10563.7843.3.dta&amp;Global_Mod=CS57.0215", "7843")</f>
        <v>7843</v>
      </c>
      <c r="U199" s="35" t="s">
        <v>4854</v>
      </c>
      <c r="V199" s="35" t="s">
        <v>4854</v>
      </c>
      <c r="W199" s="5">
        <v>7754</v>
      </c>
      <c r="X199" s="5">
        <v>7713</v>
      </c>
      <c r="Y199" s="5">
        <v>7697</v>
      </c>
      <c r="Z199" s="5">
        <v>7746</v>
      </c>
      <c r="AA199" s="5">
        <v>7852</v>
      </c>
      <c r="AB199" s="5">
        <v>7839</v>
      </c>
      <c r="AC199" s="3" t="s">
        <v>4854</v>
      </c>
      <c r="AD199" s="3" t="s">
        <v>4854</v>
      </c>
      <c r="AE199" s="90">
        <v>4.3559999999999999</v>
      </c>
      <c r="AF199" s="90">
        <v>3.702</v>
      </c>
      <c r="AG199" s="90">
        <v>3.5830000000000002</v>
      </c>
      <c r="AH199" s="90">
        <v>4.3810000000000002</v>
      </c>
      <c r="AI199" s="90">
        <v>3.7959999999999998</v>
      </c>
      <c r="AJ199" s="90">
        <v>3.5019999999999998</v>
      </c>
      <c r="AK199" s="99" t="s">
        <v>4854</v>
      </c>
      <c r="AL199" s="99" t="s">
        <v>4854</v>
      </c>
      <c r="AM199" s="21">
        <v>0.42399999999999999</v>
      </c>
      <c r="AN199" s="21">
        <v>0.90549999999999997</v>
      </c>
      <c r="AO199" s="21">
        <v>0.78890000000000005</v>
      </c>
      <c r="AP199" s="21">
        <v>0.74809999999999999</v>
      </c>
      <c r="AQ199" s="21">
        <v>0.32569999999999999</v>
      </c>
      <c r="AR199" s="21">
        <v>0.64200000000000002</v>
      </c>
      <c r="AS199" s="102" t="s">
        <v>4854</v>
      </c>
      <c r="AT199" s="102" t="s">
        <v>4854</v>
      </c>
      <c r="AU199" s="21">
        <v>0.44500000000000001</v>
      </c>
      <c r="AV199" s="21">
        <v>0.35499999999999998</v>
      </c>
      <c r="AW199" s="21">
        <v>0.34100000000000003</v>
      </c>
      <c r="AX199" s="21">
        <v>0.48399999999999999</v>
      </c>
      <c r="AY199" s="21">
        <v>0.43</v>
      </c>
      <c r="AZ199" s="21">
        <v>0.42</v>
      </c>
      <c r="BA199" s="102" t="s">
        <v>4854</v>
      </c>
      <c r="BB199" s="102" t="s">
        <v>4854</v>
      </c>
      <c r="BC199" s="5">
        <v>1</v>
      </c>
      <c r="BD199" s="5">
        <v>1</v>
      </c>
      <c r="BE199" s="5">
        <v>1</v>
      </c>
      <c r="BF199" s="5">
        <v>1</v>
      </c>
      <c r="BG199" s="5">
        <v>1</v>
      </c>
      <c r="BH199" s="5">
        <v>1</v>
      </c>
      <c r="BI199" s="3" t="s">
        <v>4854</v>
      </c>
      <c r="BJ199" s="3" t="s">
        <v>4854</v>
      </c>
      <c r="BK199" s="90">
        <v>1</v>
      </c>
      <c r="BL199" s="90">
        <v>1</v>
      </c>
      <c r="BM199" s="90">
        <v>1</v>
      </c>
      <c r="BN199" s="90">
        <v>1</v>
      </c>
      <c r="BO199" s="90">
        <v>1</v>
      </c>
      <c r="BP199" s="90">
        <v>1</v>
      </c>
      <c r="BQ199" s="99" t="s">
        <v>4854</v>
      </c>
      <c r="BR199" s="99" t="s">
        <v>4854</v>
      </c>
      <c r="BS199" s="5" t="s">
        <v>4857</v>
      </c>
    </row>
    <row r="200" spans="1:71" s="30" customFormat="1" ht="17.100000000000001" customHeight="1">
      <c r="A200" s="14">
        <v>189</v>
      </c>
      <c r="B200" s="5" t="s">
        <v>4028</v>
      </c>
      <c r="C200" s="3" t="s">
        <v>4715</v>
      </c>
      <c r="D200" s="3" t="s">
        <v>4157</v>
      </c>
      <c r="E200" s="3" t="s">
        <v>4158</v>
      </c>
      <c r="F200" s="5" t="s">
        <v>4631</v>
      </c>
      <c r="G200" s="3" t="s">
        <v>4152</v>
      </c>
      <c r="H200" s="6" t="s">
        <v>4159</v>
      </c>
      <c r="I200" s="3" t="s">
        <v>4154</v>
      </c>
      <c r="J200" s="5" t="s">
        <v>4823</v>
      </c>
      <c r="K200" s="3" t="s">
        <v>5446</v>
      </c>
      <c r="L200" s="3" t="s">
        <v>4160</v>
      </c>
      <c r="M200" s="5">
        <v>3</v>
      </c>
      <c r="N200" s="21">
        <v>638.32330000000002</v>
      </c>
      <c r="O200" s="36" t="str">
        <f>HYPERLINK("http://ms.phosphosite.org:5080/cgi-bin/plot-msms.cgi?MassType=1&amp;NumAxis=1&amp;Mod12=170&amp;Pep=INVYYNEAAGNKYVPR&amp;Dta=/var/www/html/dta/S01/10558.7772.3.dta&amp;Global_Mod=CS57.0215", "7772")</f>
        <v>7772</v>
      </c>
      <c r="P200" s="35" t="s">
        <v>4854</v>
      </c>
      <c r="Q200" s="35" t="s">
        <v>4854</v>
      </c>
      <c r="R200" s="35" t="s">
        <v>4854</v>
      </c>
      <c r="S200" s="35" t="s">
        <v>4854</v>
      </c>
      <c r="T200" s="35" t="s">
        <v>4854</v>
      </c>
      <c r="U200" s="35" t="s">
        <v>4854</v>
      </c>
      <c r="V200" s="35" t="s">
        <v>4854</v>
      </c>
      <c r="W200" s="3" t="s">
        <v>4854</v>
      </c>
      <c r="X200" s="3" t="s">
        <v>4854</v>
      </c>
      <c r="Y200" s="3" t="s">
        <v>4854</v>
      </c>
      <c r="Z200" s="3" t="s">
        <v>4854</v>
      </c>
      <c r="AA200" s="3" t="s">
        <v>4854</v>
      </c>
      <c r="AB200" s="3" t="s">
        <v>4854</v>
      </c>
      <c r="AC200" s="3" t="s">
        <v>4854</v>
      </c>
      <c r="AD200" s="3" t="s">
        <v>4854</v>
      </c>
      <c r="AE200" s="90">
        <v>2.0979999999999999</v>
      </c>
      <c r="AF200" s="99" t="s">
        <v>4854</v>
      </c>
      <c r="AG200" s="99" t="s">
        <v>4854</v>
      </c>
      <c r="AH200" s="99" t="s">
        <v>4854</v>
      </c>
      <c r="AI200" s="99" t="s">
        <v>4854</v>
      </c>
      <c r="AJ200" s="99" t="s">
        <v>4854</v>
      </c>
      <c r="AK200" s="99" t="s">
        <v>4854</v>
      </c>
      <c r="AL200" s="99" t="s">
        <v>4854</v>
      </c>
      <c r="AM200" s="21">
        <v>0.2379</v>
      </c>
      <c r="AN200" s="102" t="s">
        <v>4854</v>
      </c>
      <c r="AO200" s="102" t="s">
        <v>4854</v>
      </c>
      <c r="AP200" s="102" t="s">
        <v>4854</v>
      </c>
      <c r="AQ200" s="102" t="s">
        <v>4854</v>
      </c>
      <c r="AR200" s="102" t="s">
        <v>4854</v>
      </c>
      <c r="AS200" s="102" t="s">
        <v>4854</v>
      </c>
      <c r="AT200" s="102" t="s">
        <v>4854</v>
      </c>
      <c r="AU200" s="21">
        <v>5.3999999999999999E-2</v>
      </c>
      <c r="AV200" s="102" t="s">
        <v>4854</v>
      </c>
      <c r="AW200" s="102" t="s">
        <v>4854</v>
      </c>
      <c r="AX200" s="102" t="s">
        <v>4854</v>
      </c>
      <c r="AY200" s="102" t="s">
        <v>4854</v>
      </c>
      <c r="AZ200" s="102" t="s">
        <v>4854</v>
      </c>
      <c r="BA200" s="102" t="s">
        <v>4854</v>
      </c>
      <c r="BB200" s="102" t="s">
        <v>4854</v>
      </c>
      <c r="BC200" s="5">
        <v>92</v>
      </c>
      <c r="BD200" s="3" t="s">
        <v>4854</v>
      </c>
      <c r="BE200" s="3" t="s">
        <v>4854</v>
      </c>
      <c r="BF200" s="3" t="s">
        <v>4854</v>
      </c>
      <c r="BG200" s="3" t="s">
        <v>4854</v>
      </c>
      <c r="BH200" s="3" t="s">
        <v>4854</v>
      </c>
      <c r="BI200" s="3" t="s">
        <v>4854</v>
      </c>
      <c r="BJ200" s="3" t="s">
        <v>4854</v>
      </c>
      <c r="BK200" s="90">
        <v>0.877</v>
      </c>
      <c r="BL200" s="99" t="s">
        <v>4854</v>
      </c>
      <c r="BM200" s="99" t="s">
        <v>4854</v>
      </c>
      <c r="BN200" s="99" t="s">
        <v>4854</v>
      </c>
      <c r="BO200" s="99" t="s">
        <v>4854</v>
      </c>
      <c r="BP200" s="99" t="s">
        <v>4854</v>
      </c>
      <c r="BQ200" s="99" t="s">
        <v>4854</v>
      </c>
      <c r="BR200" s="99" t="s">
        <v>4854</v>
      </c>
      <c r="BS200" s="5" t="s">
        <v>4857</v>
      </c>
    </row>
    <row r="201" spans="1:71" s="30" customFormat="1" ht="17.100000000000001" customHeight="1">
      <c r="A201" s="10">
        <v>190</v>
      </c>
      <c r="B201" s="10" t="s">
        <v>4029</v>
      </c>
      <c r="C201" s="4" t="s">
        <v>4715</v>
      </c>
      <c r="D201" s="4" t="s">
        <v>4030</v>
      </c>
      <c r="E201" s="7" t="s">
        <v>4031</v>
      </c>
      <c r="F201" s="10" t="s">
        <v>5178</v>
      </c>
      <c r="G201" s="4" t="s">
        <v>4032</v>
      </c>
      <c r="H201" s="7" t="s">
        <v>4033</v>
      </c>
      <c r="I201" s="4" t="s">
        <v>4034</v>
      </c>
      <c r="J201" s="10" t="s">
        <v>4823</v>
      </c>
      <c r="K201" s="4" t="s">
        <v>5447</v>
      </c>
      <c r="L201" s="4" t="s">
        <v>4035</v>
      </c>
      <c r="M201" s="10">
        <v>2</v>
      </c>
      <c r="N201" s="95">
        <v>977.98649999999998</v>
      </c>
      <c r="O201" s="37" t="str">
        <f>HYPERLINK("http://ms.phosphosite.org:5080/cgi-bin/plot-msms.cgi?MassType=1&amp;NumAxis=1&amp;Mod12=170&amp;Pep=ISVYYNEASSHKYVPR&amp;Dta=/var/www/html/dta/S01/10558.6171.2.dta&amp;Global_Mod=CS57.0215", "6171")</f>
        <v>6171</v>
      </c>
      <c r="P201" s="37" t="str">
        <f>HYPERLINK("http://ms.phosphosite.org:5080/cgi-bin/plot-msms.cgi?MassType=1&amp;NumAxis=1&amp;Mod12=170&amp;Pep=ISVYYNEASSHKYVPR&amp;Dta=/var/www/html/dta/S01/10559.6126.2.dta&amp;Global_Mod=CS57.0215", "6126")</f>
        <v>6126</v>
      </c>
      <c r="Q201" s="37" t="str">
        <f>HYPERLINK("http://ms.phosphosite.org:5080/cgi-bin/plot-msms.cgi?MassType=1&amp;NumAxis=1&amp;Mod12=170&amp;Pep=ISVYYNEASSHKYVPR&amp;Dta=/var/www/html/dta/S01/10560.6098.2.dta&amp;Global_Mod=CS57.0215", "6098")</f>
        <v>6098</v>
      </c>
      <c r="R201" s="37" t="str">
        <f>HYPERLINK("http://ms.phosphosite.org:5080/cgi-bin/plot-msms.cgi?MassType=1&amp;NumAxis=1&amp;Mod12=170&amp;Pep=ISVYYNEASSHKYVPR&amp;Dta=/var/www/html/dta/S01/10561.6148.2.dta&amp;Global_Mod=CS57.0215", "6148")</f>
        <v>6148</v>
      </c>
      <c r="S201" s="37" t="str">
        <f>HYPERLINK("http://ms.phosphosite.org:5080/cgi-bin/plot-msms.cgi?MassType=1&amp;NumAxis=1&amp;Mod12=170&amp;Pep=ISVYYNEASSHKYVPR&amp;Dta=/var/www/html/dta/S01/10562.6259.2.dta&amp;Global_Mod=CS57.0215", "6259")</f>
        <v>6259</v>
      </c>
      <c r="T201" s="37" t="str">
        <f>HYPERLINK("http://ms.phosphosite.org:5080/cgi-bin/plot-msms.cgi?MassType=1&amp;NumAxis=1&amp;Mod12=170&amp;Pep=ISVYYNEASSHKYVPR&amp;Dta=/var/www/html/dta/S01/10563.6217.2.dta&amp;Global_Mod=CS57.0215", "6217")</f>
        <v>6217</v>
      </c>
      <c r="U201" s="37" t="str">
        <f>HYPERLINK("http://ms.phosphosite.org:5080/cgi-bin/plot-msms.cgi?MassType=1&amp;NumAxis=1&amp;Mod12=170&amp;Pep=ISVYYNEASSHKYVPR&amp;Dta=/var/www/html/dta/S01/10564.6514.2.dta&amp;Global_Mod=CS57.0215", "6514")</f>
        <v>6514</v>
      </c>
      <c r="V201" s="37" t="str">
        <f>HYPERLINK("http://ms.phosphosite.org:5080/cgi-bin/plot-msms.cgi?MassType=1&amp;NumAxis=1&amp;Mod12=170&amp;Pep=ISVYYNEASSHKYVPR&amp;Dta=/var/www/html/dta/S01/10565.6595.2.dta&amp;Global_Mod=CS57.0215", "6595")</f>
        <v>6595</v>
      </c>
      <c r="W201" s="10">
        <v>6152</v>
      </c>
      <c r="X201" s="10">
        <v>6118</v>
      </c>
      <c r="Y201" s="10">
        <v>6080</v>
      </c>
      <c r="Z201" s="10">
        <v>6162</v>
      </c>
      <c r="AA201" s="10">
        <v>6271</v>
      </c>
      <c r="AB201" s="10">
        <v>6211</v>
      </c>
      <c r="AC201" s="10">
        <v>6496</v>
      </c>
      <c r="AD201" s="10">
        <v>6592</v>
      </c>
      <c r="AE201" s="91">
        <v>1.6739999999999999</v>
      </c>
      <c r="AF201" s="91">
        <v>2.66</v>
      </c>
      <c r="AG201" s="91">
        <v>2.835</v>
      </c>
      <c r="AH201" s="91">
        <v>3.0230000000000001</v>
      </c>
      <c r="AI201" s="91">
        <v>1.6579999999999999</v>
      </c>
      <c r="AJ201" s="91">
        <v>3.4009999999999998</v>
      </c>
      <c r="AK201" s="91">
        <v>2.8210000000000002</v>
      </c>
      <c r="AL201" s="91">
        <v>1.77</v>
      </c>
      <c r="AM201" s="95">
        <v>1.077</v>
      </c>
      <c r="AN201" s="95">
        <v>1.3588</v>
      </c>
      <c r="AO201" s="95">
        <v>1.6504000000000001</v>
      </c>
      <c r="AP201" s="95">
        <v>1.1588000000000001</v>
      </c>
      <c r="AQ201" s="95">
        <v>1.0366</v>
      </c>
      <c r="AR201" s="95">
        <v>0.45960000000000001</v>
      </c>
      <c r="AS201" s="95">
        <v>0.74960000000000004</v>
      </c>
      <c r="AT201" s="95">
        <v>0.52910000000000001</v>
      </c>
      <c r="AU201" s="95">
        <v>0.34499999999999997</v>
      </c>
      <c r="AV201" s="95">
        <v>0.47499999999999998</v>
      </c>
      <c r="AW201" s="95">
        <v>0.44600000000000001</v>
      </c>
      <c r="AX201" s="95">
        <v>0.46899999999999997</v>
      </c>
      <c r="AY201" s="95">
        <v>0.33</v>
      </c>
      <c r="AZ201" s="95">
        <v>0.48699999999999999</v>
      </c>
      <c r="BA201" s="95">
        <v>0.41799999999999998</v>
      </c>
      <c r="BB201" s="95">
        <v>0.498</v>
      </c>
      <c r="BC201" s="10">
        <v>15</v>
      </c>
      <c r="BD201" s="10">
        <v>1</v>
      </c>
      <c r="BE201" s="10">
        <v>4</v>
      </c>
      <c r="BF201" s="10">
        <v>1</v>
      </c>
      <c r="BG201" s="10">
        <v>4</v>
      </c>
      <c r="BH201" s="10">
        <v>1</v>
      </c>
      <c r="BI201" s="10">
        <v>1</v>
      </c>
      <c r="BJ201" s="10">
        <v>3</v>
      </c>
      <c r="BK201" s="91">
        <v>0.99199999999999999</v>
      </c>
      <c r="BL201" s="91">
        <v>1</v>
      </c>
      <c r="BM201" s="91">
        <v>0.999</v>
      </c>
      <c r="BN201" s="91">
        <v>1</v>
      </c>
      <c r="BO201" s="91">
        <v>0.99299999999999999</v>
      </c>
      <c r="BP201" s="91">
        <v>1</v>
      </c>
      <c r="BQ201" s="91">
        <v>1</v>
      </c>
      <c r="BR201" s="91">
        <v>0.999</v>
      </c>
      <c r="BS201" s="10" t="s">
        <v>4857</v>
      </c>
    </row>
    <row r="202" spans="1:71" s="30" customFormat="1" ht="17.100000000000001" customHeight="1">
      <c r="A202" s="10">
        <v>191</v>
      </c>
      <c r="B202" s="10" t="s">
        <v>4036</v>
      </c>
      <c r="C202" s="4" t="s">
        <v>4715</v>
      </c>
      <c r="D202" s="4" t="s">
        <v>4030</v>
      </c>
      <c r="E202" s="7" t="s">
        <v>4031</v>
      </c>
      <c r="F202" s="10" t="s">
        <v>5178</v>
      </c>
      <c r="G202" s="4" t="s">
        <v>4032</v>
      </c>
      <c r="H202" s="7" t="s">
        <v>4033</v>
      </c>
      <c r="I202" s="4" t="s">
        <v>4034</v>
      </c>
      <c r="J202" s="10" t="s">
        <v>4823</v>
      </c>
      <c r="K202" s="4" t="s">
        <v>5447</v>
      </c>
      <c r="L202" s="4" t="s">
        <v>4035</v>
      </c>
      <c r="M202" s="10">
        <v>3</v>
      </c>
      <c r="N202" s="95">
        <v>652.32680000000005</v>
      </c>
      <c r="O202" s="37" t="str">
        <f>HYPERLINK("http://ms.phosphosite.org:5080/cgi-bin/plot-msms.cgi?MassType=1&amp;NumAxis=1&amp;Mod12=170&amp;Pep=ISVYYNEASSHKYVPR&amp;Dta=/var/www/html/dta/S01/10558.6122.3.dta&amp;Global_Mod=CS57.0215", "6122")</f>
        <v>6122</v>
      </c>
      <c r="P202" s="37" t="str">
        <f>HYPERLINK("http://ms.phosphosite.org:5080/cgi-bin/plot-msms.cgi?MassType=1&amp;NumAxis=1&amp;Mod12=170&amp;Pep=ISVYYNEASSHKYVPR&amp;Dta=/var/www/html/dta/S01/10559.6088.3.dta&amp;Global_Mod=CS57.0215", "6088")</f>
        <v>6088</v>
      </c>
      <c r="Q202" s="37" t="str">
        <f>HYPERLINK("http://ms.phosphosite.org:5080/cgi-bin/plot-msms.cgi?MassType=1&amp;NumAxis=1&amp;Mod12=170&amp;Pep=ISVYYNEASSHKYVPR&amp;Dta=/var/www/html/dta/S01/10560.6052.3.dta&amp;Global_Mod=CS57.0215", "6052")</f>
        <v>6052</v>
      </c>
      <c r="R202" s="37" t="str">
        <f>HYPERLINK("http://ms.phosphosite.org:5080/cgi-bin/plot-msms.cgi?MassType=1&amp;NumAxis=1&amp;Mod12=170&amp;Pep=ISVYYNEASSHKYVPR&amp;Dta=/var/www/html/dta/S01/10561.6109.3.dta&amp;Global_Mod=CS57.0215", "6109")</f>
        <v>6109</v>
      </c>
      <c r="S202" s="37" t="str">
        <f>HYPERLINK("http://ms.phosphosite.org:5080/cgi-bin/plot-msms.cgi?MassType=1&amp;NumAxis=1&amp;Mod12=170&amp;Pep=ISVYYNEASSHKYVPR&amp;Dta=/var/www/html/dta/S01/10562.6200.3.dta&amp;Global_Mod=CS57.0215", "6200")</f>
        <v>6200</v>
      </c>
      <c r="T202" s="37" t="str">
        <f>HYPERLINK("http://ms.phosphosite.org:5080/cgi-bin/plot-msms.cgi?MassType=1&amp;NumAxis=1&amp;Mod12=170&amp;Pep=ISVYYNEASSHKYVPR&amp;Dta=/var/www/html/dta/S01/10563.6181.3.dta&amp;Global_Mod=CS57.0215", "6181")</f>
        <v>6181</v>
      </c>
      <c r="U202" s="37" t="str">
        <f>HYPERLINK("http://ms.phosphosite.org:5080/cgi-bin/plot-msms.cgi?MassType=1&amp;NumAxis=1&amp;Mod12=170&amp;Pep=ISVYYNEASSHKYVPR&amp;Dta=/var/www/html/dta/S01/10564.6487.3.dta&amp;Global_Mod=CS57.0215", "6487")</f>
        <v>6487</v>
      </c>
      <c r="V202" s="37" t="str">
        <f>HYPERLINK("http://ms.phosphosite.org:5080/cgi-bin/plot-msms.cgi?MassType=1&amp;NumAxis=1&amp;Mod12=170&amp;Pep=ISVYYNEASSHKYVPR&amp;Dta=/var/www/html/dta/S01/10565.6554.3.dta&amp;Global_Mod=CS57.0215", "6554")</f>
        <v>6554</v>
      </c>
      <c r="W202" s="10">
        <v>6163</v>
      </c>
      <c r="X202" s="10">
        <v>6129</v>
      </c>
      <c r="Y202" s="10">
        <v>6102</v>
      </c>
      <c r="Z202" s="10">
        <v>6162</v>
      </c>
      <c r="AA202" s="10">
        <v>6260</v>
      </c>
      <c r="AB202" s="10">
        <v>6222</v>
      </c>
      <c r="AC202" s="10">
        <v>6507</v>
      </c>
      <c r="AD202" s="10">
        <v>6592</v>
      </c>
      <c r="AE202" s="91">
        <v>3.274</v>
      </c>
      <c r="AF202" s="91">
        <v>3.18</v>
      </c>
      <c r="AG202" s="91">
        <v>3.0030000000000001</v>
      </c>
      <c r="AH202" s="91">
        <v>2.77</v>
      </c>
      <c r="AI202" s="91">
        <v>2.6589999999999998</v>
      </c>
      <c r="AJ202" s="91">
        <v>2.6869999999999998</v>
      </c>
      <c r="AK202" s="91">
        <v>3.206</v>
      </c>
      <c r="AL202" s="91">
        <v>2.52</v>
      </c>
      <c r="AM202" s="95">
        <v>0.86470000000000002</v>
      </c>
      <c r="AN202" s="95">
        <v>1.0013000000000001</v>
      </c>
      <c r="AO202" s="95">
        <v>1.1496</v>
      </c>
      <c r="AP202" s="95">
        <v>1.1788000000000001</v>
      </c>
      <c r="AQ202" s="95">
        <v>0.76900000000000002</v>
      </c>
      <c r="AR202" s="95">
        <v>0.94399999999999995</v>
      </c>
      <c r="AS202" s="95">
        <v>0.7107</v>
      </c>
      <c r="AT202" s="95">
        <v>0.30559999999999998</v>
      </c>
      <c r="AU202" s="95">
        <v>0.22600000000000001</v>
      </c>
      <c r="AV202" s="95">
        <v>0.32900000000000001</v>
      </c>
      <c r="AW202" s="95">
        <v>0.26400000000000001</v>
      </c>
      <c r="AX202" s="95">
        <v>0.27</v>
      </c>
      <c r="AY202" s="95">
        <v>0.14899999999999999</v>
      </c>
      <c r="AZ202" s="95">
        <v>0.192</v>
      </c>
      <c r="BA202" s="95">
        <v>0.27100000000000002</v>
      </c>
      <c r="BB202" s="95">
        <v>0.14099999999999999</v>
      </c>
      <c r="BC202" s="10">
        <v>1</v>
      </c>
      <c r="BD202" s="10">
        <v>1</v>
      </c>
      <c r="BE202" s="10">
        <v>1</v>
      </c>
      <c r="BF202" s="10">
        <v>9</v>
      </c>
      <c r="BG202" s="10">
        <v>6</v>
      </c>
      <c r="BH202" s="10">
        <v>1</v>
      </c>
      <c r="BI202" s="10">
        <v>1</v>
      </c>
      <c r="BJ202" s="10">
        <v>2</v>
      </c>
      <c r="BK202" s="91">
        <v>0.999</v>
      </c>
      <c r="BL202" s="91">
        <v>1</v>
      </c>
      <c r="BM202" s="91">
        <v>0.999</v>
      </c>
      <c r="BN202" s="91">
        <v>0.999</v>
      </c>
      <c r="BO202" s="91">
        <v>0.99199999999999999</v>
      </c>
      <c r="BP202" s="91">
        <v>0.998</v>
      </c>
      <c r="BQ202" s="91">
        <v>1</v>
      </c>
      <c r="BR202" s="91">
        <v>0.99199999999999999</v>
      </c>
      <c r="BS202" s="10" t="s">
        <v>4857</v>
      </c>
    </row>
    <row r="203" spans="1:71" s="30" customFormat="1" ht="17.100000000000001" customHeight="1">
      <c r="A203" s="10">
        <v>192</v>
      </c>
      <c r="B203" s="10" t="s">
        <v>4037</v>
      </c>
      <c r="C203" s="4" t="s">
        <v>4715</v>
      </c>
      <c r="D203" s="4" t="s">
        <v>4030</v>
      </c>
      <c r="E203" s="7" t="s">
        <v>4031</v>
      </c>
      <c r="F203" s="10" t="s">
        <v>5178</v>
      </c>
      <c r="G203" s="4" t="s">
        <v>4032</v>
      </c>
      <c r="H203" s="7" t="s">
        <v>4033</v>
      </c>
      <c r="I203" s="4" t="s">
        <v>4034</v>
      </c>
      <c r="J203" s="10" t="s">
        <v>4823</v>
      </c>
      <c r="K203" s="4" t="s">
        <v>5447</v>
      </c>
      <c r="L203" s="4" t="s">
        <v>4035</v>
      </c>
      <c r="M203" s="10">
        <v>3</v>
      </c>
      <c r="N203" s="95">
        <v>652.32680000000005</v>
      </c>
      <c r="O203" s="38" t="s">
        <v>4854</v>
      </c>
      <c r="P203" s="37" t="str">
        <f>HYPERLINK("http://ms.phosphosite.org:5080/cgi-bin/plot-msms.cgi?MassType=1&amp;NumAxis=1&amp;Mod12=170&amp;Pep=ISVYYNEASSHKYVPR&amp;Dta=/var/www/html/dta/S01/10559.6177.3.dta&amp;Global_Mod=CS57.0215", "6177")</f>
        <v>6177</v>
      </c>
      <c r="Q203" s="38" t="s">
        <v>4854</v>
      </c>
      <c r="R203" s="38" t="s">
        <v>4854</v>
      </c>
      <c r="S203" s="38" t="s">
        <v>4854</v>
      </c>
      <c r="T203" s="38" t="s">
        <v>4854</v>
      </c>
      <c r="U203" s="38" t="s">
        <v>4854</v>
      </c>
      <c r="V203" s="38" t="s">
        <v>4854</v>
      </c>
      <c r="W203" s="4" t="s">
        <v>4854</v>
      </c>
      <c r="X203" s="4" t="s">
        <v>4854</v>
      </c>
      <c r="Y203" s="4" t="s">
        <v>4854</v>
      </c>
      <c r="Z203" s="4" t="s">
        <v>4854</v>
      </c>
      <c r="AA203" s="4" t="s">
        <v>4854</v>
      </c>
      <c r="AB203" s="4" t="s">
        <v>4854</v>
      </c>
      <c r="AC203" s="4" t="s">
        <v>4854</v>
      </c>
      <c r="AD203" s="4" t="s">
        <v>4854</v>
      </c>
      <c r="AE203" s="100" t="s">
        <v>4854</v>
      </c>
      <c r="AF203" s="91">
        <v>2.0179999999999998</v>
      </c>
      <c r="AG203" s="100" t="s">
        <v>4854</v>
      </c>
      <c r="AH203" s="100" t="s">
        <v>4854</v>
      </c>
      <c r="AI203" s="100" t="s">
        <v>4854</v>
      </c>
      <c r="AJ203" s="100" t="s">
        <v>4854</v>
      </c>
      <c r="AK203" s="100" t="s">
        <v>4854</v>
      </c>
      <c r="AL203" s="100" t="s">
        <v>4854</v>
      </c>
      <c r="AM203" s="103" t="s">
        <v>4854</v>
      </c>
      <c r="AN203" s="95">
        <v>1.1977</v>
      </c>
      <c r="AO203" s="103" t="s">
        <v>4854</v>
      </c>
      <c r="AP203" s="103" t="s">
        <v>4854</v>
      </c>
      <c r="AQ203" s="103" t="s">
        <v>4854</v>
      </c>
      <c r="AR203" s="103" t="s">
        <v>4854</v>
      </c>
      <c r="AS203" s="103" t="s">
        <v>4854</v>
      </c>
      <c r="AT203" s="103" t="s">
        <v>4854</v>
      </c>
      <c r="AU203" s="103" t="s">
        <v>4854</v>
      </c>
      <c r="AV203" s="95">
        <v>3.3000000000000002E-2</v>
      </c>
      <c r="AW203" s="103" t="s">
        <v>4854</v>
      </c>
      <c r="AX203" s="103" t="s">
        <v>4854</v>
      </c>
      <c r="AY203" s="103" t="s">
        <v>4854</v>
      </c>
      <c r="AZ203" s="103" t="s">
        <v>4854</v>
      </c>
      <c r="BA203" s="103" t="s">
        <v>4854</v>
      </c>
      <c r="BB203" s="103" t="s">
        <v>4854</v>
      </c>
      <c r="BC203" s="4" t="s">
        <v>4854</v>
      </c>
      <c r="BD203" s="10">
        <v>12</v>
      </c>
      <c r="BE203" s="4" t="s">
        <v>4854</v>
      </c>
      <c r="BF203" s="4" t="s">
        <v>4854</v>
      </c>
      <c r="BG203" s="4" t="s">
        <v>4854</v>
      </c>
      <c r="BH203" s="4" t="s">
        <v>4854</v>
      </c>
      <c r="BI203" s="4" t="s">
        <v>4854</v>
      </c>
      <c r="BJ203" s="4" t="s">
        <v>4854</v>
      </c>
      <c r="BK203" s="100" t="s">
        <v>4854</v>
      </c>
      <c r="BL203" s="91">
        <v>0.88700000000000001</v>
      </c>
      <c r="BM203" s="100" t="s">
        <v>4854</v>
      </c>
      <c r="BN203" s="100" t="s">
        <v>4854</v>
      </c>
      <c r="BO203" s="100" t="s">
        <v>4854</v>
      </c>
      <c r="BP203" s="100" t="s">
        <v>4854</v>
      </c>
      <c r="BQ203" s="100" t="s">
        <v>4854</v>
      </c>
      <c r="BR203" s="100" t="s">
        <v>4854</v>
      </c>
      <c r="BS203" s="10" t="s">
        <v>4857</v>
      </c>
    </row>
    <row r="204" spans="1:71" s="30" customFormat="1" ht="17.100000000000001" customHeight="1">
      <c r="A204" s="14">
        <v>193</v>
      </c>
      <c r="B204" s="5" t="s">
        <v>4038</v>
      </c>
      <c r="C204" s="3" t="s">
        <v>4715</v>
      </c>
      <c r="D204" s="3" t="s">
        <v>4039</v>
      </c>
      <c r="E204" s="6" t="s">
        <v>4040</v>
      </c>
      <c r="F204" s="5" t="s">
        <v>5178</v>
      </c>
      <c r="G204" s="3" t="s">
        <v>4041</v>
      </c>
      <c r="H204" s="6" t="s">
        <v>4042</v>
      </c>
      <c r="I204" s="3" t="s">
        <v>4043</v>
      </c>
      <c r="J204" s="5" t="s">
        <v>4823</v>
      </c>
      <c r="K204" s="3" t="s">
        <v>5448</v>
      </c>
      <c r="L204" s="3" t="s">
        <v>4044</v>
      </c>
      <c r="M204" s="5">
        <v>2</v>
      </c>
      <c r="N204" s="21">
        <v>929.97029999999995</v>
      </c>
      <c r="O204" s="36" t="str">
        <f>HYPERLINK("http://ms.phosphosite.org:5080/cgi-bin/plot-msms.cgi?MassType=1&amp;NumAxis=1&amp;Mod12=170&amp;Pep=ISVYYNEATGGKYVPR&amp;Dta=/var/www/html/dta/S01/10558.7724.2.dta&amp;Global_Mod=CS57.0215", "7724")</f>
        <v>7724</v>
      </c>
      <c r="P204" s="36" t="str">
        <f>HYPERLINK("http://ms.phosphosite.org:5080/cgi-bin/plot-msms.cgi?MassType=1&amp;NumAxis=1&amp;Mod12=170&amp;Pep=ISVYYNEATGGKYVPR&amp;Dta=/var/www/html/dta/S01/10559.7683.2.dta&amp;Global_Mod=CS57.0215", "7683")</f>
        <v>7683</v>
      </c>
      <c r="Q204" s="36" t="str">
        <f>HYPERLINK("http://ms.phosphosite.org:5080/cgi-bin/plot-msms.cgi?MassType=1&amp;NumAxis=1&amp;Mod12=170&amp;Pep=ISVYYNEATGGKYVPR&amp;Dta=/var/www/html/dta/S01/10560.7672.2.dta&amp;Global_Mod=CS57.0215", "7672")</f>
        <v>7672</v>
      </c>
      <c r="R204" s="36" t="str">
        <f>HYPERLINK("http://ms.phosphosite.org:5080/cgi-bin/plot-msms.cgi?MassType=1&amp;NumAxis=1&amp;Mod12=170&amp;Pep=ISVYYNEATGGKYVPR&amp;Dta=/var/www/html/dta/S01/10561.7700.2.dta&amp;Global_Mod=CS57.0215", "7700")</f>
        <v>7700</v>
      </c>
      <c r="S204" s="36" t="str">
        <f>HYPERLINK("http://ms.phosphosite.org:5080/cgi-bin/plot-msms.cgi?MassType=1&amp;NumAxis=1&amp;Mod12=170&amp;Pep=ISVYYNEATGGKYVPR&amp;Dta=/var/www/html/dta/S01/10562.7814.2.dta&amp;Global_Mod=CS57.0215", "7814")</f>
        <v>7814</v>
      </c>
      <c r="T204" s="36" t="str">
        <f>HYPERLINK("http://ms.phosphosite.org:5080/cgi-bin/plot-msms.cgi?MassType=1&amp;NumAxis=1&amp;Mod12=170&amp;Pep=ISVYYNEATGGKYVPR&amp;Dta=/var/www/html/dta/S01/10563.7799.2.dta&amp;Global_Mod=CS57.0215", "7799")</f>
        <v>7799</v>
      </c>
      <c r="U204" s="36" t="str">
        <f>HYPERLINK("http://ms.phosphosite.org:5080/cgi-bin/plot-msms.cgi?MassType=1&amp;NumAxis=1&amp;Mod12=170&amp;Pep=ISVYYNEATGGKYVPR&amp;Dta=/var/www/html/dta/S01/10564.8165.2.dta&amp;Global_Mod=CS57.0215", "8165")</f>
        <v>8165</v>
      </c>
      <c r="V204" s="36" t="str">
        <f>HYPERLINK("http://ms.phosphosite.org:5080/cgi-bin/plot-msms.cgi?MassType=1&amp;NumAxis=1&amp;Mod12=170&amp;Pep=ISVYYNEATGGKYVPR&amp;Dta=/var/www/html/dta/S01/10565.8193.2.dta&amp;Global_Mod=CS57.0215", "8193")</f>
        <v>8193</v>
      </c>
      <c r="W204" s="5">
        <v>7732</v>
      </c>
      <c r="X204" s="5">
        <v>7691</v>
      </c>
      <c r="Y204" s="5">
        <v>7675</v>
      </c>
      <c r="Z204" s="5">
        <v>7713</v>
      </c>
      <c r="AA204" s="5">
        <v>7830</v>
      </c>
      <c r="AB204" s="5">
        <v>7795</v>
      </c>
      <c r="AC204" s="5">
        <v>8179</v>
      </c>
      <c r="AD204" s="5">
        <v>8220</v>
      </c>
      <c r="AE204" s="90">
        <v>3.883</v>
      </c>
      <c r="AF204" s="90">
        <v>3.109</v>
      </c>
      <c r="AG204" s="90">
        <v>3.84</v>
      </c>
      <c r="AH204" s="90">
        <v>4.1890000000000001</v>
      </c>
      <c r="AI204" s="90">
        <v>2.843</v>
      </c>
      <c r="AJ204" s="90">
        <v>4.0730000000000004</v>
      </c>
      <c r="AK204" s="90">
        <v>3.262</v>
      </c>
      <c r="AL204" s="90">
        <v>3.9689999999999999</v>
      </c>
      <c r="AM204" s="21">
        <v>0.93400000000000005</v>
      </c>
      <c r="AN204" s="21">
        <v>1.0452999999999999</v>
      </c>
      <c r="AO204" s="21">
        <v>1.0291999999999999</v>
      </c>
      <c r="AP204" s="21">
        <v>0.91839999999999999</v>
      </c>
      <c r="AQ204" s="21">
        <v>0.62029999999999996</v>
      </c>
      <c r="AR204" s="21">
        <v>1.0055000000000001</v>
      </c>
      <c r="AS204" s="21">
        <v>0.83069999999999999</v>
      </c>
      <c r="AT204" s="21">
        <v>0.56230000000000002</v>
      </c>
      <c r="AU204" s="21">
        <v>0.42399999999999999</v>
      </c>
      <c r="AV204" s="21">
        <v>0.45700000000000002</v>
      </c>
      <c r="AW204" s="21">
        <v>0.48699999999999999</v>
      </c>
      <c r="AX204" s="21">
        <v>0.46</v>
      </c>
      <c r="AY204" s="21">
        <v>0.46</v>
      </c>
      <c r="AZ204" s="21">
        <v>0.46899999999999997</v>
      </c>
      <c r="BA204" s="21">
        <v>0.46100000000000002</v>
      </c>
      <c r="BB204" s="21">
        <v>0.49399999999999999</v>
      </c>
      <c r="BC204" s="5">
        <v>1</v>
      </c>
      <c r="BD204" s="5">
        <v>1</v>
      </c>
      <c r="BE204" s="5">
        <v>1</v>
      </c>
      <c r="BF204" s="5">
        <v>1</v>
      </c>
      <c r="BG204" s="5">
        <v>1</v>
      </c>
      <c r="BH204" s="5">
        <v>1</v>
      </c>
      <c r="BI204" s="5">
        <v>1</v>
      </c>
      <c r="BJ204" s="5">
        <v>1</v>
      </c>
      <c r="BK204" s="90">
        <v>1</v>
      </c>
      <c r="BL204" s="90">
        <v>1</v>
      </c>
      <c r="BM204" s="90">
        <v>1</v>
      </c>
      <c r="BN204" s="90">
        <v>1</v>
      </c>
      <c r="BO204" s="90">
        <v>1</v>
      </c>
      <c r="BP204" s="90">
        <v>1</v>
      </c>
      <c r="BQ204" s="90">
        <v>1</v>
      </c>
      <c r="BR204" s="90">
        <v>1</v>
      </c>
      <c r="BS204" s="5" t="s">
        <v>4857</v>
      </c>
    </row>
    <row r="205" spans="1:71" s="30" customFormat="1" ht="17.100000000000001" customHeight="1">
      <c r="A205" s="14">
        <v>194</v>
      </c>
      <c r="B205" s="5" t="s">
        <v>4045</v>
      </c>
      <c r="C205" s="3" t="s">
        <v>4715</v>
      </c>
      <c r="D205" s="3" t="s">
        <v>4039</v>
      </c>
      <c r="E205" s="6" t="s">
        <v>4040</v>
      </c>
      <c r="F205" s="5" t="s">
        <v>5178</v>
      </c>
      <c r="G205" s="3" t="s">
        <v>4041</v>
      </c>
      <c r="H205" s="6" t="s">
        <v>4042</v>
      </c>
      <c r="I205" s="3" t="s">
        <v>4043</v>
      </c>
      <c r="J205" s="5" t="s">
        <v>4823</v>
      </c>
      <c r="K205" s="3" t="s">
        <v>5448</v>
      </c>
      <c r="L205" s="3" t="s">
        <v>4044</v>
      </c>
      <c r="M205" s="5">
        <v>3</v>
      </c>
      <c r="N205" s="21">
        <v>620.31600000000003</v>
      </c>
      <c r="O205" s="35" t="s">
        <v>4854</v>
      </c>
      <c r="P205" s="36" t="str">
        <f>HYPERLINK("http://ms.phosphosite.org:5080/cgi-bin/plot-msms.cgi?MassType=1&amp;NumAxis=1&amp;Mod12=170&amp;Pep=ISVYYNEATGGKYVPR&amp;Dta=/var/www/html/dta/S01/10559.7677.3.dta&amp;Global_Mod=CS57.0215", "7677")</f>
        <v>7677</v>
      </c>
      <c r="Q205" s="35" t="s">
        <v>4854</v>
      </c>
      <c r="R205" s="36" t="str">
        <f>HYPERLINK("http://ms.phosphosite.org:5080/cgi-bin/plot-msms.cgi?MassType=1&amp;NumAxis=1&amp;Mod12=170&amp;Pep=ISVYYNEATGGKYVPR&amp;Dta=/var/www/html/dta/S01/10561.7704.3.dta&amp;Global_Mod=CS57.0215", "7704")</f>
        <v>7704</v>
      </c>
      <c r="S205" s="36" t="str">
        <f>HYPERLINK("http://ms.phosphosite.org:5080/cgi-bin/plot-msms.cgi?MassType=1&amp;NumAxis=1&amp;Mod12=170&amp;Pep=ISVYYNEATGGKYVPR&amp;Dta=/var/www/html/dta/S01/10562.7811.3.dta&amp;Global_Mod=CS57.0215", "7811")</f>
        <v>7811</v>
      </c>
      <c r="T205" s="35" t="s">
        <v>4854</v>
      </c>
      <c r="U205" s="36" t="str">
        <f>HYPERLINK("http://ms.phosphosite.org:5080/cgi-bin/plot-msms.cgi?MassType=1&amp;NumAxis=1&amp;Mod12=170&amp;Pep=ISVYYNEATGGKYVPR&amp;Dta=/var/www/html/dta/S01/10564.8171.3.dta&amp;Global_Mod=CS57.0215", "8171")</f>
        <v>8171</v>
      </c>
      <c r="V205" s="36" t="str">
        <f>HYPERLINK("http://ms.phosphosite.org:5080/cgi-bin/plot-msms.cgi?MassType=1&amp;NumAxis=1&amp;Mod12=170&amp;Pep=ISVYYNEATGGKYVPR&amp;Dta=/var/www/html/dta/S01/10565.8223.3.dta&amp;Global_Mod=CS57.0215", "8223")</f>
        <v>8223</v>
      </c>
      <c r="W205" s="3" t="s">
        <v>4854</v>
      </c>
      <c r="X205" s="5">
        <v>7691</v>
      </c>
      <c r="Y205" s="3" t="s">
        <v>4854</v>
      </c>
      <c r="Z205" s="5">
        <v>7724</v>
      </c>
      <c r="AA205" s="5">
        <v>7830</v>
      </c>
      <c r="AB205" s="3" t="s">
        <v>4854</v>
      </c>
      <c r="AC205" s="5">
        <v>8179</v>
      </c>
      <c r="AD205" s="5">
        <v>8209</v>
      </c>
      <c r="AE205" s="99" t="s">
        <v>4854</v>
      </c>
      <c r="AF205" s="90">
        <v>4.2460000000000004</v>
      </c>
      <c r="AG205" s="99" t="s">
        <v>4854</v>
      </c>
      <c r="AH205" s="90">
        <v>3.4129999999999998</v>
      </c>
      <c r="AI205" s="90">
        <v>4.351</v>
      </c>
      <c r="AJ205" s="99" t="s">
        <v>4854</v>
      </c>
      <c r="AK205" s="90">
        <v>5.4089999999999998</v>
      </c>
      <c r="AL205" s="90">
        <v>4.7770000000000001</v>
      </c>
      <c r="AM205" s="102" t="s">
        <v>4854</v>
      </c>
      <c r="AN205" s="21">
        <v>1.53</v>
      </c>
      <c r="AO205" s="102" t="s">
        <v>4854</v>
      </c>
      <c r="AP205" s="21">
        <v>1.3229</v>
      </c>
      <c r="AQ205" s="21">
        <v>1.4305000000000001</v>
      </c>
      <c r="AR205" s="102" t="s">
        <v>4854</v>
      </c>
      <c r="AS205" s="21">
        <v>0.77470000000000006</v>
      </c>
      <c r="AT205" s="21">
        <v>0.95330000000000004</v>
      </c>
      <c r="AU205" s="102" t="s">
        <v>4854</v>
      </c>
      <c r="AV205" s="21">
        <v>0.42</v>
      </c>
      <c r="AW205" s="102" t="s">
        <v>4854</v>
      </c>
      <c r="AX205" s="21">
        <v>0.38700000000000001</v>
      </c>
      <c r="AY205" s="21">
        <v>0.44800000000000001</v>
      </c>
      <c r="AZ205" s="102" t="s">
        <v>4854</v>
      </c>
      <c r="BA205" s="21">
        <v>0.54</v>
      </c>
      <c r="BB205" s="21">
        <v>0.45500000000000002</v>
      </c>
      <c r="BC205" s="3" t="s">
        <v>4854</v>
      </c>
      <c r="BD205" s="5">
        <v>1</v>
      </c>
      <c r="BE205" s="3" t="s">
        <v>4854</v>
      </c>
      <c r="BF205" s="5">
        <v>1</v>
      </c>
      <c r="BG205" s="5">
        <v>1</v>
      </c>
      <c r="BH205" s="3" t="s">
        <v>4854</v>
      </c>
      <c r="BI205" s="5">
        <v>1</v>
      </c>
      <c r="BJ205" s="5">
        <v>1</v>
      </c>
      <c r="BK205" s="99" t="s">
        <v>4854</v>
      </c>
      <c r="BL205" s="90">
        <v>1</v>
      </c>
      <c r="BM205" s="99" t="s">
        <v>4854</v>
      </c>
      <c r="BN205" s="90">
        <v>1</v>
      </c>
      <c r="BO205" s="90">
        <v>1</v>
      </c>
      <c r="BP205" s="99" t="s">
        <v>4854</v>
      </c>
      <c r="BQ205" s="90">
        <v>1</v>
      </c>
      <c r="BR205" s="90">
        <v>1</v>
      </c>
      <c r="BS205" s="5" t="s">
        <v>4857</v>
      </c>
    </row>
    <row r="206" spans="1:71" s="30" customFormat="1" ht="17.100000000000001" customHeight="1">
      <c r="A206" s="10">
        <v>195</v>
      </c>
      <c r="B206" s="10" t="s">
        <v>4046</v>
      </c>
      <c r="C206" s="4" t="s">
        <v>4715</v>
      </c>
      <c r="D206" s="4" t="s">
        <v>4047</v>
      </c>
      <c r="E206" s="4" t="s">
        <v>4048</v>
      </c>
      <c r="F206" s="10" t="s">
        <v>4391</v>
      </c>
      <c r="G206" s="4" t="s">
        <v>4049</v>
      </c>
      <c r="H206" s="7" t="s">
        <v>4050</v>
      </c>
      <c r="I206" s="4" t="s">
        <v>4051</v>
      </c>
      <c r="J206" s="10" t="s">
        <v>4052</v>
      </c>
      <c r="K206" s="4" t="s">
        <v>5449</v>
      </c>
      <c r="L206" s="4" t="s">
        <v>4053</v>
      </c>
      <c r="M206" s="10">
        <v>3</v>
      </c>
      <c r="N206" s="95">
        <v>392.55329999999998</v>
      </c>
      <c r="O206" s="38" t="s">
        <v>4854</v>
      </c>
      <c r="P206" s="38" t="s">
        <v>4854</v>
      </c>
      <c r="Q206" s="38" t="s">
        <v>4854</v>
      </c>
      <c r="R206" s="38" t="s">
        <v>4854</v>
      </c>
      <c r="S206" s="38" t="s">
        <v>4854</v>
      </c>
      <c r="T206" s="38" t="s">
        <v>4854</v>
      </c>
      <c r="U206" s="37" t="str">
        <f>HYPERLINK("http://ms.phosphosite.org:5080/cgi-bin/plot-msms.cgi?MassType=1&amp;NumAxis=1&amp;Mod8=170&amp;Pep=DASLTMVKLR&amp;Dta=/var/www/html/dta/S01/10564.4299.3.dta&amp;Global_Mod=CS57.0215", "4299")</f>
        <v>4299</v>
      </c>
      <c r="V206" s="38" t="s">
        <v>4854</v>
      </c>
      <c r="W206" s="4" t="s">
        <v>4854</v>
      </c>
      <c r="X206" s="4" t="s">
        <v>4854</v>
      </c>
      <c r="Y206" s="4" t="s">
        <v>4854</v>
      </c>
      <c r="Z206" s="4" t="s">
        <v>4854</v>
      </c>
      <c r="AA206" s="4" t="s">
        <v>4854</v>
      </c>
      <c r="AB206" s="4" t="s">
        <v>4854</v>
      </c>
      <c r="AC206" s="4" t="s">
        <v>4854</v>
      </c>
      <c r="AD206" s="4" t="s">
        <v>4854</v>
      </c>
      <c r="AE206" s="100" t="s">
        <v>4854</v>
      </c>
      <c r="AF206" s="100" t="s">
        <v>4854</v>
      </c>
      <c r="AG206" s="100" t="s">
        <v>4854</v>
      </c>
      <c r="AH206" s="100" t="s">
        <v>4854</v>
      </c>
      <c r="AI206" s="100" t="s">
        <v>4854</v>
      </c>
      <c r="AJ206" s="100" t="s">
        <v>4854</v>
      </c>
      <c r="AK206" s="91">
        <v>2.1389999999999998</v>
      </c>
      <c r="AL206" s="100" t="s">
        <v>4854</v>
      </c>
      <c r="AM206" s="103" t="s">
        <v>4854</v>
      </c>
      <c r="AN206" s="103" t="s">
        <v>4854</v>
      </c>
      <c r="AO206" s="103" t="s">
        <v>4854</v>
      </c>
      <c r="AP206" s="103" t="s">
        <v>4854</v>
      </c>
      <c r="AQ206" s="103" t="s">
        <v>4854</v>
      </c>
      <c r="AR206" s="103" t="s">
        <v>4854</v>
      </c>
      <c r="AS206" s="95">
        <v>-0.10299999999999999</v>
      </c>
      <c r="AT206" s="103" t="s">
        <v>4854</v>
      </c>
      <c r="AU206" s="103" t="s">
        <v>4854</v>
      </c>
      <c r="AV206" s="103" t="s">
        <v>4854</v>
      </c>
      <c r="AW206" s="103" t="s">
        <v>4854</v>
      </c>
      <c r="AX206" s="103" t="s">
        <v>4854</v>
      </c>
      <c r="AY206" s="103" t="s">
        <v>4854</v>
      </c>
      <c r="AZ206" s="103" t="s">
        <v>4854</v>
      </c>
      <c r="BA206" s="95">
        <v>0.151</v>
      </c>
      <c r="BB206" s="103" t="s">
        <v>4854</v>
      </c>
      <c r="BC206" s="4" t="s">
        <v>4854</v>
      </c>
      <c r="BD206" s="4" t="s">
        <v>4854</v>
      </c>
      <c r="BE206" s="4" t="s">
        <v>4854</v>
      </c>
      <c r="BF206" s="4" t="s">
        <v>4854</v>
      </c>
      <c r="BG206" s="4" t="s">
        <v>4854</v>
      </c>
      <c r="BH206" s="4" t="s">
        <v>4854</v>
      </c>
      <c r="BI206" s="10">
        <v>89</v>
      </c>
      <c r="BJ206" s="4" t="s">
        <v>4854</v>
      </c>
      <c r="BK206" s="100" t="s">
        <v>4854</v>
      </c>
      <c r="BL206" s="100" t="s">
        <v>4854</v>
      </c>
      <c r="BM206" s="100" t="s">
        <v>4854</v>
      </c>
      <c r="BN206" s="100" t="s">
        <v>4854</v>
      </c>
      <c r="BO206" s="100" t="s">
        <v>4854</v>
      </c>
      <c r="BP206" s="100" t="s">
        <v>4854</v>
      </c>
      <c r="BQ206" s="91">
        <v>0.159</v>
      </c>
      <c r="BR206" s="100" t="s">
        <v>4854</v>
      </c>
      <c r="BS206" s="10" t="s">
        <v>4857</v>
      </c>
    </row>
    <row r="207" spans="1:71" s="30" customFormat="1" ht="17.100000000000001" customHeight="1">
      <c r="A207" s="14">
        <v>196</v>
      </c>
      <c r="B207" s="5" t="s">
        <v>4554</v>
      </c>
      <c r="C207" s="3" t="s">
        <v>4715</v>
      </c>
      <c r="D207" s="3" t="s">
        <v>4054</v>
      </c>
      <c r="E207" s="3" t="s">
        <v>4055</v>
      </c>
      <c r="F207" s="5" t="s">
        <v>4948</v>
      </c>
      <c r="G207" s="3" t="s">
        <v>4056</v>
      </c>
      <c r="H207" s="6" t="s">
        <v>4057</v>
      </c>
      <c r="I207" s="3" t="s">
        <v>4058</v>
      </c>
      <c r="J207" s="5" t="s">
        <v>4708</v>
      </c>
      <c r="K207" s="3" t="s">
        <v>5450</v>
      </c>
      <c r="L207" s="3" t="s">
        <v>4059</v>
      </c>
      <c r="M207" s="5">
        <v>2</v>
      </c>
      <c r="N207" s="21">
        <v>492.78289999999998</v>
      </c>
      <c r="O207" s="35" t="s">
        <v>4854</v>
      </c>
      <c r="P207" s="35" t="s">
        <v>4854</v>
      </c>
      <c r="Q207" s="35" t="s">
        <v>4854</v>
      </c>
      <c r="R207" s="35" t="s">
        <v>4854</v>
      </c>
      <c r="S207" s="36" t="str">
        <f>HYPERLINK("http://ms.phosphosite.org:5080/cgi-bin/plot-msms.cgi?MassType=1&amp;NumAxis=1&amp;Mod2=170&amp;Mod4=170&amp;Mod7=170&amp;Pep=GKGKGQKR&amp;Dta=/var/www/html/dta/S01/10562.2176.2.dta&amp;Global_Mod=CS57.0215", "2176")</f>
        <v>2176</v>
      </c>
      <c r="T207" s="36" t="str">
        <f>HYPERLINK("http://ms.phosphosite.org:5080/cgi-bin/plot-msms.cgi?MassType=1&amp;NumAxis=1&amp;Mod2=170&amp;Mod4=170&amp;Mod7=170&amp;Pep=GKGKGQKR&amp;Dta=/var/www/html/dta/S01/10563.2086.2.dta&amp;Global_Mod=CS57.0215", "2086")</f>
        <v>2086</v>
      </c>
      <c r="U207" s="36" t="str">
        <f>HYPERLINK("http://ms.phosphosite.org:5080/cgi-bin/plot-msms.cgi?MassType=1&amp;NumAxis=1&amp;Mod2=170&amp;Mod4=170&amp;Mod7=170&amp;Pep=GKGKGQKR&amp;Dta=/var/www/html/dta/S01/10564.2356.2.dta&amp;Global_Mod=CS57.0215", "2356")</f>
        <v>2356</v>
      </c>
      <c r="V207" s="36" t="str">
        <f>HYPERLINK("http://ms.phosphosite.org:5080/cgi-bin/plot-msms.cgi?MassType=1&amp;NumAxis=1&amp;Mod2=170&amp;Mod4=170&amp;Mod7=170&amp;Pep=GKGKGQKR&amp;Dta=/var/www/html/dta/S01/10565.2456.2.dta&amp;Global_Mod=CS57.0215", "2456")</f>
        <v>2456</v>
      </c>
      <c r="W207" s="3" t="s">
        <v>4854</v>
      </c>
      <c r="X207" s="3" t="s">
        <v>4854</v>
      </c>
      <c r="Y207" s="3" t="s">
        <v>4854</v>
      </c>
      <c r="Z207" s="3" t="s">
        <v>4854</v>
      </c>
      <c r="AA207" s="5">
        <v>2184</v>
      </c>
      <c r="AB207" s="5">
        <v>2083</v>
      </c>
      <c r="AC207" s="5">
        <v>2365</v>
      </c>
      <c r="AD207" s="5">
        <v>2443</v>
      </c>
      <c r="AE207" s="99" t="s">
        <v>4854</v>
      </c>
      <c r="AF207" s="99" t="s">
        <v>4854</v>
      </c>
      <c r="AG207" s="99" t="s">
        <v>4854</v>
      </c>
      <c r="AH207" s="99" t="s">
        <v>4854</v>
      </c>
      <c r="AI207" s="90">
        <v>1.839</v>
      </c>
      <c r="AJ207" s="90">
        <v>1.901</v>
      </c>
      <c r="AK207" s="90">
        <v>1.859</v>
      </c>
      <c r="AL207" s="90">
        <v>2.0259999999999998</v>
      </c>
      <c r="AM207" s="102" t="s">
        <v>4854</v>
      </c>
      <c r="AN207" s="102" t="s">
        <v>4854</v>
      </c>
      <c r="AO207" s="102" t="s">
        <v>4854</v>
      </c>
      <c r="AP207" s="102" t="s">
        <v>4854</v>
      </c>
      <c r="AQ207" s="21">
        <v>7.22E-2</v>
      </c>
      <c r="AR207" s="21">
        <v>0.3962</v>
      </c>
      <c r="AS207" s="21">
        <v>-0.15740000000000001</v>
      </c>
      <c r="AT207" s="21">
        <v>-0.49149999999999999</v>
      </c>
      <c r="AU207" s="102" t="s">
        <v>4854</v>
      </c>
      <c r="AV207" s="102" t="s">
        <v>4854</v>
      </c>
      <c r="AW207" s="102" t="s">
        <v>4854</v>
      </c>
      <c r="AX207" s="102" t="s">
        <v>4854</v>
      </c>
      <c r="AY207" s="21">
        <v>6.2E-2</v>
      </c>
      <c r="AZ207" s="21">
        <v>0.108</v>
      </c>
      <c r="BA207" s="21">
        <v>0.112</v>
      </c>
      <c r="BB207" s="21">
        <v>0.10199999999999999</v>
      </c>
      <c r="BC207" s="3" t="s">
        <v>4854</v>
      </c>
      <c r="BD207" s="3" t="s">
        <v>4854</v>
      </c>
      <c r="BE207" s="3" t="s">
        <v>4854</v>
      </c>
      <c r="BF207" s="3" t="s">
        <v>4854</v>
      </c>
      <c r="BG207" s="5">
        <v>1</v>
      </c>
      <c r="BH207" s="5">
        <v>1</v>
      </c>
      <c r="BI207" s="5">
        <v>2</v>
      </c>
      <c r="BJ207" s="5">
        <v>1</v>
      </c>
      <c r="BK207" s="99" t="s">
        <v>4854</v>
      </c>
      <c r="BL207" s="99" t="s">
        <v>4854</v>
      </c>
      <c r="BM207" s="99" t="s">
        <v>4854</v>
      </c>
      <c r="BN207" s="99" t="s">
        <v>4854</v>
      </c>
      <c r="BO207" s="90">
        <v>0.96399999999999997</v>
      </c>
      <c r="BP207" s="90">
        <v>0.98299999999999998</v>
      </c>
      <c r="BQ207" s="90">
        <v>0.97699999999999998</v>
      </c>
      <c r="BR207" s="90">
        <v>0.98699999999999999</v>
      </c>
      <c r="BS207" s="5" t="s">
        <v>4857</v>
      </c>
    </row>
    <row r="208" spans="1:71" s="30" customFormat="1" ht="17.100000000000001" customHeight="1">
      <c r="A208" s="10">
        <v>197</v>
      </c>
      <c r="B208" s="10" t="s">
        <v>4060</v>
      </c>
      <c r="C208" s="4" t="s">
        <v>4715</v>
      </c>
      <c r="D208" s="4" t="s">
        <v>4061</v>
      </c>
      <c r="E208" s="4" t="s">
        <v>4062</v>
      </c>
      <c r="F208" s="10" t="s">
        <v>4530</v>
      </c>
      <c r="G208" s="4" t="s">
        <v>4063</v>
      </c>
      <c r="H208" s="7" t="s">
        <v>4064</v>
      </c>
      <c r="I208" s="4" t="s">
        <v>4065</v>
      </c>
      <c r="J208" s="10" t="s">
        <v>4713</v>
      </c>
      <c r="K208" s="4" t="s">
        <v>5451</v>
      </c>
      <c r="L208" s="4" t="s">
        <v>4066</v>
      </c>
      <c r="M208" s="10">
        <v>3</v>
      </c>
      <c r="N208" s="95">
        <v>474.2647</v>
      </c>
      <c r="O208" s="38" t="s">
        <v>4854</v>
      </c>
      <c r="P208" s="38" t="s">
        <v>4854</v>
      </c>
      <c r="Q208" s="38" t="s">
        <v>4854</v>
      </c>
      <c r="R208" s="38" t="s">
        <v>4854</v>
      </c>
      <c r="S208" s="37" t="str">
        <f>HYPERLINK("http://ms.phosphosite.org:5080/cgi-bin/plot-msms.cgi?MassType=1&amp;NumAxis=1&amp;Mod13=170&amp;Pep=VVTVSRDLFGTGK&amp;Dta=/var/www/html/dta/S01/10562.3994.3.dta&amp;Global_Mod=CS57.0215", "3994")</f>
        <v>3994</v>
      </c>
      <c r="T208" s="38" t="s">
        <v>4854</v>
      </c>
      <c r="U208" s="38" t="s">
        <v>4854</v>
      </c>
      <c r="V208" s="38" t="s">
        <v>4854</v>
      </c>
      <c r="W208" s="4" t="s">
        <v>4854</v>
      </c>
      <c r="X208" s="4" t="s">
        <v>4854</v>
      </c>
      <c r="Y208" s="4" t="s">
        <v>4854</v>
      </c>
      <c r="Z208" s="4" t="s">
        <v>4854</v>
      </c>
      <c r="AA208" s="4" t="s">
        <v>4854</v>
      </c>
      <c r="AB208" s="4" t="s">
        <v>4854</v>
      </c>
      <c r="AC208" s="4" t="s">
        <v>4854</v>
      </c>
      <c r="AD208" s="4" t="s">
        <v>4854</v>
      </c>
      <c r="AE208" s="100" t="s">
        <v>4854</v>
      </c>
      <c r="AF208" s="100" t="s">
        <v>4854</v>
      </c>
      <c r="AG208" s="100" t="s">
        <v>4854</v>
      </c>
      <c r="AH208" s="100" t="s">
        <v>4854</v>
      </c>
      <c r="AI208" s="91">
        <v>2.331</v>
      </c>
      <c r="AJ208" s="100" t="s">
        <v>4854</v>
      </c>
      <c r="AK208" s="100" t="s">
        <v>4854</v>
      </c>
      <c r="AL208" s="100" t="s">
        <v>4854</v>
      </c>
      <c r="AM208" s="103" t="s">
        <v>4854</v>
      </c>
      <c r="AN208" s="103" t="s">
        <v>4854</v>
      </c>
      <c r="AO208" s="103" t="s">
        <v>4854</v>
      </c>
      <c r="AP208" s="103" t="s">
        <v>4854</v>
      </c>
      <c r="AQ208" s="95">
        <v>0.2165</v>
      </c>
      <c r="AR208" s="103" t="s">
        <v>4854</v>
      </c>
      <c r="AS208" s="103" t="s">
        <v>4854</v>
      </c>
      <c r="AT208" s="103" t="s">
        <v>4854</v>
      </c>
      <c r="AU208" s="103" t="s">
        <v>4854</v>
      </c>
      <c r="AV208" s="103" t="s">
        <v>4854</v>
      </c>
      <c r="AW208" s="103" t="s">
        <v>4854</v>
      </c>
      <c r="AX208" s="103" t="s">
        <v>4854</v>
      </c>
      <c r="AY208" s="95">
        <v>7.9000000000000001E-2</v>
      </c>
      <c r="AZ208" s="103" t="s">
        <v>4854</v>
      </c>
      <c r="BA208" s="103" t="s">
        <v>4854</v>
      </c>
      <c r="BB208" s="103" t="s">
        <v>4854</v>
      </c>
      <c r="BC208" s="4" t="s">
        <v>4854</v>
      </c>
      <c r="BD208" s="4" t="s">
        <v>4854</v>
      </c>
      <c r="BE208" s="4" t="s">
        <v>4854</v>
      </c>
      <c r="BF208" s="4" t="s">
        <v>4854</v>
      </c>
      <c r="BG208" s="10">
        <v>217</v>
      </c>
      <c r="BH208" s="4" t="s">
        <v>4854</v>
      </c>
      <c r="BI208" s="4" t="s">
        <v>4854</v>
      </c>
      <c r="BJ208" s="4" t="s">
        <v>4854</v>
      </c>
      <c r="BK208" s="100" t="s">
        <v>4854</v>
      </c>
      <c r="BL208" s="100" t="s">
        <v>4854</v>
      </c>
      <c r="BM208" s="100" t="s">
        <v>4854</v>
      </c>
      <c r="BN208" s="100" t="s">
        <v>4854</v>
      </c>
      <c r="BO208" s="91">
        <v>5.6000000000000001E-2</v>
      </c>
      <c r="BP208" s="100" t="s">
        <v>4854</v>
      </c>
      <c r="BQ208" s="100" t="s">
        <v>4854</v>
      </c>
      <c r="BR208" s="100" t="s">
        <v>4854</v>
      </c>
      <c r="BS208" s="10" t="s">
        <v>4857</v>
      </c>
    </row>
    <row r="209" spans="1:71" ht="17.100000000000001" customHeight="1">
      <c r="A209" s="31">
        <v>198</v>
      </c>
      <c r="B209" s="2" t="s">
        <v>4067</v>
      </c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94"/>
      <c r="O209" s="34"/>
      <c r="P209" s="34"/>
      <c r="Q209" s="34"/>
      <c r="R209" s="34"/>
      <c r="S209" s="34"/>
      <c r="T209" s="34"/>
      <c r="U209" s="34"/>
      <c r="V209" s="34"/>
      <c r="W209" s="1"/>
      <c r="X209" s="1"/>
      <c r="Y209" s="1"/>
      <c r="Z209" s="1"/>
      <c r="AA209" s="1"/>
      <c r="AB209" s="1"/>
      <c r="AC209" s="1"/>
      <c r="AD209" s="1"/>
      <c r="AE209" s="89"/>
      <c r="AF209" s="89"/>
      <c r="AG209" s="89"/>
      <c r="AH209" s="89"/>
      <c r="AI209" s="89"/>
      <c r="AJ209" s="89"/>
      <c r="AK209" s="89"/>
      <c r="AL209" s="89"/>
      <c r="AM209" s="94"/>
      <c r="AN209" s="94"/>
      <c r="AO209" s="94"/>
      <c r="AP209" s="94"/>
      <c r="AQ209" s="94"/>
      <c r="AR209" s="94"/>
      <c r="AS209" s="94"/>
      <c r="AT209" s="94"/>
      <c r="AU209" s="94"/>
      <c r="AV209" s="94"/>
      <c r="AW209" s="94"/>
      <c r="AX209" s="94"/>
      <c r="AY209" s="94"/>
      <c r="AZ209" s="94"/>
      <c r="BA209" s="94"/>
      <c r="BB209" s="94"/>
      <c r="BC209" s="1"/>
      <c r="BD209" s="1"/>
      <c r="BE209" s="1"/>
      <c r="BF209" s="1"/>
      <c r="BG209" s="1"/>
      <c r="BH209" s="1"/>
      <c r="BI209" s="1"/>
      <c r="BJ209" s="1"/>
      <c r="BK209" s="89"/>
      <c r="BL209" s="89"/>
      <c r="BM209" s="89"/>
      <c r="BN209" s="89"/>
      <c r="BO209" s="89"/>
      <c r="BP209" s="89"/>
      <c r="BQ209" s="89"/>
      <c r="BR209" s="89"/>
      <c r="BS209" s="1"/>
    </row>
    <row r="210" spans="1:71" s="30" customFormat="1" ht="17.100000000000001" customHeight="1">
      <c r="A210" s="14">
        <v>199</v>
      </c>
      <c r="B210" s="5" t="s">
        <v>4068</v>
      </c>
      <c r="C210" s="3" t="s">
        <v>4067</v>
      </c>
      <c r="D210" s="3" t="s">
        <v>4069</v>
      </c>
      <c r="E210" s="3" t="s">
        <v>4070</v>
      </c>
      <c r="F210" s="5" t="s">
        <v>4071</v>
      </c>
      <c r="G210" s="3" t="s">
        <v>4072</v>
      </c>
      <c r="H210" s="6" t="s">
        <v>4073</v>
      </c>
      <c r="I210" s="3" t="s">
        <v>4074</v>
      </c>
      <c r="J210" s="5" t="s">
        <v>4075</v>
      </c>
      <c r="K210" s="3" t="s">
        <v>5452</v>
      </c>
      <c r="L210" s="3" t="s">
        <v>4076</v>
      </c>
      <c r="M210" s="5">
        <v>2</v>
      </c>
      <c r="N210" s="21">
        <v>606.32629999999995</v>
      </c>
      <c r="O210" s="36" t="str">
        <f>HYPERLINK("http://ms.phosphosite.org:5080/cgi-bin/plot-msms.cgi?MassType=1&amp;NumAxis=1&amp;Mod6=170&amp;Mod9=160&amp;Pep=LKTPTKPPCQ&amp;Dta=/var/www/html/dta/S01/10558.3275.2.dta&amp;Global_Mod=CS57.0215", "3275")</f>
        <v>3275</v>
      </c>
      <c r="P210" s="36" t="str">
        <f>HYPERLINK("http://ms.phosphosite.org:5080/cgi-bin/plot-msms.cgi?MassType=1&amp;NumAxis=1&amp;Mod6=170&amp;Mod9=160&amp;Pep=LKTPTKPPCQ&amp;Dta=/var/www/html/dta/S01/10559.3222.2.dta&amp;Global_Mod=CS57.0215", "3222")</f>
        <v>3222</v>
      </c>
      <c r="Q210" s="36" t="str">
        <f>HYPERLINK("http://ms.phosphosite.org:5080/cgi-bin/plot-msms.cgi?MassType=1&amp;NumAxis=1&amp;Mod6=170&amp;Mod9=160&amp;Pep=LKTPTKPPCQ&amp;Dta=/var/www/html/dta/S01/10560.3203.2.dta&amp;Global_Mod=CS57.0215", "3203")</f>
        <v>3203</v>
      </c>
      <c r="R210" s="36" t="str">
        <f>HYPERLINK("http://ms.phosphosite.org:5080/cgi-bin/plot-msms.cgi?MassType=1&amp;NumAxis=1&amp;Mod6=170&amp;Mod9=160&amp;Pep=LKTPTKPPCQ&amp;Dta=/var/www/html/dta/S01/10561.3219.2.dta&amp;Global_Mod=CS57.0215", "3219")</f>
        <v>3219</v>
      </c>
      <c r="S210" s="36" t="str">
        <f>HYPERLINK("http://ms.phosphosite.org:5080/cgi-bin/plot-msms.cgi?MassType=1&amp;NumAxis=1&amp;Mod6=170&amp;Mod9=160&amp;Pep=LKTPTKPPCQ&amp;Dta=/var/www/html/dta/S01/10562.3319.2.dta&amp;Global_Mod=CS57.0215", "3319")</f>
        <v>3319</v>
      </c>
      <c r="T210" s="36" t="str">
        <f>HYPERLINK("http://ms.phosphosite.org:5080/cgi-bin/plot-msms.cgi?MassType=1&amp;NumAxis=1&amp;Mod6=170&amp;Mod9=160&amp;Pep=LKTPTKPPCQ&amp;Dta=/var/www/html/dta/S01/10563.3242.2.dta&amp;Global_Mod=CS57.0215", "3242")</f>
        <v>3242</v>
      </c>
      <c r="U210" s="36" t="str">
        <f>HYPERLINK("http://ms.phosphosite.org:5080/cgi-bin/plot-msms.cgi?MassType=1&amp;NumAxis=1&amp;Mod6=170&amp;Mod9=160&amp;Pep=LKTPTKPPCQ&amp;Dta=/var/www/html/dta/S01/10564.3486.2.dta&amp;Global_Mod=CS57.0215", "3486")</f>
        <v>3486</v>
      </c>
      <c r="V210" s="36" t="str">
        <f>HYPERLINK("http://ms.phosphosite.org:5080/cgi-bin/plot-msms.cgi?MassType=1&amp;NumAxis=1&amp;Mod6=170&amp;Mod9=160&amp;Pep=LKTPTKPPCQ&amp;Dta=/var/www/html/dta/S01/10565.3577.2.dta&amp;Global_Mod=CS57.0215", "3577")</f>
        <v>3577</v>
      </c>
      <c r="W210" s="5">
        <v>2851</v>
      </c>
      <c r="X210" s="5">
        <v>2813</v>
      </c>
      <c r="Y210" s="5">
        <v>2790</v>
      </c>
      <c r="Z210" s="5">
        <v>2839</v>
      </c>
      <c r="AA210" s="5">
        <v>3295</v>
      </c>
      <c r="AB210" s="5">
        <v>2850</v>
      </c>
      <c r="AC210" s="5">
        <v>3155</v>
      </c>
      <c r="AD210" s="5">
        <v>3619</v>
      </c>
      <c r="AE210" s="90">
        <v>2.1579999999999999</v>
      </c>
      <c r="AF210" s="90">
        <v>2.0950000000000002</v>
      </c>
      <c r="AG210" s="90">
        <v>2.528</v>
      </c>
      <c r="AH210" s="90">
        <v>2.258</v>
      </c>
      <c r="AI210" s="90">
        <v>2.31</v>
      </c>
      <c r="AJ210" s="90">
        <v>2.4079999999999999</v>
      </c>
      <c r="AK210" s="90">
        <v>2.0609999999999999</v>
      </c>
      <c r="AL210" s="90">
        <v>2.2440000000000002</v>
      </c>
      <c r="AM210" s="21">
        <v>3.8699999999999998E-2</v>
      </c>
      <c r="AN210" s="21">
        <v>0.1188</v>
      </c>
      <c r="AO210" s="21">
        <v>0.1147</v>
      </c>
      <c r="AP210" s="21">
        <v>0.189</v>
      </c>
      <c r="AQ210" s="21">
        <v>0.1923</v>
      </c>
      <c r="AR210" s="21">
        <v>0.15590000000000001</v>
      </c>
      <c r="AS210" s="21">
        <v>4.8999999999999998E-3</v>
      </c>
      <c r="AT210" s="21">
        <v>-3.2199999999999999E-2</v>
      </c>
      <c r="AU210" s="21">
        <v>0.127</v>
      </c>
      <c r="AV210" s="21">
        <v>7.5999999999999998E-2</v>
      </c>
      <c r="AW210" s="21">
        <v>0.24299999999999999</v>
      </c>
      <c r="AX210" s="21">
        <v>0.123</v>
      </c>
      <c r="AY210" s="21">
        <v>0.126</v>
      </c>
      <c r="AZ210" s="21">
        <v>0.247</v>
      </c>
      <c r="BA210" s="21">
        <v>0.123</v>
      </c>
      <c r="BB210" s="21">
        <v>2.7E-2</v>
      </c>
      <c r="BC210" s="5">
        <v>6</v>
      </c>
      <c r="BD210" s="5">
        <v>2</v>
      </c>
      <c r="BE210" s="5">
        <v>1</v>
      </c>
      <c r="BF210" s="5">
        <v>19</v>
      </c>
      <c r="BG210" s="5">
        <v>11</v>
      </c>
      <c r="BH210" s="5">
        <v>1</v>
      </c>
      <c r="BI210" s="5">
        <v>26</v>
      </c>
      <c r="BJ210" s="5">
        <v>1</v>
      </c>
      <c r="BK210" s="90">
        <v>0.98299999999999998</v>
      </c>
      <c r="BL210" s="90">
        <v>0.97499999999999998</v>
      </c>
      <c r="BM210" s="90">
        <v>0.999</v>
      </c>
      <c r="BN210" s="90">
        <v>0.98</v>
      </c>
      <c r="BO210" s="90">
        <v>0.98499999999999999</v>
      </c>
      <c r="BP210" s="90">
        <v>0.999</v>
      </c>
      <c r="BQ210" s="90">
        <v>0.96399999999999997</v>
      </c>
      <c r="BR210" s="90">
        <v>0.97499999999999998</v>
      </c>
      <c r="BS210" s="5" t="s">
        <v>4857</v>
      </c>
    </row>
    <row r="211" spans="1:71" s="30" customFormat="1" ht="17.100000000000001" customHeight="1">
      <c r="A211" s="14">
        <v>200</v>
      </c>
      <c r="B211" s="5" t="s">
        <v>4077</v>
      </c>
      <c r="C211" s="3" t="s">
        <v>4067</v>
      </c>
      <c r="D211" s="3" t="s">
        <v>4069</v>
      </c>
      <c r="E211" s="3" t="s">
        <v>4070</v>
      </c>
      <c r="F211" s="5" t="s">
        <v>4071</v>
      </c>
      <c r="G211" s="3" t="s">
        <v>4072</v>
      </c>
      <c r="H211" s="6" t="s">
        <v>4073</v>
      </c>
      <c r="I211" s="3" t="s">
        <v>4074</v>
      </c>
      <c r="J211" s="5" t="s">
        <v>4075</v>
      </c>
      <c r="K211" s="3" t="s">
        <v>5452</v>
      </c>
      <c r="L211" s="3" t="s">
        <v>4076</v>
      </c>
      <c r="M211" s="5">
        <v>2</v>
      </c>
      <c r="N211" s="21">
        <v>606.32629999999995</v>
      </c>
      <c r="O211" s="36" t="str">
        <f>HYPERLINK("http://ms.phosphosite.org:5080/cgi-bin/plot-msms.cgi?MassType=1&amp;NumAxis=1&amp;Mod6=170&amp;Mod9=160&amp;Pep=LKTPTKPPCQ&amp;Dta=/var/www/html/dta/S01/10558.3188.2.dta&amp;Global_Mod=CS57.0215", "3188")</f>
        <v>3188</v>
      </c>
      <c r="P211" s="36" t="str">
        <f>HYPERLINK("http://ms.phosphosite.org:5080/cgi-bin/plot-msms.cgi?MassType=1&amp;NumAxis=1&amp;Mod6=170&amp;Mod9=160&amp;Pep=LKTPTKPPCQ&amp;Dta=/var/www/html/dta/S01/10559.3144.2.dta&amp;Global_Mod=CS57.0215", "3144")</f>
        <v>3144</v>
      </c>
      <c r="Q211" s="36" t="str">
        <f>HYPERLINK("http://ms.phosphosite.org:5080/cgi-bin/plot-msms.cgi?MassType=1&amp;NumAxis=1&amp;Mod6=170&amp;Mod9=160&amp;Pep=LKTPTKPPCQ&amp;Dta=/var/www/html/dta/S01/10560.3121.2.dta&amp;Global_Mod=CS57.0215", "3121")</f>
        <v>3121</v>
      </c>
      <c r="R211" s="36" t="str">
        <f>HYPERLINK("http://ms.phosphosite.org:5080/cgi-bin/plot-msms.cgi?MassType=1&amp;NumAxis=1&amp;Mod6=170&amp;Mod9=160&amp;Pep=LKTPTKPPCQ&amp;Dta=/var/www/html/dta/S01/10561.3137.2.dta&amp;Global_Mod=CS57.0215", "3137")</f>
        <v>3137</v>
      </c>
      <c r="S211" s="36" t="str">
        <f>HYPERLINK("http://ms.phosphosite.org:5080/cgi-bin/plot-msms.cgi?MassType=1&amp;NumAxis=1&amp;Mod6=170&amp;Mod9=160&amp;Pep=LKTPTKPPCQ&amp;Dta=/var/www/html/dta/S01/10562.3236.2.dta&amp;Global_Mod=CS57.0215", "3236")</f>
        <v>3236</v>
      </c>
      <c r="T211" s="36" t="str">
        <f>HYPERLINK("http://ms.phosphosite.org:5080/cgi-bin/plot-msms.cgi?MassType=1&amp;NumAxis=1&amp;Mod6=170&amp;Mod9=160&amp;Pep=LKTPTKPPCQ&amp;Dta=/var/www/html/dta/S01/10563.3155.2.dta&amp;Global_Mod=CS57.0215", "3155")</f>
        <v>3155</v>
      </c>
      <c r="U211" s="35" t="s">
        <v>4854</v>
      </c>
      <c r="V211" s="35" t="s">
        <v>4854</v>
      </c>
      <c r="W211" s="3" t="s">
        <v>4854</v>
      </c>
      <c r="X211" s="3" t="s">
        <v>4854</v>
      </c>
      <c r="Y211" s="5">
        <v>2790</v>
      </c>
      <c r="Z211" s="3" t="s">
        <v>4854</v>
      </c>
      <c r="AA211" s="3" t="s">
        <v>4854</v>
      </c>
      <c r="AB211" s="3" t="s">
        <v>4854</v>
      </c>
      <c r="AC211" s="3" t="s">
        <v>4854</v>
      </c>
      <c r="AD211" s="3" t="s">
        <v>4854</v>
      </c>
      <c r="AE211" s="90">
        <v>1.9790000000000001</v>
      </c>
      <c r="AF211" s="90">
        <v>2.0419999999999998</v>
      </c>
      <c r="AG211" s="90">
        <v>1.9870000000000001</v>
      </c>
      <c r="AH211" s="90">
        <v>1.7829999999999999</v>
      </c>
      <c r="AI211" s="90">
        <v>1.7589999999999999</v>
      </c>
      <c r="AJ211" s="90">
        <v>1.954</v>
      </c>
      <c r="AK211" s="99" t="s">
        <v>4854</v>
      </c>
      <c r="AL211" s="99" t="s">
        <v>4854</v>
      </c>
      <c r="AM211" s="21">
        <v>0.1221</v>
      </c>
      <c r="AN211" s="21">
        <v>0.16089999999999999</v>
      </c>
      <c r="AO211" s="21">
        <v>0.18479999999999999</v>
      </c>
      <c r="AP211" s="21">
        <v>0.24840000000000001</v>
      </c>
      <c r="AQ211" s="21">
        <v>0.1757</v>
      </c>
      <c r="AR211" s="21">
        <v>0.1535</v>
      </c>
      <c r="AS211" s="102" t="s">
        <v>4854</v>
      </c>
      <c r="AT211" s="102" t="s">
        <v>4854</v>
      </c>
      <c r="AU211" s="21">
        <v>1.2E-2</v>
      </c>
      <c r="AV211" s="21">
        <v>0.10199999999999999</v>
      </c>
      <c r="AW211" s="21">
        <v>0.11899999999999999</v>
      </c>
      <c r="AX211" s="21">
        <v>5.8000000000000003E-2</v>
      </c>
      <c r="AY211" s="21">
        <v>2.9000000000000001E-2</v>
      </c>
      <c r="AZ211" s="21">
        <v>9.4E-2</v>
      </c>
      <c r="BA211" s="102" t="s">
        <v>4854</v>
      </c>
      <c r="BB211" s="102" t="s">
        <v>4854</v>
      </c>
      <c r="BC211" s="5">
        <v>11</v>
      </c>
      <c r="BD211" s="5">
        <v>61</v>
      </c>
      <c r="BE211" s="5">
        <v>15</v>
      </c>
      <c r="BF211" s="5">
        <v>48</v>
      </c>
      <c r="BG211" s="5">
        <v>42</v>
      </c>
      <c r="BH211" s="5">
        <v>87</v>
      </c>
      <c r="BI211" s="3" t="s">
        <v>4854</v>
      </c>
      <c r="BJ211" s="3" t="s">
        <v>4854</v>
      </c>
      <c r="BK211" s="90">
        <v>0.88400000000000001</v>
      </c>
      <c r="BL211" s="90">
        <v>0.93799999999999994</v>
      </c>
      <c r="BM211" s="90">
        <v>0.96199999999999997</v>
      </c>
      <c r="BN211" s="90">
        <v>0.83</v>
      </c>
      <c r="BO211" s="90">
        <v>0.77400000000000002</v>
      </c>
      <c r="BP211" s="90">
        <v>0.90700000000000003</v>
      </c>
      <c r="BQ211" s="99" t="s">
        <v>4854</v>
      </c>
      <c r="BR211" s="99" t="s">
        <v>4854</v>
      </c>
      <c r="BS211" s="5" t="s">
        <v>4857</v>
      </c>
    </row>
    <row r="212" spans="1:71" s="30" customFormat="1" ht="17.100000000000001" customHeight="1">
      <c r="A212" s="14">
        <v>201</v>
      </c>
      <c r="B212" s="5" t="s">
        <v>4078</v>
      </c>
      <c r="C212" s="3" t="s">
        <v>4067</v>
      </c>
      <c r="D212" s="3" t="s">
        <v>4069</v>
      </c>
      <c r="E212" s="3" t="s">
        <v>4070</v>
      </c>
      <c r="F212" s="5" t="s">
        <v>4071</v>
      </c>
      <c r="G212" s="3" t="s">
        <v>4072</v>
      </c>
      <c r="H212" s="6" t="s">
        <v>4073</v>
      </c>
      <c r="I212" s="3" t="s">
        <v>4074</v>
      </c>
      <c r="J212" s="5" t="s">
        <v>4075</v>
      </c>
      <c r="K212" s="3" t="s">
        <v>5452</v>
      </c>
      <c r="L212" s="3" t="s">
        <v>4079</v>
      </c>
      <c r="M212" s="5">
        <v>2</v>
      </c>
      <c r="N212" s="21">
        <v>485.73680000000002</v>
      </c>
      <c r="O212" s="35" t="s">
        <v>4854</v>
      </c>
      <c r="P212" s="36" t="str">
        <f>HYPERLINK("http://ms.phosphosite.org:5080/cgi-bin/plot-msms.cgi?MassType=1&amp;NumAxis=1&amp;Mod4=170&amp;Mod7=160&amp;Pep=TPTKPPCQ&amp;Dta=/var/www/html/dta/S01/10559.2431.2.dta&amp;Global_Mod=CS57.0215", "2431")</f>
        <v>2431</v>
      </c>
      <c r="Q212" s="36" t="str">
        <f>HYPERLINK("http://ms.phosphosite.org:5080/cgi-bin/plot-msms.cgi?MassType=1&amp;NumAxis=1&amp;Mod4=170&amp;Mod7=160&amp;Pep=TPTKPPCQ&amp;Dta=/var/www/html/dta/S01/10560.2398.2.dta&amp;Global_Mod=CS57.0215", "2398")</f>
        <v>2398</v>
      </c>
      <c r="R212" s="36" t="str">
        <f>HYPERLINK("http://ms.phosphosite.org:5080/cgi-bin/plot-msms.cgi?MassType=1&amp;NumAxis=1&amp;Mod4=170&amp;Mod7=160&amp;Pep=TPTKPPCQ&amp;Dta=/var/www/html/dta/S01/10561.2456.2.dta&amp;Global_Mod=CS57.0215", "2456")</f>
        <v>2456</v>
      </c>
      <c r="S212" s="35" t="s">
        <v>4854</v>
      </c>
      <c r="T212" s="35" t="s">
        <v>4854</v>
      </c>
      <c r="U212" s="35" t="s">
        <v>4854</v>
      </c>
      <c r="V212" s="35" t="s">
        <v>4854</v>
      </c>
      <c r="W212" s="3" t="s">
        <v>4854</v>
      </c>
      <c r="X212" s="5">
        <v>2373</v>
      </c>
      <c r="Y212" s="5">
        <v>2340</v>
      </c>
      <c r="Z212" s="5">
        <v>2399</v>
      </c>
      <c r="AA212" s="3" t="s">
        <v>4854</v>
      </c>
      <c r="AB212" s="3" t="s">
        <v>4854</v>
      </c>
      <c r="AC212" s="3" t="s">
        <v>4854</v>
      </c>
      <c r="AD212" s="3" t="s">
        <v>4854</v>
      </c>
      <c r="AE212" s="99" t="s">
        <v>4854</v>
      </c>
      <c r="AF212" s="90">
        <v>1.7709999999999999</v>
      </c>
      <c r="AG212" s="90">
        <v>1.9550000000000001</v>
      </c>
      <c r="AH212" s="90">
        <v>1.7470000000000001</v>
      </c>
      <c r="AI212" s="99" t="s">
        <v>4854</v>
      </c>
      <c r="AJ212" s="99" t="s">
        <v>4854</v>
      </c>
      <c r="AK212" s="99" t="s">
        <v>4854</v>
      </c>
      <c r="AL212" s="99" t="s">
        <v>4854</v>
      </c>
      <c r="AM212" s="102" t="s">
        <v>4854</v>
      </c>
      <c r="AN212" s="21">
        <v>-0.28960000000000002</v>
      </c>
      <c r="AO212" s="21">
        <v>-0.18140000000000001</v>
      </c>
      <c r="AP212" s="21">
        <v>-0.22259999999999999</v>
      </c>
      <c r="AQ212" s="102" t="s">
        <v>4854</v>
      </c>
      <c r="AR212" s="102" t="s">
        <v>4854</v>
      </c>
      <c r="AS212" s="102" t="s">
        <v>4854</v>
      </c>
      <c r="AT212" s="102" t="s">
        <v>4854</v>
      </c>
      <c r="AU212" s="102" t="s">
        <v>4854</v>
      </c>
      <c r="AV212" s="21">
        <v>6.4000000000000001E-2</v>
      </c>
      <c r="AW212" s="21">
        <v>0.115</v>
      </c>
      <c r="AX212" s="21">
        <v>0.129</v>
      </c>
      <c r="AY212" s="102" t="s">
        <v>4854</v>
      </c>
      <c r="AZ212" s="102" t="s">
        <v>4854</v>
      </c>
      <c r="BA212" s="102" t="s">
        <v>4854</v>
      </c>
      <c r="BB212" s="102" t="s">
        <v>4854</v>
      </c>
      <c r="BC212" s="3" t="s">
        <v>4854</v>
      </c>
      <c r="BD212" s="5">
        <v>20</v>
      </c>
      <c r="BE212" s="5">
        <v>6</v>
      </c>
      <c r="BF212" s="5">
        <v>7</v>
      </c>
      <c r="BG212" s="3" t="s">
        <v>4854</v>
      </c>
      <c r="BH212" s="3" t="s">
        <v>4854</v>
      </c>
      <c r="BI212" s="3" t="s">
        <v>4854</v>
      </c>
      <c r="BJ212" s="3" t="s">
        <v>4854</v>
      </c>
      <c r="BK212" s="99" t="s">
        <v>4854</v>
      </c>
      <c r="BL212" s="90">
        <v>0.98</v>
      </c>
      <c r="BM212" s="90">
        <v>0.996</v>
      </c>
      <c r="BN212" s="90">
        <v>0.99299999999999999</v>
      </c>
      <c r="BO212" s="99" t="s">
        <v>4854</v>
      </c>
      <c r="BP212" s="99" t="s">
        <v>4854</v>
      </c>
      <c r="BQ212" s="99" t="s">
        <v>4854</v>
      </c>
      <c r="BR212" s="99" t="s">
        <v>4854</v>
      </c>
      <c r="BS212" s="5" t="s">
        <v>4857</v>
      </c>
    </row>
    <row r="213" spans="1:71" s="30" customFormat="1" ht="17.100000000000001" customHeight="1">
      <c r="A213" s="14">
        <v>202</v>
      </c>
      <c r="B213" s="5" t="s">
        <v>4080</v>
      </c>
      <c r="C213" s="3" t="s">
        <v>4067</v>
      </c>
      <c r="D213" s="3" t="s">
        <v>4069</v>
      </c>
      <c r="E213" s="3" t="s">
        <v>4070</v>
      </c>
      <c r="F213" s="5" t="s">
        <v>4071</v>
      </c>
      <c r="G213" s="3" t="s">
        <v>4072</v>
      </c>
      <c r="H213" s="6" t="s">
        <v>4073</v>
      </c>
      <c r="I213" s="3" t="s">
        <v>4074</v>
      </c>
      <c r="J213" s="5" t="s">
        <v>4075</v>
      </c>
      <c r="K213" s="3" t="s">
        <v>5452</v>
      </c>
      <c r="L213" s="3" t="s">
        <v>4079</v>
      </c>
      <c r="M213" s="5">
        <v>2</v>
      </c>
      <c r="N213" s="21">
        <v>485.73680000000002</v>
      </c>
      <c r="O213" s="35" t="s">
        <v>4854</v>
      </c>
      <c r="P213" s="35" t="s">
        <v>4854</v>
      </c>
      <c r="Q213" s="36" t="str">
        <f>HYPERLINK("http://ms.phosphosite.org:5080/cgi-bin/plot-msms.cgi?MassType=1&amp;NumAxis=1&amp;Mod4=170&amp;Mod7=160&amp;Pep=TPTKPPCQ&amp;Dta=/var/www/html/dta/S01/10560.2308.2.dta&amp;Global_Mod=CS57.0215", "2308")</f>
        <v>2308</v>
      </c>
      <c r="R213" s="35" t="s">
        <v>4854</v>
      </c>
      <c r="S213" s="35" t="s">
        <v>4854</v>
      </c>
      <c r="T213" s="35" t="s">
        <v>4854</v>
      </c>
      <c r="U213" s="35" t="s">
        <v>4854</v>
      </c>
      <c r="V213" s="35" t="s">
        <v>4854</v>
      </c>
      <c r="W213" s="3" t="s">
        <v>4854</v>
      </c>
      <c r="X213" s="3" t="s">
        <v>4854</v>
      </c>
      <c r="Y213" s="5">
        <v>2340</v>
      </c>
      <c r="Z213" s="3" t="s">
        <v>4854</v>
      </c>
      <c r="AA213" s="3" t="s">
        <v>4854</v>
      </c>
      <c r="AB213" s="3" t="s">
        <v>4854</v>
      </c>
      <c r="AC213" s="3" t="s">
        <v>4854</v>
      </c>
      <c r="AD213" s="3" t="s">
        <v>4854</v>
      </c>
      <c r="AE213" s="99" t="s">
        <v>4854</v>
      </c>
      <c r="AF213" s="99" t="s">
        <v>4854</v>
      </c>
      <c r="AG213" s="90">
        <v>1.917</v>
      </c>
      <c r="AH213" s="99" t="s">
        <v>4854</v>
      </c>
      <c r="AI213" s="99" t="s">
        <v>4854</v>
      </c>
      <c r="AJ213" s="99" t="s">
        <v>4854</v>
      </c>
      <c r="AK213" s="99" t="s">
        <v>4854</v>
      </c>
      <c r="AL213" s="99" t="s">
        <v>4854</v>
      </c>
      <c r="AM213" s="102" t="s">
        <v>4854</v>
      </c>
      <c r="AN213" s="102" t="s">
        <v>4854</v>
      </c>
      <c r="AO213" s="21">
        <v>-0.25559999999999999</v>
      </c>
      <c r="AP213" s="102" t="s">
        <v>4854</v>
      </c>
      <c r="AQ213" s="102" t="s">
        <v>4854</v>
      </c>
      <c r="AR213" s="102" t="s">
        <v>4854</v>
      </c>
      <c r="AS213" s="102" t="s">
        <v>4854</v>
      </c>
      <c r="AT213" s="102" t="s">
        <v>4854</v>
      </c>
      <c r="AU213" s="102" t="s">
        <v>4854</v>
      </c>
      <c r="AV213" s="102" t="s">
        <v>4854</v>
      </c>
      <c r="AW213" s="21">
        <v>3.4000000000000002E-2</v>
      </c>
      <c r="AX213" s="102" t="s">
        <v>4854</v>
      </c>
      <c r="AY213" s="102" t="s">
        <v>4854</v>
      </c>
      <c r="AZ213" s="102" t="s">
        <v>4854</v>
      </c>
      <c r="BA213" s="102" t="s">
        <v>4854</v>
      </c>
      <c r="BB213" s="102" t="s">
        <v>4854</v>
      </c>
      <c r="BC213" s="3" t="s">
        <v>4854</v>
      </c>
      <c r="BD213" s="3" t="s">
        <v>4854</v>
      </c>
      <c r="BE213" s="5">
        <v>13</v>
      </c>
      <c r="BF213" s="3" t="s">
        <v>4854</v>
      </c>
      <c r="BG213" s="3" t="s">
        <v>4854</v>
      </c>
      <c r="BH213" s="3" t="s">
        <v>4854</v>
      </c>
      <c r="BI213" s="3" t="s">
        <v>4854</v>
      </c>
      <c r="BJ213" s="3" t="s">
        <v>4854</v>
      </c>
      <c r="BK213" s="99" t="s">
        <v>4854</v>
      </c>
      <c r="BL213" s="99" t="s">
        <v>4854</v>
      </c>
      <c r="BM213" s="90">
        <v>0.98299999999999998</v>
      </c>
      <c r="BN213" s="99" t="s">
        <v>4854</v>
      </c>
      <c r="BO213" s="99" t="s">
        <v>4854</v>
      </c>
      <c r="BP213" s="99" t="s">
        <v>4854</v>
      </c>
      <c r="BQ213" s="99" t="s">
        <v>4854</v>
      </c>
      <c r="BR213" s="99" t="s">
        <v>4854</v>
      </c>
      <c r="BS213" s="5" t="s">
        <v>4857</v>
      </c>
    </row>
    <row r="214" spans="1:71" s="30" customFormat="1" ht="17.100000000000001" customHeight="1">
      <c r="A214" s="10">
        <v>203</v>
      </c>
      <c r="B214" s="10" t="s">
        <v>4081</v>
      </c>
      <c r="C214" s="4" t="s">
        <v>4067</v>
      </c>
      <c r="D214" s="4" t="s">
        <v>4082</v>
      </c>
      <c r="E214" s="4" t="s">
        <v>4083</v>
      </c>
      <c r="F214" s="10" t="s">
        <v>5209</v>
      </c>
      <c r="G214" s="4" t="s">
        <v>4084</v>
      </c>
      <c r="H214" s="7" t="s">
        <v>4085</v>
      </c>
      <c r="I214" s="4" t="s">
        <v>4086</v>
      </c>
      <c r="J214" s="10" t="s">
        <v>4528</v>
      </c>
      <c r="K214" s="4" t="s">
        <v>5453</v>
      </c>
      <c r="L214" s="4" t="s">
        <v>4087</v>
      </c>
      <c r="M214" s="10">
        <v>2</v>
      </c>
      <c r="N214" s="95">
        <v>570.76959999999997</v>
      </c>
      <c r="O214" s="37" t="str">
        <f>HYPERLINK("http://ms.phosphosite.org:5080/cgi-bin/plot-msms.cgi?MassType=1&amp;NumAxis=1&amp;Mod5=170&amp;Pep=SGDWKGYTGK&amp;Dta=/var/www/html/dta/S01/10558.4599.2.dta&amp;Global_Mod=CS57.0215", "4599")</f>
        <v>4599</v>
      </c>
      <c r="P214" s="37" t="str">
        <f>HYPERLINK("http://ms.phosphosite.org:5080/cgi-bin/plot-msms.cgi?MassType=1&amp;NumAxis=1&amp;Mod5=170&amp;Pep=SGDWKGYTGK&amp;Dta=/var/www/html/dta/S01/10559.4464.2.dta&amp;Global_Mod=CS57.0215", "4464")</f>
        <v>4464</v>
      </c>
      <c r="Q214" s="37" t="str">
        <f>HYPERLINK("http://ms.phosphosite.org:5080/cgi-bin/plot-msms.cgi?MassType=1&amp;NumAxis=1&amp;Mod5=170&amp;Pep=SGDWKGYTGK&amp;Dta=/var/www/html/dta/S01/10560.4451.2.dta&amp;Global_Mod=CS57.0215", "4451")</f>
        <v>4451</v>
      </c>
      <c r="R214" s="37" t="str">
        <f>HYPERLINK("http://ms.phosphosite.org:5080/cgi-bin/plot-msms.cgi?MassType=1&amp;NumAxis=1&amp;Mod5=170&amp;Pep=SGDWKGYTGK&amp;Dta=/var/www/html/dta/S01/10561.4472.2.dta&amp;Global_Mod=CS57.0215", "4472")</f>
        <v>4472</v>
      </c>
      <c r="S214" s="37" t="str">
        <f>HYPERLINK("http://ms.phosphosite.org:5080/cgi-bin/plot-msms.cgi?MassType=1&amp;NumAxis=1&amp;Mod5=170&amp;Pep=SGDWKGYTGK&amp;Dta=/var/www/html/dta/S01/10562.4601.2.dta&amp;Global_Mod=CS57.0215", "4601")</f>
        <v>4601</v>
      </c>
      <c r="T214" s="37" t="str">
        <f>HYPERLINK("http://ms.phosphosite.org:5080/cgi-bin/plot-msms.cgi?MassType=1&amp;NumAxis=1&amp;Mod5=170&amp;Pep=SGDWKGYTGK&amp;Dta=/var/www/html/dta/S01/10563.4532.2.dta&amp;Global_Mod=CS57.0215", "4532")</f>
        <v>4532</v>
      </c>
      <c r="U214" s="37" t="str">
        <f>HYPERLINK("http://ms.phosphosite.org:5080/cgi-bin/plot-msms.cgi?MassType=1&amp;NumAxis=1&amp;Mod5=170&amp;Pep=SGDWKGYTGK&amp;Dta=/var/www/html/dta/S01/10564.4929.2.dta&amp;Global_Mod=CS57.0215", "4929")</f>
        <v>4929</v>
      </c>
      <c r="V214" s="37" t="str">
        <f>HYPERLINK("http://ms.phosphosite.org:5080/cgi-bin/plot-msms.cgi?MassType=1&amp;NumAxis=1&amp;Mod5=170&amp;Pep=SGDWKGYTGK&amp;Dta=/var/www/html/dta/S01/10565.5016.2.dta&amp;Global_Mod=CS57.0215", "5016")</f>
        <v>5016</v>
      </c>
      <c r="W214" s="10">
        <v>4586</v>
      </c>
      <c r="X214" s="10">
        <v>4470</v>
      </c>
      <c r="Y214" s="10">
        <v>4466</v>
      </c>
      <c r="Z214" s="10">
        <v>4490</v>
      </c>
      <c r="AA214" s="10">
        <v>4619</v>
      </c>
      <c r="AB214" s="10">
        <v>4530</v>
      </c>
      <c r="AC214" s="10">
        <v>4901</v>
      </c>
      <c r="AD214" s="10">
        <v>5023</v>
      </c>
      <c r="AE214" s="91">
        <v>2.8260000000000001</v>
      </c>
      <c r="AF214" s="91">
        <v>3.1930000000000001</v>
      </c>
      <c r="AG214" s="91">
        <v>3.08</v>
      </c>
      <c r="AH214" s="91">
        <v>2.7690000000000001</v>
      </c>
      <c r="AI214" s="91">
        <v>2.802</v>
      </c>
      <c r="AJ214" s="91">
        <v>2.62</v>
      </c>
      <c r="AK214" s="91">
        <v>2.847</v>
      </c>
      <c r="AL214" s="91">
        <v>3.3410000000000002</v>
      </c>
      <c r="AM214" s="95">
        <v>6.7100000000000007E-2</v>
      </c>
      <c r="AN214" s="95">
        <v>1.7040999999999999</v>
      </c>
      <c r="AO214" s="95">
        <v>1.6059000000000001</v>
      </c>
      <c r="AP214" s="95">
        <v>1.1912</v>
      </c>
      <c r="AQ214" s="95">
        <v>1.0176000000000001</v>
      </c>
      <c r="AR214" s="95">
        <v>1.2341</v>
      </c>
      <c r="AS214" s="95">
        <v>-2.93E-2</v>
      </c>
      <c r="AT214" s="95">
        <v>-5.91E-2</v>
      </c>
      <c r="AU214" s="95">
        <v>0.35799999999999998</v>
      </c>
      <c r="AV214" s="95">
        <v>0.39700000000000002</v>
      </c>
      <c r="AW214" s="95">
        <v>0.36899999999999999</v>
      </c>
      <c r="AX214" s="95">
        <v>0.36199999999999999</v>
      </c>
      <c r="AY214" s="95">
        <v>0.371</v>
      </c>
      <c r="AZ214" s="95">
        <v>0.318</v>
      </c>
      <c r="BA214" s="95">
        <v>0.41599999999999998</v>
      </c>
      <c r="BB214" s="95">
        <v>0.36399999999999999</v>
      </c>
      <c r="BC214" s="10">
        <v>1</v>
      </c>
      <c r="BD214" s="10">
        <v>1</v>
      </c>
      <c r="BE214" s="10">
        <v>1</v>
      </c>
      <c r="BF214" s="10">
        <v>1</v>
      </c>
      <c r="BG214" s="10">
        <v>1</v>
      </c>
      <c r="BH214" s="10">
        <v>1</v>
      </c>
      <c r="BI214" s="10">
        <v>1</v>
      </c>
      <c r="BJ214" s="10">
        <v>1</v>
      </c>
      <c r="BK214" s="91">
        <v>1</v>
      </c>
      <c r="BL214" s="91">
        <v>1</v>
      </c>
      <c r="BM214" s="91">
        <v>1</v>
      </c>
      <c r="BN214" s="91">
        <v>1</v>
      </c>
      <c r="BO214" s="91">
        <v>1</v>
      </c>
      <c r="BP214" s="91">
        <v>1</v>
      </c>
      <c r="BQ214" s="91">
        <v>1</v>
      </c>
      <c r="BR214" s="91">
        <v>1</v>
      </c>
      <c r="BS214" s="10" t="s">
        <v>4857</v>
      </c>
    </row>
    <row r="215" spans="1:71" s="30" customFormat="1" ht="17.100000000000001" customHeight="1">
      <c r="A215" s="14">
        <v>204</v>
      </c>
      <c r="B215" s="5" t="s">
        <v>4088</v>
      </c>
      <c r="C215" s="3" t="s">
        <v>4067</v>
      </c>
      <c r="D215" s="3" t="s">
        <v>4089</v>
      </c>
      <c r="E215" s="6" t="s">
        <v>4090</v>
      </c>
      <c r="F215" s="5" t="s">
        <v>5134</v>
      </c>
      <c r="G215" s="3" t="s">
        <v>4091</v>
      </c>
      <c r="H215" s="6" t="s">
        <v>4092</v>
      </c>
      <c r="I215" s="3" t="s">
        <v>4093</v>
      </c>
      <c r="J215" s="5" t="s">
        <v>4695</v>
      </c>
      <c r="K215" s="3" t="s">
        <v>5454</v>
      </c>
      <c r="L215" s="3" t="s">
        <v>4094</v>
      </c>
      <c r="M215" s="5">
        <v>2</v>
      </c>
      <c r="N215" s="21">
        <v>587.30790000000002</v>
      </c>
      <c r="O215" s="36" t="str">
        <f>HYPERLINK("http://ms.phosphosite.org:5080/cgi-bin/plot-msms.cgi?MassType=1&amp;NumAxis=1&amp;Mod3=170&amp;Mod8=160&amp;Pep=IVKYSPHCK&amp;Dta=/var/www/html/dta/S01/10558.2177.2.dta&amp;Global_Mod=CS57.0215", "2177")</f>
        <v>2177</v>
      </c>
      <c r="P215" s="36" t="str">
        <f>HYPERLINK("http://ms.phosphosite.org:5080/cgi-bin/plot-msms.cgi?MassType=1&amp;NumAxis=1&amp;Mod3=170&amp;Mod8=160&amp;Pep=IVKYSPHCK&amp;Dta=/var/www/html/dta/S01/10559.2153.2.dta&amp;Global_Mod=CS57.0215", "2153")</f>
        <v>2153</v>
      </c>
      <c r="Q215" s="36" t="str">
        <f>HYPERLINK("http://ms.phosphosite.org:5080/cgi-bin/plot-msms.cgi?MassType=1&amp;NumAxis=1&amp;Mod3=170&amp;Mod8=160&amp;Pep=IVKYSPHCK&amp;Dta=/var/www/html/dta/S01/10560.2131.2.dta&amp;Global_Mod=CS57.0215", "2131")</f>
        <v>2131</v>
      </c>
      <c r="R215" s="36" t="str">
        <f>HYPERLINK("http://ms.phosphosite.org:5080/cgi-bin/plot-msms.cgi?MassType=1&amp;NumAxis=1&amp;Mod3=170&amp;Mod8=160&amp;Pep=IVKYSPHCK&amp;Dta=/var/www/html/dta/S01/10561.2156.2.dta&amp;Global_Mod=CS57.0215", "2156")</f>
        <v>2156</v>
      </c>
      <c r="S215" s="35" t="s">
        <v>4854</v>
      </c>
      <c r="T215" s="35" t="s">
        <v>4854</v>
      </c>
      <c r="U215" s="36" t="str">
        <f>HYPERLINK("http://ms.phosphosite.org:5080/cgi-bin/plot-msms.cgi?MassType=1&amp;NumAxis=1&amp;Mod3=170&amp;Mod8=160&amp;Pep=IVKYSPHCK&amp;Dta=/var/www/html/dta/S01/10564.2433.2.dta&amp;Global_Mod=CS57.0215", "2433")</f>
        <v>2433</v>
      </c>
      <c r="V215" s="35" t="s">
        <v>4854</v>
      </c>
      <c r="W215" s="3" t="s">
        <v>4854</v>
      </c>
      <c r="X215" s="3" t="s">
        <v>4854</v>
      </c>
      <c r="Y215" s="3" t="s">
        <v>4854</v>
      </c>
      <c r="Z215" s="3" t="s">
        <v>4854</v>
      </c>
      <c r="AA215" s="3" t="s">
        <v>4854</v>
      </c>
      <c r="AB215" s="3" t="s">
        <v>4854</v>
      </c>
      <c r="AC215" s="3" t="s">
        <v>4854</v>
      </c>
      <c r="AD215" s="3" t="s">
        <v>4854</v>
      </c>
      <c r="AE215" s="90">
        <v>2.242</v>
      </c>
      <c r="AF215" s="90">
        <v>2.1040000000000001</v>
      </c>
      <c r="AG215" s="90">
        <v>2.1640000000000001</v>
      </c>
      <c r="AH215" s="90">
        <v>1.982</v>
      </c>
      <c r="AI215" s="99" t="s">
        <v>4854</v>
      </c>
      <c r="AJ215" s="99" t="s">
        <v>4854</v>
      </c>
      <c r="AK215" s="90">
        <v>2.4620000000000002</v>
      </c>
      <c r="AL215" s="99" t="s">
        <v>4854</v>
      </c>
      <c r="AM215" s="21">
        <v>-0.46660000000000001</v>
      </c>
      <c r="AN215" s="21">
        <v>0.2969</v>
      </c>
      <c r="AO215" s="21">
        <v>0.69899999999999995</v>
      </c>
      <c r="AP215" s="21">
        <v>1.7692000000000001</v>
      </c>
      <c r="AQ215" s="102" t="s">
        <v>4854</v>
      </c>
      <c r="AR215" s="102" t="s">
        <v>4854</v>
      </c>
      <c r="AS215" s="21">
        <v>0.96909999999999996</v>
      </c>
      <c r="AT215" s="102" t="s">
        <v>4854</v>
      </c>
      <c r="AU215" s="21">
        <v>0.23899999999999999</v>
      </c>
      <c r="AV215" s="21">
        <v>0.19400000000000001</v>
      </c>
      <c r="AW215" s="21">
        <v>0.19900000000000001</v>
      </c>
      <c r="AX215" s="21">
        <v>0.17199999999999999</v>
      </c>
      <c r="AY215" s="102" t="s">
        <v>4854</v>
      </c>
      <c r="AZ215" s="102" t="s">
        <v>4854</v>
      </c>
      <c r="BA215" s="21">
        <v>0.28199999999999997</v>
      </c>
      <c r="BB215" s="102" t="s">
        <v>4854</v>
      </c>
      <c r="BC215" s="5">
        <v>1</v>
      </c>
      <c r="BD215" s="5">
        <v>1</v>
      </c>
      <c r="BE215" s="5">
        <v>1</v>
      </c>
      <c r="BF215" s="5">
        <v>1</v>
      </c>
      <c r="BG215" s="3" t="s">
        <v>4854</v>
      </c>
      <c r="BH215" s="3" t="s">
        <v>4854</v>
      </c>
      <c r="BI215" s="5">
        <v>1</v>
      </c>
      <c r="BJ215" s="3" t="s">
        <v>4854</v>
      </c>
      <c r="BK215" s="90">
        <v>0.67200000000000004</v>
      </c>
      <c r="BL215" s="90">
        <v>0.65500000000000003</v>
      </c>
      <c r="BM215" s="90">
        <v>0.7</v>
      </c>
      <c r="BN215" s="90">
        <v>0.51800000000000002</v>
      </c>
      <c r="BO215" s="99" t="s">
        <v>4854</v>
      </c>
      <c r="BP215" s="99" t="s">
        <v>4854</v>
      </c>
      <c r="BQ215" s="90">
        <v>0.91700000000000004</v>
      </c>
      <c r="BR215" s="99" t="s">
        <v>4854</v>
      </c>
      <c r="BS215" s="5" t="s">
        <v>4857</v>
      </c>
    </row>
    <row r="216" spans="1:71" s="30" customFormat="1" ht="17.100000000000001" customHeight="1">
      <c r="A216" s="10">
        <v>205</v>
      </c>
      <c r="B216" s="10" t="s">
        <v>4095</v>
      </c>
      <c r="C216" s="4" t="s">
        <v>4067</v>
      </c>
      <c r="D216" s="4" t="s">
        <v>4089</v>
      </c>
      <c r="E216" s="7" t="s">
        <v>4090</v>
      </c>
      <c r="F216" s="10" t="s">
        <v>5303</v>
      </c>
      <c r="G216" s="4" t="s">
        <v>4091</v>
      </c>
      <c r="H216" s="7" t="s">
        <v>4092</v>
      </c>
      <c r="I216" s="4" t="s">
        <v>4093</v>
      </c>
      <c r="J216" s="10" t="s">
        <v>4695</v>
      </c>
      <c r="K216" s="4" t="s">
        <v>5455</v>
      </c>
      <c r="L216" s="4" t="s">
        <v>4096</v>
      </c>
      <c r="M216" s="10">
        <v>2</v>
      </c>
      <c r="N216" s="95">
        <v>403.2099</v>
      </c>
      <c r="O216" s="38" t="s">
        <v>4854</v>
      </c>
      <c r="P216" s="37" t="str">
        <f>HYPERLINK("http://ms.phosphosite.org:5080/cgi-bin/plot-msms.cgi?MassType=1&amp;NumAxis=1&amp;Mod4=170&amp;Pep=MEDKLK&amp;Dta=/var/www/html/dta/S01/10559.3781.2.dta&amp;Global_Mod=CS57.0215", "3781")</f>
        <v>3781</v>
      </c>
      <c r="Q216" s="38" t="s">
        <v>4854</v>
      </c>
      <c r="R216" s="38" t="s">
        <v>4854</v>
      </c>
      <c r="S216" s="38" t="s">
        <v>4854</v>
      </c>
      <c r="T216" s="38" t="s">
        <v>4854</v>
      </c>
      <c r="U216" s="38" t="s">
        <v>4854</v>
      </c>
      <c r="V216" s="38" t="s">
        <v>4854</v>
      </c>
      <c r="W216" s="4" t="s">
        <v>4854</v>
      </c>
      <c r="X216" s="4" t="s">
        <v>4854</v>
      </c>
      <c r="Y216" s="4" t="s">
        <v>4854</v>
      </c>
      <c r="Z216" s="4" t="s">
        <v>4854</v>
      </c>
      <c r="AA216" s="4" t="s">
        <v>4854</v>
      </c>
      <c r="AB216" s="4" t="s">
        <v>4854</v>
      </c>
      <c r="AC216" s="4" t="s">
        <v>4854</v>
      </c>
      <c r="AD216" s="4" t="s">
        <v>4854</v>
      </c>
      <c r="AE216" s="100" t="s">
        <v>4854</v>
      </c>
      <c r="AF216" s="91">
        <v>1.6779999999999999</v>
      </c>
      <c r="AG216" s="100" t="s">
        <v>4854</v>
      </c>
      <c r="AH216" s="100" t="s">
        <v>4854</v>
      </c>
      <c r="AI216" s="100" t="s">
        <v>4854</v>
      </c>
      <c r="AJ216" s="100" t="s">
        <v>4854</v>
      </c>
      <c r="AK216" s="100" t="s">
        <v>4854</v>
      </c>
      <c r="AL216" s="100" t="s">
        <v>4854</v>
      </c>
      <c r="AM216" s="103" t="s">
        <v>4854</v>
      </c>
      <c r="AN216" s="95">
        <v>0.193</v>
      </c>
      <c r="AO216" s="103" t="s">
        <v>4854</v>
      </c>
      <c r="AP216" s="103" t="s">
        <v>4854</v>
      </c>
      <c r="AQ216" s="103" t="s">
        <v>4854</v>
      </c>
      <c r="AR216" s="103" t="s">
        <v>4854</v>
      </c>
      <c r="AS216" s="103" t="s">
        <v>4854</v>
      </c>
      <c r="AT216" s="103" t="s">
        <v>4854</v>
      </c>
      <c r="AU216" s="103" t="s">
        <v>4854</v>
      </c>
      <c r="AV216" s="95">
        <v>2E-3</v>
      </c>
      <c r="AW216" s="103" t="s">
        <v>4854</v>
      </c>
      <c r="AX216" s="103" t="s">
        <v>4854</v>
      </c>
      <c r="AY216" s="103" t="s">
        <v>4854</v>
      </c>
      <c r="AZ216" s="103" t="s">
        <v>4854</v>
      </c>
      <c r="BA216" s="103" t="s">
        <v>4854</v>
      </c>
      <c r="BB216" s="103" t="s">
        <v>4854</v>
      </c>
      <c r="BC216" s="4" t="s">
        <v>4854</v>
      </c>
      <c r="BD216" s="10">
        <v>3</v>
      </c>
      <c r="BE216" s="4" t="s">
        <v>4854</v>
      </c>
      <c r="BF216" s="4" t="s">
        <v>4854</v>
      </c>
      <c r="BG216" s="4" t="s">
        <v>4854</v>
      </c>
      <c r="BH216" s="4" t="s">
        <v>4854</v>
      </c>
      <c r="BI216" s="4" t="s">
        <v>4854</v>
      </c>
      <c r="BJ216" s="4" t="s">
        <v>4854</v>
      </c>
      <c r="BK216" s="100" t="s">
        <v>4854</v>
      </c>
      <c r="BL216" s="91">
        <v>5.8999999999999997E-2</v>
      </c>
      <c r="BM216" s="100" t="s">
        <v>4854</v>
      </c>
      <c r="BN216" s="100" t="s">
        <v>4854</v>
      </c>
      <c r="BO216" s="100" t="s">
        <v>4854</v>
      </c>
      <c r="BP216" s="100" t="s">
        <v>4854</v>
      </c>
      <c r="BQ216" s="100" t="s">
        <v>4854</v>
      </c>
      <c r="BR216" s="100" t="s">
        <v>4854</v>
      </c>
      <c r="BS216" s="10" t="s">
        <v>4857</v>
      </c>
    </row>
    <row r="217" spans="1:71" s="30" customFormat="1" ht="17.100000000000001" customHeight="1">
      <c r="A217" s="14">
        <v>206</v>
      </c>
      <c r="B217" s="5" t="s">
        <v>4097</v>
      </c>
      <c r="C217" s="3" t="s">
        <v>4067</v>
      </c>
      <c r="D217" s="3" t="s">
        <v>4089</v>
      </c>
      <c r="E217" s="6" t="s">
        <v>4090</v>
      </c>
      <c r="F217" s="5" t="s">
        <v>4998</v>
      </c>
      <c r="G217" s="3" t="s">
        <v>4091</v>
      </c>
      <c r="H217" s="6" t="s">
        <v>4092</v>
      </c>
      <c r="I217" s="3" t="s">
        <v>4093</v>
      </c>
      <c r="J217" s="5" t="s">
        <v>4695</v>
      </c>
      <c r="K217" s="3" t="s">
        <v>5456</v>
      </c>
      <c r="L217" s="3" t="s">
        <v>4098</v>
      </c>
      <c r="M217" s="5">
        <v>2</v>
      </c>
      <c r="N217" s="21">
        <v>807.39559999999994</v>
      </c>
      <c r="O217" s="36" t="str">
        <f>HYPERLINK("http://ms.phosphosite.org:5080/cgi-bin/plot-msms.cgi?MassType=1&amp;NumAxis=1&amp;Mod5=170&amp;Mod8=160&amp;Pep=IVSSKDYCVTANSK&amp;Dta=/var/www/html/dta/S01/10558.4144.2.dta&amp;Global_Mod=CS57.0215", "4144")</f>
        <v>4144</v>
      </c>
      <c r="P217" s="36" t="str">
        <f>HYPERLINK("http://ms.phosphosite.org:5080/cgi-bin/plot-msms.cgi?MassType=1&amp;NumAxis=1&amp;Mod5=170&amp;Mod8=160&amp;Pep=IVSSKDYCVTANSK&amp;Dta=/var/www/html/dta/S01/10559.4075.2.dta&amp;Global_Mod=CS57.0215", "4075")</f>
        <v>4075</v>
      </c>
      <c r="Q217" s="36" t="str">
        <f>HYPERLINK("http://ms.phosphosite.org:5080/cgi-bin/plot-msms.cgi?MassType=1&amp;NumAxis=1&amp;Mod5=170&amp;Mod8=160&amp;Pep=IVSSKDYCVTANSK&amp;Dta=/var/www/html/dta/S01/10560.4067.2.dta&amp;Global_Mod=CS57.0215", "4067")</f>
        <v>4067</v>
      </c>
      <c r="R217" s="36" t="str">
        <f>HYPERLINK("http://ms.phosphosite.org:5080/cgi-bin/plot-msms.cgi?MassType=1&amp;NumAxis=1&amp;Mod5=170&amp;Mod8=160&amp;Pep=IVSSKDYCVTANSK&amp;Dta=/var/www/html/dta/S01/10561.4090.2.dta&amp;Global_Mod=CS57.0215", "4090")</f>
        <v>4090</v>
      </c>
      <c r="S217" s="36" t="str">
        <f>HYPERLINK("http://ms.phosphosite.org:5080/cgi-bin/plot-msms.cgi?MassType=1&amp;NumAxis=1&amp;Mod5=170&amp;Mod8=160&amp;Pep=IVSSKDYCVTANSK&amp;Dta=/var/www/html/dta/S01/10562.4196.2.dta&amp;Global_Mod=CS57.0215", "4196")</f>
        <v>4196</v>
      </c>
      <c r="T217" s="36" t="str">
        <f>HYPERLINK("http://ms.phosphosite.org:5080/cgi-bin/plot-msms.cgi?MassType=1&amp;NumAxis=1&amp;Mod5=170&amp;Mod8=160&amp;Pep=IVSSKDYCVTANSK&amp;Dta=/var/www/html/dta/S01/10563.4117.2.dta&amp;Global_Mod=CS57.0215", "4117")</f>
        <v>4117</v>
      </c>
      <c r="U217" s="36" t="str">
        <f>HYPERLINK("http://ms.phosphosite.org:5080/cgi-bin/plot-msms.cgi?MassType=1&amp;NumAxis=1&amp;Mod5=170&amp;Mod8=160&amp;Pep=IVSSKDYCVTANSK&amp;Dta=/var/www/html/dta/S01/10564.4436.2.dta&amp;Global_Mod=CS57.0215", "4436")</f>
        <v>4436</v>
      </c>
      <c r="V217" s="36" t="str">
        <f>HYPERLINK("http://ms.phosphosite.org:5080/cgi-bin/plot-msms.cgi?MassType=1&amp;NumAxis=1&amp;Mod5=170&amp;Mod8=160&amp;Pep=IVSSKDYCVTANSK&amp;Dta=/var/www/html/dta/S01/10565.4526.2.dta&amp;Global_Mod=CS57.0215", "4526")</f>
        <v>4526</v>
      </c>
      <c r="W217" s="5">
        <v>4168</v>
      </c>
      <c r="X217" s="5">
        <v>4074</v>
      </c>
      <c r="Y217" s="5">
        <v>4092</v>
      </c>
      <c r="Z217" s="5">
        <v>4105</v>
      </c>
      <c r="AA217" s="5">
        <v>4201</v>
      </c>
      <c r="AB217" s="5">
        <v>4145</v>
      </c>
      <c r="AC217" s="5">
        <v>4450</v>
      </c>
      <c r="AD217" s="5">
        <v>4529</v>
      </c>
      <c r="AE217" s="90">
        <v>3.5430000000000001</v>
      </c>
      <c r="AF217" s="90">
        <v>4.12</v>
      </c>
      <c r="AG217" s="90">
        <v>3.9039999999999999</v>
      </c>
      <c r="AH217" s="90">
        <v>3.6160000000000001</v>
      </c>
      <c r="AI217" s="90">
        <v>3.8119999999999998</v>
      </c>
      <c r="AJ217" s="90">
        <v>3.6760000000000002</v>
      </c>
      <c r="AK217" s="90">
        <v>3.798</v>
      </c>
      <c r="AL217" s="90">
        <v>3.7109999999999999</v>
      </c>
      <c r="AM217" s="21">
        <v>0.70250000000000001</v>
      </c>
      <c r="AN217" s="21">
        <v>0.62749999999999995</v>
      </c>
      <c r="AO217" s="21">
        <v>0.72170000000000001</v>
      </c>
      <c r="AP217" s="21">
        <v>0.73839999999999995</v>
      </c>
      <c r="AQ217" s="21">
        <v>0.62129999999999996</v>
      </c>
      <c r="AR217" s="21">
        <v>0.95089999999999997</v>
      </c>
      <c r="AS217" s="21">
        <v>0.65229999999999999</v>
      </c>
      <c r="AT217" s="21">
        <v>0.97319999999999995</v>
      </c>
      <c r="AU217" s="21">
        <v>0.50800000000000001</v>
      </c>
      <c r="AV217" s="21">
        <v>0.51300000000000001</v>
      </c>
      <c r="AW217" s="21">
        <v>0.497</v>
      </c>
      <c r="AX217" s="21">
        <v>0.501</v>
      </c>
      <c r="AY217" s="21">
        <v>0.45900000000000002</v>
      </c>
      <c r="AZ217" s="21">
        <v>0.51</v>
      </c>
      <c r="BA217" s="21">
        <v>0.57299999999999995</v>
      </c>
      <c r="BB217" s="21">
        <v>0.438</v>
      </c>
      <c r="BC217" s="5">
        <v>1</v>
      </c>
      <c r="BD217" s="5">
        <v>1</v>
      </c>
      <c r="BE217" s="5">
        <v>1</v>
      </c>
      <c r="BF217" s="5">
        <v>1</v>
      </c>
      <c r="BG217" s="5">
        <v>1</v>
      </c>
      <c r="BH217" s="5">
        <v>1</v>
      </c>
      <c r="BI217" s="5">
        <v>1</v>
      </c>
      <c r="BJ217" s="5">
        <v>1</v>
      </c>
      <c r="BK217" s="90">
        <v>1</v>
      </c>
      <c r="BL217" s="90">
        <v>1</v>
      </c>
      <c r="BM217" s="90">
        <v>1</v>
      </c>
      <c r="BN217" s="90">
        <v>1</v>
      </c>
      <c r="BO217" s="90">
        <v>1</v>
      </c>
      <c r="BP217" s="90">
        <v>1</v>
      </c>
      <c r="BQ217" s="90">
        <v>1</v>
      </c>
      <c r="BR217" s="90">
        <v>1</v>
      </c>
      <c r="BS217" s="5" t="s">
        <v>4857</v>
      </c>
    </row>
    <row r="218" spans="1:71" s="30" customFormat="1" ht="17.100000000000001" customHeight="1">
      <c r="A218" s="14">
        <v>207</v>
      </c>
      <c r="B218" s="5" t="s">
        <v>4099</v>
      </c>
      <c r="C218" s="3" t="s">
        <v>4067</v>
      </c>
      <c r="D218" s="3" t="s">
        <v>4089</v>
      </c>
      <c r="E218" s="6" t="s">
        <v>4090</v>
      </c>
      <c r="F218" s="5" t="s">
        <v>4998</v>
      </c>
      <c r="G218" s="3" t="s">
        <v>4091</v>
      </c>
      <c r="H218" s="6" t="s">
        <v>4092</v>
      </c>
      <c r="I218" s="3" t="s">
        <v>4093</v>
      </c>
      <c r="J218" s="5" t="s">
        <v>4695</v>
      </c>
      <c r="K218" s="3" t="s">
        <v>5456</v>
      </c>
      <c r="L218" s="3" t="s">
        <v>4098</v>
      </c>
      <c r="M218" s="5">
        <v>3</v>
      </c>
      <c r="N218" s="21">
        <v>538.59950000000003</v>
      </c>
      <c r="O218" s="35" t="s">
        <v>4854</v>
      </c>
      <c r="P218" s="35" t="s">
        <v>4854</v>
      </c>
      <c r="Q218" s="35" t="s">
        <v>4854</v>
      </c>
      <c r="R218" s="36" t="str">
        <f>HYPERLINK("http://ms.phosphosite.org:5080/cgi-bin/plot-msms.cgi?MassType=1&amp;NumAxis=1&amp;Mod5=170&amp;Mod8=160&amp;Pep=IVSSKDYCVTANSK&amp;Dta=/var/www/html/dta/S01/10561.4100.3.dta&amp;Global_Mod=CS57.0215", "4100")</f>
        <v>4100</v>
      </c>
      <c r="S218" s="36" t="str">
        <f>HYPERLINK("http://ms.phosphosite.org:5080/cgi-bin/plot-msms.cgi?MassType=1&amp;NumAxis=1&amp;Mod5=170&amp;Mod8=160&amp;Pep=IVSSKDYCVTANSK&amp;Dta=/var/www/html/dta/S01/10562.4198.3.dta&amp;Global_Mod=CS57.0215", "4198")</f>
        <v>4198</v>
      </c>
      <c r="T218" s="36" t="str">
        <f>HYPERLINK("http://ms.phosphosite.org:5080/cgi-bin/plot-msms.cgi?MassType=1&amp;NumAxis=1&amp;Mod5=170&amp;Mod8=160&amp;Pep=IVSSKDYCVTANSK&amp;Dta=/var/www/html/dta/S01/10563.4131.3.dta&amp;Global_Mod=CS57.0215", "4131")</f>
        <v>4131</v>
      </c>
      <c r="U218" s="35" t="s">
        <v>4854</v>
      </c>
      <c r="V218" s="35" t="s">
        <v>4854</v>
      </c>
      <c r="W218" s="3" t="s">
        <v>4854</v>
      </c>
      <c r="X218" s="3" t="s">
        <v>4854</v>
      </c>
      <c r="Y218" s="3" t="s">
        <v>4854</v>
      </c>
      <c r="Z218" s="5">
        <v>4116</v>
      </c>
      <c r="AA218" s="5">
        <v>4212</v>
      </c>
      <c r="AB218" s="5">
        <v>4145</v>
      </c>
      <c r="AC218" s="3" t="s">
        <v>4854</v>
      </c>
      <c r="AD218" s="3" t="s">
        <v>4854</v>
      </c>
      <c r="AE218" s="99" t="s">
        <v>4854</v>
      </c>
      <c r="AF218" s="99" t="s">
        <v>4854</v>
      </c>
      <c r="AG218" s="99" t="s">
        <v>4854</v>
      </c>
      <c r="AH218" s="90">
        <v>2.8170000000000002</v>
      </c>
      <c r="AI218" s="90">
        <v>2.2589999999999999</v>
      </c>
      <c r="AJ218" s="90">
        <v>2.9529999999999998</v>
      </c>
      <c r="AK218" s="99" t="s">
        <v>4854</v>
      </c>
      <c r="AL218" s="99" t="s">
        <v>4854</v>
      </c>
      <c r="AM218" s="102" t="s">
        <v>4854</v>
      </c>
      <c r="AN218" s="102" t="s">
        <v>4854</v>
      </c>
      <c r="AO218" s="102" t="s">
        <v>4854</v>
      </c>
      <c r="AP218" s="21">
        <v>0.52090000000000003</v>
      </c>
      <c r="AQ218" s="21">
        <v>0.44219999999999998</v>
      </c>
      <c r="AR218" s="21">
        <v>0.51970000000000005</v>
      </c>
      <c r="AS218" s="102" t="s">
        <v>4854</v>
      </c>
      <c r="AT218" s="102" t="s">
        <v>4854</v>
      </c>
      <c r="AU218" s="102" t="s">
        <v>4854</v>
      </c>
      <c r="AV218" s="102" t="s">
        <v>4854</v>
      </c>
      <c r="AW218" s="102" t="s">
        <v>4854</v>
      </c>
      <c r="AX218" s="21">
        <v>0.17299999999999999</v>
      </c>
      <c r="AY218" s="21">
        <v>8.5999999999999993E-2</v>
      </c>
      <c r="AZ218" s="21">
        <v>0.107</v>
      </c>
      <c r="BA218" s="102" t="s">
        <v>4854</v>
      </c>
      <c r="BB218" s="102" t="s">
        <v>4854</v>
      </c>
      <c r="BC218" s="3" t="s">
        <v>4854</v>
      </c>
      <c r="BD218" s="3" t="s">
        <v>4854</v>
      </c>
      <c r="BE218" s="3" t="s">
        <v>4854</v>
      </c>
      <c r="BF218" s="5">
        <v>2</v>
      </c>
      <c r="BG218" s="5">
        <v>6</v>
      </c>
      <c r="BH218" s="5">
        <v>3</v>
      </c>
      <c r="BI218" s="3" t="s">
        <v>4854</v>
      </c>
      <c r="BJ218" s="3" t="s">
        <v>4854</v>
      </c>
      <c r="BK218" s="99" t="s">
        <v>4854</v>
      </c>
      <c r="BL218" s="99" t="s">
        <v>4854</v>
      </c>
      <c r="BM218" s="99" t="s">
        <v>4854</v>
      </c>
      <c r="BN218" s="90">
        <v>0.997</v>
      </c>
      <c r="BO218" s="90">
        <v>0.96899999999999997</v>
      </c>
      <c r="BP218" s="90">
        <v>0.99299999999999999</v>
      </c>
      <c r="BQ218" s="99" t="s">
        <v>4854</v>
      </c>
      <c r="BR218" s="99" t="s">
        <v>4854</v>
      </c>
      <c r="BS218" s="5" t="s">
        <v>4857</v>
      </c>
    </row>
    <row r="219" spans="1:71" ht="17.100000000000001" customHeight="1">
      <c r="A219" s="31">
        <v>208</v>
      </c>
      <c r="B219" s="2" t="s">
        <v>4100</v>
      </c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94"/>
      <c r="O219" s="34"/>
      <c r="P219" s="34"/>
      <c r="Q219" s="34"/>
      <c r="R219" s="34"/>
      <c r="S219" s="34"/>
      <c r="T219" s="34"/>
      <c r="U219" s="34"/>
      <c r="V219" s="34"/>
      <c r="W219" s="1"/>
      <c r="X219" s="1"/>
      <c r="Y219" s="1"/>
      <c r="Z219" s="1"/>
      <c r="AA219" s="1"/>
      <c r="AB219" s="1"/>
      <c r="AC219" s="1"/>
      <c r="AD219" s="1"/>
      <c r="AE219" s="89"/>
      <c r="AF219" s="89"/>
      <c r="AG219" s="89"/>
      <c r="AH219" s="89"/>
      <c r="AI219" s="89"/>
      <c r="AJ219" s="89"/>
      <c r="AK219" s="89"/>
      <c r="AL219" s="89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1"/>
      <c r="BD219" s="1"/>
      <c r="BE219" s="1"/>
      <c r="BF219" s="1"/>
      <c r="BG219" s="1"/>
      <c r="BH219" s="1"/>
      <c r="BI219" s="1"/>
      <c r="BJ219" s="1"/>
      <c r="BK219" s="89"/>
      <c r="BL219" s="89"/>
      <c r="BM219" s="89"/>
      <c r="BN219" s="89"/>
      <c r="BO219" s="89"/>
      <c r="BP219" s="89"/>
      <c r="BQ219" s="89"/>
      <c r="BR219" s="89"/>
      <c r="BS219" s="1"/>
    </row>
    <row r="220" spans="1:71" s="30" customFormat="1" ht="17.100000000000001" customHeight="1">
      <c r="A220" s="10">
        <v>209</v>
      </c>
      <c r="B220" s="10" t="s">
        <v>4101</v>
      </c>
      <c r="C220" s="4" t="s">
        <v>4100</v>
      </c>
      <c r="D220" s="4" t="s">
        <v>3960</v>
      </c>
      <c r="E220" s="4" t="s">
        <v>3961</v>
      </c>
      <c r="F220" s="10" t="s">
        <v>3962</v>
      </c>
      <c r="G220" s="4" t="s">
        <v>3963</v>
      </c>
      <c r="H220" s="7" t="s">
        <v>3964</v>
      </c>
      <c r="I220" s="4" t="s">
        <v>3965</v>
      </c>
      <c r="J220" s="10" t="s">
        <v>4078</v>
      </c>
      <c r="K220" s="4" t="s">
        <v>5457</v>
      </c>
      <c r="L220" s="4" t="s">
        <v>3966</v>
      </c>
      <c r="M220" s="10">
        <v>2</v>
      </c>
      <c r="N220" s="95">
        <v>651.81790000000001</v>
      </c>
      <c r="O220" s="37" t="str">
        <f>HYPERLINK("http://ms.phosphosite.org:5080/cgi-bin/plot-msms.cgi?MassType=1&amp;NumAxis=1&amp;Mod5=170&amp;Pep=QDTAKGDQLER&amp;Dta=/var/www/html/dta/S01/10558.3686.2.dta&amp;Global_Mod=CS57.0215", "3686")</f>
        <v>3686</v>
      </c>
      <c r="P220" s="38" t="s">
        <v>4854</v>
      </c>
      <c r="Q220" s="38" t="s">
        <v>4854</v>
      </c>
      <c r="R220" s="38" t="s">
        <v>4854</v>
      </c>
      <c r="S220" s="38" t="s">
        <v>4854</v>
      </c>
      <c r="T220" s="38" t="s">
        <v>4854</v>
      </c>
      <c r="U220" s="38" t="s">
        <v>4854</v>
      </c>
      <c r="V220" s="38" t="s">
        <v>4854</v>
      </c>
      <c r="W220" s="4" t="s">
        <v>4854</v>
      </c>
      <c r="X220" s="4" t="s">
        <v>4854</v>
      </c>
      <c r="Y220" s="4" t="s">
        <v>4854</v>
      </c>
      <c r="Z220" s="4" t="s">
        <v>4854</v>
      </c>
      <c r="AA220" s="4" t="s">
        <v>4854</v>
      </c>
      <c r="AB220" s="4" t="s">
        <v>4854</v>
      </c>
      <c r="AC220" s="4" t="s">
        <v>4854</v>
      </c>
      <c r="AD220" s="4" t="s">
        <v>4854</v>
      </c>
      <c r="AE220" s="91">
        <v>2.4569999999999999</v>
      </c>
      <c r="AF220" s="100" t="s">
        <v>4854</v>
      </c>
      <c r="AG220" s="100" t="s">
        <v>4854</v>
      </c>
      <c r="AH220" s="100" t="s">
        <v>4854</v>
      </c>
      <c r="AI220" s="100" t="s">
        <v>4854</v>
      </c>
      <c r="AJ220" s="100" t="s">
        <v>4854</v>
      </c>
      <c r="AK220" s="100" t="s">
        <v>4854</v>
      </c>
      <c r="AL220" s="100" t="s">
        <v>4854</v>
      </c>
      <c r="AM220" s="95">
        <v>-2.69E-2</v>
      </c>
      <c r="AN220" s="103" t="s">
        <v>4854</v>
      </c>
      <c r="AO220" s="103" t="s">
        <v>4854</v>
      </c>
      <c r="AP220" s="103" t="s">
        <v>4854</v>
      </c>
      <c r="AQ220" s="103" t="s">
        <v>4854</v>
      </c>
      <c r="AR220" s="103" t="s">
        <v>4854</v>
      </c>
      <c r="AS220" s="103" t="s">
        <v>4854</v>
      </c>
      <c r="AT220" s="103" t="s">
        <v>4854</v>
      </c>
      <c r="AU220" s="95">
        <v>3.0000000000000001E-3</v>
      </c>
      <c r="AV220" s="103" t="s">
        <v>4854</v>
      </c>
      <c r="AW220" s="103" t="s">
        <v>4854</v>
      </c>
      <c r="AX220" s="103" t="s">
        <v>4854</v>
      </c>
      <c r="AY220" s="103" t="s">
        <v>4854</v>
      </c>
      <c r="AZ220" s="103" t="s">
        <v>4854</v>
      </c>
      <c r="BA220" s="103" t="s">
        <v>4854</v>
      </c>
      <c r="BB220" s="103" t="s">
        <v>4854</v>
      </c>
      <c r="BC220" s="10">
        <v>9</v>
      </c>
      <c r="BD220" s="4" t="s">
        <v>4854</v>
      </c>
      <c r="BE220" s="4" t="s">
        <v>4854</v>
      </c>
      <c r="BF220" s="4" t="s">
        <v>4854</v>
      </c>
      <c r="BG220" s="4" t="s">
        <v>4854</v>
      </c>
      <c r="BH220" s="4" t="s">
        <v>4854</v>
      </c>
      <c r="BI220" s="4" t="s">
        <v>4854</v>
      </c>
      <c r="BJ220" s="4" t="s">
        <v>4854</v>
      </c>
      <c r="BK220" s="91">
        <v>0.13500000000000001</v>
      </c>
      <c r="BL220" s="100" t="s">
        <v>4854</v>
      </c>
      <c r="BM220" s="100" t="s">
        <v>4854</v>
      </c>
      <c r="BN220" s="100" t="s">
        <v>4854</v>
      </c>
      <c r="BO220" s="100" t="s">
        <v>4854</v>
      </c>
      <c r="BP220" s="100" t="s">
        <v>4854</v>
      </c>
      <c r="BQ220" s="100" t="s">
        <v>4854</v>
      </c>
      <c r="BR220" s="100" t="s">
        <v>4854</v>
      </c>
      <c r="BS220" s="10" t="s">
        <v>4857</v>
      </c>
    </row>
    <row r="221" spans="1:71" s="30" customFormat="1" ht="17.100000000000001" customHeight="1">
      <c r="A221" s="14">
        <v>210</v>
      </c>
      <c r="B221" s="5" t="s">
        <v>3967</v>
      </c>
      <c r="C221" s="3" t="s">
        <v>4100</v>
      </c>
      <c r="D221" s="3" t="s">
        <v>3968</v>
      </c>
      <c r="E221" s="3" t="s">
        <v>3969</v>
      </c>
      <c r="F221" s="5" t="s">
        <v>3970</v>
      </c>
      <c r="G221" s="3" t="s">
        <v>3971</v>
      </c>
      <c r="H221" s="6" t="s">
        <v>3972</v>
      </c>
      <c r="I221" s="3" t="s">
        <v>3973</v>
      </c>
      <c r="J221" s="5" t="s">
        <v>4471</v>
      </c>
      <c r="K221" s="3" t="s">
        <v>5458</v>
      </c>
      <c r="L221" s="3" t="s">
        <v>3974</v>
      </c>
      <c r="M221" s="5">
        <v>2</v>
      </c>
      <c r="N221" s="21">
        <v>434.25599999999997</v>
      </c>
      <c r="O221" s="35" t="s">
        <v>4854</v>
      </c>
      <c r="P221" s="35" t="s">
        <v>4854</v>
      </c>
      <c r="Q221" s="36" t="str">
        <f>HYPERLINK("http://ms.phosphosite.org:5080/cgi-bin/plot-msms.cgi?MassType=1&amp;NumAxis=1&amp;Mod7=170&amp;Pep=KGVKEHK&amp;Dta=/var/www/html/dta/S01/10560.3739.2.dta&amp;Global_Mod=CS57.0215", "3739")</f>
        <v>3739</v>
      </c>
      <c r="R221" s="35" t="s">
        <v>4854</v>
      </c>
      <c r="S221" s="35" t="s">
        <v>4854</v>
      </c>
      <c r="T221" s="35" t="s">
        <v>4854</v>
      </c>
      <c r="U221" s="35" t="s">
        <v>4854</v>
      </c>
      <c r="V221" s="35" t="s">
        <v>4854</v>
      </c>
      <c r="W221" s="3" t="s">
        <v>4854</v>
      </c>
      <c r="X221" s="3" t="s">
        <v>4854</v>
      </c>
      <c r="Y221" s="3" t="s">
        <v>4854</v>
      </c>
      <c r="Z221" s="3" t="s">
        <v>4854</v>
      </c>
      <c r="AA221" s="3" t="s">
        <v>4854</v>
      </c>
      <c r="AB221" s="3" t="s">
        <v>4854</v>
      </c>
      <c r="AC221" s="3" t="s">
        <v>4854</v>
      </c>
      <c r="AD221" s="3" t="s">
        <v>4854</v>
      </c>
      <c r="AE221" s="99" t="s">
        <v>4854</v>
      </c>
      <c r="AF221" s="99" t="s">
        <v>4854</v>
      </c>
      <c r="AG221" s="90">
        <v>1.796</v>
      </c>
      <c r="AH221" s="99" t="s">
        <v>4854</v>
      </c>
      <c r="AI221" s="99" t="s">
        <v>4854</v>
      </c>
      <c r="AJ221" s="99" t="s">
        <v>4854</v>
      </c>
      <c r="AK221" s="99" t="s">
        <v>4854</v>
      </c>
      <c r="AL221" s="99" t="s">
        <v>4854</v>
      </c>
      <c r="AM221" s="102" t="s">
        <v>4854</v>
      </c>
      <c r="AN221" s="102" t="s">
        <v>4854</v>
      </c>
      <c r="AO221" s="21">
        <v>-0.22650000000000001</v>
      </c>
      <c r="AP221" s="102" t="s">
        <v>4854</v>
      </c>
      <c r="AQ221" s="102" t="s">
        <v>4854</v>
      </c>
      <c r="AR221" s="102" t="s">
        <v>4854</v>
      </c>
      <c r="AS221" s="102" t="s">
        <v>4854</v>
      </c>
      <c r="AT221" s="102" t="s">
        <v>4854</v>
      </c>
      <c r="AU221" s="102" t="s">
        <v>4854</v>
      </c>
      <c r="AV221" s="102" t="s">
        <v>4854</v>
      </c>
      <c r="AW221" s="21">
        <v>2.5999999999999999E-2</v>
      </c>
      <c r="AX221" s="102" t="s">
        <v>4854</v>
      </c>
      <c r="AY221" s="102" t="s">
        <v>4854</v>
      </c>
      <c r="AZ221" s="102" t="s">
        <v>4854</v>
      </c>
      <c r="BA221" s="102" t="s">
        <v>4854</v>
      </c>
      <c r="BB221" s="102" t="s">
        <v>4854</v>
      </c>
      <c r="BC221" s="3" t="s">
        <v>4854</v>
      </c>
      <c r="BD221" s="3" t="s">
        <v>4854</v>
      </c>
      <c r="BE221" s="5">
        <v>12</v>
      </c>
      <c r="BF221" s="3" t="s">
        <v>4854</v>
      </c>
      <c r="BG221" s="3" t="s">
        <v>4854</v>
      </c>
      <c r="BH221" s="3" t="s">
        <v>4854</v>
      </c>
      <c r="BI221" s="3" t="s">
        <v>4854</v>
      </c>
      <c r="BJ221" s="3" t="s">
        <v>4854</v>
      </c>
      <c r="BK221" s="99" t="s">
        <v>4854</v>
      </c>
      <c r="BL221" s="99" t="s">
        <v>4854</v>
      </c>
      <c r="BM221" s="90">
        <v>6.0999999999999999E-2</v>
      </c>
      <c r="BN221" s="99" t="s">
        <v>4854</v>
      </c>
      <c r="BO221" s="99" t="s">
        <v>4854</v>
      </c>
      <c r="BP221" s="99" t="s">
        <v>4854</v>
      </c>
      <c r="BQ221" s="99" t="s">
        <v>4854</v>
      </c>
      <c r="BR221" s="99" t="s">
        <v>4854</v>
      </c>
      <c r="BS221" s="5" t="s">
        <v>4857</v>
      </c>
    </row>
    <row r="222" spans="1:71" ht="17.100000000000001" customHeight="1">
      <c r="A222" s="31">
        <v>211</v>
      </c>
      <c r="B222" s="2" t="s">
        <v>3975</v>
      </c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94"/>
      <c r="O222" s="34"/>
      <c r="P222" s="34"/>
      <c r="Q222" s="34"/>
      <c r="R222" s="34"/>
      <c r="S222" s="34"/>
      <c r="T222" s="34"/>
      <c r="U222" s="34"/>
      <c r="V222" s="34"/>
      <c r="W222" s="1"/>
      <c r="X222" s="1"/>
      <c r="Y222" s="1"/>
      <c r="Z222" s="1"/>
      <c r="AA222" s="1"/>
      <c r="AB222" s="1"/>
      <c r="AC222" s="1"/>
      <c r="AD222" s="1"/>
      <c r="AE222" s="89"/>
      <c r="AF222" s="89"/>
      <c r="AG222" s="89"/>
      <c r="AH222" s="89"/>
      <c r="AI222" s="89"/>
      <c r="AJ222" s="89"/>
      <c r="AK222" s="89"/>
      <c r="AL222" s="89"/>
      <c r="AM222" s="94"/>
      <c r="AN222" s="94"/>
      <c r="AO222" s="94"/>
      <c r="AP222" s="94"/>
      <c r="AQ222" s="94"/>
      <c r="AR222" s="94"/>
      <c r="AS222" s="94"/>
      <c r="AT222" s="94"/>
      <c r="AU222" s="94"/>
      <c r="AV222" s="94"/>
      <c r="AW222" s="94"/>
      <c r="AX222" s="94"/>
      <c r="AY222" s="94"/>
      <c r="AZ222" s="94"/>
      <c r="BA222" s="94"/>
      <c r="BB222" s="94"/>
      <c r="BC222" s="1"/>
      <c r="BD222" s="1"/>
      <c r="BE222" s="1"/>
      <c r="BF222" s="1"/>
      <c r="BG222" s="1"/>
      <c r="BH222" s="1"/>
      <c r="BI222" s="1"/>
      <c r="BJ222" s="1"/>
      <c r="BK222" s="89"/>
      <c r="BL222" s="89"/>
      <c r="BM222" s="89"/>
      <c r="BN222" s="89"/>
      <c r="BO222" s="89"/>
      <c r="BP222" s="89"/>
      <c r="BQ222" s="89"/>
      <c r="BR222" s="89"/>
      <c r="BS222" s="1"/>
    </row>
    <row r="223" spans="1:71" s="30" customFormat="1" ht="17.100000000000001" customHeight="1">
      <c r="A223" s="10">
        <v>212</v>
      </c>
      <c r="B223" s="10" t="s">
        <v>3976</v>
      </c>
      <c r="C223" s="4" t="s">
        <v>3975</v>
      </c>
      <c r="D223" s="4" t="s">
        <v>3977</v>
      </c>
      <c r="E223" s="7" t="s">
        <v>3978</v>
      </c>
      <c r="F223" s="10" t="s">
        <v>4954</v>
      </c>
      <c r="G223" s="4" t="s">
        <v>3979</v>
      </c>
      <c r="H223" s="7" t="s">
        <v>3980</v>
      </c>
      <c r="I223" s="4" t="s">
        <v>3981</v>
      </c>
      <c r="J223" s="10" t="s">
        <v>3982</v>
      </c>
      <c r="K223" s="4" t="s">
        <v>5459</v>
      </c>
      <c r="L223" s="4" t="s">
        <v>3983</v>
      </c>
      <c r="M223" s="10">
        <v>2</v>
      </c>
      <c r="N223" s="95">
        <v>596.78819999999996</v>
      </c>
      <c r="O223" s="37" t="str">
        <f>HYPERLINK("http://ms.phosphosite.org:5080/cgi-bin/plot-msms.cgi?MassType=1&amp;NumAxis=1&amp;Mod2=170&amp;Pep=DKDGDGTITTK&amp;Dta=/var/www/html/dta/S01/10558.2168.2.dta&amp;Global_Mod=CS57.0215", "2168")</f>
        <v>2168</v>
      </c>
      <c r="P223" s="38" t="s">
        <v>4854</v>
      </c>
      <c r="Q223" s="38" t="s">
        <v>4854</v>
      </c>
      <c r="R223" s="37" t="str">
        <f>HYPERLINK("http://ms.phosphosite.org:5080/cgi-bin/plot-msms.cgi?MassType=1&amp;NumAxis=1&amp;Mod2=170&amp;Pep=DKDGDGTITTK&amp;Dta=/var/www/html/dta/S01/10561.2145.2.dta&amp;Global_Mod=CS57.0215", "2145")</f>
        <v>2145</v>
      </c>
      <c r="S223" s="38" t="s">
        <v>4854</v>
      </c>
      <c r="T223" s="37" t="str">
        <f>HYPERLINK("http://ms.phosphosite.org:5080/cgi-bin/plot-msms.cgi?MassType=1&amp;NumAxis=1&amp;Mod2=170&amp;Pep=DKDGDGTITTK&amp;Dta=/var/www/html/dta/S01/10563.2120.2.dta&amp;Global_Mod=CS57.0215", "2120")</f>
        <v>2120</v>
      </c>
      <c r="U223" s="37" t="str">
        <f>HYPERLINK("http://ms.phosphosite.org:5080/cgi-bin/plot-msms.cgi?MassType=1&amp;NumAxis=1&amp;Mod2=170&amp;Pep=DKDGDGTITTK&amp;Dta=/var/www/html/dta/S01/10564.2390.2.dta&amp;Global_Mod=CS57.0215", "2390")</f>
        <v>2390</v>
      </c>
      <c r="V223" s="38" t="s">
        <v>4854</v>
      </c>
      <c r="W223" s="4" t="s">
        <v>4854</v>
      </c>
      <c r="X223" s="4" t="s">
        <v>4854</v>
      </c>
      <c r="Y223" s="4" t="s">
        <v>4854</v>
      </c>
      <c r="Z223" s="4" t="s">
        <v>4854</v>
      </c>
      <c r="AA223" s="4" t="s">
        <v>4854</v>
      </c>
      <c r="AB223" s="4" t="s">
        <v>4854</v>
      </c>
      <c r="AC223" s="10">
        <v>2387</v>
      </c>
      <c r="AD223" s="4" t="s">
        <v>4854</v>
      </c>
      <c r="AE223" s="91">
        <v>2.1760000000000002</v>
      </c>
      <c r="AF223" s="100" t="s">
        <v>4854</v>
      </c>
      <c r="AG223" s="100" t="s">
        <v>4854</v>
      </c>
      <c r="AH223" s="91">
        <v>2.4460000000000002</v>
      </c>
      <c r="AI223" s="100" t="s">
        <v>4854</v>
      </c>
      <c r="AJ223" s="91">
        <v>2.0569999999999999</v>
      </c>
      <c r="AK223" s="91">
        <v>2.99</v>
      </c>
      <c r="AL223" s="100" t="s">
        <v>4854</v>
      </c>
      <c r="AM223" s="95">
        <v>0.6492</v>
      </c>
      <c r="AN223" s="103" t="s">
        <v>4854</v>
      </c>
      <c r="AO223" s="103" t="s">
        <v>4854</v>
      </c>
      <c r="AP223" s="95">
        <v>0.62909999999999999</v>
      </c>
      <c r="AQ223" s="103" t="s">
        <v>4854</v>
      </c>
      <c r="AR223" s="95">
        <v>0.75149999999999995</v>
      </c>
      <c r="AS223" s="95">
        <v>-4.0899999999999999E-2</v>
      </c>
      <c r="AT223" s="103" t="s">
        <v>4854</v>
      </c>
      <c r="AU223" s="95">
        <v>5.7000000000000002E-2</v>
      </c>
      <c r="AV223" s="103" t="s">
        <v>4854</v>
      </c>
      <c r="AW223" s="103" t="s">
        <v>4854</v>
      </c>
      <c r="AX223" s="95">
        <v>0.255</v>
      </c>
      <c r="AY223" s="103" t="s">
        <v>4854</v>
      </c>
      <c r="AZ223" s="95">
        <v>0.121</v>
      </c>
      <c r="BA223" s="95">
        <v>0.433</v>
      </c>
      <c r="BB223" s="103" t="s">
        <v>4854</v>
      </c>
      <c r="BC223" s="10">
        <v>1</v>
      </c>
      <c r="BD223" s="4" t="s">
        <v>4854</v>
      </c>
      <c r="BE223" s="4" t="s">
        <v>4854</v>
      </c>
      <c r="BF223" s="10">
        <v>1</v>
      </c>
      <c r="BG223" s="4" t="s">
        <v>4854</v>
      </c>
      <c r="BH223" s="10">
        <v>2</v>
      </c>
      <c r="BI223" s="10">
        <v>1</v>
      </c>
      <c r="BJ223" s="4" t="s">
        <v>4854</v>
      </c>
      <c r="BK223" s="91">
        <v>0.252</v>
      </c>
      <c r="BL223" s="100" t="s">
        <v>4854</v>
      </c>
      <c r="BM223" s="100" t="s">
        <v>4854</v>
      </c>
      <c r="BN223" s="91">
        <v>0.85799999999999998</v>
      </c>
      <c r="BO223" s="100" t="s">
        <v>4854</v>
      </c>
      <c r="BP223" s="91">
        <v>0.30599999999999999</v>
      </c>
      <c r="BQ223" s="91">
        <v>0.98799999999999999</v>
      </c>
      <c r="BR223" s="100" t="s">
        <v>4854</v>
      </c>
      <c r="BS223" s="10" t="s">
        <v>4857</v>
      </c>
    </row>
    <row r="224" spans="1:71" s="30" customFormat="1" ht="17.100000000000001" customHeight="1">
      <c r="A224" s="10">
        <v>213</v>
      </c>
      <c r="B224" s="10" t="s">
        <v>4750</v>
      </c>
      <c r="C224" s="4" t="s">
        <v>3975</v>
      </c>
      <c r="D224" s="4" t="s">
        <v>3977</v>
      </c>
      <c r="E224" s="7" t="s">
        <v>3978</v>
      </c>
      <c r="F224" s="10" t="s">
        <v>4954</v>
      </c>
      <c r="G224" s="4" t="s">
        <v>3979</v>
      </c>
      <c r="H224" s="7" t="s">
        <v>3980</v>
      </c>
      <c r="I224" s="4" t="s">
        <v>3981</v>
      </c>
      <c r="J224" s="10" t="s">
        <v>3982</v>
      </c>
      <c r="K224" s="4" t="s">
        <v>5459</v>
      </c>
      <c r="L224" s="4" t="s">
        <v>3984</v>
      </c>
      <c r="M224" s="10">
        <v>2</v>
      </c>
      <c r="N224" s="95">
        <v>943.95460000000003</v>
      </c>
      <c r="O224" s="37" t="str">
        <f>HYPERLINK("http://ms.phosphosite.org:5080/cgi-bin/plot-msms.cgi?MassType=1&amp;NumAxis=1&amp;Mod8=170&amp;Pep=EAFSLFDKDGDGTITTK&amp;Dta=/var/www/html/dta/S01/10558.10310.2.dta&amp;Global_Mod=CS57.0215", "10310")</f>
        <v>10310</v>
      </c>
      <c r="P224" s="37" t="str">
        <f>HYPERLINK("http://ms.phosphosite.org:5080/cgi-bin/plot-msms.cgi?MassType=1&amp;NumAxis=1&amp;Mod8=170&amp;Pep=EAFSLFDKDGDGTITTK&amp;Dta=/var/www/html/dta/S01/10559.10279.2.dta&amp;Global_Mod=CS57.0215", "10279")</f>
        <v>10279</v>
      </c>
      <c r="Q224" s="37" t="str">
        <f>HYPERLINK("http://ms.phosphosite.org:5080/cgi-bin/plot-msms.cgi?MassType=1&amp;NumAxis=1&amp;Mod8=170&amp;Pep=EAFSLFDKDGDGTITTK&amp;Dta=/var/www/html/dta/S01/10560.10310.2.dta&amp;Global_Mod=CS57.0215", "10310")</f>
        <v>10310</v>
      </c>
      <c r="R224" s="37" t="str">
        <f>HYPERLINK("http://ms.phosphosite.org:5080/cgi-bin/plot-msms.cgi?MassType=1&amp;NumAxis=1&amp;Mod8=170&amp;Pep=EAFSLFDKDGDGTITTK&amp;Dta=/var/www/html/dta/S01/10561.10324.2.dta&amp;Global_Mod=CS57.0215", "10324")</f>
        <v>10324</v>
      </c>
      <c r="S224" s="37" t="str">
        <f>HYPERLINK("http://ms.phosphosite.org:5080/cgi-bin/plot-msms.cgi?MassType=1&amp;NumAxis=1&amp;Mod8=170&amp;Pep=EAFSLFDKDGDGTITTK&amp;Dta=/var/www/html/dta/S01/10562.10501.2.dta&amp;Global_Mod=CS57.0215", "10501")</f>
        <v>10501</v>
      </c>
      <c r="T224" s="37" t="str">
        <f>HYPERLINK("http://ms.phosphosite.org:5080/cgi-bin/plot-msms.cgi?MassType=1&amp;NumAxis=1&amp;Mod8=170&amp;Pep=EAFSLFDKDGDGTITTK&amp;Dta=/var/www/html/dta/S01/10563.10449.2.dta&amp;Global_Mod=CS57.0215", "10449")</f>
        <v>10449</v>
      </c>
      <c r="U224" s="37" t="str">
        <f>HYPERLINK("http://ms.phosphosite.org:5080/cgi-bin/plot-msms.cgi?MassType=1&amp;NumAxis=1&amp;Mod8=170&amp;Pep=EAFSLFDKDGDGTITTK&amp;Dta=/var/www/html/dta/S01/10564.10964.2.dta&amp;Global_Mod=CS57.0215", "10964")</f>
        <v>10964</v>
      </c>
      <c r="V224" s="37" t="str">
        <f>HYPERLINK("http://ms.phosphosite.org:5080/cgi-bin/plot-msms.cgi?MassType=1&amp;NumAxis=1&amp;Mod8=170&amp;Pep=EAFSLFDKDGDGTITTK&amp;Dta=/var/www/html/dta/S01/10565.10920.2.dta&amp;Global_Mod=CS57.0215", "10920")</f>
        <v>10920</v>
      </c>
      <c r="W224" s="10">
        <v>10339</v>
      </c>
      <c r="X224" s="10">
        <v>10300</v>
      </c>
      <c r="Y224" s="10">
        <v>10348</v>
      </c>
      <c r="Z224" s="10">
        <v>10352</v>
      </c>
      <c r="AA224" s="10">
        <v>10510</v>
      </c>
      <c r="AB224" s="10">
        <v>10468</v>
      </c>
      <c r="AC224" s="10">
        <v>11006</v>
      </c>
      <c r="AD224" s="10">
        <v>10948</v>
      </c>
      <c r="AE224" s="91">
        <v>3.64</v>
      </c>
      <c r="AF224" s="91">
        <v>3.43</v>
      </c>
      <c r="AG224" s="91">
        <v>4.84</v>
      </c>
      <c r="AH224" s="91">
        <v>4.8550000000000004</v>
      </c>
      <c r="AI224" s="91">
        <v>4.2949999999999999</v>
      </c>
      <c r="AJ224" s="91">
        <v>4.1479999999999997</v>
      </c>
      <c r="AK224" s="91">
        <v>4.8869999999999996</v>
      </c>
      <c r="AL224" s="91">
        <v>4.609</v>
      </c>
      <c r="AM224" s="95">
        <v>0.84589999999999999</v>
      </c>
      <c r="AN224" s="95">
        <v>0.77429999999999999</v>
      </c>
      <c r="AO224" s="95">
        <v>1.0148999999999999</v>
      </c>
      <c r="AP224" s="95">
        <v>0.8014</v>
      </c>
      <c r="AQ224" s="95">
        <v>0.90839999999999999</v>
      </c>
      <c r="AR224" s="95">
        <v>0.70699999999999996</v>
      </c>
      <c r="AS224" s="95">
        <v>0.51619999999999999</v>
      </c>
      <c r="AT224" s="95">
        <v>0.53159999999999996</v>
      </c>
      <c r="AU224" s="95">
        <v>0.47899999999999998</v>
      </c>
      <c r="AV224" s="95">
        <v>0.49</v>
      </c>
      <c r="AW224" s="95">
        <v>0.45400000000000001</v>
      </c>
      <c r="AX224" s="95">
        <v>0.51900000000000002</v>
      </c>
      <c r="AY224" s="95">
        <v>0.497</v>
      </c>
      <c r="AZ224" s="95">
        <v>0.498</v>
      </c>
      <c r="BA224" s="95">
        <v>0.48699999999999999</v>
      </c>
      <c r="BB224" s="95">
        <v>0.44600000000000001</v>
      </c>
      <c r="BC224" s="10">
        <v>1</v>
      </c>
      <c r="BD224" s="10">
        <v>1</v>
      </c>
      <c r="BE224" s="10">
        <v>1</v>
      </c>
      <c r="BF224" s="10">
        <v>1</v>
      </c>
      <c r="BG224" s="10">
        <v>1</v>
      </c>
      <c r="BH224" s="10">
        <v>1</v>
      </c>
      <c r="BI224" s="10">
        <v>1</v>
      </c>
      <c r="BJ224" s="10">
        <v>1</v>
      </c>
      <c r="BK224" s="91">
        <v>1</v>
      </c>
      <c r="BL224" s="91">
        <v>1</v>
      </c>
      <c r="BM224" s="91">
        <v>1</v>
      </c>
      <c r="BN224" s="91">
        <v>1</v>
      </c>
      <c r="BO224" s="91">
        <v>1</v>
      </c>
      <c r="BP224" s="91">
        <v>1</v>
      </c>
      <c r="BQ224" s="91">
        <v>1</v>
      </c>
      <c r="BR224" s="91">
        <v>1</v>
      </c>
      <c r="BS224" s="10" t="s">
        <v>4857</v>
      </c>
    </row>
    <row r="225" spans="1:71" s="30" customFormat="1" ht="17.100000000000001" customHeight="1">
      <c r="A225" s="10">
        <v>214</v>
      </c>
      <c r="B225" s="10" t="s">
        <v>3985</v>
      </c>
      <c r="C225" s="4" t="s">
        <v>3975</v>
      </c>
      <c r="D225" s="4" t="s">
        <v>3977</v>
      </c>
      <c r="E225" s="7" t="s">
        <v>3978</v>
      </c>
      <c r="F225" s="10" t="s">
        <v>4954</v>
      </c>
      <c r="G225" s="4" t="s">
        <v>3979</v>
      </c>
      <c r="H225" s="7" t="s">
        <v>3980</v>
      </c>
      <c r="I225" s="4" t="s">
        <v>3981</v>
      </c>
      <c r="J225" s="10" t="s">
        <v>3982</v>
      </c>
      <c r="K225" s="4" t="s">
        <v>5459</v>
      </c>
      <c r="L225" s="4" t="s">
        <v>3984</v>
      </c>
      <c r="M225" s="10">
        <v>3</v>
      </c>
      <c r="N225" s="95">
        <v>629.63879999999995</v>
      </c>
      <c r="O225" s="37" t="str">
        <f>HYPERLINK("http://ms.phosphosite.org:5080/cgi-bin/plot-msms.cgi?MassType=1&amp;NumAxis=1&amp;Mod8=170&amp;Pep=EAFSLFDKDGDGTITTK&amp;Dta=/var/www/html/dta/S01/10558.10314.3.dta&amp;Global_Mod=CS57.0215", "10314")</f>
        <v>10314</v>
      </c>
      <c r="P225" s="38" t="s">
        <v>4854</v>
      </c>
      <c r="Q225" s="38" t="s">
        <v>4854</v>
      </c>
      <c r="R225" s="38" t="s">
        <v>4854</v>
      </c>
      <c r="S225" s="38" t="s">
        <v>4854</v>
      </c>
      <c r="T225" s="38" t="s">
        <v>4854</v>
      </c>
      <c r="U225" s="37" t="str">
        <f>HYPERLINK("http://ms.phosphosite.org:5080/cgi-bin/plot-msms.cgi?MassType=1&amp;NumAxis=1&amp;Mod8=170&amp;Pep=EAFSLFDKDGDGTITTK&amp;Dta=/var/www/html/dta/S01/10564.10968.3.dta&amp;Global_Mod=CS57.0215", "10968")</f>
        <v>10968</v>
      </c>
      <c r="V225" s="38" t="s">
        <v>4854</v>
      </c>
      <c r="W225" s="10">
        <v>10339</v>
      </c>
      <c r="X225" s="4" t="s">
        <v>4854</v>
      </c>
      <c r="Y225" s="4" t="s">
        <v>4854</v>
      </c>
      <c r="Z225" s="4" t="s">
        <v>4854</v>
      </c>
      <c r="AA225" s="4" t="s">
        <v>4854</v>
      </c>
      <c r="AB225" s="4" t="s">
        <v>4854</v>
      </c>
      <c r="AC225" s="10">
        <v>11006</v>
      </c>
      <c r="AD225" s="4" t="s">
        <v>4854</v>
      </c>
      <c r="AE225" s="91">
        <v>3.0179999999999998</v>
      </c>
      <c r="AF225" s="100" t="s">
        <v>4854</v>
      </c>
      <c r="AG225" s="100" t="s">
        <v>4854</v>
      </c>
      <c r="AH225" s="100" t="s">
        <v>4854</v>
      </c>
      <c r="AI225" s="100" t="s">
        <v>4854</v>
      </c>
      <c r="AJ225" s="100" t="s">
        <v>4854</v>
      </c>
      <c r="AK225" s="91">
        <v>3.4860000000000002</v>
      </c>
      <c r="AL225" s="100" t="s">
        <v>4854</v>
      </c>
      <c r="AM225" s="95">
        <v>0.86919999999999997</v>
      </c>
      <c r="AN225" s="103" t="s">
        <v>4854</v>
      </c>
      <c r="AO225" s="103" t="s">
        <v>4854</v>
      </c>
      <c r="AP225" s="103" t="s">
        <v>4854</v>
      </c>
      <c r="AQ225" s="103" t="s">
        <v>4854</v>
      </c>
      <c r="AR225" s="103" t="s">
        <v>4854</v>
      </c>
      <c r="AS225" s="95">
        <v>1.1384000000000001</v>
      </c>
      <c r="AT225" s="103" t="s">
        <v>4854</v>
      </c>
      <c r="AU225" s="95">
        <v>0.249</v>
      </c>
      <c r="AV225" s="103" t="s">
        <v>4854</v>
      </c>
      <c r="AW225" s="103" t="s">
        <v>4854</v>
      </c>
      <c r="AX225" s="103" t="s">
        <v>4854</v>
      </c>
      <c r="AY225" s="103" t="s">
        <v>4854</v>
      </c>
      <c r="AZ225" s="103" t="s">
        <v>4854</v>
      </c>
      <c r="BA225" s="95">
        <v>0.374</v>
      </c>
      <c r="BB225" s="103" t="s">
        <v>4854</v>
      </c>
      <c r="BC225" s="10">
        <v>1</v>
      </c>
      <c r="BD225" s="4" t="s">
        <v>4854</v>
      </c>
      <c r="BE225" s="4" t="s">
        <v>4854</v>
      </c>
      <c r="BF225" s="4" t="s">
        <v>4854</v>
      </c>
      <c r="BG225" s="4" t="s">
        <v>4854</v>
      </c>
      <c r="BH225" s="4" t="s">
        <v>4854</v>
      </c>
      <c r="BI225" s="10">
        <v>1</v>
      </c>
      <c r="BJ225" s="4" t="s">
        <v>4854</v>
      </c>
      <c r="BK225" s="91">
        <v>0.999</v>
      </c>
      <c r="BL225" s="100" t="s">
        <v>4854</v>
      </c>
      <c r="BM225" s="100" t="s">
        <v>4854</v>
      </c>
      <c r="BN225" s="100" t="s">
        <v>4854</v>
      </c>
      <c r="BO225" s="100" t="s">
        <v>4854</v>
      </c>
      <c r="BP225" s="100" t="s">
        <v>4854</v>
      </c>
      <c r="BQ225" s="91">
        <v>1</v>
      </c>
      <c r="BR225" s="100" t="s">
        <v>4854</v>
      </c>
      <c r="BS225" s="10" t="s">
        <v>4857</v>
      </c>
    </row>
    <row r="226" spans="1:71" s="30" customFormat="1" ht="17.100000000000001" customHeight="1">
      <c r="A226" s="14">
        <v>215</v>
      </c>
      <c r="B226" s="5" t="s">
        <v>3986</v>
      </c>
      <c r="C226" s="3" t="s">
        <v>3975</v>
      </c>
      <c r="D226" s="3" t="s">
        <v>3977</v>
      </c>
      <c r="E226" s="6" t="s">
        <v>3978</v>
      </c>
      <c r="F226" s="5" t="s">
        <v>5269</v>
      </c>
      <c r="G226" s="3" t="s">
        <v>3979</v>
      </c>
      <c r="H226" s="6" t="s">
        <v>3980</v>
      </c>
      <c r="I226" s="3" t="s">
        <v>3981</v>
      </c>
      <c r="J226" s="5" t="s">
        <v>3982</v>
      </c>
      <c r="K226" s="3" t="s">
        <v>5460</v>
      </c>
      <c r="L226" s="3" t="s">
        <v>3987</v>
      </c>
      <c r="M226" s="5">
        <v>2</v>
      </c>
      <c r="N226" s="21">
        <v>898.9443</v>
      </c>
      <c r="O226" s="36" t="str">
        <f>HYPERLINK("http://ms.phosphosite.org:5080/cgi-bin/plot-msms.cgi?MassType=1&amp;NumAxis=1&amp;Mod4=170&amp;Pep=VFDKDGNGYISAAELR&amp;Dta=/var/www/html/dta/S01/10558.8737.2.dta&amp;Global_Mod=CS57.0215", "8737")</f>
        <v>8737</v>
      </c>
      <c r="P226" s="36" t="str">
        <f>HYPERLINK("http://ms.phosphosite.org:5080/cgi-bin/plot-msms.cgi?MassType=1&amp;NumAxis=1&amp;Mod4=170&amp;Pep=VFDKDGNGYISAAELR&amp;Dta=/var/www/html/dta/S01/10559.8696.2.dta&amp;Global_Mod=CS57.0215", "8696")</f>
        <v>8696</v>
      </c>
      <c r="Q226" s="36" t="str">
        <f>HYPERLINK("http://ms.phosphosite.org:5080/cgi-bin/plot-msms.cgi?MassType=1&amp;NumAxis=1&amp;Mod4=170&amp;Pep=VFDKDGNGYISAAELR&amp;Dta=/var/www/html/dta/S01/10560.8697.2.dta&amp;Global_Mod=CS57.0215", "8697")</f>
        <v>8697</v>
      </c>
      <c r="R226" s="36" t="str">
        <f>HYPERLINK("http://ms.phosphosite.org:5080/cgi-bin/plot-msms.cgi?MassType=1&amp;NumAxis=1&amp;Mod4=170&amp;Pep=VFDKDGNGYISAAELR&amp;Dta=/var/www/html/dta/S01/10561.8749.2.dta&amp;Global_Mod=CS57.0215", "8749")</f>
        <v>8749</v>
      </c>
      <c r="S226" s="36" t="str">
        <f>HYPERLINK("http://ms.phosphosite.org:5080/cgi-bin/plot-msms.cgi?MassType=1&amp;NumAxis=1&amp;Mod4=170&amp;Pep=VFDKDGNGYISAAELR&amp;Dta=/var/www/html/dta/S01/10562.8855.2.dta&amp;Global_Mod=CS57.0215", "8855")</f>
        <v>8855</v>
      </c>
      <c r="T226" s="36" t="str">
        <f>HYPERLINK("http://ms.phosphosite.org:5080/cgi-bin/plot-msms.cgi?MassType=1&amp;NumAxis=1&amp;Mod4=170&amp;Pep=VFDKDGNGYISAAELR&amp;Dta=/var/www/html/dta/S01/10563.8836.2.dta&amp;Global_Mod=CS57.0215", "8836")</f>
        <v>8836</v>
      </c>
      <c r="U226" s="36" t="str">
        <f>HYPERLINK("http://ms.phosphosite.org:5080/cgi-bin/plot-msms.cgi?MassType=1&amp;NumAxis=1&amp;Mod4=170&amp;Pep=VFDKDGNGYISAAELR&amp;Dta=/var/www/html/dta/S01/10564.9266.2.dta&amp;Global_Mod=CS57.0215", "9266")</f>
        <v>9266</v>
      </c>
      <c r="V226" s="36" t="str">
        <f>HYPERLINK("http://ms.phosphosite.org:5080/cgi-bin/plot-msms.cgi?MassType=1&amp;NumAxis=1&amp;Mod4=170&amp;Pep=VFDKDGNGYISAAELR&amp;Dta=/var/www/html/dta/S01/10565.9250.2.dta&amp;Global_Mod=CS57.0215", "9250")</f>
        <v>9250</v>
      </c>
      <c r="W226" s="5">
        <v>8777</v>
      </c>
      <c r="X226" s="5">
        <v>8725</v>
      </c>
      <c r="Y226" s="5">
        <v>8709</v>
      </c>
      <c r="Z226" s="5">
        <v>8769</v>
      </c>
      <c r="AA226" s="5">
        <v>8875</v>
      </c>
      <c r="AB226" s="5">
        <v>8851</v>
      </c>
      <c r="AC226" s="5">
        <v>9301</v>
      </c>
      <c r="AD226" s="5">
        <v>9276</v>
      </c>
      <c r="AE226" s="90">
        <v>4.6230000000000002</v>
      </c>
      <c r="AF226" s="90">
        <v>4.899</v>
      </c>
      <c r="AG226" s="90">
        <v>4.8209999999999997</v>
      </c>
      <c r="AH226" s="90">
        <v>4.3440000000000003</v>
      </c>
      <c r="AI226" s="90">
        <v>4.8769999999999998</v>
      </c>
      <c r="AJ226" s="90">
        <v>4.5449999999999999</v>
      </c>
      <c r="AK226" s="90">
        <v>5.08</v>
      </c>
      <c r="AL226" s="90">
        <v>4.2089999999999996</v>
      </c>
      <c r="AM226" s="21">
        <v>0.85799999999999998</v>
      </c>
      <c r="AN226" s="21">
        <v>0.93710000000000004</v>
      </c>
      <c r="AO226" s="21">
        <v>0.95820000000000005</v>
      </c>
      <c r="AP226" s="21">
        <v>0.92369999999999997</v>
      </c>
      <c r="AQ226" s="21">
        <v>0.83020000000000005</v>
      </c>
      <c r="AR226" s="21">
        <v>0.87580000000000002</v>
      </c>
      <c r="AS226" s="21">
        <v>1.0349999999999999</v>
      </c>
      <c r="AT226" s="21">
        <v>0.56030000000000002</v>
      </c>
      <c r="AU226" s="21">
        <v>0.38700000000000001</v>
      </c>
      <c r="AV226" s="21">
        <v>0.40400000000000003</v>
      </c>
      <c r="AW226" s="21">
        <v>0.39700000000000002</v>
      </c>
      <c r="AX226" s="21">
        <v>0.39200000000000002</v>
      </c>
      <c r="AY226" s="21">
        <v>0.40200000000000002</v>
      </c>
      <c r="AZ226" s="21">
        <v>0.371</v>
      </c>
      <c r="BA226" s="21">
        <v>0.39600000000000002</v>
      </c>
      <c r="BB226" s="21">
        <v>0.41099999999999998</v>
      </c>
      <c r="BC226" s="5">
        <v>1</v>
      </c>
      <c r="BD226" s="5">
        <v>1</v>
      </c>
      <c r="BE226" s="5">
        <v>1</v>
      </c>
      <c r="BF226" s="5">
        <v>1</v>
      </c>
      <c r="BG226" s="5">
        <v>1</v>
      </c>
      <c r="BH226" s="5">
        <v>1</v>
      </c>
      <c r="BI226" s="5">
        <v>1</v>
      </c>
      <c r="BJ226" s="5">
        <v>1</v>
      </c>
      <c r="BK226" s="90">
        <v>1</v>
      </c>
      <c r="BL226" s="90">
        <v>1</v>
      </c>
      <c r="BM226" s="90">
        <v>1</v>
      </c>
      <c r="BN226" s="90">
        <v>1</v>
      </c>
      <c r="BO226" s="90">
        <v>1</v>
      </c>
      <c r="BP226" s="90">
        <v>1</v>
      </c>
      <c r="BQ226" s="90">
        <v>1</v>
      </c>
      <c r="BR226" s="90">
        <v>1</v>
      </c>
      <c r="BS226" s="5" t="s">
        <v>4857</v>
      </c>
    </row>
    <row r="227" spans="1:71" s="30" customFormat="1" ht="17.100000000000001" customHeight="1">
      <c r="A227" s="14">
        <v>216</v>
      </c>
      <c r="B227" s="5" t="s">
        <v>3988</v>
      </c>
      <c r="C227" s="3" t="s">
        <v>3975</v>
      </c>
      <c r="D227" s="3" t="s">
        <v>3977</v>
      </c>
      <c r="E227" s="6" t="s">
        <v>3978</v>
      </c>
      <c r="F227" s="5" t="s">
        <v>5269</v>
      </c>
      <c r="G227" s="3" t="s">
        <v>3979</v>
      </c>
      <c r="H227" s="6" t="s">
        <v>3980</v>
      </c>
      <c r="I227" s="3" t="s">
        <v>3981</v>
      </c>
      <c r="J227" s="5" t="s">
        <v>3982</v>
      </c>
      <c r="K227" s="3" t="s">
        <v>5460</v>
      </c>
      <c r="L227" s="3" t="s">
        <v>3987</v>
      </c>
      <c r="M227" s="5">
        <v>3</v>
      </c>
      <c r="N227" s="21">
        <v>599.63199999999995</v>
      </c>
      <c r="O227" s="35" t="s">
        <v>4854</v>
      </c>
      <c r="P227" s="36" t="str">
        <f>HYPERLINK("http://ms.phosphosite.org:5080/cgi-bin/plot-msms.cgi?MassType=1&amp;NumAxis=1&amp;Mod4=170&amp;Pep=VFDKDGNGYISAAELR&amp;Dta=/var/www/html/dta/S01/10559.8707.3.dta&amp;Global_Mod=CS57.0215", "8707")</f>
        <v>8707</v>
      </c>
      <c r="Q227" s="35" t="s">
        <v>4854</v>
      </c>
      <c r="R227" s="36" t="str">
        <f>HYPERLINK("http://ms.phosphosite.org:5080/cgi-bin/plot-msms.cgi?MassType=1&amp;NumAxis=1&amp;Mod4=170&amp;Pep=VFDKDGNGYISAAELR&amp;Dta=/var/www/html/dta/S01/10561.8751.3.dta&amp;Global_Mod=CS57.0215", "8751")</f>
        <v>8751</v>
      </c>
      <c r="S227" s="36" t="str">
        <f>HYPERLINK("http://ms.phosphosite.org:5080/cgi-bin/plot-msms.cgi?MassType=1&amp;NumAxis=1&amp;Mod4=170&amp;Pep=VFDKDGNGYISAAELR&amp;Dta=/var/www/html/dta/S01/10562.8867.3.dta&amp;Global_Mod=CS57.0215", "8867")</f>
        <v>8867</v>
      </c>
      <c r="T227" s="35" t="s">
        <v>4854</v>
      </c>
      <c r="U227" s="35" t="s">
        <v>4854</v>
      </c>
      <c r="V227" s="36" t="str">
        <f>HYPERLINK("http://ms.phosphosite.org:5080/cgi-bin/plot-msms.cgi?MassType=1&amp;NumAxis=1&amp;Mod4=170&amp;Pep=VFDKDGNGYISAAELR&amp;Dta=/var/www/html/dta/S01/10565.9258.3.dta&amp;Global_Mod=CS57.0215", "9258")</f>
        <v>9258</v>
      </c>
      <c r="W227" s="3" t="s">
        <v>4854</v>
      </c>
      <c r="X227" s="5">
        <v>8725</v>
      </c>
      <c r="Y227" s="3" t="s">
        <v>4854</v>
      </c>
      <c r="Z227" s="5">
        <v>8769</v>
      </c>
      <c r="AA227" s="5">
        <v>8886</v>
      </c>
      <c r="AB227" s="3" t="s">
        <v>4854</v>
      </c>
      <c r="AC227" s="3" t="s">
        <v>4854</v>
      </c>
      <c r="AD227" s="5">
        <v>9265</v>
      </c>
      <c r="AE227" s="99" t="s">
        <v>4854</v>
      </c>
      <c r="AF227" s="90">
        <v>2.948</v>
      </c>
      <c r="AG227" s="99" t="s">
        <v>4854</v>
      </c>
      <c r="AH227" s="90">
        <v>2.7650000000000001</v>
      </c>
      <c r="AI227" s="90">
        <v>2.9159999999999999</v>
      </c>
      <c r="AJ227" s="99" t="s">
        <v>4854</v>
      </c>
      <c r="AK227" s="99" t="s">
        <v>4854</v>
      </c>
      <c r="AL227" s="90">
        <v>3.4710000000000001</v>
      </c>
      <c r="AM227" s="102" t="s">
        <v>4854</v>
      </c>
      <c r="AN227" s="21">
        <v>0.46850000000000003</v>
      </c>
      <c r="AO227" s="102" t="s">
        <v>4854</v>
      </c>
      <c r="AP227" s="21">
        <v>0.4083</v>
      </c>
      <c r="AQ227" s="21">
        <v>0.73109999999999997</v>
      </c>
      <c r="AR227" s="102" t="s">
        <v>4854</v>
      </c>
      <c r="AS227" s="102" t="s">
        <v>4854</v>
      </c>
      <c r="AT227" s="21">
        <v>0.41670000000000001</v>
      </c>
      <c r="AU227" s="102" t="s">
        <v>4854</v>
      </c>
      <c r="AV227" s="21">
        <v>0.23300000000000001</v>
      </c>
      <c r="AW227" s="102" t="s">
        <v>4854</v>
      </c>
      <c r="AX227" s="21">
        <v>0.156</v>
      </c>
      <c r="AY227" s="21">
        <v>4.2000000000000003E-2</v>
      </c>
      <c r="AZ227" s="102" t="s">
        <v>4854</v>
      </c>
      <c r="BA227" s="102" t="s">
        <v>4854</v>
      </c>
      <c r="BB227" s="21">
        <v>0.13200000000000001</v>
      </c>
      <c r="BC227" s="3" t="s">
        <v>4854</v>
      </c>
      <c r="BD227" s="5">
        <v>1</v>
      </c>
      <c r="BE227" s="3" t="s">
        <v>4854</v>
      </c>
      <c r="BF227" s="5">
        <v>34</v>
      </c>
      <c r="BG227" s="5">
        <v>5</v>
      </c>
      <c r="BH227" s="3" t="s">
        <v>4854</v>
      </c>
      <c r="BI227" s="3" t="s">
        <v>4854</v>
      </c>
      <c r="BJ227" s="5">
        <v>1</v>
      </c>
      <c r="BK227" s="99" t="s">
        <v>4854</v>
      </c>
      <c r="BL227" s="90">
        <v>0.999</v>
      </c>
      <c r="BM227" s="99" t="s">
        <v>4854</v>
      </c>
      <c r="BN227" s="90">
        <v>0.99</v>
      </c>
      <c r="BO227" s="90">
        <v>0.97499999999999998</v>
      </c>
      <c r="BP227" s="99" t="s">
        <v>4854</v>
      </c>
      <c r="BQ227" s="99" t="s">
        <v>4854</v>
      </c>
      <c r="BR227" s="90">
        <v>0.998</v>
      </c>
      <c r="BS227" s="5" t="s">
        <v>4857</v>
      </c>
    </row>
    <row r="228" spans="1:71" ht="17.100000000000001" customHeight="1">
      <c r="A228" s="31">
        <v>217</v>
      </c>
      <c r="B228" s="2" t="s">
        <v>3989</v>
      </c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94"/>
      <c r="O228" s="34"/>
      <c r="P228" s="34"/>
      <c r="Q228" s="34"/>
      <c r="R228" s="34"/>
      <c r="S228" s="34"/>
      <c r="T228" s="34"/>
      <c r="U228" s="34"/>
      <c r="V228" s="34"/>
      <c r="W228" s="1"/>
      <c r="X228" s="1"/>
      <c r="Y228" s="1"/>
      <c r="Z228" s="1"/>
      <c r="AA228" s="1"/>
      <c r="AB228" s="1"/>
      <c r="AC228" s="1"/>
      <c r="AD228" s="1"/>
      <c r="AE228" s="89"/>
      <c r="AF228" s="89"/>
      <c r="AG228" s="89"/>
      <c r="AH228" s="89"/>
      <c r="AI228" s="89"/>
      <c r="AJ228" s="89"/>
      <c r="AK228" s="89"/>
      <c r="AL228" s="89"/>
      <c r="AM228" s="94"/>
      <c r="AN228" s="94"/>
      <c r="AO228" s="94"/>
      <c r="AP228" s="94"/>
      <c r="AQ228" s="94"/>
      <c r="AR228" s="94"/>
      <c r="AS228" s="94"/>
      <c r="AT228" s="94"/>
      <c r="AU228" s="94"/>
      <c r="AV228" s="94"/>
      <c r="AW228" s="94"/>
      <c r="AX228" s="94"/>
      <c r="AY228" s="94"/>
      <c r="AZ228" s="94"/>
      <c r="BA228" s="94"/>
      <c r="BB228" s="94"/>
      <c r="BC228" s="1"/>
      <c r="BD228" s="1"/>
      <c r="BE228" s="1"/>
      <c r="BF228" s="1"/>
      <c r="BG228" s="1"/>
      <c r="BH228" s="1"/>
      <c r="BI228" s="1"/>
      <c r="BJ228" s="1"/>
      <c r="BK228" s="89"/>
      <c r="BL228" s="89"/>
      <c r="BM228" s="89"/>
      <c r="BN228" s="89"/>
      <c r="BO228" s="89"/>
      <c r="BP228" s="89"/>
      <c r="BQ228" s="89"/>
      <c r="BR228" s="89"/>
      <c r="BS228" s="1"/>
    </row>
    <row r="229" spans="1:71" s="30" customFormat="1" ht="17.100000000000001" customHeight="1">
      <c r="A229" s="10">
        <v>218</v>
      </c>
      <c r="B229" s="10" t="s">
        <v>3990</v>
      </c>
      <c r="C229" s="4" t="s">
        <v>3989</v>
      </c>
      <c r="D229" s="4" t="s">
        <v>3991</v>
      </c>
      <c r="E229" s="7" t="s">
        <v>3991</v>
      </c>
      <c r="F229" s="10" t="s">
        <v>5066</v>
      </c>
      <c r="G229" s="4" t="s">
        <v>3992</v>
      </c>
      <c r="H229" s="7" t="s">
        <v>3993</v>
      </c>
      <c r="I229" s="4" t="s">
        <v>3994</v>
      </c>
      <c r="J229" s="10" t="s">
        <v>4696</v>
      </c>
      <c r="K229" s="4" t="s">
        <v>5461</v>
      </c>
      <c r="L229" s="4" t="s">
        <v>3995</v>
      </c>
      <c r="M229" s="10">
        <v>2</v>
      </c>
      <c r="N229" s="95">
        <v>577.29600000000005</v>
      </c>
      <c r="O229" s="38" t="s">
        <v>4854</v>
      </c>
      <c r="P229" s="37" t="str">
        <f>HYPERLINK("http://ms.phosphosite.org:5080/cgi-bin/plot-msms.cgi?MassType=1&amp;NumAxis=1&amp;Mod5=170&amp;Pep=ESSLKYQTR&amp;Dta=/var/www/html/dta/S01/10559.2893.2.dta&amp;Global_Mod=CS57.0215", "2893")</f>
        <v>2893</v>
      </c>
      <c r="Q229" s="37" t="str">
        <f>HYPERLINK("http://ms.phosphosite.org:5080/cgi-bin/plot-msms.cgi?MassType=1&amp;NumAxis=1&amp;Mod5=170&amp;Pep=ESSLKYQTR&amp;Dta=/var/www/html/dta/S01/10560.2868.2.dta&amp;Global_Mod=CS57.0215", "2868")</f>
        <v>2868</v>
      </c>
      <c r="R229" s="37" t="str">
        <f>HYPERLINK("http://ms.phosphosite.org:5080/cgi-bin/plot-msms.cgi?MassType=1&amp;NumAxis=1&amp;Mod5=170&amp;Pep=ESSLKYQTR&amp;Dta=/var/www/html/dta/S01/10561.2895.2.dta&amp;Global_Mod=CS57.0215", "2895")</f>
        <v>2895</v>
      </c>
      <c r="S229" s="37" t="str">
        <f>HYPERLINK("http://ms.phosphosite.org:5080/cgi-bin/plot-msms.cgi?MassType=1&amp;NumAxis=1&amp;Mod5=170&amp;Pep=ESSLKYQTR&amp;Dta=/var/www/html/dta/S01/10562.2986.2.dta&amp;Global_Mod=CS57.0215", "2986")</f>
        <v>2986</v>
      </c>
      <c r="T229" s="37" t="str">
        <f>HYPERLINK("http://ms.phosphosite.org:5080/cgi-bin/plot-msms.cgi?MassType=1&amp;NumAxis=1&amp;Mod5=170&amp;Pep=ESSLKYQTR&amp;Dta=/var/www/html/dta/S01/10563.2927.2.dta&amp;Global_Mod=CS57.0215", "2927")</f>
        <v>2927</v>
      </c>
      <c r="U229" s="38" t="s">
        <v>4854</v>
      </c>
      <c r="V229" s="37" t="str">
        <f>HYPERLINK("http://ms.phosphosite.org:5080/cgi-bin/plot-msms.cgi?MassType=1&amp;NumAxis=1&amp;Mod5=170&amp;Pep=ESSLKYQTR&amp;Dta=/var/www/html/dta/S01/10565.3322.2.dta&amp;Global_Mod=CS57.0215", "3322")</f>
        <v>3322</v>
      </c>
      <c r="W229" s="4" t="s">
        <v>4854</v>
      </c>
      <c r="X229" s="10">
        <v>2886</v>
      </c>
      <c r="Y229" s="10">
        <v>2860</v>
      </c>
      <c r="Z229" s="10">
        <v>2888</v>
      </c>
      <c r="AA229" s="10">
        <v>2991</v>
      </c>
      <c r="AB229" s="10">
        <v>2921</v>
      </c>
      <c r="AC229" s="4" t="s">
        <v>4854</v>
      </c>
      <c r="AD229" s="4" t="s">
        <v>4854</v>
      </c>
      <c r="AE229" s="100" t="s">
        <v>4854</v>
      </c>
      <c r="AF229" s="91">
        <v>2.2829999999999999</v>
      </c>
      <c r="AG229" s="91">
        <v>1.897</v>
      </c>
      <c r="AH229" s="91">
        <v>2.3929999999999998</v>
      </c>
      <c r="AI229" s="91">
        <v>2.3180000000000001</v>
      </c>
      <c r="AJ229" s="91">
        <v>2.1160000000000001</v>
      </c>
      <c r="AK229" s="100" t="s">
        <v>4854</v>
      </c>
      <c r="AL229" s="91">
        <v>2.173</v>
      </c>
      <c r="AM229" s="103" t="s">
        <v>4854</v>
      </c>
      <c r="AN229" s="95">
        <v>0.59009999999999996</v>
      </c>
      <c r="AO229" s="95">
        <v>0.80330000000000001</v>
      </c>
      <c r="AP229" s="95">
        <v>-0.1017</v>
      </c>
      <c r="AQ229" s="95">
        <v>2.4954000000000001</v>
      </c>
      <c r="AR229" s="95">
        <v>0.70540000000000003</v>
      </c>
      <c r="AS229" s="103" t="s">
        <v>4854</v>
      </c>
      <c r="AT229" s="95">
        <v>2.6896</v>
      </c>
      <c r="AU229" s="103" t="s">
        <v>4854</v>
      </c>
      <c r="AV229" s="95">
        <v>0.06</v>
      </c>
      <c r="AW229" s="95">
        <v>0.16400000000000001</v>
      </c>
      <c r="AX229" s="95">
        <v>9.7000000000000003E-2</v>
      </c>
      <c r="AY229" s="95">
        <v>9.0999999999999998E-2</v>
      </c>
      <c r="AZ229" s="95">
        <v>3.2000000000000001E-2</v>
      </c>
      <c r="BA229" s="103" t="s">
        <v>4854</v>
      </c>
      <c r="BB229" s="95">
        <v>0.05</v>
      </c>
      <c r="BC229" s="4" t="s">
        <v>4854</v>
      </c>
      <c r="BD229" s="10">
        <v>1</v>
      </c>
      <c r="BE229" s="10">
        <v>12</v>
      </c>
      <c r="BF229" s="10">
        <v>2</v>
      </c>
      <c r="BG229" s="10">
        <v>3</v>
      </c>
      <c r="BH229" s="10">
        <v>1</v>
      </c>
      <c r="BI229" s="4" t="s">
        <v>4854</v>
      </c>
      <c r="BJ229" s="10">
        <v>1</v>
      </c>
      <c r="BK229" s="100" t="s">
        <v>4854</v>
      </c>
      <c r="BL229" s="91">
        <v>0.98699999999999999</v>
      </c>
      <c r="BM229" s="91">
        <v>0.97699999999999998</v>
      </c>
      <c r="BN229" s="91">
        <v>0.99199999999999999</v>
      </c>
      <c r="BO229" s="91">
        <v>0.96399999999999997</v>
      </c>
      <c r="BP229" s="91">
        <v>0.97199999999999998</v>
      </c>
      <c r="BQ229" s="100" t="s">
        <v>4854</v>
      </c>
      <c r="BR229" s="91">
        <v>0.94299999999999995</v>
      </c>
      <c r="BS229" s="10" t="s">
        <v>4857</v>
      </c>
    </row>
    <row r="230" spans="1:71" s="30" customFormat="1" ht="17.100000000000001" customHeight="1">
      <c r="A230" s="14">
        <v>219</v>
      </c>
      <c r="B230" s="5" t="s">
        <v>3996</v>
      </c>
      <c r="C230" s="3" t="s">
        <v>3989</v>
      </c>
      <c r="D230" s="3" t="s">
        <v>3997</v>
      </c>
      <c r="E230" s="6" t="s">
        <v>3998</v>
      </c>
      <c r="F230" s="5" t="s">
        <v>4477</v>
      </c>
      <c r="G230" s="3" t="s">
        <v>3999</v>
      </c>
      <c r="H230" s="6" t="s">
        <v>4000</v>
      </c>
      <c r="I230" s="3" t="s">
        <v>4001</v>
      </c>
      <c r="J230" s="5" t="s">
        <v>4479</v>
      </c>
      <c r="K230" s="3" t="s">
        <v>5462</v>
      </c>
      <c r="L230" s="3" t="s">
        <v>4002</v>
      </c>
      <c r="M230" s="5">
        <v>2</v>
      </c>
      <c r="N230" s="21">
        <v>461.2851</v>
      </c>
      <c r="O230" s="35" t="s">
        <v>4854</v>
      </c>
      <c r="P230" s="35" t="s">
        <v>4854</v>
      </c>
      <c r="Q230" s="35" t="s">
        <v>4854</v>
      </c>
      <c r="R230" s="35" t="s">
        <v>4854</v>
      </c>
      <c r="S230" s="36" t="str">
        <f>HYPERLINK("http://ms.phosphosite.org:5080/cgi-bin/plot-msms.cgi?MassType=1&amp;NumAxis=1&amp;Mod5=170&amp;Pep=HLINKVR&amp;Dta=/var/www/html/dta/S01/10562.3527.2.dta&amp;Global_Mod=CS57.0215", "3527")</f>
        <v>3527</v>
      </c>
      <c r="T230" s="35" t="s">
        <v>4854</v>
      </c>
      <c r="U230" s="35" t="s">
        <v>4854</v>
      </c>
      <c r="V230" s="35" t="s">
        <v>4854</v>
      </c>
      <c r="W230" s="3" t="s">
        <v>4854</v>
      </c>
      <c r="X230" s="3" t="s">
        <v>4854</v>
      </c>
      <c r="Y230" s="3" t="s">
        <v>4854</v>
      </c>
      <c r="Z230" s="3" t="s">
        <v>4854</v>
      </c>
      <c r="AA230" s="3" t="s">
        <v>4854</v>
      </c>
      <c r="AB230" s="3" t="s">
        <v>4854</v>
      </c>
      <c r="AC230" s="3" t="s">
        <v>4854</v>
      </c>
      <c r="AD230" s="3" t="s">
        <v>4854</v>
      </c>
      <c r="AE230" s="99" t="s">
        <v>4854</v>
      </c>
      <c r="AF230" s="99" t="s">
        <v>4854</v>
      </c>
      <c r="AG230" s="99" t="s">
        <v>4854</v>
      </c>
      <c r="AH230" s="99" t="s">
        <v>4854</v>
      </c>
      <c r="AI230" s="90">
        <v>1.7030000000000001</v>
      </c>
      <c r="AJ230" s="99" t="s">
        <v>4854</v>
      </c>
      <c r="AK230" s="99" t="s">
        <v>4854</v>
      </c>
      <c r="AL230" s="99" t="s">
        <v>4854</v>
      </c>
      <c r="AM230" s="102" t="s">
        <v>4854</v>
      </c>
      <c r="AN230" s="102" t="s">
        <v>4854</v>
      </c>
      <c r="AO230" s="102" t="s">
        <v>4854</v>
      </c>
      <c r="AP230" s="102" t="s">
        <v>4854</v>
      </c>
      <c r="AQ230" s="21">
        <v>0.2636</v>
      </c>
      <c r="AR230" s="102" t="s">
        <v>4854</v>
      </c>
      <c r="AS230" s="102" t="s">
        <v>4854</v>
      </c>
      <c r="AT230" s="102" t="s">
        <v>4854</v>
      </c>
      <c r="AU230" s="102" t="s">
        <v>4854</v>
      </c>
      <c r="AV230" s="102" t="s">
        <v>4854</v>
      </c>
      <c r="AW230" s="102" t="s">
        <v>4854</v>
      </c>
      <c r="AX230" s="102" t="s">
        <v>4854</v>
      </c>
      <c r="AY230" s="21">
        <v>1.7999999999999999E-2</v>
      </c>
      <c r="AZ230" s="102" t="s">
        <v>4854</v>
      </c>
      <c r="BA230" s="102" t="s">
        <v>4854</v>
      </c>
      <c r="BB230" s="102" t="s">
        <v>4854</v>
      </c>
      <c r="BC230" s="3" t="s">
        <v>4854</v>
      </c>
      <c r="BD230" s="3" t="s">
        <v>4854</v>
      </c>
      <c r="BE230" s="3" t="s">
        <v>4854</v>
      </c>
      <c r="BF230" s="3" t="s">
        <v>4854</v>
      </c>
      <c r="BG230" s="5">
        <v>2</v>
      </c>
      <c r="BH230" s="3" t="s">
        <v>4854</v>
      </c>
      <c r="BI230" s="3" t="s">
        <v>4854</v>
      </c>
      <c r="BJ230" s="3" t="s">
        <v>4854</v>
      </c>
      <c r="BK230" s="99" t="s">
        <v>4854</v>
      </c>
      <c r="BL230" s="99" t="s">
        <v>4854</v>
      </c>
      <c r="BM230" s="99" t="s">
        <v>4854</v>
      </c>
      <c r="BN230" s="99" t="s">
        <v>4854</v>
      </c>
      <c r="BO230" s="90">
        <v>7.1999999999999995E-2</v>
      </c>
      <c r="BP230" s="99" t="s">
        <v>4854</v>
      </c>
      <c r="BQ230" s="99" t="s">
        <v>4854</v>
      </c>
      <c r="BR230" s="99" t="s">
        <v>4854</v>
      </c>
      <c r="BS230" s="5" t="s">
        <v>4857</v>
      </c>
    </row>
    <row r="231" spans="1:71" s="30" customFormat="1" ht="17.100000000000001" customHeight="1">
      <c r="A231" s="10">
        <v>220</v>
      </c>
      <c r="B231" s="10" t="s">
        <v>4003</v>
      </c>
      <c r="C231" s="4" t="s">
        <v>3989</v>
      </c>
      <c r="D231" s="4" t="s">
        <v>4004</v>
      </c>
      <c r="E231" s="4" t="s">
        <v>4005</v>
      </c>
      <c r="F231" s="10" t="s">
        <v>4439</v>
      </c>
      <c r="G231" s="4" t="s">
        <v>4006</v>
      </c>
      <c r="H231" s="7" t="s">
        <v>4007</v>
      </c>
      <c r="I231" s="4" t="s">
        <v>4008</v>
      </c>
      <c r="J231" s="10" t="s">
        <v>4847</v>
      </c>
      <c r="K231" s="4" t="s">
        <v>5463</v>
      </c>
      <c r="L231" s="4" t="s">
        <v>4009</v>
      </c>
      <c r="M231" s="10">
        <v>2</v>
      </c>
      <c r="N231" s="95">
        <v>654.78549999999996</v>
      </c>
      <c r="O231" s="37" t="str">
        <f>HYPERLINK("http://ms.phosphosite.org:5080/cgi-bin/plot-msms.cgi?MassType=1&amp;NumAxis=1&amp;Mod4=170&amp;Mod8=160&amp;Pep=WDGKETNCTR&amp;Dta=/var/www/html/dta/S01/10558.2684.2.dta&amp;Global_Mod=CS57.0215", "2684")</f>
        <v>2684</v>
      </c>
      <c r="P231" s="37" t="str">
        <f>HYPERLINK("http://ms.phosphosite.org:5080/cgi-bin/plot-msms.cgi?MassType=1&amp;NumAxis=1&amp;Mod4=170&amp;Mod8=160&amp;Pep=WDGKETNCTR&amp;Dta=/var/www/html/dta/S01/10559.2665.2.dta&amp;Global_Mod=CS57.0215", "2665")</f>
        <v>2665</v>
      </c>
      <c r="Q231" s="37" t="str">
        <f>HYPERLINK("http://ms.phosphosite.org:5080/cgi-bin/plot-msms.cgi?MassType=1&amp;NumAxis=1&amp;Mod4=170&amp;Mod8=160&amp;Pep=WDGKETNCTR&amp;Dta=/var/www/html/dta/S01/10560.2590.2.dta&amp;Global_Mod=CS57.0215", "2590")</f>
        <v>2590</v>
      </c>
      <c r="R231" s="37" t="str">
        <f>HYPERLINK("http://ms.phosphosite.org:5080/cgi-bin/plot-msms.cgi?MassType=1&amp;NumAxis=1&amp;Mod4=170&amp;Mod8=160&amp;Pep=WDGKETNCTR&amp;Dta=/var/www/html/dta/S01/10561.2640.2.dta&amp;Global_Mod=CS57.0215", "2640")</f>
        <v>2640</v>
      </c>
      <c r="S231" s="37" t="str">
        <f>HYPERLINK("http://ms.phosphosite.org:5080/cgi-bin/plot-msms.cgi?MassType=1&amp;NumAxis=1&amp;Mod4=170&amp;Mod8=160&amp;Pep=WDGKETNCTR&amp;Dta=/var/www/html/dta/S01/10562.2707.2.dta&amp;Global_Mod=CS57.0215", "2707")</f>
        <v>2707</v>
      </c>
      <c r="T231" s="38" t="s">
        <v>4854</v>
      </c>
      <c r="U231" s="38" t="s">
        <v>4854</v>
      </c>
      <c r="V231" s="37" t="str">
        <f>HYPERLINK("http://ms.phosphosite.org:5080/cgi-bin/plot-msms.cgi?MassType=1&amp;NumAxis=1&amp;Mod4=170&amp;Mod8=160&amp;Pep=WDGKETNCTR&amp;Dta=/var/www/html/dta/S01/10565.3030.2.dta&amp;Global_Mod=CS57.0215", "3030")</f>
        <v>3030</v>
      </c>
      <c r="W231" s="10">
        <v>2697</v>
      </c>
      <c r="X231" s="10">
        <v>2640</v>
      </c>
      <c r="Y231" s="10">
        <v>2603</v>
      </c>
      <c r="Z231" s="10">
        <v>2641</v>
      </c>
      <c r="AA231" s="10">
        <v>2712</v>
      </c>
      <c r="AB231" s="4" t="s">
        <v>4854</v>
      </c>
      <c r="AC231" s="4" t="s">
        <v>4854</v>
      </c>
      <c r="AD231" s="10">
        <v>3055</v>
      </c>
      <c r="AE231" s="91">
        <v>3.097</v>
      </c>
      <c r="AF231" s="91">
        <v>2.0830000000000002</v>
      </c>
      <c r="AG231" s="91">
        <v>3.0019999999999998</v>
      </c>
      <c r="AH231" s="91">
        <v>2.7160000000000002</v>
      </c>
      <c r="AI231" s="91">
        <v>2.1749999999999998</v>
      </c>
      <c r="AJ231" s="100" t="s">
        <v>4854</v>
      </c>
      <c r="AK231" s="100" t="s">
        <v>4854</v>
      </c>
      <c r="AL231" s="91">
        <v>2.4169999999999998</v>
      </c>
      <c r="AM231" s="95">
        <v>0.34439999999999998</v>
      </c>
      <c r="AN231" s="95">
        <v>0.63790000000000002</v>
      </c>
      <c r="AO231" s="95">
        <v>0.57450000000000001</v>
      </c>
      <c r="AP231" s="95">
        <v>0.41930000000000001</v>
      </c>
      <c r="AQ231" s="95">
        <v>0.57830000000000004</v>
      </c>
      <c r="AR231" s="103" t="s">
        <v>4854</v>
      </c>
      <c r="AS231" s="103" t="s">
        <v>4854</v>
      </c>
      <c r="AT231" s="95">
        <v>-0.38229999999999997</v>
      </c>
      <c r="AU231" s="95">
        <v>0.40300000000000002</v>
      </c>
      <c r="AV231" s="95">
        <v>0.186</v>
      </c>
      <c r="AW231" s="95">
        <v>0.38800000000000001</v>
      </c>
      <c r="AX231" s="95">
        <v>0.374</v>
      </c>
      <c r="AY231" s="95">
        <v>0.377</v>
      </c>
      <c r="AZ231" s="103" t="s">
        <v>4854</v>
      </c>
      <c r="BA231" s="103" t="s">
        <v>4854</v>
      </c>
      <c r="BB231" s="95">
        <v>0.36699999999999999</v>
      </c>
      <c r="BC231" s="10">
        <v>1</v>
      </c>
      <c r="BD231" s="10">
        <v>1</v>
      </c>
      <c r="BE231" s="10">
        <v>1</v>
      </c>
      <c r="BF231" s="10">
        <v>1</v>
      </c>
      <c r="BG231" s="10">
        <v>1</v>
      </c>
      <c r="BH231" s="4" t="s">
        <v>4854</v>
      </c>
      <c r="BI231" s="4" t="s">
        <v>4854</v>
      </c>
      <c r="BJ231" s="10">
        <v>1</v>
      </c>
      <c r="BK231" s="91">
        <v>1</v>
      </c>
      <c r="BL231" s="91">
        <v>0.99399999999999999</v>
      </c>
      <c r="BM231" s="91">
        <v>1</v>
      </c>
      <c r="BN231" s="91">
        <v>1</v>
      </c>
      <c r="BO231" s="91">
        <v>1</v>
      </c>
      <c r="BP231" s="100" t="s">
        <v>4854</v>
      </c>
      <c r="BQ231" s="100" t="s">
        <v>4854</v>
      </c>
      <c r="BR231" s="91">
        <v>1</v>
      </c>
      <c r="BS231" s="10" t="s">
        <v>4857</v>
      </c>
    </row>
    <row r="232" spans="1:71" s="30" customFormat="1" ht="17.100000000000001" customHeight="1">
      <c r="A232" s="10">
        <v>221</v>
      </c>
      <c r="B232" s="10" t="s">
        <v>4010</v>
      </c>
      <c r="C232" s="4" t="s">
        <v>3989</v>
      </c>
      <c r="D232" s="4" t="s">
        <v>4004</v>
      </c>
      <c r="E232" s="4" t="s">
        <v>4005</v>
      </c>
      <c r="F232" s="10" t="s">
        <v>4439</v>
      </c>
      <c r="G232" s="4" t="s">
        <v>4006</v>
      </c>
      <c r="H232" s="7" t="s">
        <v>4007</v>
      </c>
      <c r="I232" s="4" t="s">
        <v>4008</v>
      </c>
      <c r="J232" s="10" t="s">
        <v>4847</v>
      </c>
      <c r="K232" s="4" t="s">
        <v>5463</v>
      </c>
      <c r="L232" s="4" t="s">
        <v>4009</v>
      </c>
      <c r="M232" s="10">
        <v>2</v>
      </c>
      <c r="N232" s="95">
        <v>654.78549999999996</v>
      </c>
      <c r="O232" s="37" t="str">
        <f>HYPERLINK("http://ms.phosphosite.org:5080/cgi-bin/plot-msms.cgi?MassType=1&amp;NumAxis=1&amp;Mod4=170&amp;Mod8=160&amp;Pep=WDGKETNCTR&amp;Dta=/var/www/html/dta/S01/10558.2724.2.dta&amp;Global_Mod=CS57.0215", "2724")</f>
        <v>2724</v>
      </c>
      <c r="P232" s="38" t="s">
        <v>4854</v>
      </c>
      <c r="Q232" s="38" t="s">
        <v>4854</v>
      </c>
      <c r="R232" s="38" t="s">
        <v>4854</v>
      </c>
      <c r="S232" s="38" t="s">
        <v>4854</v>
      </c>
      <c r="T232" s="38" t="s">
        <v>4854</v>
      </c>
      <c r="U232" s="38" t="s">
        <v>4854</v>
      </c>
      <c r="V232" s="38" t="s">
        <v>4854</v>
      </c>
      <c r="W232" s="10">
        <v>2697</v>
      </c>
      <c r="X232" s="4" t="s">
        <v>4854</v>
      </c>
      <c r="Y232" s="4" t="s">
        <v>4854</v>
      </c>
      <c r="Z232" s="4" t="s">
        <v>4854</v>
      </c>
      <c r="AA232" s="4" t="s">
        <v>4854</v>
      </c>
      <c r="AB232" s="4" t="s">
        <v>4854</v>
      </c>
      <c r="AC232" s="4" t="s">
        <v>4854</v>
      </c>
      <c r="AD232" s="4" t="s">
        <v>4854</v>
      </c>
      <c r="AE232" s="91">
        <v>2.2999999999999998</v>
      </c>
      <c r="AF232" s="100" t="s">
        <v>4854</v>
      </c>
      <c r="AG232" s="100" t="s">
        <v>4854</v>
      </c>
      <c r="AH232" s="100" t="s">
        <v>4854</v>
      </c>
      <c r="AI232" s="100" t="s">
        <v>4854</v>
      </c>
      <c r="AJ232" s="100" t="s">
        <v>4854</v>
      </c>
      <c r="AK232" s="100" t="s">
        <v>4854</v>
      </c>
      <c r="AL232" s="100" t="s">
        <v>4854</v>
      </c>
      <c r="AM232" s="95">
        <v>0.31009999999999999</v>
      </c>
      <c r="AN232" s="103" t="s">
        <v>4854</v>
      </c>
      <c r="AO232" s="103" t="s">
        <v>4854</v>
      </c>
      <c r="AP232" s="103" t="s">
        <v>4854</v>
      </c>
      <c r="AQ232" s="103" t="s">
        <v>4854</v>
      </c>
      <c r="AR232" s="103" t="s">
        <v>4854</v>
      </c>
      <c r="AS232" s="103" t="s">
        <v>4854</v>
      </c>
      <c r="AT232" s="103" t="s">
        <v>4854</v>
      </c>
      <c r="AU232" s="95">
        <v>0.224</v>
      </c>
      <c r="AV232" s="103" t="s">
        <v>4854</v>
      </c>
      <c r="AW232" s="103" t="s">
        <v>4854</v>
      </c>
      <c r="AX232" s="103" t="s">
        <v>4854</v>
      </c>
      <c r="AY232" s="103" t="s">
        <v>4854</v>
      </c>
      <c r="AZ232" s="103" t="s">
        <v>4854</v>
      </c>
      <c r="BA232" s="103" t="s">
        <v>4854</v>
      </c>
      <c r="BB232" s="103" t="s">
        <v>4854</v>
      </c>
      <c r="BC232" s="10">
        <v>2</v>
      </c>
      <c r="BD232" s="4" t="s">
        <v>4854</v>
      </c>
      <c r="BE232" s="4" t="s">
        <v>4854</v>
      </c>
      <c r="BF232" s="4" t="s">
        <v>4854</v>
      </c>
      <c r="BG232" s="4" t="s">
        <v>4854</v>
      </c>
      <c r="BH232" s="4" t="s">
        <v>4854</v>
      </c>
      <c r="BI232" s="4" t="s">
        <v>4854</v>
      </c>
      <c r="BJ232" s="4" t="s">
        <v>4854</v>
      </c>
      <c r="BK232" s="91">
        <v>0.997</v>
      </c>
      <c r="BL232" s="100" t="s">
        <v>4854</v>
      </c>
      <c r="BM232" s="100" t="s">
        <v>4854</v>
      </c>
      <c r="BN232" s="100" t="s">
        <v>4854</v>
      </c>
      <c r="BO232" s="100" t="s">
        <v>4854</v>
      </c>
      <c r="BP232" s="100" t="s">
        <v>4854</v>
      </c>
      <c r="BQ232" s="100" t="s">
        <v>4854</v>
      </c>
      <c r="BR232" s="100" t="s">
        <v>4854</v>
      </c>
      <c r="BS232" s="10" t="s">
        <v>4857</v>
      </c>
    </row>
    <row r="233" spans="1:71" s="30" customFormat="1" ht="17.100000000000001" customHeight="1">
      <c r="A233" s="14">
        <v>222</v>
      </c>
      <c r="B233" s="5" t="s">
        <v>4011</v>
      </c>
      <c r="C233" s="3" t="s">
        <v>3989</v>
      </c>
      <c r="D233" s="3" t="s">
        <v>4004</v>
      </c>
      <c r="E233" s="3" t="s">
        <v>4005</v>
      </c>
      <c r="F233" s="5" t="s">
        <v>4796</v>
      </c>
      <c r="G233" s="3" t="s">
        <v>4006</v>
      </c>
      <c r="H233" s="6" t="s">
        <v>4007</v>
      </c>
      <c r="I233" s="3" t="s">
        <v>4008</v>
      </c>
      <c r="J233" s="5" t="s">
        <v>4847</v>
      </c>
      <c r="K233" s="3" t="s">
        <v>5464</v>
      </c>
      <c r="L233" s="3" t="s">
        <v>4012</v>
      </c>
      <c r="M233" s="5">
        <v>2</v>
      </c>
      <c r="N233" s="21">
        <v>949.0231</v>
      </c>
      <c r="O233" s="36" t="str">
        <f>HYPERLINK("http://ms.phosphosite.org:5080/cgi-bin/plot-msms.cgi?MassType=1&amp;NumAxis=1&amp;Mod7=170&amp;Pep=QVGNVTKPTVIISQEGGK&amp;Dta=/var/www/html/dta/S01/10558.7269.2.dta&amp;Global_Mod=CS57.0215", "7269")</f>
        <v>7269</v>
      </c>
      <c r="P233" s="36" t="str">
        <f>HYPERLINK("http://ms.phosphosite.org:5080/cgi-bin/plot-msms.cgi?MassType=1&amp;NumAxis=1&amp;Mod7=170&amp;Pep=QVGNVTKPTVIISQEGGK&amp;Dta=/var/www/html/dta/S01/10559.7269.2.dta&amp;Global_Mod=CS57.0215", "7269")</f>
        <v>7269</v>
      </c>
      <c r="Q233" s="36" t="str">
        <f>HYPERLINK("http://ms.phosphosite.org:5080/cgi-bin/plot-msms.cgi?MassType=1&amp;NumAxis=1&amp;Mod7=170&amp;Pep=QVGNVTKPTVIISQEGGK&amp;Dta=/var/www/html/dta/S01/10560.7259.2.dta&amp;Global_Mod=CS57.0215", "7259")</f>
        <v>7259</v>
      </c>
      <c r="R233" s="36" t="str">
        <f>HYPERLINK("http://ms.phosphosite.org:5080/cgi-bin/plot-msms.cgi?MassType=1&amp;NumAxis=1&amp;Mod7=170&amp;Pep=QVGNVTKPTVIISQEGGK&amp;Dta=/var/www/html/dta/S01/10561.7300.2.dta&amp;Global_Mod=CS57.0215", "7300")</f>
        <v>7300</v>
      </c>
      <c r="S233" s="36" t="str">
        <f>HYPERLINK("http://ms.phosphosite.org:5080/cgi-bin/plot-msms.cgi?MassType=1&amp;NumAxis=1&amp;Mod7=170&amp;Pep=QVGNVTKPTVIISQEGGK&amp;Dta=/var/www/html/dta/S01/10562.7422.2.dta&amp;Global_Mod=CS57.0215", "7422")</f>
        <v>7422</v>
      </c>
      <c r="T233" s="36" t="str">
        <f>HYPERLINK("http://ms.phosphosite.org:5080/cgi-bin/plot-msms.cgi?MassType=1&amp;NumAxis=1&amp;Mod7=170&amp;Pep=QVGNVTKPTVIISQEGGK&amp;Dta=/var/www/html/dta/S01/10563.7372.2.dta&amp;Global_Mod=CS57.0215", "7372")</f>
        <v>7372</v>
      </c>
      <c r="U233" s="36" t="str">
        <f>HYPERLINK("http://ms.phosphosite.org:5080/cgi-bin/plot-msms.cgi?MassType=1&amp;NumAxis=1&amp;Mod7=170&amp;Pep=QVGNVTKPTVIISQEGGK&amp;Dta=/var/www/html/dta/S01/10564.7700.2.dta&amp;Global_Mod=CS57.0215", "7700")</f>
        <v>7700</v>
      </c>
      <c r="V233" s="36" t="str">
        <f>HYPERLINK("http://ms.phosphosite.org:5080/cgi-bin/plot-msms.cgi?MassType=1&amp;NumAxis=1&amp;Mod7=170&amp;Pep=QVGNVTKPTVIISQEGGK&amp;Dta=/var/www/html/dta/S01/10565.7764.2.dta&amp;Global_Mod=CS57.0215", "7764")</f>
        <v>7764</v>
      </c>
      <c r="W233" s="5">
        <v>7292</v>
      </c>
      <c r="X233" s="5">
        <v>7295</v>
      </c>
      <c r="Y233" s="5">
        <v>7290</v>
      </c>
      <c r="Z233" s="5">
        <v>7317</v>
      </c>
      <c r="AA233" s="5">
        <v>7445</v>
      </c>
      <c r="AB233" s="5">
        <v>7388</v>
      </c>
      <c r="AC233" s="5">
        <v>7717</v>
      </c>
      <c r="AD233" s="5">
        <v>7769</v>
      </c>
      <c r="AE233" s="90">
        <v>3.2549999999999999</v>
      </c>
      <c r="AF233" s="90">
        <v>2.7829999999999999</v>
      </c>
      <c r="AG233" s="90">
        <v>3.008</v>
      </c>
      <c r="AH233" s="90">
        <v>3.1680000000000001</v>
      </c>
      <c r="AI233" s="90">
        <v>3.2919999999999998</v>
      </c>
      <c r="AJ233" s="90">
        <v>2.9929999999999999</v>
      </c>
      <c r="AK233" s="90">
        <v>2.996</v>
      </c>
      <c r="AL233" s="90">
        <v>3.9180000000000001</v>
      </c>
      <c r="AM233" s="21">
        <v>0.89319999999999999</v>
      </c>
      <c r="AN233" s="21">
        <v>0.88060000000000005</v>
      </c>
      <c r="AO233" s="21">
        <v>0.85</v>
      </c>
      <c r="AP233" s="21">
        <v>1.3939999999999999</v>
      </c>
      <c r="AQ233" s="21">
        <v>0.75409999999999999</v>
      </c>
      <c r="AR233" s="21">
        <v>0.94120000000000004</v>
      </c>
      <c r="AS233" s="21">
        <v>0.75719999999999998</v>
      </c>
      <c r="AT233" s="21">
        <v>0.27860000000000001</v>
      </c>
      <c r="AU233" s="21">
        <v>0.53200000000000003</v>
      </c>
      <c r="AV233" s="21">
        <v>0.47699999999999998</v>
      </c>
      <c r="AW233" s="21">
        <v>0.52200000000000002</v>
      </c>
      <c r="AX233" s="21">
        <v>0.59099999999999997</v>
      </c>
      <c r="AY233" s="21">
        <v>0.51900000000000002</v>
      </c>
      <c r="AZ233" s="21">
        <v>0.502</v>
      </c>
      <c r="BA233" s="21">
        <v>0.48299999999999998</v>
      </c>
      <c r="BB233" s="21">
        <v>0.53800000000000003</v>
      </c>
      <c r="BC233" s="5">
        <v>1</v>
      </c>
      <c r="BD233" s="5">
        <v>1</v>
      </c>
      <c r="BE233" s="5">
        <v>1</v>
      </c>
      <c r="BF233" s="5">
        <v>1</v>
      </c>
      <c r="BG233" s="5">
        <v>1</v>
      </c>
      <c r="BH233" s="5">
        <v>1</v>
      </c>
      <c r="BI233" s="5">
        <v>1</v>
      </c>
      <c r="BJ233" s="5">
        <v>1</v>
      </c>
      <c r="BK233" s="90">
        <v>1</v>
      </c>
      <c r="BL233" s="90">
        <v>1</v>
      </c>
      <c r="BM233" s="90">
        <v>1</v>
      </c>
      <c r="BN233" s="90">
        <v>1</v>
      </c>
      <c r="BO233" s="90">
        <v>1</v>
      </c>
      <c r="BP233" s="90">
        <v>1</v>
      </c>
      <c r="BQ233" s="90">
        <v>1</v>
      </c>
      <c r="BR233" s="90">
        <v>1</v>
      </c>
      <c r="BS233" s="5" t="s">
        <v>4857</v>
      </c>
    </row>
    <row r="234" spans="1:71" s="30" customFormat="1" ht="17.100000000000001" customHeight="1">
      <c r="A234" s="10">
        <v>223</v>
      </c>
      <c r="B234" s="10" t="s">
        <v>4013</v>
      </c>
      <c r="C234" s="4" t="s">
        <v>3989</v>
      </c>
      <c r="D234" s="4" t="s">
        <v>4014</v>
      </c>
      <c r="E234" s="4" t="s">
        <v>4015</v>
      </c>
      <c r="F234" s="10" t="s">
        <v>4016</v>
      </c>
      <c r="G234" s="4" t="s">
        <v>4017</v>
      </c>
      <c r="H234" s="7" t="s">
        <v>4018</v>
      </c>
      <c r="I234" s="4" t="s">
        <v>4019</v>
      </c>
      <c r="J234" s="10" t="s">
        <v>4464</v>
      </c>
      <c r="K234" s="4" t="s">
        <v>5465</v>
      </c>
      <c r="L234" s="4" t="s">
        <v>4020</v>
      </c>
      <c r="M234" s="10">
        <v>2</v>
      </c>
      <c r="N234" s="95">
        <v>770.8913</v>
      </c>
      <c r="O234" s="37" t="str">
        <f>HYPERLINK("http://ms.phosphosite.org:5080/cgi-bin/plot-msms.cgi?MassType=1&amp;NumAxis=1&amp;Mod10=170&amp;Pep=SISGAYVQNKEFR&amp;Dta=/var/www/html/dta/S01/10558.6374.2.dta&amp;Global_Mod=CS57.0215", "6374")</f>
        <v>6374</v>
      </c>
      <c r="P234" s="37" t="str">
        <f>HYPERLINK("http://ms.phosphosite.org:5080/cgi-bin/plot-msms.cgi?MassType=1&amp;NumAxis=1&amp;Mod10=170&amp;Pep=SISGAYVQNKEFR&amp;Dta=/var/www/html/dta/S01/10559.6309.2.dta&amp;Global_Mod=CS57.0215", "6309")</f>
        <v>6309</v>
      </c>
      <c r="Q234" s="37" t="str">
        <f>HYPERLINK("http://ms.phosphosite.org:5080/cgi-bin/plot-msms.cgi?MassType=1&amp;NumAxis=1&amp;Mod10=170&amp;Pep=SISGAYVQNKEFR&amp;Dta=/var/www/html/dta/S01/10560.6298.2.dta&amp;Global_Mod=CS57.0215", "6298")</f>
        <v>6298</v>
      </c>
      <c r="R234" s="37" t="str">
        <f>HYPERLINK("http://ms.phosphosite.org:5080/cgi-bin/plot-msms.cgi?MassType=1&amp;NumAxis=1&amp;Mod10=170&amp;Pep=SISGAYVQNKEFR&amp;Dta=/var/www/html/dta/S01/10561.6334.2.dta&amp;Global_Mod=CS57.0215", "6334")</f>
        <v>6334</v>
      </c>
      <c r="S234" s="37" t="str">
        <f>HYPERLINK("http://ms.phosphosite.org:5080/cgi-bin/plot-msms.cgi?MassType=1&amp;NumAxis=1&amp;Mod10=170&amp;Pep=SISGAYVQNKEFR&amp;Dta=/var/www/html/dta/S01/10562.6464.2.dta&amp;Global_Mod=CS57.0215", "6464")</f>
        <v>6464</v>
      </c>
      <c r="T234" s="37" t="str">
        <f>HYPERLINK("http://ms.phosphosite.org:5080/cgi-bin/plot-msms.cgi?MassType=1&amp;NumAxis=1&amp;Mod10=170&amp;Pep=SISGAYVQNKEFR&amp;Dta=/var/www/html/dta/S01/10563.6408.2.dta&amp;Global_Mod=CS57.0215", "6408")</f>
        <v>6408</v>
      </c>
      <c r="U234" s="37" t="str">
        <f>HYPERLINK("http://ms.phosphosite.org:5080/cgi-bin/plot-msms.cgi?MassType=1&amp;NumAxis=1&amp;Mod10=170&amp;Pep=SISGAYVQNKEFR&amp;Dta=/var/www/html/dta/S01/10564.6758.2.dta&amp;Global_Mod=CS57.0215", "6758")</f>
        <v>6758</v>
      </c>
      <c r="V234" s="37" t="str">
        <f>HYPERLINK("http://ms.phosphosite.org:5080/cgi-bin/plot-msms.cgi?MassType=1&amp;NumAxis=1&amp;Mod10=170&amp;Pep=SISGAYVQNKEFR&amp;Dta=/var/www/html/dta/S01/10565.6837.2.dta&amp;Global_Mod=CS57.0215", "6837")</f>
        <v>6837</v>
      </c>
      <c r="W234" s="10">
        <v>6391</v>
      </c>
      <c r="X234" s="10">
        <v>6327</v>
      </c>
      <c r="Y234" s="10">
        <v>6322</v>
      </c>
      <c r="Z234" s="10">
        <v>6349</v>
      </c>
      <c r="AA234" s="10">
        <v>6477</v>
      </c>
      <c r="AB234" s="10">
        <v>6409</v>
      </c>
      <c r="AC234" s="10">
        <v>6771</v>
      </c>
      <c r="AD234" s="10">
        <v>6856</v>
      </c>
      <c r="AE234" s="91">
        <v>3.4820000000000002</v>
      </c>
      <c r="AF234" s="91">
        <v>3.2309999999999999</v>
      </c>
      <c r="AG234" s="91">
        <v>3.2610000000000001</v>
      </c>
      <c r="AH234" s="91">
        <v>3.2160000000000002</v>
      </c>
      <c r="AI234" s="91">
        <v>3.5680000000000001</v>
      </c>
      <c r="AJ234" s="91">
        <v>2.9529999999999998</v>
      </c>
      <c r="AK234" s="91">
        <v>3.3610000000000002</v>
      </c>
      <c r="AL234" s="91">
        <v>3.0649999999999999</v>
      </c>
      <c r="AM234" s="95">
        <v>0.89459999999999995</v>
      </c>
      <c r="AN234" s="95">
        <v>0.4617</v>
      </c>
      <c r="AO234" s="95">
        <v>0.59150000000000003</v>
      </c>
      <c r="AP234" s="95">
        <v>0.64800000000000002</v>
      </c>
      <c r="AQ234" s="95">
        <v>0.1469</v>
      </c>
      <c r="AR234" s="95">
        <v>1.0588</v>
      </c>
      <c r="AS234" s="95">
        <v>0.20860000000000001</v>
      </c>
      <c r="AT234" s="95">
        <v>-0.2918</v>
      </c>
      <c r="AU234" s="95">
        <v>0.38800000000000001</v>
      </c>
      <c r="AV234" s="95">
        <v>0.316</v>
      </c>
      <c r="AW234" s="95">
        <v>0.35799999999999998</v>
      </c>
      <c r="AX234" s="95">
        <v>0.33700000000000002</v>
      </c>
      <c r="AY234" s="95">
        <v>0.375</v>
      </c>
      <c r="AZ234" s="95">
        <v>0.36799999999999999</v>
      </c>
      <c r="BA234" s="95">
        <v>0.34300000000000003</v>
      </c>
      <c r="BB234" s="95">
        <v>0.35199999999999998</v>
      </c>
      <c r="BC234" s="10">
        <v>1</v>
      </c>
      <c r="BD234" s="10">
        <v>1</v>
      </c>
      <c r="BE234" s="10">
        <v>1</v>
      </c>
      <c r="BF234" s="10">
        <v>1</v>
      </c>
      <c r="BG234" s="10">
        <v>1</v>
      </c>
      <c r="BH234" s="10">
        <v>1</v>
      </c>
      <c r="BI234" s="10">
        <v>1</v>
      </c>
      <c r="BJ234" s="10">
        <v>1</v>
      </c>
      <c r="BK234" s="91">
        <v>1</v>
      </c>
      <c r="BL234" s="91">
        <v>1</v>
      </c>
      <c r="BM234" s="91">
        <v>1</v>
      </c>
      <c r="BN234" s="91">
        <v>1</v>
      </c>
      <c r="BO234" s="91">
        <v>1</v>
      </c>
      <c r="BP234" s="91">
        <v>1</v>
      </c>
      <c r="BQ234" s="91">
        <v>1</v>
      </c>
      <c r="BR234" s="91">
        <v>1</v>
      </c>
      <c r="BS234" s="10" t="s">
        <v>4857</v>
      </c>
    </row>
    <row r="235" spans="1:71" s="30" customFormat="1" ht="17.100000000000001" customHeight="1">
      <c r="A235" s="14">
        <v>224</v>
      </c>
      <c r="B235" s="5" t="s">
        <v>4021</v>
      </c>
      <c r="C235" s="3" t="s">
        <v>3989</v>
      </c>
      <c r="D235" s="3" t="s">
        <v>4022</v>
      </c>
      <c r="E235" s="3" t="s">
        <v>4023</v>
      </c>
      <c r="F235" s="5" t="s">
        <v>4768</v>
      </c>
      <c r="G235" s="3" t="s">
        <v>4024</v>
      </c>
      <c r="H235" s="6" t="s">
        <v>4025</v>
      </c>
      <c r="I235" s="3" t="s">
        <v>4026</v>
      </c>
      <c r="J235" s="5" t="s">
        <v>4697</v>
      </c>
      <c r="K235" s="3" t="s">
        <v>5466</v>
      </c>
      <c r="L235" s="3" t="s">
        <v>3891</v>
      </c>
      <c r="M235" s="5">
        <v>3</v>
      </c>
      <c r="N235" s="21">
        <v>510.93759999999997</v>
      </c>
      <c r="O235" s="35" t="s">
        <v>4854</v>
      </c>
      <c r="P235" s="36" t="str">
        <f>HYPERLINK("http://ms.phosphosite.org:5080/cgi-bin/plot-msms.cgi?MassType=1&amp;NumAxis=1&amp;Mod14=170&amp;Pep=RPGSTSVGDKGSGKR&amp;Dta=/var/www/html/dta/S01/10559.8767.3.dta&amp;Global_Mod=CS57.0215", "8767")</f>
        <v>8767</v>
      </c>
      <c r="Q235" s="35" t="s">
        <v>4854</v>
      </c>
      <c r="R235" s="35" t="s">
        <v>4854</v>
      </c>
      <c r="S235" s="35" t="s">
        <v>4854</v>
      </c>
      <c r="T235" s="35" t="s">
        <v>4854</v>
      </c>
      <c r="U235" s="35" t="s">
        <v>4854</v>
      </c>
      <c r="V235" s="35" t="s">
        <v>4854</v>
      </c>
      <c r="W235" s="3" t="s">
        <v>4854</v>
      </c>
      <c r="X235" s="3" t="s">
        <v>4854</v>
      </c>
      <c r="Y235" s="3" t="s">
        <v>4854</v>
      </c>
      <c r="Z235" s="3" t="s">
        <v>4854</v>
      </c>
      <c r="AA235" s="3" t="s">
        <v>4854</v>
      </c>
      <c r="AB235" s="3" t="s">
        <v>4854</v>
      </c>
      <c r="AC235" s="3" t="s">
        <v>4854</v>
      </c>
      <c r="AD235" s="3" t="s">
        <v>4854</v>
      </c>
      <c r="AE235" s="99" t="s">
        <v>4854</v>
      </c>
      <c r="AF235" s="90">
        <v>1.6579999999999999</v>
      </c>
      <c r="AG235" s="99" t="s">
        <v>4854</v>
      </c>
      <c r="AH235" s="99" t="s">
        <v>4854</v>
      </c>
      <c r="AI235" s="99" t="s">
        <v>4854</v>
      </c>
      <c r="AJ235" s="99" t="s">
        <v>4854</v>
      </c>
      <c r="AK235" s="99" t="s">
        <v>4854</v>
      </c>
      <c r="AL235" s="99" t="s">
        <v>4854</v>
      </c>
      <c r="AM235" s="102" t="s">
        <v>4854</v>
      </c>
      <c r="AN235" s="21">
        <v>0.81110000000000004</v>
      </c>
      <c r="AO235" s="102" t="s">
        <v>4854</v>
      </c>
      <c r="AP235" s="102" t="s">
        <v>4854</v>
      </c>
      <c r="AQ235" s="102" t="s">
        <v>4854</v>
      </c>
      <c r="AR235" s="102" t="s">
        <v>4854</v>
      </c>
      <c r="AS235" s="102" t="s">
        <v>4854</v>
      </c>
      <c r="AT235" s="102" t="s">
        <v>4854</v>
      </c>
      <c r="AU235" s="102" t="s">
        <v>4854</v>
      </c>
      <c r="AV235" s="21">
        <v>0.109</v>
      </c>
      <c r="AW235" s="102" t="s">
        <v>4854</v>
      </c>
      <c r="AX235" s="102" t="s">
        <v>4854</v>
      </c>
      <c r="AY235" s="102" t="s">
        <v>4854</v>
      </c>
      <c r="AZ235" s="102" t="s">
        <v>4854</v>
      </c>
      <c r="BA235" s="102" t="s">
        <v>4854</v>
      </c>
      <c r="BB235" s="102" t="s">
        <v>4854</v>
      </c>
      <c r="BC235" s="3" t="s">
        <v>4854</v>
      </c>
      <c r="BD235" s="5">
        <v>3</v>
      </c>
      <c r="BE235" s="3" t="s">
        <v>4854</v>
      </c>
      <c r="BF235" s="3" t="s">
        <v>4854</v>
      </c>
      <c r="BG235" s="3" t="s">
        <v>4854</v>
      </c>
      <c r="BH235" s="3" t="s">
        <v>4854</v>
      </c>
      <c r="BI235" s="3" t="s">
        <v>4854</v>
      </c>
      <c r="BJ235" s="3" t="s">
        <v>4854</v>
      </c>
      <c r="BK235" s="99" t="s">
        <v>4854</v>
      </c>
      <c r="BL235" s="90">
        <v>0.94299999999999995</v>
      </c>
      <c r="BM235" s="99" t="s">
        <v>4854</v>
      </c>
      <c r="BN235" s="99" t="s">
        <v>4854</v>
      </c>
      <c r="BO235" s="99" t="s">
        <v>4854</v>
      </c>
      <c r="BP235" s="99" t="s">
        <v>4854</v>
      </c>
      <c r="BQ235" s="99" t="s">
        <v>4854</v>
      </c>
      <c r="BR235" s="99" t="s">
        <v>4854</v>
      </c>
      <c r="BS235" s="5" t="s">
        <v>4857</v>
      </c>
    </row>
    <row r="236" spans="1:71" s="30" customFormat="1" ht="17.100000000000001" customHeight="1">
      <c r="A236" s="10">
        <v>225</v>
      </c>
      <c r="B236" s="10" t="s">
        <v>3892</v>
      </c>
      <c r="C236" s="4" t="s">
        <v>3989</v>
      </c>
      <c r="D236" s="4" t="s">
        <v>3893</v>
      </c>
      <c r="E236" s="4" t="s">
        <v>3894</v>
      </c>
      <c r="F236" s="10" t="s">
        <v>5247</v>
      </c>
      <c r="G236" s="4" t="s">
        <v>3895</v>
      </c>
      <c r="H236" s="7" t="s">
        <v>3896</v>
      </c>
      <c r="I236" s="4" t="s">
        <v>3897</v>
      </c>
      <c r="J236" s="10" t="s">
        <v>4780</v>
      </c>
      <c r="K236" s="4" t="s">
        <v>5467</v>
      </c>
      <c r="L236" s="4" t="s">
        <v>3898</v>
      </c>
      <c r="M236" s="10">
        <v>2</v>
      </c>
      <c r="N236" s="95">
        <v>638.84839999999997</v>
      </c>
      <c r="O236" s="38" t="s">
        <v>4854</v>
      </c>
      <c r="P236" s="38" t="s">
        <v>4854</v>
      </c>
      <c r="Q236" s="37" t="str">
        <f>HYPERLINK("http://ms.phosphosite.org:5080/cgi-bin/plot-msms.cgi?MassType=1&amp;NumAxis=1&amp;Mod7=170&amp;Pep=LNLYELKEGR&amp;Dta=/var/www/html/dta/S01/10560.9151.2.dta&amp;Global_Mod=CS57.0215", "9151")</f>
        <v>9151</v>
      </c>
      <c r="R236" s="37" t="str">
        <f>HYPERLINK("http://ms.phosphosite.org:5080/cgi-bin/plot-msms.cgi?MassType=1&amp;NumAxis=1&amp;Mod7=170&amp;Pep=LNLYELKEGR&amp;Dta=/var/www/html/dta/S01/10561.9201.2.dta&amp;Global_Mod=CS57.0215", "9201")</f>
        <v>9201</v>
      </c>
      <c r="S236" s="38" t="s">
        <v>4854</v>
      </c>
      <c r="T236" s="38" t="s">
        <v>4854</v>
      </c>
      <c r="U236" s="37" t="str">
        <f>HYPERLINK("http://ms.phosphosite.org:5080/cgi-bin/plot-msms.cgi?MassType=1&amp;NumAxis=1&amp;Mod7=170&amp;Pep=LNLYELKEGR&amp;Dta=/var/www/html/dta/S01/10564.9800.2.dta&amp;Global_Mod=CS57.0215", "9800")</f>
        <v>9800</v>
      </c>
      <c r="V236" s="37" t="str">
        <f>HYPERLINK("http://ms.phosphosite.org:5080/cgi-bin/plot-msms.cgi?MassType=1&amp;NumAxis=1&amp;Mod7=170&amp;Pep=LNLYELKEGR&amp;Dta=/var/www/html/dta/S01/10565.9747.2.dta&amp;Global_Mod=CS57.0215", "9747")</f>
        <v>9747</v>
      </c>
      <c r="W236" s="4" t="s">
        <v>4854</v>
      </c>
      <c r="X236" s="4" t="s">
        <v>4854</v>
      </c>
      <c r="Y236" s="10">
        <v>9149</v>
      </c>
      <c r="Z236" s="10">
        <v>9198</v>
      </c>
      <c r="AA236" s="4" t="s">
        <v>4854</v>
      </c>
      <c r="AB236" s="4" t="s">
        <v>4854</v>
      </c>
      <c r="AC236" s="10">
        <v>9818</v>
      </c>
      <c r="AD236" s="10">
        <v>9771</v>
      </c>
      <c r="AE236" s="100" t="s">
        <v>4854</v>
      </c>
      <c r="AF236" s="100" t="s">
        <v>4854</v>
      </c>
      <c r="AG236" s="91">
        <v>2.9460000000000002</v>
      </c>
      <c r="AH236" s="91">
        <v>2.7450000000000001</v>
      </c>
      <c r="AI236" s="100" t="s">
        <v>4854</v>
      </c>
      <c r="AJ236" s="100" t="s">
        <v>4854</v>
      </c>
      <c r="AK236" s="91">
        <v>2.7810000000000001</v>
      </c>
      <c r="AL236" s="91">
        <v>2.82</v>
      </c>
      <c r="AM236" s="103" t="s">
        <v>4854</v>
      </c>
      <c r="AN236" s="103" t="s">
        <v>4854</v>
      </c>
      <c r="AO236" s="95">
        <v>0.32919999999999999</v>
      </c>
      <c r="AP236" s="95">
        <v>0.56179999999999997</v>
      </c>
      <c r="AQ236" s="103" t="s">
        <v>4854</v>
      </c>
      <c r="AR236" s="103" t="s">
        <v>4854</v>
      </c>
      <c r="AS236" s="95">
        <v>0.34799999999999998</v>
      </c>
      <c r="AT236" s="95">
        <v>-2.8999999999999998E-3</v>
      </c>
      <c r="AU236" s="103" t="s">
        <v>4854</v>
      </c>
      <c r="AV236" s="103" t="s">
        <v>4854</v>
      </c>
      <c r="AW236" s="95">
        <v>0.28399999999999997</v>
      </c>
      <c r="AX236" s="95">
        <v>0.26200000000000001</v>
      </c>
      <c r="AY236" s="103" t="s">
        <v>4854</v>
      </c>
      <c r="AZ236" s="103" t="s">
        <v>4854</v>
      </c>
      <c r="BA236" s="95">
        <v>0.27800000000000002</v>
      </c>
      <c r="BB236" s="95">
        <v>0.32600000000000001</v>
      </c>
      <c r="BC236" s="4" t="s">
        <v>4854</v>
      </c>
      <c r="BD236" s="4" t="s">
        <v>4854</v>
      </c>
      <c r="BE236" s="10">
        <v>1</v>
      </c>
      <c r="BF236" s="10">
        <v>1</v>
      </c>
      <c r="BG236" s="4" t="s">
        <v>4854</v>
      </c>
      <c r="BH236" s="4" t="s">
        <v>4854</v>
      </c>
      <c r="BI236" s="10">
        <v>1</v>
      </c>
      <c r="BJ236" s="10">
        <v>1</v>
      </c>
      <c r="BK236" s="100" t="s">
        <v>4854</v>
      </c>
      <c r="BL236" s="100" t="s">
        <v>4854</v>
      </c>
      <c r="BM236" s="91">
        <v>1</v>
      </c>
      <c r="BN236" s="91">
        <v>0.999</v>
      </c>
      <c r="BO236" s="100" t="s">
        <v>4854</v>
      </c>
      <c r="BP236" s="100" t="s">
        <v>4854</v>
      </c>
      <c r="BQ236" s="91">
        <v>1</v>
      </c>
      <c r="BR236" s="91">
        <v>1</v>
      </c>
      <c r="BS236" s="10" t="s">
        <v>4857</v>
      </c>
    </row>
    <row r="237" spans="1:71" s="30" customFormat="1" ht="17.100000000000001" customHeight="1">
      <c r="A237" s="14">
        <v>226</v>
      </c>
      <c r="B237" s="5" t="s">
        <v>3899</v>
      </c>
      <c r="C237" s="3" t="s">
        <v>3989</v>
      </c>
      <c r="D237" s="3" t="s">
        <v>3900</v>
      </c>
      <c r="E237" s="3" t="s">
        <v>3901</v>
      </c>
      <c r="F237" s="5" t="s">
        <v>5042</v>
      </c>
      <c r="G237" s="3" t="s">
        <v>3902</v>
      </c>
      <c r="H237" s="6" t="s">
        <v>3903</v>
      </c>
      <c r="I237" s="3" t="s">
        <v>3904</v>
      </c>
      <c r="J237" s="5" t="s">
        <v>4780</v>
      </c>
      <c r="K237" s="3" t="s">
        <v>5468</v>
      </c>
      <c r="L237" s="3" t="s">
        <v>3905</v>
      </c>
      <c r="M237" s="5">
        <v>2</v>
      </c>
      <c r="N237" s="21">
        <v>737.39340000000004</v>
      </c>
      <c r="O237" s="36" t="str">
        <f>HYPERLINK("http://ms.phosphosite.org:5080/cgi-bin/plot-msms.cgi?MassType=1&amp;NumAxis=1&amp;Mod11=170&amp;Pep=SVEAAAELSAKDLK&amp;Dta=/var/www/html/dta/S01/10558.7260.2.dta&amp;Global_Mod=CS57.0215", "7260")</f>
        <v>7260</v>
      </c>
      <c r="P237" s="36" t="str">
        <f>HYPERLINK("http://ms.phosphosite.org:5080/cgi-bin/plot-msms.cgi?MassType=1&amp;NumAxis=1&amp;Mod11=170&amp;Pep=SVEAAAELSAKDLK&amp;Dta=/var/www/html/dta/S01/10559.7241.2.dta&amp;Global_Mod=CS57.0215", "7241")</f>
        <v>7241</v>
      </c>
      <c r="Q237" s="36" t="str">
        <f>HYPERLINK("http://ms.phosphosite.org:5080/cgi-bin/plot-msms.cgi?MassType=1&amp;NumAxis=1&amp;Mod11=170&amp;Pep=SVEAAAELSAKDLK&amp;Dta=/var/www/html/dta/S01/10560.7151.2.dta&amp;Global_Mod=CS57.0215", "7151")</f>
        <v>7151</v>
      </c>
      <c r="R237" s="36" t="str">
        <f>HYPERLINK("http://ms.phosphosite.org:5080/cgi-bin/plot-msms.cgi?MassType=1&amp;NumAxis=1&amp;Mod11=170&amp;Pep=SVEAAAELSAKDLK&amp;Dta=/var/www/html/dta/S01/10561.7274.2.dta&amp;Global_Mod=CS57.0215", "7274")</f>
        <v>7274</v>
      </c>
      <c r="S237" s="36" t="str">
        <f>HYPERLINK("http://ms.phosphosite.org:5080/cgi-bin/plot-msms.cgi?MassType=1&amp;NumAxis=1&amp;Mod11=170&amp;Pep=SVEAAAELSAKDLK&amp;Dta=/var/www/html/dta/S01/10562.7303.2.dta&amp;Global_Mod=CS57.0215", "7303")</f>
        <v>7303</v>
      </c>
      <c r="T237" s="36" t="str">
        <f>HYPERLINK("http://ms.phosphosite.org:5080/cgi-bin/plot-msms.cgi?MassType=1&amp;NumAxis=1&amp;Mod11=170&amp;Pep=SVEAAAELSAKDLK&amp;Dta=/var/www/html/dta/S01/10563.7312.2.dta&amp;Global_Mod=CS57.0215", "7312")</f>
        <v>7312</v>
      </c>
      <c r="U237" s="36" t="str">
        <f>HYPERLINK("http://ms.phosphosite.org:5080/cgi-bin/plot-msms.cgi?MassType=1&amp;NumAxis=1&amp;Mod11=170&amp;Pep=SVEAAAELSAKDLK&amp;Dta=/var/www/html/dta/S01/10564.7866.2.dta&amp;Global_Mod=CS57.0215", "7866")</f>
        <v>7866</v>
      </c>
      <c r="V237" s="36" t="str">
        <f>HYPERLINK("http://ms.phosphosite.org:5080/cgi-bin/plot-msms.cgi?MassType=1&amp;NumAxis=1&amp;Mod11=170&amp;Pep=SVEAAAELSAKDLK&amp;Dta=/var/www/html/dta/S01/10565.7727.2.dta&amp;Global_Mod=CS57.0215", "7727")</f>
        <v>7727</v>
      </c>
      <c r="W237" s="5">
        <v>7248</v>
      </c>
      <c r="X237" s="5">
        <v>7207</v>
      </c>
      <c r="Y237" s="5">
        <v>7202</v>
      </c>
      <c r="Z237" s="5">
        <v>7240</v>
      </c>
      <c r="AA237" s="5">
        <v>7324</v>
      </c>
      <c r="AB237" s="5">
        <v>7311</v>
      </c>
      <c r="AC237" s="5">
        <v>7684</v>
      </c>
      <c r="AD237" s="5">
        <v>7758</v>
      </c>
      <c r="AE237" s="90">
        <v>3.59</v>
      </c>
      <c r="AF237" s="90">
        <v>3.8239999999999998</v>
      </c>
      <c r="AG237" s="90">
        <v>3.476</v>
      </c>
      <c r="AH237" s="90">
        <v>3.867</v>
      </c>
      <c r="AI237" s="90">
        <v>3.7770000000000001</v>
      </c>
      <c r="AJ237" s="90">
        <v>3.6259999999999999</v>
      </c>
      <c r="AK237" s="90">
        <v>3.879</v>
      </c>
      <c r="AL237" s="90">
        <v>4.5510000000000002</v>
      </c>
      <c r="AM237" s="21">
        <v>0.21110000000000001</v>
      </c>
      <c r="AN237" s="21">
        <v>0.24299999999999999</v>
      </c>
      <c r="AO237" s="21">
        <v>0.42820000000000003</v>
      </c>
      <c r="AP237" s="21">
        <v>0.40110000000000001</v>
      </c>
      <c r="AQ237" s="21">
        <v>4.4200000000000003E-2</v>
      </c>
      <c r="AR237" s="21">
        <v>0.1588</v>
      </c>
      <c r="AS237" s="21">
        <v>0.37530000000000002</v>
      </c>
      <c r="AT237" s="21">
        <v>-0.2341</v>
      </c>
      <c r="AU237" s="21">
        <v>0.246</v>
      </c>
      <c r="AV237" s="21">
        <v>0.249</v>
      </c>
      <c r="AW237" s="21">
        <v>0.223</v>
      </c>
      <c r="AX237" s="21">
        <v>0.254</v>
      </c>
      <c r="AY237" s="21">
        <v>0.26300000000000001</v>
      </c>
      <c r="AZ237" s="21">
        <v>0.253</v>
      </c>
      <c r="BA237" s="21">
        <v>0.22600000000000001</v>
      </c>
      <c r="BB237" s="21">
        <v>0.26900000000000002</v>
      </c>
      <c r="BC237" s="5">
        <v>1</v>
      </c>
      <c r="BD237" s="5">
        <v>1</v>
      </c>
      <c r="BE237" s="5">
        <v>1</v>
      </c>
      <c r="BF237" s="5">
        <v>1</v>
      </c>
      <c r="BG237" s="5">
        <v>1</v>
      </c>
      <c r="BH237" s="5">
        <v>1</v>
      </c>
      <c r="BI237" s="5">
        <v>1</v>
      </c>
      <c r="BJ237" s="5">
        <v>1</v>
      </c>
      <c r="BK237" s="90">
        <v>1</v>
      </c>
      <c r="BL237" s="90">
        <v>1</v>
      </c>
      <c r="BM237" s="90">
        <v>0.999</v>
      </c>
      <c r="BN237" s="90">
        <v>1</v>
      </c>
      <c r="BO237" s="90">
        <v>1</v>
      </c>
      <c r="BP237" s="90">
        <v>1</v>
      </c>
      <c r="BQ237" s="90">
        <v>1</v>
      </c>
      <c r="BR237" s="90">
        <v>1</v>
      </c>
      <c r="BS237" s="5" t="s">
        <v>4857</v>
      </c>
    </row>
    <row r="238" spans="1:71" s="30" customFormat="1" ht="17.100000000000001" customHeight="1">
      <c r="A238" s="14">
        <v>227</v>
      </c>
      <c r="B238" s="5" t="s">
        <v>3906</v>
      </c>
      <c r="C238" s="3" t="s">
        <v>3989</v>
      </c>
      <c r="D238" s="3" t="s">
        <v>3900</v>
      </c>
      <c r="E238" s="3" t="s">
        <v>3901</v>
      </c>
      <c r="F238" s="5" t="s">
        <v>5042</v>
      </c>
      <c r="G238" s="3" t="s">
        <v>3902</v>
      </c>
      <c r="H238" s="6" t="s">
        <v>3903</v>
      </c>
      <c r="I238" s="3" t="s">
        <v>3904</v>
      </c>
      <c r="J238" s="5" t="s">
        <v>4780</v>
      </c>
      <c r="K238" s="3" t="s">
        <v>5468</v>
      </c>
      <c r="L238" s="3" t="s">
        <v>3905</v>
      </c>
      <c r="M238" s="5">
        <v>2</v>
      </c>
      <c r="N238" s="21">
        <v>737.39340000000004</v>
      </c>
      <c r="O238" s="36" t="str">
        <f>HYPERLINK("http://ms.phosphosite.org:5080/cgi-bin/plot-msms.cgi?MassType=1&amp;NumAxis=1&amp;Mod11=170&amp;Pep=SVEAAAELSAKDLK&amp;Dta=/var/www/html/dta/S01/10558.7352.2.dta&amp;Global_Mod=CS57.0215", "7352")</f>
        <v>7352</v>
      </c>
      <c r="P238" s="36" t="str">
        <f>HYPERLINK("http://ms.phosphosite.org:5080/cgi-bin/plot-msms.cgi?MassType=1&amp;NumAxis=1&amp;Mod11=170&amp;Pep=SVEAAAELSAKDLK&amp;Dta=/var/www/html/dta/S01/10559.7153.2.dta&amp;Global_Mod=CS57.0215", "7153")</f>
        <v>7153</v>
      </c>
      <c r="Q238" s="36" t="str">
        <f>HYPERLINK("http://ms.phosphosite.org:5080/cgi-bin/plot-msms.cgi?MassType=1&amp;NumAxis=1&amp;Mod11=170&amp;Pep=SVEAAAELSAKDLK&amp;Dta=/var/www/html/dta/S01/10560.7248.2.dta&amp;Global_Mod=CS57.0215", "7248")</f>
        <v>7248</v>
      </c>
      <c r="R238" s="36" t="str">
        <f>HYPERLINK("http://ms.phosphosite.org:5080/cgi-bin/plot-msms.cgi?MassType=1&amp;NumAxis=1&amp;Mod11=170&amp;Pep=SVEAAAELSAKDLK&amp;Dta=/var/www/html/dta/S01/10561.7437.2.dta&amp;Global_Mod=CS57.0215", "7437")</f>
        <v>7437</v>
      </c>
      <c r="S238" s="36" t="str">
        <f>HYPERLINK("http://ms.phosphosite.org:5080/cgi-bin/plot-msms.cgi?MassType=1&amp;NumAxis=1&amp;Mod11=170&amp;Pep=SVEAAAELSAKDLK&amp;Dta=/var/www/html/dta/S01/10562.7406.2.dta&amp;Global_Mod=CS57.0215", "7406")</f>
        <v>7406</v>
      </c>
      <c r="T238" s="36" t="str">
        <f>HYPERLINK("http://ms.phosphosite.org:5080/cgi-bin/plot-msms.cgi?MassType=1&amp;NumAxis=1&amp;Mod11=170&amp;Pep=SVEAAAELSAKDLK&amp;Dta=/var/www/html/dta/S01/10563.7413.2.dta&amp;Global_Mod=CS57.0215", "7413")</f>
        <v>7413</v>
      </c>
      <c r="U238" s="36" t="str">
        <f>HYPERLINK("http://ms.phosphosite.org:5080/cgi-bin/plot-msms.cgi?MassType=1&amp;NumAxis=1&amp;Mod11=170&amp;Pep=SVEAAAELSAKDLK&amp;Dta=/var/www/html/dta/S01/10564.7663.2.dta&amp;Global_Mod=CS57.0215", "7663")</f>
        <v>7663</v>
      </c>
      <c r="V238" s="36" t="str">
        <f>HYPERLINK("http://ms.phosphosite.org:5080/cgi-bin/plot-msms.cgi?MassType=1&amp;NumAxis=1&amp;Mod11=170&amp;Pep=SVEAAAELSAKDLK&amp;Dta=/var/www/html/dta/S01/10565.7826.2.dta&amp;Global_Mod=CS57.0215", "7826")</f>
        <v>7826</v>
      </c>
      <c r="W238" s="5">
        <v>7248</v>
      </c>
      <c r="X238" s="5">
        <v>7207</v>
      </c>
      <c r="Y238" s="5">
        <v>7202</v>
      </c>
      <c r="Z238" s="5">
        <v>7240</v>
      </c>
      <c r="AA238" s="5">
        <v>7324</v>
      </c>
      <c r="AB238" s="5">
        <v>7311</v>
      </c>
      <c r="AC238" s="5">
        <v>7684</v>
      </c>
      <c r="AD238" s="5">
        <v>7758</v>
      </c>
      <c r="AE238" s="90">
        <v>3.1440000000000001</v>
      </c>
      <c r="AF238" s="90">
        <v>3.3889999999999998</v>
      </c>
      <c r="AG238" s="90">
        <v>3.3820000000000001</v>
      </c>
      <c r="AH238" s="90">
        <v>3.056</v>
      </c>
      <c r="AI238" s="90">
        <v>3.3929999999999998</v>
      </c>
      <c r="AJ238" s="90">
        <v>2.8620000000000001</v>
      </c>
      <c r="AK238" s="90">
        <v>3.754</v>
      </c>
      <c r="AL238" s="90">
        <v>3.5350000000000001</v>
      </c>
      <c r="AM238" s="21">
        <v>0.25790000000000002</v>
      </c>
      <c r="AN238" s="21">
        <v>0.224</v>
      </c>
      <c r="AO238" s="21">
        <v>0.43359999999999999</v>
      </c>
      <c r="AP238" s="21">
        <v>0.40310000000000001</v>
      </c>
      <c r="AQ238" s="21">
        <v>6.5199999999999994E-2</v>
      </c>
      <c r="AR238" s="21">
        <v>0.22939999999999999</v>
      </c>
      <c r="AS238" s="21">
        <v>0.114</v>
      </c>
      <c r="AT238" s="21">
        <v>-0.18590000000000001</v>
      </c>
      <c r="AU238" s="21">
        <v>0.249</v>
      </c>
      <c r="AV238" s="21">
        <v>0.2</v>
      </c>
      <c r="AW238" s="21">
        <v>0.20899999999999999</v>
      </c>
      <c r="AX238" s="21">
        <v>0.14299999999999999</v>
      </c>
      <c r="AY238" s="21">
        <v>0.20799999999999999</v>
      </c>
      <c r="AZ238" s="21">
        <v>0.14299999999999999</v>
      </c>
      <c r="BA238" s="21">
        <v>0.29499999999999998</v>
      </c>
      <c r="BB238" s="21">
        <v>0.217</v>
      </c>
      <c r="BC238" s="5">
        <v>1</v>
      </c>
      <c r="BD238" s="5">
        <v>1</v>
      </c>
      <c r="BE238" s="5">
        <v>1</v>
      </c>
      <c r="BF238" s="5">
        <v>2</v>
      </c>
      <c r="BG238" s="5">
        <v>1</v>
      </c>
      <c r="BH238" s="5">
        <v>1</v>
      </c>
      <c r="BI238" s="5">
        <v>1</v>
      </c>
      <c r="BJ238" s="5">
        <v>1</v>
      </c>
      <c r="BK238" s="90">
        <v>0.999</v>
      </c>
      <c r="BL238" s="90">
        <v>0.999</v>
      </c>
      <c r="BM238" s="90">
        <v>0.999</v>
      </c>
      <c r="BN238" s="90">
        <v>0.997</v>
      </c>
      <c r="BO238" s="90">
        <v>0.999</v>
      </c>
      <c r="BP238" s="90">
        <v>0.997</v>
      </c>
      <c r="BQ238" s="90">
        <v>1</v>
      </c>
      <c r="BR238" s="90">
        <v>0.999</v>
      </c>
      <c r="BS238" s="5" t="s">
        <v>4857</v>
      </c>
    </row>
    <row r="239" spans="1:71" s="30" customFormat="1" ht="17.100000000000001" customHeight="1">
      <c r="A239" s="14">
        <v>228</v>
      </c>
      <c r="B239" s="5" t="s">
        <v>3907</v>
      </c>
      <c r="C239" s="3" t="s">
        <v>3989</v>
      </c>
      <c r="D239" s="3" t="s">
        <v>3900</v>
      </c>
      <c r="E239" s="3" t="s">
        <v>3901</v>
      </c>
      <c r="F239" s="5" t="s">
        <v>5042</v>
      </c>
      <c r="G239" s="3" t="s">
        <v>3902</v>
      </c>
      <c r="H239" s="6" t="s">
        <v>3903</v>
      </c>
      <c r="I239" s="3" t="s">
        <v>3904</v>
      </c>
      <c r="J239" s="5" t="s">
        <v>4780</v>
      </c>
      <c r="K239" s="3" t="s">
        <v>5468</v>
      </c>
      <c r="L239" s="3" t="s">
        <v>3905</v>
      </c>
      <c r="M239" s="5">
        <v>2</v>
      </c>
      <c r="N239" s="21">
        <v>737.39340000000004</v>
      </c>
      <c r="O239" s="36" t="str">
        <f>HYPERLINK("http://ms.phosphosite.org:5080/cgi-bin/plot-msms.cgi?MassType=1&amp;NumAxis=1&amp;Mod11=170&amp;Pep=SVEAAAELSAKDLK&amp;Dta=/var/www/html/dta/S01/10558.7610.2.dta&amp;Global_Mod=CS57.0215", "7610")</f>
        <v>7610</v>
      </c>
      <c r="P239" s="36" t="str">
        <f>HYPERLINK("http://ms.phosphosite.org:5080/cgi-bin/plot-msms.cgi?MassType=1&amp;NumAxis=1&amp;Mod11=170&amp;Pep=SVEAAAELSAKDLK&amp;Dta=/var/www/html/dta/S01/10559.7360.2.dta&amp;Global_Mod=CS57.0215", "7360")</f>
        <v>7360</v>
      </c>
      <c r="Q239" s="35" t="s">
        <v>4854</v>
      </c>
      <c r="R239" s="35" t="s">
        <v>4854</v>
      </c>
      <c r="S239" s="36" t="str">
        <f>HYPERLINK("http://ms.phosphosite.org:5080/cgi-bin/plot-msms.cgi?MassType=1&amp;NumAxis=1&amp;Mod11=170&amp;Pep=SVEAAAELSAKDLK&amp;Dta=/var/www/html/dta/S01/10562.7510.2.dta&amp;Global_Mod=CS57.0215", "7510")</f>
        <v>7510</v>
      </c>
      <c r="T239" s="35" t="s">
        <v>4854</v>
      </c>
      <c r="U239" s="36" t="str">
        <f>HYPERLINK("http://ms.phosphosite.org:5080/cgi-bin/plot-msms.cgi?MassType=1&amp;NumAxis=1&amp;Mod11=170&amp;Pep=SVEAAAELSAKDLK&amp;Dta=/var/www/html/dta/S01/10564.7763.2.dta&amp;Global_Mod=CS57.0215", "7763")</f>
        <v>7763</v>
      </c>
      <c r="V239" s="36" t="str">
        <f>HYPERLINK("http://ms.phosphosite.org:5080/cgi-bin/plot-msms.cgi?MassType=1&amp;NumAxis=1&amp;Mod11=170&amp;Pep=SVEAAAELSAKDLK&amp;Dta=/var/www/html/dta/S01/10565.7964.2.dta&amp;Global_Mod=CS57.0215", "7964")</f>
        <v>7964</v>
      </c>
      <c r="W239" s="5">
        <v>7248</v>
      </c>
      <c r="X239" s="5">
        <v>7207</v>
      </c>
      <c r="Y239" s="3" t="s">
        <v>4854</v>
      </c>
      <c r="Z239" s="3" t="s">
        <v>4854</v>
      </c>
      <c r="AA239" s="5">
        <v>7324</v>
      </c>
      <c r="AB239" s="3" t="s">
        <v>4854</v>
      </c>
      <c r="AC239" s="5">
        <v>7684</v>
      </c>
      <c r="AD239" s="5">
        <v>7758</v>
      </c>
      <c r="AE239" s="90">
        <v>2.7320000000000002</v>
      </c>
      <c r="AF239" s="90">
        <v>3.08</v>
      </c>
      <c r="AG239" s="99" t="s">
        <v>4854</v>
      </c>
      <c r="AH239" s="99" t="s">
        <v>4854</v>
      </c>
      <c r="AI239" s="90">
        <v>2.754</v>
      </c>
      <c r="AJ239" s="99" t="s">
        <v>4854</v>
      </c>
      <c r="AK239" s="90">
        <v>3.4870000000000001</v>
      </c>
      <c r="AL239" s="90">
        <v>3.0030000000000001</v>
      </c>
      <c r="AM239" s="21">
        <v>1.2037</v>
      </c>
      <c r="AN239" s="21">
        <v>0.2273</v>
      </c>
      <c r="AO239" s="102" t="s">
        <v>4854</v>
      </c>
      <c r="AP239" s="102" t="s">
        <v>4854</v>
      </c>
      <c r="AQ239" s="21">
        <v>0.3508</v>
      </c>
      <c r="AR239" s="102" t="s">
        <v>4854</v>
      </c>
      <c r="AS239" s="21">
        <v>0.1527</v>
      </c>
      <c r="AT239" s="21">
        <v>0.19950000000000001</v>
      </c>
      <c r="AU239" s="21">
        <v>0.14099999999999999</v>
      </c>
      <c r="AV239" s="21">
        <v>0.20799999999999999</v>
      </c>
      <c r="AW239" s="102" t="s">
        <v>4854</v>
      </c>
      <c r="AX239" s="102" t="s">
        <v>4854</v>
      </c>
      <c r="AY239" s="21">
        <v>0.20899999999999999</v>
      </c>
      <c r="AZ239" s="102" t="s">
        <v>4854</v>
      </c>
      <c r="BA239" s="21">
        <v>0.224</v>
      </c>
      <c r="BB239" s="21">
        <v>0.186</v>
      </c>
      <c r="BC239" s="5">
        <v>1</v>
      </c>
      <c r="BD239" s="5">
        <v>1</v>
      </c>
      <c r="BE239" s="3" t="s">
        <v>4854</v>
      </c>
      <c r="BF239" s="3" t="s">
        <v>4854</v>
      </c>
      <c r="BG239" s="5">
        <v>1</v>
      </c>
      <c r="BH239" s="3" t="s">
        <v>4854</v>
      </c>
      <c r="BI239" s="5">
        <v>1</v>
      </c>
      <c r="BJ239" s="5">
        <v>1</v>
      </c>
      <c r="BK239" s="90">
        <v>0.996</v>
      </c>
      <c r="BL239" s="90">
        <v>0.999</v>
      </c>
      <c r="BM239" s="99" t="s">
        <v>4854</v>
      </c>
      <c r="BN239" s="99" t="s">
        <v>4854</v>
      </c>
      <c r="BO239" s="90">
        <v>0.998</v>
      </c>
      <c r="BP239" s="99" t="s">
        <v>4854</v>
      </c>
      <c r="BQ239" s="90">
        <v>0.999</v>
      </c>
      <c r="BR239" s="90">
        <v>0.998</v>
      </c>
      <c r="BS239" s="5" t="s">
        <v>4857</v>
      </c>
    </row>
    <row r="240" spans="1:71" s="30" customFormat="1" ht="17.100000000000001" customHeight="1">
      <c r="A240" s="14">
        <v>229</v>
      </c>
      <c r="B240" s="5" t="s">
        <v>3908</v>
      </c>
      <c r="C240" s="3" t="s">
        <v>3989</v>
      </c>
      <c r="D240" s="3" t="s">
        <v>3900</v>
      </c>
      <c r="E240" s="3" t="s">
        <v>3901</v>
      </c>
      <c r="F240" s="5" t="s">
        <v>5042</v>
      </c>
      <c r="G240" s="3" t="s">
        <v>3902</v>
      </c>
      <c r="H240" s="6" t="s">
        <v>3903</v>
      </c>
      <c r="I240" s="3" t="s">
        <v>3904</v>
      </c>
      <c r="J240" s="5" t="s">
        <v>4780</v>
      </c>
      <c r="K240" s="3" t="s">
        <v>5468</v>
      </c>
      <c r="L240" s="3" t="s">
        <v>3905</v>
      </c>
      <c r="M240" s="5">
        <v>3</v>
      </c>
      <c r="N240" s="21">
        <v>491.9314</v>
      </c>
      <c r="O240" s="36" t="str">
        <f>HYPERLINK("http://ms.phosphosite.org:5080/cgi-bin/plot-msms.cgi?MassType=1&amp;NumAxis=1&amp;Mod11=170&amp;Pep=SVEAAAELSAKDLK&amp;Dta=/var/www/html/dta/S01/10558.7228.3.dta&amp;Global_Mod=CS57.0215", "7228")</f>
        <v>7228</v>
      </c>
      <c r="P240" s="36" t="str">
        <f>HYPERLINK("http://ms.phosphosite.org:5080/cgi-bin/plot-msms.cgi?MassType=1&amp;NumAxis=1&amp;Mod11=170&amp;Pep=SVEAAAELSAKDLK&amp;Dta=/var/www/html/dta/S01/10559.7176.3.dta&amp;Global_Mod=CS57.0215", "7176")</f>
        <v>7176</v>
      </c>
      <c r="Q240" s="36" t="str">
        <f>HYPERLINK("http://ms.phosphosite.org:5080/cgi-bin/plot-msms.cgi?MassType=1&amp;NumAxis=1&amp;Mod11=170&amp;Pep=SVEAAAELSAKDLK&amp;Dta=/var/www/html/dta/S01/10560.7171.3.dta&amp;Global_Mod=CS57.0215", "7171")</f>
        <v>7171</v>
      </c>
      <c r="R240" s="36" t="str">
        <f>HYPERLINK("http://ms.phosphosite.org:5080/cgi-bin/plot-msms.cgi?MassType=1&amp;NumAxis=1&amp;Mod11=170&amp;Pep=SVEAAAELSAKDLK&amp;Dta=/var/www/html/dta/S01/10561.7220.3.dta&amp;Global_Mod=CS57.0215", "7220")</f>
        <v>7220</v>
      </c>
      <c r="S240" s="36" t="str">
        <f>HYPERLINK("http://ms.phosphosite.org:5080/cgi-bin/plot-msms.cgi?MassType=1&amp;NumAxis=1&amp;Mod11=170&amp;Pep=SVEAAAELSAKDLK&amp;Dta=/var/www/html/dta/S01/10562.7314.3.dta&amp;Global_Mod=CS57.0215", "7314")</f>
        <v>7314</v>
      </c>
      <c r="T240" s="35" t="s">
        <v>4854</v>
      </c>
      <c r="U240" s="36" t="str">
        <f>HYPERLINK("http://ms.phosphosite.org:5080/cgi-bin/plot-msms.cgi?MassType=1&amp;NumAxis=1&amp;Mod11=170&amp;Pep=SVEAAAELSAKDLK&amp;Dta=/var/www/html/dta/S01/10564.7654.3.dta&amp;Global_Mod=CS57.0215", "7654")</f>
        <v>7654</v>
      </c>
      <c r="V240" s="35" t="s">
        <v>4854</v>
      </c>
      <c r="W240" s="5">
        <v>7248</v>
      </c>
      <c r="X240" s="5">
        <v>7218</v>
      </c>
      <c r="Y240" s="5">
        <v>7202</v>
      </c>
      <c r="Z240" s="5">
        <v>7240</v>
      </c>
      <c r="AA240" s="5">
        <v>7335</v>
      </c>
      <c r="AB240" s="3" t="s">
        <v>4854</v>
      </c>
      <c r="AC240" s="5">
        <v>7684</v>
      </c>
      <c r="AD240" s="3" t="s">
        <v>4854</v>
      </c>
      <c r="AE240" s="90">
        <v>3.2839999999999998</v>
      </c>
      <c r="AF240" s="90">
        <v>4.4539999999999997</v>
      </c>
      <c r="AG240" s="90">
        <v>4.2220000000000004</v>
      </c>
      <c r="AH240" s="90">
        <v>3.9430000000000001</v>
      </c>
      <c r="AI240" s="90">
        <v>4.0060000000000002</v>
      </c>
      <c r="AJ240" s="99" t="s">
        <v>4854</v>
      </c>
      <c r="AK240" s="90">
        <v>3.02</v>
      </c>
      <c r="AL240" s="99" t="s">
        <v>4854</v>
      </c>
      <c r="AM240" s="21">
        <v>0.22670000000000001</v>
      </c>
      <c r="AN240" s="21">
        <v>0.1459</v>
      </c>
      <c r="AO240" s="21">
        <v>0.50560000000000005</v>
      </c>
      <c r="AP240" s="21">
        <v>0.45469999999999999</v>
      </c>
      <c r="AQ240" s="21">
        <v>0.11609999999999999</v>
      </c>
      <c r="AR240" s="102" t="s">
        <v>4854</v>
      </c>
      <c r="AS240" s="21">
        <v>0.2117</v>
      </c>
      <c r="AT240" s="102" t="s">
        <v>4854</v>
      </c>
      <c r="AU240" s="21">
        <v>0.16700000000000001</v>
      </c>
      <c r="AV240" s="21">
        <v>0.23799999999999999</v>
      </c>
      <c r="AW240" s="21">
        <v>0.21099999999999999</v>
      </c>
      <c r="AX240" s="21">
        <v>0.159</v>
      </c>
      <c r="AY240" s="21">
        <v>0.25900000000000001</v>
      </c>
      <c r="AZ240" s="102" t="s">
        <v>4854</v>
      </c>
      <c r="BA240" s="21">
        <v>6.8000000000000005E-2</v>
      </c>
      <c r="BB240" s="102" t="s">
        <v>4854</v>
      </c>
      <c r="BC240" s="5">
        <v>1</v>
      </c>
      <c r="BD240" s="5">
        <v>2</v>
      </c>
      <c r="BE240" s="5">
        <v>1</v>
      </c>
      <c r="BF240" s="5">
        <v>1</v>
      </c>
      <c r="BG240" s="5">
        <v>1</v>
      </c>
      <c r="BH240" s="3" t="s">
        <v>4854</v>
      </c>
      <c r="BI240" s="5">
        <v>1</v>
      </c>
      <c r="BJ240" s="3" t="s">
        <v>4854</v>
      </c>
      <c r="BK240" s="90">
        <v>0.999</v>
      </c>
      <c r="BL240" s="90">
        <v>1</v>
      </c>
      <c r="BM240" s="90">
        <v>1</v>
      </c>
      <c r="BN240" s="90">
        <v>0.999</v>
      </c>
      <c r="BO240" s="90">
        <v>1</v>
      </c>
      <c r="BP240" s="99" t="s">
        <v>4854</v>
      </c>
      <c r="BQ240" s="90">
        <v>0.99099999999999999</v>
      </c>
      <c r="BR240" s="99" t="s">
        <v>4854</v>
      </c>
      <c r="BS240" s="5" t="s">
        <v>4857</v>
      </c>
    </row>
    <row r="241" spans="1:71" s="30" customFormat="1" ht="17.100000000000001" customHeight="1">
      <c r="A241" s="10">
        <v>230</v>
      </c>
      <c r="B241" s="10" t="s">
        <v>3909</v>
      </c>
      <c r="C241" s="4" t="s">
        <v>3989</v>
      </c>
      <c r="D241" s="4" t="s">
        <v>3900</v>
      </c>
      <c r="E241" s="4" t="s">
        <v>3901</v>
      </c>
      <c r="F241" s="10" t="s">
        <v>4305</v>
      </c>
      <c r="G241" s="4" t="s">
        <v>3902</v>
      </c>
      <c r="H241" s="7" t="s">
        <v>3903</v>
      </c>
      <c r="I241" s="4" t="s">
        <v>3904</v>
      </c>
      <c r="J241" s="10" t="s">
        <v>4780</v>
      </c>
      <c r="K241" s="4" t="s">
        <v>5469</v>
      </c>
      <c r="L241" s="4" t="s">
        <v>3910</v>
      </c>
      <c r="M241" s="10">
        <v>3</v>
      </c>
      <c r="N241" s="95">
        <v>491.9314</v>
      </c>
      <c r="O241" s="38" t="s">
        <v>4854</v>
      </c>
      <c r="P241" s="38" t="s">
        <v>4854</v>
      </c>
      <c r="Q241" s="38" t="s">
        <v>4854</v>
      </c>
      <c r="R241" s="38" t="s">
        <v>4854</v>
      </c>
      <c r="S241" s="38" t="s">
        <v>4854</v>
      </c>
      <c r="T241" s="37" t="str">
        <f>HYPERLINK("http://ms.phosphosite.org:5080/cgi-bin/plot-msms.cgi?MassType=1&amp;NumAxis=1&amp;Mod14=170&amp;Pep=SVEAAAELSAKDLK&amp;Dta=/var/www/html/dta/S01/10563.7279.3.dta&amp;Global_Mod=CS57.0215", "7279")</f>
        <v>7279</v>
      </c>
      <c r="U241" s="38" t="s">
        <v>4854</v>
      </c>
      <c r="V241" s="38" t="s">
        <v>4854</v>
      </c>
      <c r="W241" s="4" t="s">
        <v>4854</v>
      </c>
      <c r="X241" s="4" t="s">
        <v>4854</v>
      </c>
      <c r="Y241" s="4" t="s">
        <v>4854</v>
      </c>
      <c r="Z241" s="4" t="s">
        <v>4854</v>
      </c>
      <c r="AA241" s="4" t="s">
        <v>4854</v>
      </c>
      <c r="AB241" s="10">
        <v>7311</v>
      </c>
      <c r="AC241" s="4" t="s">
        <v>4854</v>
      </c>
      <c r="AD241" s="4" t="s">
        <v>4854</v>
      </c>
      <c r="AE241" s="100" t="s">
        <v>4854</v>
      </c>
      <c r="AF241" s="100" t="s">
        <v>4854</v>
      </c>
      <c r="AG241" s="100" t="s">
        <v>4854</v>
      </c>
      <c r="AH241" s="100" t="s">
        <v>4854</v>
      </c>
      <c r="AI241" s="100" t="s">
        <v>4854</v>
      </c>
      <c r="AJ241" s="91">
        <v>2.9460000000000002</v>
      </c>
      <c r="AK241" s="100" t="s">
        <v>4854</v>
      </c>
      <c r="AL241" s="100" t="s">
        <v>4854</v>
      </c>
      <c r="AM241" s="103" t="s">
        <v>4854</v>
      </c>
      <c r="AN241" s="103" t="s">
        <v>4854</v>
      </c>
      <c r="AO241" s="103" t="s">
        <v>4854</v>
      </c>
      <c r="AP241" s="103" t="s">
        <v>4854</v>
      </c>
      <c r="AQ241" s="103" t="s">
        <v>4854</v>
      </c>
      <c r="AR241" s="95">
        <v>0.27689999999999998</v>
      </c>
      <c r="AS241" s="103" t="s">
        <v>4854</v>
      </c>
      <c r="AT241" s="103" t="s">
        <v>4854</v>
      </c>
      <c r="AU241" s="103" t="s">
        <v>4854</v>
      </c>
      <c r="AV241" s="103" t="s">
        <v>4854</v>
      </c>
      <c r="AW241" s="103" t="s">
        <v>4854</v>
      </c>
      <c r="AX241" s="103" t="s">
        <v>4854</v>
      </c>
      <c r="AY241" s="103" t="s">
        <v>4854</v>
      </c>
      <c r="AZ241" s="95">
        <v>0.11799999999999999</v>
      </c>
      <c r="BA241" s="103" t="s">
        <v>4854</v>
      </c>
      <c r="BB241" s="103" t="s">
        <v>4854</v>
      </c>
      <c r="BC241" s="4" t="s">
        <v>4854</v>
      </c>
      <c r="BD241" s="4" t="s">
        <v>4854</v>
      </c>
      <c r="BE241" s="4" t="s">
        <v>4854</v>
      </c>
      <c r="BF241" s="4" t="s">
        <v>4854</v>
      </c>
      <c r="BG241" s="4" t="s">
        <v>4854</v>
      </c>
      <c r="BH241" s="10">
        <v>4</v>
      </c>
      <c r="BI241" s="4" t="s">
        <v>4854</v>
      </c>
      <c r="BJ241" s="4" t="s">
        <v>4854</v>
      </c>
      <c r="BK241" s="100" t="s">
        <v>4854</v>
      </c>
      <c r="BL241" s="100" t="s">
        <v>4854</v>
      </c>
      <c r="BM241" s="100" t="s">
        <v>4854</v>
      </c>
      <c r="BN241" s="100" t="s">
        <v>4854</v>
      </c>
      <c r="BO241" s="100" t="s">
        <v>4854</v>
      </c>
      <c r="BP241" s="91">
        <v>0.99299999999999999</v>
      </c>
      <c r="BQ241" s="100" t="s">
        <v>4854</v>
      </c>
      <c r="BR241" s="100" t="s">
        <v>4854</v>
      </c>
      <c r="BS241" s="10" t="s">
        <v>4857</v>
      </c>
    </row>
    <row r="242" spans="1:71" s="30" customFormat="1" ht="17.100000000000001" customHeight="1">
      <c r="A242" s="14">
        <v>231</v>
      </c>
      <c r="B242" s="5" t="s">
        <v>4349</v>
      </c>
      <c r="C242" s="3" t="s">
        <v>3989</v>
      </c>
      <c r="D242" s="3" t="s">
        <v>3911</v>
      </c>
      <c r="E242" s="6" t="s">
        <v>3912</v>
      </c>
      <c r="F242" s="5" t="s">
        <v>5304</v>
      </c>
      <c r="G242" s="3" t="s">
        <v>3913</v>
      </c>
      <c r="H242" s="6" t="s">
        <v>3914</v>
      </c>
      <c r="I242" s="3" t="s">
        <v>3915</v>
      </c>
      <c r="J242" s="5" t="s">
        <v>4658</v>
      </c>
      <c r="K242" s="3" t="s">
        <v>5470</v>
      </c>
      <c r="L242" s="3" t="s">
        <v>3916</v>
      </c>
      <c r="M242" s="5">
        <v>2</v>
      </c>
      <c r="N242" s="21">
        <v>631.34860000000003</v>
      </c>
      <c r="O242" s="35" t="s">
        <v>4854</v>
      </c>
      <c r="P242" s="35" t="s">
        <v>4854</v>
      </c>
      <c r="Q242" s="35" t="s">
        <v>4854</v>
      </c>
      <c r="R242" s="35" t="s">
        <v>4854</v>
      </c>
      <c r="S242" s="35" t="s">
        <v>4854</v>
      </c>
      <c r="T242" s="35" t="s">
        <v>4854</v>
      </c>
      <c r="U242" s="36" t="str">
        <f>HYPERLINK("http://ms.phosphosite.org:5080/cgi-bin/plot-msms.cgi?MassType=1&amp;NumAxis=1&amp;Mod6=170&amp;Mod7=170&amp;Pep=RVIGAKKDQY&amp;Dta=/var/www/html/dta/S01/10564.4569.2.dta&amp;Global_Mod=CS57.0215", "4569")</f>
        <v>4569</v>
      </c>
      <c r="V242" s="36" t="str">
        <f>HYPERLINK("http://ms.phosphosite.org:5080/cgi-bin/plot-msms.cgi?MassType=1&amp;NumAxis=1&amp;Mod6=170&amp;Mod7=170&amp;Pep=RVIGAKKDQY&amp;Dta=/var/www/html/dta/S01/10565.4664.2.dta&amp;Global_Mod=CS57.0215", "4664")</f>
        <v>4664</v>
      </c>
      <c r="W242" s="3" t="s">
        <v>4854</v>
      </c>
      <c r="X242" s="3" t="s">
        <v>4854</v>
      </c>
      <c r="Y242" s="3" t="s">
        <v>4854</v>
      </c>
      <c r="Z242" s="3" t="s">
        <v>4854</v>
      </c>
      <c r="AA242" s="3" t="s">
        <v>4854</v>
      </c>
      <c r="AB242" s="3" t="s">
        <v>4854</v>
      </c>
      <c r="AC242" s="3" t="s">
        <v>4854</v>
      </c>
      <c r="AD242" s="3" t="s">
        <v>4854</v>
      </c>
      <c r="AE242" s="99" t="s">
        <v>4854</v>
      </c>
      <c r="AF242" s="99" t="s">
        <v>4854</v>
      </c>
      <c r="AG242" s="99" t="s">
        <v>4854</v>
      </c>
      <c r="AH242" s="99" t="s">
        <v>4854</v>
      </c>
      <c r="AI242" s="99" t="s">
        <v>4854</v>
      </c>
      <c r="AJ242" s="99" t="s">
        <v>4854</v>
      </c>
      <c r="AK242" s="90">
        <v>2.508</v>
      </c>
      <c r="AL242" s="90">
        <v>2.0939999999999999</v>
      </c>
      <c r="AM242" s="102" t="s">
        <v>4854</v>
      </c>
      <c r="AN242" s="102" t="s">
        <v>4854</v>
      </c>
      <c r="AO242" s="102" t="s">
        <v>4854</v>
      </c>
      <c r="AP242" s="102" t="s">
        <v>4854</v>
      </c>
      <c r="AQ242" s="102" t="s">
        <v>4854</v>
      </c>
      <c r="AR242" s="102" t="s">
        <v>4854</v>
      </c>
      <c r="AS242" s="21">
        <v>1.2022999999999999</v>
      </c>
      <c r="AT242" s="21">
        <v>0.77190000000000003</v>
      </c>
      <c r="AU242" s="102" t="s">
        <v>4854</v>
      </c>
      <c r="AV242" s="102" t="s">
        <v>4854</v>
      </c>
      <c r="AW242" s="102" t="s">
        <v>4854</v>
      </c>
      <c r="AX242" s="102" t="s">
        <v>4854</v>
      </c>
      <c r="AY242" s="102" t="s">
        <v>4854</v>
      </c>
      <c r="AZ242" s="102" t="s">
        <v>4854</v>
      </c>
      <c r="BA242" s="21">
        <v>0.16</v>
      </c>
      <c r="BB242" s="21">
        <v>0.151</v>
      </c>
      <c r="BC242" s="3" t="s">
        <v>4854</v>
      </c>
      <c r="BD242" s="3" t="s">
        <v>4854</v>
      </c>
      <c r="BE242" s="3" t="s">
        <v>4854</v>
      </c>
      <c r="BF242" s="3" t="s">
        <v>4854</v>
      </c>
      <c r="BG242" s="3" t="s">
        <v>4854</v>
      </c>
      <c r="BH242" s="3" t="s">
        <v>4854</v>
      </c>
      <c r="BI242" s="5">
        <v>1</v>
      </c>
      <c r="BJ242" s="5">
        <v>1</v>
      </c>
      <c r="BK242" s="99" t="s">
        <v>4854</v>
      </c>
      <c r="BL242" s="99" t="s">
        <v>4854</v>
      </c>
      <c r="BM242" s="99" t="s">
        <v>4854</v>
      </c>
      <c r="BN242" s="99" t="s">
        <v>4854</v>
      </c>
      <c r="BO242" s="99" t="s">
        <v>4854</v>
      </c>
      <c r="BP242" s="99" t="s">
        <v>4854</v>
      </c>
      <c r="BQ242" s="90">
        <v>0.72699999999999998</v>
      </c>
      <c r="BR242" s="90">
        <v>0.49399999999999999</v>
      </c>
      <c r="BS242" s="5" t="s">
        <v>4857</v>
      </c>
    </row>
    <row r="243" spans="1:71" s="30" customFormat="1" ht="17.100000000000001" customHeight="1">
      <c r="A243" s="14">
        <v>232</v>
      </c>
      <c r="B243" s="5" t="s">
        <v>3917</v>
      </c>
      <c r="C243" s="3" t="s">
        <v>3989</v>
      </c>
      <c r="D243" s="3" t="s">
        <v>3911</v>
      </c>
      <c r="E243" s="6" t="s">
        <v>3912</v>
      </c>
      <c r="F243" s="5" t="s">
        <v>5304</v>
      </c>
      <c r="G243" s="3" t="s">
        <v>3913</v>
      </c>
      <c r="H243" s="6" t="s">
        <v>3914</v>
      </c>
      <c r="I243" s="3" t="s">
        <v>3915</v>
      </c>
      <c r="J243" s="5" t="s">
        <v>4658</v>
      </c>
      <c r="K243" s="3" t="s">
        <v>5470</v>
      </c>
      <c r="L243" s="3" t="s">
        <v>3918</v>
      </c>
      <c r="M243" s="5">
        <v>3</v>
      </c>
      <c r="N243" s="21">
        <v>631.69129999999996</v>
      </c>
      <c r="O243" s="36" t="str">
        <f>HYPERLINK("http://ms.phosphosite.org:5080/cgi-bin/plot-msms.cgi?MassType=1&amp;NumAxis=1&amp;Mod6=170&amp;Mod7=170&amp;Pep=RVIGAKKDQYFLDKK&amp;Dta=/var/www/html/dta/S01/10558.5615.3.dta&amp;Global_Mod=CS57.0215", "5615")</f>
        <v>5615</v>
      </c>
      <c r="P243" s="36" t="str">
        <f>HYPERLINK("http://ms.phosphosite.org:5080/cgi-bin/plot-msms.cgi?MassType=1&amp;NumAxis=1&amp;Mod6=170&amp;Mod7=170&amp;Pep=RVIGAKKDQYFLDKK&amp;Dta=/var/www/html/dta/S01/10559.5536.3.dta&amp;Global_Mod=CS57.0215", "5536")</f>
        <v>5536</v>
      </c>
      <c r="Q243" s="36" t="str">
        <f>HYPERLINK("http://ms.phosphosite.org:5080/cgi-bin/plot-msms.cgi?MassType=1&amp;NumAxis=1&amp;Mod6=170&amp;Mod7=170&amp;Pep=RVIGAKKDQYFLDKK&amp;Dta=/var/www/html/dta/S01/10560.5521.3.dta&amp;Global_Mod=CS57.0215", "5521")</f>
        <v>5521</v>
      </c>
      <c r="R243" s="36" t="str">
        <f>HYPERLINK("http://ms.phosphosite.org:5080/cgi-bin/plot-msms.cgi?MassType=1&amp;NumAxis=1&amp;Mod6=170&amp;Mod7=170&amp;Pep=RVIGAKKDQYFLDKK&amp;Dta=/var/www/html/dta/S01/10561.5574.3.dta&amp;Global_Mod=CS57.0215", "5574")</f>
        <v>5574</v>
      </c>
      <c r="S243" s="36" t="str">
        <f>HYPERLINK("http://ms.phosphosite.org:5080/cgi-bin/plot-msms.cgi?MassType=1&amp;NumAxis=1&amp;Mod6=170&amp;Mod7=170&amp;Pep=RVIGAKKDQYFLDKK&amp;Dta=/var/www/html/dta/S01/10562.5646.3.dta&amp;Global_Mod=CS57.0215", "5646")</f>
        <v>5646</v>
      </c>
      <c r="T243" s="36" t="str">
        <f>HYPERLINK("http://ms.phosphosite.org:5080/cgi-bin/plot-msms.cgi?MassType=1&amp;NumAxis=1&amp;Mod6=170&amp;Mod7=170&amp;Pep=RVIGAKKDQYFLDKK&amp;Dta=/var/www/html/dta/S01/10563.5610.3.dta&amp;Global_Mod=CS57.0215", "5610")</f>
        <v>5610</v>
      </c>
      <c r="U243" s="36" t="str">
        <f>HYPERLINK("http://ms.phosphosite.org:5080/cgi-bin/plot-msms.cgi?MassType=1&amp;NumAxis=1&amp;Mod6=170&amp;Mod7=170&amp;Pep=RVIGAKKDQYFLDKK&amp;Dta=/var/www/html/dta/S01/10564.5897.3.dta&amp;Global_Mod=CS57.0215", "5897")</f>
        <v>5897</v>
      </c>
      <c r="V243" s="35" t="s">
        <v>4854</v>
      </c>
      <c r="W243" s="5">
        <v>5580</v>
      </c>
      <c r="X243" s="5">
        <v>5568</v>
      </c>
      <c r="Y243" s="5">
        <v>5552</v>
      </c>
      <c r="Z243" s="5">
        <v>5601</v>
      </c>
      <c r="AA243" s="5">
        <v>5666</v>
      </c>
      <c r="AB243" s="5">
        <v>5650</v>
      </c>
      <c r="AC243" s="5">
        <v>5924</v>
      </c>
      <c r="AD243" s="3" t="s">
        <v>4854</v>
      </c>
      <c r="AE243" s="90">
        <v>5.4279999999999999</v>
      </c>
      <c r="AF243" s="90">
        <v>4.6529999999999996</v>
      </c>
      <c r="AG243" s="90">
        <v>5.6280000000000001</v>
      </c>
      <c r="AH243" s="90">
        <v>4.7629999999999999</v>
      </c>
      <c r="AI243" s="90">
        <v>5.3630000000000004</v>
      </c>
      <c r="AJ243" s="90">
        <v>4.9939999999999998</v>
      </c>
      <c r="AK243" s="90">
        <v>4.8140000000000001</v>
      </c>
      <c r="AL243" s="99" t="s">
        <v>4854</v>
      </c>
      <c r="AM243" s="21">
        <v>0.21759999999999999</v>
      </c>
      <c r="AN243" s="21">
        <v>0.31219999999999998</v>
      </c>
      <c r="AO243" s="21">
        <v>0.30690000000000001</v>
      </c>
      <c r="AP243" s="21">
        <v>0.17380000000000001</v>
      </c>
      <c r="AQ243" s="21">
        <v>0.22819999999999999</v>
      </c>
      <c r="AR243" s="21">
        <v>0.26729999999999998</v>
      </c>
      <c r="AS243" s="21">
        <v>0.33700000000000002</v>
      </c>
      <c r="AT243" s="102" t="s">
        <v>4854</v>
      </c>
      <c r="AU243" s="21">
        <v>0.42099999999999999</v>
      </c>
      <c r="AV243" s="21">
        <v>0.41899999999999998</v>
      </c>
      <c r="AW243" s="21">
        <v>0.42799999999999999</v>
      </c>
      <c r="AX243" s="21">
        <v>0.33600000000000002</v>
      </c>
      <c r="AY243" s="21">
        <v>0.41899999999999998</v>
      </c>
      <c r="AZ243" s="21">
        <v>0.40899999999999997</v>
      </c>
      <c r="BA243" s="21">
        <v>0.39200000000000002</v>
      </c>
      <c r="BB243" s="102" t="s">
        <v>4854</v>
      </c>
      <c r="BC243" s="5">
        <v>1</v>
      </c>
      <c r="BD243" s="5">
        <v>1</v>
      </c>
      <c r="BE243" s="5">
        <v>1</v>
      </c>
      <c r="BF243" s="5">
        <v>1</v>
      </c>
      <c r="BG243" s="5">
        <v>1</v>
      </c>
      <c r="BH243" s="5">
        <v>1</v>
      </c>
      <c r="BI243" s="5">
        <v>1</v>
      </c>
      <c r="BJ243" s="3" t="s">
        <v>4854</v>
      </c>
      <c r="BK243" s="90">
        <v>1</v>
      </c>
      <c r="BL243" s="90">
        <v>1</v>
      </c>
      <c r="BM243" s="90">
        <v>1</v>
      </c>
      <c r="BN243" s="90">
        <v>1</v>
      </c>
      <c r="BO243" s="90">
        <v>1</v>
      </c>
      <c r="BP243" s="90">
        <v>1</v>
      </c>
      <c r="BQ243" s="90">
        <v>1</v>
      </c>
      <c r="BR243" s="99" t="s">
        <v>4854</v>
      </c>
      <c r="BS243" s="5" t="s">
        <v>4857</v>
      </c>
    </row>
    <row r="244" spans="1:71" s="30" customFormat="1" ht="17.100000000000001" customHeight="1">
      <c r="A244" s="14">
        <v>233</v>
      </c>
      <c r="B244" s="5" t="s">
        <v>3919</v>
      </c>
      <c r="C244" s="3" t="s">
        <v>3989</v>
      </c>
      <c r="D244" s="3" t="s">
        <v>3911</v>
      </c>
      <c r="E244" s="6" t="s">
        <v>3912</v>
      </c>
      <c r="F244" s="5" t="s">
        <v>5304</v>
      </c>
      <c r="G244" s="3" t="s">
        <v>3913</v>
      </c>
      <c r="H244" s="6" t="s">
        <v>3914</v>
      </c>
      <c r="I244" s="3" t="s">
        <v>3915</v>
      </c>
      <c r="J244" s="5" t="s">
        <v>4658</v>
      </c>
      <c r="K244" s="3" t="s">
        <v>5470</v>
      </c>
      <c r="L244" s="3" t="s">
        <v>3918</v>
      </c>
      <c r="M244" s="5">
        <v>4</v>
      </c>
      <c r="N244" s="21">
        <v>474.02030000000002</v>
      </c>
      <c r="O244" s="36" t="str">
        <f>HYPERLINK("http://ms.phosphosite.org:5080/cgi-bin/plot-msms.cgi?MassType=1&amp;NumAxis=1&amp;Mod6=170&amp;Mod7=170&amp;Pep=RVIGAKKDQYFLDKK&amp;Dta=/var/www/html/dta/S01/10558.5616.4.dta&amp;Global_Mod=CS57.0215", "5616")</f>
        <v>5616</v>
      </c>
      <c r="P244" s="35" t="s">
        <v>4854</v>
      </c>
      <c r="Q244" s="36" t="str">
        <f>HYPERLINK("http://ms.phosphosite.org:5080/cgi-bin/plot-msms.cgi?MassType=1&amp;NumAxis=1&amp;Mod6=170&amp;Mod7=170&amp;Pep=RVIGAKKDQYFLDKK&amp;Dta=/var/www/html/dta/S01/10560.5544.4.dta&amp;Global_Mod=CS57.0215", "5544")</f>
        <v>5544</v>
      </c>
      <c r="R244" s="36" t="str">
        <f>HYPERLINK("http://ms.phosphosite.org:5080/cgi-bin/plot-msms.cgi?MassType=1&amp;NumAxis=1&amp;Mod6=170&amp;Mod7=170&amp;Pep=RVIGAKKDQYFLDKK&amp;Dta=/var/www/html/dta/S01/10561.5605.4.dta&amp;Global_Mod=CS57.0215", "5605")</f>
        <v>5605</v>
      </c>
      <c r="S244" s="35" t="s">
        <v>4854</v>
      </c>
      <c r="T244" s="35" t="s">
        <v>4854</v>
      </c>
      <c r="U244" s="35" t="s">
        <v>4854</v>
      </c>
      <c r="V244" s="35" t="s">
        <v>4854</v>
      </c>
      <c r="W244" s="5">
        <v>5591</v>
      </c>
      <c r="X244" s="3" t="s">
        <v>4854</v>
      </c>
      <c r="Y244" s="5">
        <v>5552</v>
      </c>
      <c r="Z244" s="5">
        <v>5601</v>
      </c>
      <c r="AA244" s="3" t="s">
        <v>4854</v>
      </c>
      <c r="AB244" s="3" t="s">
        <v>4854</v>
      </c>
      <c r="AC244" s="3" t="s">
        <v>4854</v>
      </c>
      <c r="AD244" s="3" t="s">
        <v>4854</v>
      </c>
      <c r="AE244" s="90">
        <v>2.621</v>
      </c>
      <c r="AF244" s="99" t="s">
        <v>4854</v>
      </c>
      <c r="AG244" s="90">
        <v>2.794</v>
      </c>
      <c r="AH244" s="90">
        <v>3.052</v>
      </c>
      <c r="AI244" s="99" t="s">
        <v>4854</v>
      </c>
      <c r="AJ244" s="99" t="s">
        <v>4854</v>
      </c>
      <c r="AK244" s="99" t="s">
        <v>4854</v>
      </c>
      <c r="AL244" s="99" t="s">
        <v>4854</v>
      </c>
      <c r="AM244" s="21">
        <v>0.1178</v>
      </c>
      <c r="AN244" s="102" t="s">
        <v>4854</v>
      </c>
      <c r="AO244" s="21">
        <v>0.17169999999999999</v>
      </c>
      <c r="AP244" s="21">
        <v>0.27310000000000001</v>
      </c>
      <c r="AQ244" s="102" t="s">
        <v>4854</v>
      </c>
      <c r="AR244" s="102" t="s">
        <v>4854</v>
      </c>
      <c r="AS244" s="102" t="s">
        <v>4854</v>
      </c>
      <c r="AT244" s="102" t="s">
        <v>4854</v>
      </c>
      <c r="AU244" s="21">
        <v>5.8000000000000003E-2</v>
      </c>
      <c r="AV244" s="102" t="s">
        <v>4854</v>
      </c>
      <c r="AW244" s="21">
        <v>0.29199999999999998</v>
      </c>
      <c r="AX244" s="21">
        <v>0.24299999999999999</v>
      </c>
      <c r="AY244" s="102" t="s">
        <v>4854</v>
      </c>
      <c r="AZ244" s="102" t="s">
        <v>4854</v>
      </c>
      <c r="BA244" s="102" t="s">
        <v>4854</v>
      </c>
      <c r="BB244" s="102" t="s">
        <v>4854</v>
      </c>
      <c r="BC244" s="5">
        <v>7</v>
      </c>
      <c r="BD244" s="3" t="s">
        <v>4854</v>
      </c>
      <c r="BE244" s="5">
        <v>1</v>
      </c>
      <c r="BF244" s="5">
        <v>4</v>
      </c>
      <c r="BG244" s="3" t="s">
        <v>4854</v>
      </c>
      <c r="BH244" s="3" t="s">
        <v>4854</v>
      </c>
      <c r="BI244" s="3" t="s">
        <v>4854</v>
      </c>
      <c r="BJ244" s="3" t="s">
        <v>4854</v>
      </c>
      <c r="BK244" s="90">
        <v>0.97399999999999998</v>
      </c>
      <c r="BL244" s="99" t="s">
        <v>4854</v>
      </c>
      <c r="BM244" s="90">
        <v>1</v>
      </c>
      <c r="BN244" s="90">
        <v>0.999</v>
      </c>
      <c r="BO244" s="99" t="s">
        <v>4854</v>
      </c>
      <c r="BP244" s="99" t="s">
        <v>4854</v>
      </c>
      <c r="BQ244" s="99" t="s">
        <v>4854</v>
      </c>
      <c r="BR244" s="99" t="s">
        <v>4854</v>
      </c>
      <c r="BS244" s="5" t="s">
        <v>4857</v>
      </c>
    </row>
    <row r="245" spans="1:71" s="30" customFormat="1" ht="17.100000000000001" customHeight="1">
      <c r="A245" s="14">
        <v>234</v>
      </c>
      <c r="B245" s="5" t="s">
        <v>3920</v>
      </c>
      <c r="C245" s="3" t="s">
        <v>3989</v>
      </c>
      <c r="D245" s="3" t="s">
        <v>3911</v>
      </c>
      <c r="E245" s="6" t="s">
        <v>3912</v>
      </c>
      <c r="F245" s="5" t="s">
        <v>5304</v>
      </c>
      <c r="G245" s="3" t="s">
        <v>3913</v>
      </c>
      <c r="H245" s="6" t="s">
        <v>3914</v>
      </c>
      <c r="I245" s="3" t="s">
        <v>3915</v>
      </c>
      <c r="J245" s="5" t="s">
        <v>4658</v>
      </c>
      <c r="K245" s="3" t="s">
        <v>5470</v>
      </c>
      <c r="L245" s="3" t="s">
        <v>3921</v>
      </c>
      <c r="M245" s="5">
        <v>2</v>
      </c>
      <c r="N245" s="21">
        <v>553.298</v>
      </c>
      <c r="O245" s="35" t="s">
        <v>4854</v>
      </c>
      <c r="P245" s="35" t="s">
        <v>4854</v>
      </c>
      <c r="Q245" s="35" t="s">
        <v>4854</v>
      </c>
      <c r="R245" s="35" t="s">
        <v>4854</v>
      </c>
      <c r="S245" s="35" t="s">
        <v>4854</v>
      </c>
      <c r="T245" s="35" t="s">
        <v>4854</v>
      </c>
      <c r="U245" s="36" t="str">
        <f>HYPERLINK("http://ms.phosphosite.org:5080/cgi-bin/plot-msms.cgi?MassType=1&amp;NumAxis=1&amp;Mod5=170&amp;Mod6=170&amp;Pep=VIGAKKDQY&amp;Dta=/var/www/html/dta/S01/10564.5983.2.dta&amp;Global_Mod=CS57.0215", "5983")</f>
        <v>5983</v>
      </c>
      <c r="V245" s="36" t="str">
        <f>HYPERLINK("http://ms.phosphosite.org:5080/cgi-bin/plot-msms.cgi?MassType=1&amp;NumAxis=1&amp;Mod5=170&amp;Mod6=170&amp;Pep=VIGAKKDQY&amp;Dta=/var/www/html/dta/S01/10565.6074.2.dta&amp;Global_Mod=CS57.0215", "6074")</f>
        <v>6074</v>
      </c>
      <c r="W245" s="3" t="s">
        <v>4854</v>
      </c>
      <c r="X245" s="3" t="s">
        <v>4854</v>
      </c>
      <c r="Y245" s="3" t="s">
        <v>4854</v>
      </c>
      <c r="Z245" s="3" t="s">
        <v>4854</v>
      </c>
      <c r="AA245" s="3" t="s">
        <v>4854</v>
      </c>
      <c r="AB245" s="3" t="s">
        <v>4854</v>
      </c>
      <c r="AC245" s="3" t="s">
        <v>4854</v>
      </c>
      <c r="AD245" s="3" t="s">
        <v>4854</v>
      </c>
      <c r="AE245" s="99" t="s">
        <v>4854</v>
      </c>
      <c r="AF245" s="99" t="s">
        <v>4854</v>
      </c>
      <c r="AG245" s="99" t="s">
        <v>4854</v>
      </c>
      <c r="AH245" s="99" t="s">
        <v>4854</v>
      </c>
      <c r="AI245" s="99" t="s">
        <v>4854</v>
      </c>
      <c r="AJ245" s="99" t="s">
        <v>4854</v>
      </c>
      <c r="AK245" s="90">
        <v>2.3420000000000001</v>
      </c>
      <c r="AL245" s="90">
        <v>1.9590000000000001</v>
      </c>
      <c r="AM245" s="102" t="s">
        <v>4854</v>
      </c>
      <c r="AN245" s="102" t="s">
        <v>4854</v>
      </c>
      <c r="AO245" s="102" t="s">
        <v>4854</v>
      </c>
      <c r="AP245" s="102" t="s">
        <v>4854</v>
      </c>
      <c r="AQ245" s="102" t="s">
        <v>4854</v>
      </c>
      <c r="AR245" s="102" t="s">
        <v>4854</v>
      </c>
      <c r="AS245" s="21">
        <v>4.1599999999999998E-2</v>
      </c>
      <c r="AT245" s="21">
        <v>-0.42059999999999997</v>
      </c>
      <c r="AU245" s="102" t="s">
        <v>4854</v>
      </c>
      <c r="AV245" s="102" t="s">
        <v>4854</v>
      </c>
      <c r="AW245" s="102" t="s">
        <v>4854</v>
      </c>
      <c r="AX245" s="102" t="s">
        <v>4854</v>
      </c>
      <c r="AY245" s="102" t="s">
        <v>4854</v>
      </c>
      <c r="AZ245" s="102" t="s">
        <v>4854</v>
      </c>
      <c r="BA245" s="21">
        <v>0.30499999999999999</v>
      </c>
      <c r="BB245" s="21">
        <v>4.9000000000000002E-2</v>
      </c>
      <c r="BC245" s="3" t="s">
        <v>4854</v>
      </c>
      <c r="BD245" s="3" t="s">
        <v>4854</v>
      </c>
      <c r="BE245" s="3" t="s">
        <v>4854</v>
      </c>
      <c r="BF245" s="3" t="s">
        <v>4854</v>
      </c>
      <c r="BG245" s="3" t="s">
        <v>4854</v>
      </c>
      <c r="BH245" s="3" t="s">
        <v>4854</v>
      </c>
      <c r="BI245" s="5">
        <v>2</v>
      </c>
      <c r="BJ245" s="5">
        <v>1</v>
      </c>
      <c r="BK245" s="99" t="s">
        <v>4854</v>
      </c>
      <c r="BL245" s="99" t="s">
        <v>4854</v>
      </c>
      <c r="BM245" s="99" t="s">
        <v>4854</v>
      </c>
      <c r="BN245" s="99" t="s">
        <v>4854</v>
      </c>
      <c r="BO245" s="99" t="s">
        <v>4854</v>
      </c>
      <c r="BP245" s="99" t="s">
        <v>4854</v>
      </c>
      <c r="BQ245" s="90">
        <v>0.90100000000000002</v>
      </c>
      <c r="BR245" s="90">
        <v>0.186</v>
      </c>
      <c r="BS245" s="5" t="s">
        <v>4857</v>
      </c>
    </row>
    <row r="246" spans="1:71" s="30" customFormat="1" ht="17.100000000000001" customHeight="1">
      <c r="A246" s="14">
        <v>235</v>
      </c>
      <c r="B246" s="5" t="s">
        <v>3922</v>
      </c>
      <c r="C246" s="3" t="s">
        <v>3989</v>
      </c>
      <c r="D246" s="3" t="s">
        <v>3911</v>
      </c>
      <c r="E246" s="6" t="s">
        <v>3912</v>
      </c>
      <c r="F246" s="5" t="s">
        <v>5304</v>
      </c>
      <c r="G246" s="3" t="s">
        <v>3913</v>
      </c>
      <c r="H246" s="6" t="s">
        <v>3914</v>
      </c>
      <c r="I246" s="3" t="s">
        <v>3915</v>
      </c>
      <c r="J246" s="5" t="s">
        <v>4658</v>
      </c>
      <c r="K246" s="3" t="s">
        <v>5470</v>
      </c>
      <c r="L246" s="3" t="s">
        <v>3923</v>
      </c>
      <c r="M246" s="5">
        <v>2</v>
      </c>
      <c r="N246" s="21">
        <v>868.98270000000002</v>
      </c>
      <c r="O246" s="36" t="str">
        <f>HYPERLINK("http://ms.phosphosite.org:5080/cgi-bin/plot-msms.cgi?MassType=1&amp;NumAxis=1&amp;Mod5=170&amp;Mod6=170&amp;Pep=VIGAKKDQYFLDKK&amp;Dta=/var/www/html/dta/S01/10558.6826.2.dta&amp;Global_Mod=CS57.0215", "6826")</f>
        <v>6826</v>
      </c>
      <c r="P246" s="36" t="str">
        <f>HYPERLINK("http://ms.phosphosite.org:5080/cgi-bin/plot-msms.cgi?MassType=1&amp;NumAxis=1&amp;Mod5=170&amp;Mod6=170&amp;Pep=VIGAKKDQYFLDKK&amp;Dta=/var/www/html/dta/S01/10559.6773.2.dta&amp;Global_Mod=CS57.0215", "6773")</f>
        <v>6773</v>
      </c>
      <c r="Q246" s="36" t="str">
        <f>HYPERLINK("http://ms.phosphosite.org:5080/cgi-bin/plot-msms.cgi?MassType=1&amp;NumAxis=1&amp;Mod5=170&amp;Mod6=170&amp;Pep=VIGAKKDQYFLDKK&amp;Dta=/var/www/html/dta/S01/10560.6770.2.dta&amp;Global_Mod=CS57.0215", "6770")</f>
        <v>6770</v>
      </c>
      <c r="R246" s="36" t="str">
        <f>HYPERLINK("http://ms.phosphosite.org:5080/cgi-bin/plot-msms.cgi?MassType=1&amp;NumAxis=1&amp;Mod5=170&amp;Mod6=170&amp;Pep=VIGAKKDQYFLDKK&amp;Dta=/var/www/html/dta/S01/10561.6809.2.dta&amp;Global_Mod=CS57.0215", "6809")</f>
        <v>6809</v>
      </c>
      <c r="S246" s="36" t="str">
        <f>HYPERLINK("http://ms.phosphosite.org:5080/cgi-bin/plot-msms.cgi?MassType=1&amp;NumAxis=1&amp;Mod5=170&amp;Mod6=170&amp;Pep=VIGAKKDQYFLDKK&amp;Dta=/var/www/html/dta/S01/10562.6926.2.dta&amp;Global_Mod=CS57.0215", "6926")</f>
        <v>6926</v>
      </c>
      <c r="T246" s="36" t="str">
        <f>HYPERLINK("http://ms.phosphosite.org:5080/cgi-bin/plot-msms.cgi?MassType=1&amp;NumAxis=1&amp;Mod5=170&amp;Mod6=170&amp;Pep=VIGAKKDQYFLDKK&amp;Dta=/var/www/html/dta/S01/10563.6880.2.dta&amp;Global_Mod=CS57.0215", "6880")</f>
        <v>6880</v>
      </c>
      <c r="U246" s="36" t="str">
        <f>HYPERLINK("http://ms.phosphosite.org:5080/cgi-bin/plot-msms.cgi?MassType=1&amp;NumAxis=1&amp;Mod5=170&amp;Mod6=170&amp;Pep=VIGAKKDQYFLDKK&amp;Dta=/var/www/html/dta/S01/10564.7240.2.dta&amp;Global_Mod=CS57.0215", "7240")</f>
        <v>7240</v>
      </c>
      <c r="V246" s="36" t="str">
        <f>HYPERLINK("http://ms.phosphosite.org:5080/cgi-bin/plot-msms.cgi?MassType=1&amp;NumAxis=1&amp;Mod5=170&amp;Mod6=170&amp;Pep=VIGAKKDQYFLDKK&amp;Dta=/var/www/html/dta/S01/10565.7303.2.dta&amp;Global_Mod=CS57.0215", "7303")</f>
        <v>7303</v>
      </c>
      <c r="W246" s="5">
        <v>6852</v>
      </c>
      <c r="X246" s="5">
        <v>6789</v>
      </c>
      <c r="Y246" s="5">
        <v>6784</v>
      </c>
      <c r="Z246" s="5">
        <v>6800</v>
      </c>
      <c r="AA246" s="5">
        <v>6939</v>
      </c>
      <c r="AB246" s="5">
        <v>6882</v>
      </c>
      <c r="AC246" s="5">
        <v>7244</v>
      </c>
      <c r="AD246" s="5">
        <v>7307</v>
      </c>
      <c r="AE246" s="90">
        <v>2.9740000000000002</v>
      </c>
      <c r="AF246" s="90">
        <v>3.3919999999999999</v>
      </c>
      <c r="AG246" s="90">
        <v>3.431</v>
      </c>
      <c r="AH246" s="90">
        <v>2.9129999999999998</v>
      </c>
      <c r="AI246" s="90">
        <v>3.9510000000000001</v>
      </c>
      <c r="AJ246" s="90">
        <v>3.7450000000000001</v>
      </c>
      <c r="AK246" s="90">
        <v>3.7010000000000001</v>
      </c>
      <c r="AL246" s="90">
        <v>3.827</v>
      </c>
      <c r="AM246" s="21">
        <v>0.50949999999999995</v>
      </c>
      <c r="AN246" s="21">
        <v>0.49969999999999998</v>
      </c>
      <c r="AO246" s="21">
        <v>0.86129999999999995</v>
      </c>
      <c r="AP246" s="21">
        <v>0.74729999999999996</v>
      </c>
      <c r="AQ246" s="21">
        <v>0.32469999999999999</v>
      </c>
      <c r="AR246" s="21">
        <v>0.42430000000000001</v>
      </c>
      <c r="AS246" s="21">
        <v>0.58550000000000002</v>
      </c>
      <c r="AT246" s="21">
        <v>0.19170000000000001</v>
      </c>
      <c r="AU246" s="21">
        <v>0.30499999999999999</v>
      </c>
      <c r="AV246" s="21">
        <v>0.44</v>
      </c>
      <c r="AW246" s="21">
        <v>0.4</v>
      </c>
      <c r="AX246" s="21">
        <v>0.38200000000000001</v>
      </c>
      <c r="AY246" s="21">
        <v>0.35599999999999998</v>
      </c>
      <c r="AZ246" s="21">
        <v>0.37</v>
      </c>
      <c r="BA246" s="21">
        <v>0.32800000000000001</v>
      </c>
      <c r="BB246" s="21">
        <v>0.43</v>
      </c>
      <c r="BC246" s="5">
        <v>1</v>
      </c>
      <c r="BD246" s="5">
        <v>1</v>
      </c>
      <c r="BE246" s="5">
        <v>1</v>
      </c>
      <c r="BF246" s="5">
        <v>1</v>
      </c>
      <c r="BG246" s="5">
        <v>1</v>
      </c>
      <c r="BH246" s="5">
        <v>1</v>
      </c>
      <c r="BI246" s="5">
        <v>1</v>
      </c>
      <c r="BJ246" s="5">
        <v>1</v>
      </c>
      <c r="BK246" s="90">
        <v>1</v>
      </c>
      <c r="BL246" s="90">
        <v>1</v>
      </c>
      <c r="BM246" s="90">
        <v>1</v>
      </c>
      <c r="BN246" s="90">
        <v>1</v>
      </c>
      <c r="BO246" s="90">
        <v>1</v>
      </c>
      <c r="BP246" s="90">
        <v>1</v>
      </c>
      <c r="BQ246" s="90">
        <v>1</v>
      </c>
      <c r="BR246" s="90">
        <v>1</v>
      </c>
      <c r="BS246" s="5" t="s">
        <v>4857</v>
      </c>
    </row>
    <row r="247" spans="1:71" s="30" customFormat="1" ht="17.100000000000001" customHeight="1">
      <c r="A247" s="14">
        <v>236</v>
      </c>
      <c r="B247" s="5" t="s">
        <v>3924</v>
      </c>
      <c r="C247" s="3" t="s">
        <v>3989</v>
      </c>
      <c r="D247" s="3" t="s">
        <v>3911</v>
      </c>
      <c r="E247" s="6" t="s">
        <v>3912</v>
      </c>
      <c r="F247" s="5" t="s">
        <v>5304</v>
      </c>
      <c r="G247" s="3" t="s">
        <v>3913</v>
      </c>
      <c r="H247" s="6" t="s">
        <v>3914</v>
      </c>
      <c r="I247" s="3" t="s">
        <v>3915</v>
      </c>
      <c r="J247" s="5" t="s">
        <v>4658</v>
      </c>
      <c r="K247" s="3" t="s">
        <v>5470</v>
      </c>
      <c r="L247" s="3" t="s">
        <v>3923</v>
      </c>
      <c r="M247" s="5">
        <v>3</v>
      </c>
      <c r="N247" s="21">
        <v>579.6576</v>
      </c>
      <c r="O247" s="35" t="s">
        <v>4854</v>
      </c>
      <c r="P247" s="36" t="str">
        <f>HYPERLINK("http://ms.phosphosite.org:5080/cgi-bin/plot-msms.cgi?MassType=1&amp;NumAxis=1&amp;Mod5=170&amp;Mod6=170&amp;Pep=VIGAKKDQYFLDKK&amp;Dta=/var/www/html/dta/S01/10559.6780.3.dta&amp;Global_Mod=CS57.0215", "6780")</f>
        <v>6780</v>
      </c>
      <c r="Q247" s="36" t="str">
        <f>HYPERLINK("http://ms.phosphosite.org:5080/cgi-bin/plot-msms.cgi?MassType=1&amp;NumAxis=1&amp;Mod5=170&amp;Mod6=170&amp;Pep=VIGAKKDQYFLDKK&amp;Dta=/var/www/html/dta/S01/10560.6774.3.dta&amp;Global_Mod=CS57.0215", "6774")</f>
        <v>6774</v>
      </c>
      <c r="R247" s="36" t="str">
        <f>HYPERLINK("http://ms.phosphosite.org:5080/cgi-bin/plot-msms.cgi?MassType=1&amp;NumAxis=1&amp;Mod5=170&amp;Mod6=170&amp;Pep=VIGAKKDQYFLDKK&amp;Dta=/var/www/html/dta/S01/10561.6813.3.dta&amp;Global_Mod=CS57.0215", "6813")</f>
        <v>6813</v>
      </c>
      <c r="S247" s="36" t="str">
        <f>HYPERLINK("http://ms.phosphosite.org:5080/cgi-bin/plot-msms.cgi?MassType=1&amp;NumAxis=1&amp;Mod5=170&amp;Mod6=170&amp;Pep=VIGAKKDQYFLDKK&amp;Dta=/var/www/html/dta/S01/10562.6930.3.dta&amp;Global_Mod=CS57.0215", "6930")</f>
        <v>6930</v>
      </c>
      <c r="T247" s="36" t="str">
        <f>HYPERLINK("http://ms.phosphosite.org:5080/cgi-bin/plot-msms.cgi?MassType=1&amp;NumAxis=1&amp;Mod5=170&amp;Mod6=170&amp;Pep=VIGAKKDQYFLDKK&amp;Dta=/var/www/html/dta/S01/10563.6874.3.dta&amp;Global_Mod=CS57.0215", "6874")</f>
        <v>6874</v>
      </c>
      <c r="U247" s="36" t="str">
        <f>HYPERLINK("http://ms.phosphosite.org:5080/cgi-bin/plot-msms.cgi?MassType=1&amp;NumAxis=1&amp;Mod5=170&amp;Mod6=170&amp;Pep=VIGAKKDQYFLDKK&amp;Dta=/var/www/html/dta/S01/10564.7246.3.dta&amp;Global_Mod=CS57.0215", "7246")</f>
        <v>7246</v>
      </c>
      <c r="V247" s="36" t="str">
        <f>HYPERLINK("http://ms.phosphosite.org:5080/cgi-bin/plot-msms.cgi?MassType=1&amp;NumAxis=1&amp;Mod5=170&amp;Mod6=170&amp;Pep=VIGAKKDQYFLDKK&amp;Dta=/var/www/html/dta/S01/10565.7319.3.dta&amp;Global_Mod=CS57.0215", "7319")</f>
        <v>7319</v>
      </c>
      <c r="W247" s="3" t="s">
        <v>4854</v>
      </c>
      <c r="X247" s="5">
        <v>6778</v>
      </c>
      <c r="Y247" s="3" t="s">
        <v>4854</v>
      </c>
      <c r="Z247" s="3" t="s">
        <v>4854</v>
      </c>
      <c r="AA247" s="5">
        <v>6939</v>
      </c>
      <c r="AB247" s="5">
        <v>6871</v>
      </c>
      <c r="AC247" s="3" t="s">
        <v>4854</v>
      </c>
      <c r="AD247" s="5">
        <v>7296</v>
      </c>
      <c r="AE247" s="99" t="s">
        <v>4854</v>
      </c>
      <c r="AF247" s="90">
        <v>2.4649999999999999</v>
      </c>
      <c r="AG247" s="90">
        <v>1.4119999999999999</v>
      </c>
      <c r="AH247" s="90">
        <v>1.3080000000000001</v>
      </c>
      <c r="AI247" s="90">
        <v>1.552</v>
      </c>
      <c r="AJ247" s="90">
        <v>1.8440000000000001</v>
      </c>
      <c r="AK247" s="90">
        <v>1.665</v>
      </c>
      <c r="AL247" s="90">
        <v>2.6110000000000002</v>
      </c>
      <c r="AM247" s="102" t="s">
        <v>4854</v>
      </c>
      <c r="AN247" s="21">
        <v>0.32469999999999999</v>
      </c>
      <c r="AO247" s="21">
        <v>0.43580000000000002</v>
      </c>
      <c r="AP247" s="21">
        <v>0.6149</v>
      </c>
      <c r="AQ247" s="21">
        <v>0.29020000000000001</v>
      </c>
      <c r="AR247" s="21">
        <v>0.44209999999999999</v>
      </c>
      <c r="AS247" s="21">
        <v>0.33160000000000001</v>
      </c>
      <c r="AT247" s="21">
        <v>4.0899999999999999E-2</v>
      </c>
      <c r="AU247" s="102" t="s">
        <v>4854</v>
      </c>
      <c r="AV247" s="21">
        <v>0.28199999999999997</v>
      </c>
      <c r="AW247" s="21">
        <v>0.107</v>
      </c>
      <c r="AX247" s="21">
        <v>0.129</v>
      </c>
      <c r="AY247" s="21">
        <v>0.121</v>
      </c>
      <c r="AZ247" s="21">
        <v>0.154</v>
      </c>
      <c r="BA247" s="21">
        <v>5.0000000000000001E-3</v>
      </c>
      <c r="BB247" s="21">
        <v>0.34399999999999997</v>
      </c>
      <c r="BC247" s="3" t="s">
        <v>4854</v>
      </c>
      <c r="BD247" s="5">
        <v>1</v>
      </c>
      <c r="BE247" s="5">
        <v>1</v>
      </c>
      <c r="BF247" s="5">
        <v>1</v>
      </c>
      <c r="BG247" s="5">
        <v>1</v>
      </c>
      <c r="BH247" s="5">
        <v>1</v>
      </c>
      <c r="BI247" s="5">
        <v>1</v>
      </c>
      <c r="BJ247" s="5">
        <v>1</v>
      </c>
      <c r="BK247" s="99" t="s">
        <v>4854</v>
      </c>
      <c r="BL247" s="90">
        <v>0.999</v>
      </c>
      <c r="BM247" s="90">
        <v>0.92600000000000005</v>
      </c>
      <c r="BN247" s="90">
        <v>0.92800000000000005</v>
      </c>
      <c r="BO247" s="90">
        <v>0.95499999999999996</v>
      </c>
      <c r="BP247" s="90">
        <v>0.98499999999999999</v>
      </c>
      <c r="BQ247" s="90">
        <v>0.85099999999999998</v>
      </c>
      <c r="BR247" s="90">
        <v>1</v>
      </c>
      <c r="BS247" s="5" t="s">
        <v>4857</v>
      </c>
    </row>
    <row r="248" spans="1:71" s="30" customFormat="1" ht="17.100000000000001" customHeight="1">
      <c r="A248" s="14">
        <v>237</v>
      </c>
      <c r="B248" s="5" t="s">
        <v>3925</v>
      </c>
      <c r="C248" s="3" t="s">
        <v>3989</v>
      </c>
      <c r="D248" s="3" t="s">
        <v>3911</v>
      </c>
      <c r="E248" s="6" t="s">
        <v>3912</v>
      </c>
      <c r="F248" s="5" t="s">
        <v>5304</v>
      </c>
      <c r="G248" s="3" t="s">
        <v>3913</v>
      </c>
      <c r="H248" s="6" t="s">
        <v>3914</v>
      </c>
      <c r="I248" s="3" t="s">
        <v>3915</v>
      </c>
      <c r="J248" s="5" t="s">
        <v>4658</v>
      </c>
      <c r="K248" s="3" t="s">
        <v>5470</v>
      </c>
      <c r="L248" s="3" t="s">
        <v>3923</v>
      </c>
      <c r="M248" s="5">
        <v>3</v>
      </c>
      <c r="N248" s="21">
        <v>579.6576</v>
      </c>
      <c r="O248" s="35" t="s">
        <v>4854</v>
      </c>
      <c r="P248" s="35" t="s">
        <v>4854</v>
      </c>
      <c r="Q248" s="35" t="s">
        <v>4854</v>
      </c>
      <c r="R248" s="35" t="s">
        <v>4854</v>
      </c>
      <c r="S248" s="35" t="s">
        <v>4854</v>
      </c>
      <c r="T248" s="36" t="str">
        <f>HYPERLINK("http://ms.phosphosite.org:5080/cgi-bin/plot-msms.cgi?MassType=1&amp;NumAxis=1&amp;Mod5=170&amp;Mod6=170&amp;Pep=VIGAKKDQYFLDKK&amp;Dta=/var/www/html/dta/S01/10563.6894.3.dta&amp;Global_Mod=CS57.0215", "6894")</f>
        <v>6894</v>
      </c>
      <c r="U248" s="35" t="s">
        <v>4854</v>
      </c>
      <c r="V248" s="35" t="s">
        <v>4854</v>
      </c>
      <c r="W248" s="3" t="s">
        <v>4854</v>
      </c>
      <c r="X248" s="3" t="s">
        <v>4854</v>
      </c>
      <c r="Y248" s="3" t="s">
        <v>4854</v>
      </c>
      <c r="Z248" s="3" t="s">
        <v>4854</v>
      </c>
      <c r="AA248" s="3" t="s">
        <v>4854</v>
      </c>
      <c r="AB248" s="3" t="s">
        <v>4854</v>
      </c>
      <c r="AC248" s="3" t="s">
        <v>4854</v>
      </c>
      <c r="AD248" s="3" t="s">
        <v>4854</v>
      </c>
      <c r="AE248" s="99" t="s">
        <v>4854</v>
      </c>
      <c r="AF248" s="99" t="s">
        <v>4854</v>
      </c>
      <c r="AG248" s="99" t="s">
        <v>4854</v>
      </c>
      <c r="AH248" s="99" t="s">
        <v>4854</v>
      </c>
      <c r="AI248" s="99" t="s">
        <v>4854</v>
      </c>
      <c r="AJ248" s="90">
        <v>1.663</v>
      </c>
      <c r="AK248" s="99" t="s">
        <v>4854</v>
      </c>
      <c r="AL248" s="99" t="s">
        <v>4854</v>
      </c>
      <c r="AM248" s="102" t="s">
        <v>4854</v>
      </c>
      <c r="AN248" s="102" t="s">
        <v>4854</v>
      </c>
      <c r="AO248" s="102" t="s">
        <v>4854</v>
      </c>
      <c r="AP248" s="102" t="s">
        <v>4854</v>
      </c>
      <c r="AQ248" s="102" t="s">
        <v>4854</v>
      </c>
      <c r="AR248" s="21">
        <v>0.44209999999999999</v>
      </c>
      <c r="AS248" s="102" t="s">
        <v>4854</v>
      </c>
      <c r="AT248" s="102" t="s">
        <v>4854</v>
      </c>
      <c r="AU248" s="102" t="s">
        <v>4854</v>
      </c>
      <c r="AV248" s="102" t="s">
        <v>4854</v>
      </c>
      <c r="AW248" s="102" t="s">
        <v>4854</v>
      </c>
      <c r="AX248" s="102" t="s">
        <v>4854</v>
      </c>
      <c r="AY248" s="102" t="s">
        <v>4854</v>
      </c>
      <c r="AZ248" s="21">
        <v>0.02</v>
      </c>
      <c r="BA248" s="102" t="s">
        <v>4854</v>
      </c>
      <c r="BB248" s="102" t="s">
        <v>4854</v>
      </c>
      <c r="BC248" s="3" t="s">
        <v>4854</v>
      </c>
      <c r="BD248" s="3" t="s">
        <v>4854</v>
      </c>
      <c r="BE248" s="3" t="s">
        <v>4854</v>
      </c>
      <c r="BF248" s="3" t="s">
        <v>4854</v>
      </c>
      <c r="BG248" s="3" t="s">
        <v>4854</v>
      </c>
      <c r="BH248" s="5">
        <v>16</v>
      </c>
      <c r="BI248" s="3" t="s">
        <v>4854</v>
      </c>
      <c r="BJ248" s="3" t="s">
        <v>4854</v>
      </c>
      <c r="BK248" s="99" t="s">
        <v>4854</v>
      </c>
      <c r="BL248" s="99" t="s">
        <v>4854</v>
      </c>
      <c r="BM248" s="99" t="s">
        <v>4854</v>
      </c>
      <c r="BN248" s="99" t="s">
        <v>4854</v>
      </c>
      <c r="BO248" s="99" t="s">
        <v>4854</v>
      </c>
      <c r="BP248" s="90">
        <v>0.78900000000000003</v>
      </c>
      <c r="BQ248" s="99" t="s">
        <v>4854</v>
      </c>
      <c r="BR248" s="99" t="s">
        <v>4854</v>
      </c>
      <c r="BS248" s="5" t="s">
        <v>4857</v>
      </c>
    </row>
    <row r="249" spans="1:71" ht="17.100000000000001" customHeight="1">
      <c r="A249" s="31">
        <v>238</v>
      </c>
      <c r="B249" s="2" t="s">
        <v>3926</v>
      </c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94"/>
      <c r="O249" s="34"/>
      <c r="P249" s="34"/>
      <c r="Q249" s="34"/>
      <c r="R249" s="34"/>
      <c r="S249" s="34"/>
      <c r="T249" s="34"/>
      <c r="U249" s="34"/>
      <c r="V249" s="34"/>
      <c r="W249" s="1"/>
      <c r="X249" s="1"/>
      <c r="Y249" s="1"/>
      <c r="Z249" s="1"/>
      <c r="AA249" s="1"/>
      <c r="AB249" s="1"/>
      <c r="AC249" s="1"/>
      <c r="AD249" s="1"/>
      <c r="AE249" s="89"/>
      <c r="AF249" s="89"/>
      <c r="AG249" s="89"/>
      <c r="AH249" s="89"/>
      <c r="AI249" s="89"/>
      <c r="AJ249" s="89"/>
      <c r="AK249" s="89"/>
      <c r="AL249" s="89"/>
      <c r="AM249" s="94"/>
      <c r="AN249" s="94"/>
      <c r="AO249" s="94"/>
      <c r="AP249" s="94"/>
      <c r="AQ249" s="94"/>
      <c r="AR249" s="94"/>
      <c r="AS249" s="94"/>
      <c r="AT249" s="94"/>
      <c r="AU249" s="94"/>
      <c r="AV249" s="94"/>
      <c r="AW249" s="94"/>
      <c r="AX249" s="94"/>
      <c r="AY249" s="94"/>
      <c r="AZ249" s="94"/>
      <c r="BA249" s="94"/>
      <c r="BB249" s="94"/>
      <c r="BC249" s="1"/>
      <c r="BD249" s="1"/>
      <c r="BE249" s="1"/>
      <c r="BF249" s="1"/>
      <c r="BG249" s="1"/>
      <c r="BH249" s="1"/>
      <c r="BI249" s="1"/>
      <c r="BJ249" s="1"/>
      <c r="BK249" s="89"/>
      <c r="BL249" s="89"/>
      <c r="BM249" s="89"/>
      <c r="BN249" s="89"/>
      <c r="BO249" s="89"/>
      <c r="BP249" s="89"/>
      <c r="BQ249" s="89"/>
      <c r="BR249" s="89"/>
      <c r="BS249" s="1"/>
    </row>
    <row r="250" spans="1:71" s="30" customFormat="1" ht="17.100000000000001" customHeight="1">
      <c r="A250" s="10">
        <v>239</v>
      </c>
      <c r="B250" s="10" t="s">
        <v>3927</v>
      </c>
      <c r="C250" s="4" t="s">
        <v>3926</v>
      </c>
      <c r="D250" s="4" t="s">
        <v>3928</v>
      </c>
      <c r="E250" s="4" t="s">
        <v>3929</v>
      </c>
      <c r="F250" s="10" t="s">
        <v>4979</v>
      </c>
      <c r="G250" s="4" t="s">
        <v>3930</v>
      </c>
      <c r="H250" s="7" t="s">
        <v>3931</v>
      </c>
      <c r="I250" s="4" t="s">
        <v>3932</v>
      </c>
      <c r="J250" s="10" t="s">
        <v>4339</v>
      </c>
      <c r="K250" s="4" t="s">
        <v>5471</v>
      </c>
      <c r="L250" s="4" t="s">
        <v>3933</v>
      </c>
      <c r="M250" s="10">
        <v>2</v>
      </c>
      <c r="N250" s="95">
        <v>732.33780000000002</v>
      </c>
      <c r="O250" s="37" t="str">
        <f>HYPERLINK("http://ms.phosphosite.org:5080/cgi-bin/plot-msms.cgi?MassType=1&amp;NumAxis=1&amp;Mod10=170&amp;Pep=ENDEEMKAAKEK&amp;Dta=/var/www/html/dta/S01/10558.1889.2.dta&amp;Global_Mod=CS57.0215", "1889")</f>
        <v>1889</v>
      </c>
      <c r="P250" s="37" t="str">
        <f>HYPERLINK("http://ms.phosphosite.org:5080/cgi-bin/plot-msms.cgi?MassType=1&amp;NumAxis=1&amp;Mod10=170&amp;Pep=ENDEEMKAAKEK&amp;Dta=/var/www/html/dta/S01/10559.1868.2.dta&amp;Global_Mod=CS57.0215", "1868")</f>
        <v>1868</v>
      </c>
      <c r="Q250" s="37" t="str">
        <f>HYPERLINK("http://ms.phosphosite.org:5080/cgi-bin/plot-msms.cgi?MassType=1&amp;NumAxis=1&amp;Mod10=170&amp;Pep=ENDEEMKAAKEK&amp;Dta=/var/www/html/dta/S01/10560.1811.2.dta&amp;Global_Mod=CS57.0215", "1811")</f>
        <v>1811</v>
      </c>
      <c r="R250" s="37" t="str">
        <f>HYPERLINK("http://ms.phosphosite.org:5080/cgi-bin/plot-msms.cgi?MassType=1&amp;NumAxis=1&amp;Mod10=170&amp;Pep=ENDEEMKAAKEK&amp;Dta=/var/www/html/dta/S01/10561.1858.2.dta&amp;Global_Mod=CS57.0215", "1858")</f>
        <v>1858</v>
      </c>
      <c r="S250" s="38" t="s">
        <v>4854</v>
      </c>
      <c r="T250" s="37" t="str">
        <f>HYPERLINK("http://ms.phosphosite.org:5080/cgi-bin/plot-msms.cgi?MassType=1&amp;NumAxis=1&amp;Mod10=170&amp;Pep=ENDEEMKAAKEK&amp;Dta=/var/www/html/dta/S01/10563.1843.2.dta&amp;Global_Mod=CS57.0215", "1843")</f>
        <v>1843</v>
      </c>
      <c r="U250" s="37" t="str">
        <f>HYPERLINK("http://ms.phosphosite.org:5080/cgi-bin/plot-msms.cgi?MassType=1&amp;NumAxis=1&amp;Mod10=170&amp;Pep=ENDEEMKAAKEK&amp;Dta=/var/www/html/dta/S01/10564.2106.2.dta&amp;Global_Mod=CS57.0215", "2106")</f>
        <v>2106</v>
      </c>
      <c r="V250" s="37" t="str">
        <f>HYPERLINK("http://ms.phosphosite.org:5080/cgi-bin/plot-msms.cgi?MassType=1&amp;NumAxis=1&amp;Mod10=170&amp;Pep=ENDEEMKAAKEK&amp;Dta=/var/www/html/dta/S01/10565.2156.2.dta&amp;Global_Mod=CS57.0215", "2156")</f>
        <v>2156</v>
      </c>
      <c r="W250" s="10">
        <v>1895</v>
      </c>
      <c r="X250" s="10">
        <v>1865</v>
      </c>
      <c r="Y250" s="10">
        <v>1803</v>
      </c>
      <c r="Z250" s="10">
        <v>1852</v>
      </c>
      <c r="AA250" s="4" t="s">
        <v>4854</v>
      </c>
      <c r="AB250" s="10">
        <v>1834</v>
      </c>
      <c r="AC250" s="10">
        <v>2100</v>
      </c>
      <c r="AD250" s="10">
        <v>2158</v>
      </c>
      <c r="AE250" s="91">
        <v>2.9940000000000002</v>
      </c>
      <c r="AF250" s="91">
        <v>2.5880000000000001</v>
      </c>
      <c r="AG250" s="91">
        <v>2.157</v>
      </c>
      <c r="AH250" s="91">
        <v>2.661</v>
      </c>
      <c r="AI250" s="100" t="s">
        <v>4854</v>
      </c>
      <c r="AJ250" s="91">
        <v>2.1110000000000002</v>
      </c>
      <c r="AK250" s="91">
        <v>2.077</v>
      </c>
      <c r="AL250" s="91">
        <v>2.5249999999999999</v>
      </c>
      <c r="AM250" s="95">
        <v>0.40250000000000002</v>
      </c>
      <c r="AN250" s="95">
        <v>0.3246</v>
      </c>
      <c r="AO250" s="95">
        <v>1.2257</v>
      </c>
      <c r="AP250" s="95">
        <v>1.2728999999999999</v>
      </c>
      <c r="AQ250" s="103" t="s">
        <v>4854</v>
      </c>
      <c r="AR250" s="95">
        <v>1.5824</v>
      </c>
      <c r="AS250" s="95">
        <v>0.57740000000000002</v>
      </c>
      <c r="AT250" s="95">
        <v>-7.9200000000000007E-2</v>
      </c>
      <c r="AU250" s="95">
        <v>0.33200000000000002</v>
      </c>
      <c r="AV250" s="95">
        <v>0.32800000000000001</v>
      </c>
      <c r="AW250" s="95">
        <v>0.121</v>
      </c>
      <c r="AX250" s="95">
        <v>0.32200000000000001</v>
      </c>
      <c r="AY250" s="103" t="s">
        <v>4854</v>
      </c>
      <c r="AZ250" s="95">
        <v>0.26200000000000001</v>
      </c>
      <c r="BA250" s="95">
        <v>0.32600000000000001</v>
      </c>
      <c r="BB250" s="95">
        <v>0.28699999999999998</v>
      </c>
      <c r="BC250" s="10">
        <v>1</v>
      </c>
      <c r="BD250" s="10">
        <v>1</v>
      </c>
      <c r="BE250" s="10">
        <v>2</v>
      </c>
      <c r="BF250" s="10">
        <v>1</v>
      </c>
      <c r="BG250" s="4" t="s">
        <v>4854</v>
      </c>
      <c r="BH250" s="10">
        <v>1</v>
      </c>
      <c r="BI250" s="10">
        <v>1</v>
      </c>
      <c r="BJ250" s="10">
        <v>1</v>
      </c>
      <c r="BK250" s="91">
        <v>1</v>
      </c>
      <c r="BL250" s="91">
        <v>1</v>
      </c>
      <c r="BM250" s="91">
        <v>0.98399999999999999</v>
      </c>
      <c r="BN250" s="91">
        <v>1</v>
      </c>
      <c r="BO250" s="100" t="s">
        <v>4854</v>
      </c>
      <c r="BP250" s="91">
        <v>0.997</v>
      </c>
      <c r="BQ250" s="91">
        <v>0.999</v>
      </c>
      <c r="BR250" s="91">
        <v>0.999</v>
      </c>
      <c r="BS250" s="10" t="s">
        <v>4857</v>
      </c>
    </row>
    <row r="251" spans="1:71" s="30" customFormat="1" ht="17.100000000000001" customHeight="1">
      <c r="A251" s="10">
        <v>240</v>
      </c>
      <c r="B251" s="10" t="s">
        <v>4267</v>
      </c>
      <c r="C251" s="4" t="s">
        <v>3926</v>
      </c>
      <c r="D251" s="4" t="s">
        <v>3928</v>
      </c>
      <c r="E251" s="4" t="s">
        <v>3929</v>
      </c>
      <c r="F251" s="10" t="s">
        <v>4979</v>
      </c>
      <c r="G251" s="4" t="s">
        <v>3930</v>
      </c>
      <c r="H251" s="7" t="s">
        <v>3931</v>
      </c>
      <c r="I251" s="4" t="s">
        <v>3932</v>
      </c>
      <c r="J251" s="10" t="s">
        <v>4339</v>
      </c>
      <c r="K251" s="4" t="s">
        <v>5471</v>
      </c>
      <c r="L251" s="4" t="s">
        <v>3933</v>
      </c>
      <c r="M251" s="10">
        <v>3</v>
      </c>
      <c r="N251" s="95">
        <v>488.5609</v>
      </c>
      <c r="O251" s="38" t="s">
        <v>4854</v>
      </c>
      <c r="P251" s="37" t="str">
        <f>HYPERLINK("http://ms.phosphosite.org:5080/cgi-bin/plot-msms.cgi?MassType=1&amp;NumAxis=1&amp;Mod10=170&amp;Pep=ENDEEMKAAKEK&amp;Dta=/var/www/html/dta/S01/10559.1877.3.dta&amp;Global_Mod=CS57.0215", "1877")</f>
        <v>1877</v>
      </c>
      <c r="Q251" s="38" t="s">
        <v>4854</v>
      </c>
      <c r="R251" s="37" t="str">
        <f>HYPERLINK("http://ms.phosphosite.org:5080/cgi-bin/plot-msms.cgi?MassType=1&amp;NumAxis=1&amp;Mod10=170&amp;Pep=ENDEEMKAAKEK&amp;Dta=/var/www/html/dta/S01/10561.1876.3.dta&amp;Global_Mod=CS57.0215", "1876")</f>
        <v>1876</v>
      </c>
      <c r="S251" s="38" t="s">
        <v>4854</v>
      </c>
      <c r="T251" s="38" t="s">
        <v>4854</v>
      </c>
      <c r="U251" s="38" t="s">
        <v>4854</v>
      </c>
      <c r="V251" s="38" t="s">
        <v>4854</v>
      </c>
      <c r="W251" s="4" t="s">
        <v>4854</v>
      </c>
      <c r="X251" s="10">
        <v>1865</v>
      </c>
      <c r="Y251" s="4" t="s">
        <v>4854</v>
      </c>
      <c r="Z251" s="4" t="s">
        <v>4854</v>
      </c>
      <c r="AA251" s="4" t="s">
        <v>4854</v>
      </c>
      <c r="AB251" s="4" t="s">
        <v>4854</v>
      </c>
      <c r="AC251" s="4" t="s">
        <v>4854</v>
      </c>
      <c r="AD251" s="4" t="s">
        <v>4854</v>
      </c>
      <c r="AE251" s="100" t="s">
        <v>4854</v>
      </c>
      <c r="AF251" s="91">
        <v>2.09</v>
      </c>
      <c r="AG251" s="100" t="s">
        <v>4854</v>
      </c>
      <c r="AH251" s="91">
        <v>2.3199999999999998</v>
      </c>
      <c r="AI251" s="100" t="s">
        <v>4854</v>
      </c>
      <c r="AJ251" s="100" t="s">
        <v>4854</v>
      </c>
      <c r="AK251" s="100" t="s">
        <v>4854</v>
      </c>
      <c r="AL251" s="100" t="s">
        <v>4854</v>
      </c>
      <c r="AM251" s="103" t="s">
        <v>4854</v>
      </c>
      <c r="AN251" s="95">
        <v>-7.4999999999999997E-3</v>
      </c>
      <c r="AO251" s="103" t="s">
        <v>4854</v>
      </c>
      <c r="AP251" s="95">
        <v>9.9099999999999994E-2</v>
      </c>
      <c r="AQ251" s="103" t="s">
        <v>4854</v>
      </c>
      <c r="AR251" s="103" t="s">
        <v>4854</v>
      </c>
      <c r="AS251" s="103" t="s">
        <v>4854</v>
      </c>
      <c r="AT251" s="103" t="s">
        <v>4854</v>
      </c>
      <c r="AU251" s="103" t="s">
        <v>4854</v>
      </c>
      <c r="AV251" s="95">
        <v>0.2</v>
      </c>
      <c r="AW251" s="103" t="s">
        <v>4854</v>
      </c>
      <c r="AX251" s="95">
        <v>4.5999999999999999E-2</v>
      </c>
      <c r="AY251" s="103" t="s">
        <v>4854</v>
      </c>
      <c r="AZ251" s="103" t="s">
        <v>4854</v>
      </c>
      <c r="BA251" s="103" t="s">
        <v>4854</v>
      </c>
      <c r="BB251" s="103" t="s">
        <v>4854</v>
      </c>
      <c r="BC251" s="4" t="s">
        <v>4854</v>
      </c>
      <c r="BD251" s="10">
        <v>1</v>
      </c>
      <c r="BE251" s="4" t="s">
        <v>4854</v>
      </c>
      <c r="BF251" s="10">
        <v>79</v>
      </c>
      <c r="BG251" s="4" t="s">
        <v>4854</v>
      </c>
      <c r="BH251" s="4" t="s">
        <v>4854</v>
      </c>
      <c r="BI251" s="4" t="s">
        <v>4854</v>
      </c>
      <c r="BJ251" s="4" t="s">
        <v>4854</v>
      </c>
      <c r="BK251" s="100" t="s">
        <v>4854</v>
      </c>
      <c r="BL251" s="91">
        <v>0.996</v>
      </c>
      <c r="BM251" s="100" t="s">
        <v>4854</v>
      </c>
      <c r="BN251" s="91">
        <v>0.92</v>
      </c>
      <c r="BO251" s="100" t="s">
        <v>4854</v>
      </c>
      <c r="BP251" s="100" t="s">
        <v>4854</v>
      </c>
      <c r="BQ251" s="100" t="s">
        <v>4854</v>
      </c>
      <c r="BR251" s="100" t="s">
        <v>4854</v>
      </c>
      <c r="BS251" s="10" t="s">
        <v>4857</v>
      </c>
    </row>
    <row r="252" spans="1:71" s="30" customFormat="1" ht="17.100000000000001" customHeight="1">
      <c r="A252" s="14">
        <v>241</v>
      </c>
      <c r="B252" s="5" t="s">
        <v>3934</v>
      </c>
      <c r="C252" s="3" t="s">
        <v>3926</v>
      </c>
      <c r="D252" s="3" t="s">
        <v>3928</v>
      </c>
      <c r="E252" s="3" t="s">
        <v>3929</v>
      </c>
      <c r="F252" s="5" t="s">
        <v>5241</v>
      </c>
      <c r="G252" s="3" t="s">
        <v>3930</v>
      </c>
      <c r="H252" s="6" t="s">
        <v>3931</v>
      </c>
      <c r="I252" s="3" t="s">
        <v>3932</v>
      </c>
      <c r="J252" s="5" t="s">
        <v>4339</v>
      </c>
      <c r="K252" s="3" t="s">
        <v>5472</v>
      </c>
      <c r="L252" s="3" t="s">
        <v>3935</v>
      </c>
      <c r="M252" s="5">
        <v>2</v>
      </c>
      <c r="N252" s="21">
        <v>468.25850000000003</v>
      </c>
      <c r="O252" s="36" t="str">
        <f>HYPERLINK("http://ms.phosphosite.org:5080/cgi-bin/plot-msms.cgi?MassType=1&amp;NumAxis=1&amp;Mod2=170&amp;Pep=LKYWQR&amp;Dta=/var/www/html/dta/S01/10558.5253.2.dta&amp;Global_Mod=CS57.0215", "5253")</f>
        <v>5253</v>
      </c>
      <c r="P252" s="36" t="str">
        <f>HYPERLINK("http://ms.phosphosite.org:5080/cgi-bin/plot-msms.cgi?MassType=1&amp;NumAxis=1&amp;Mod2=170&amp;Pep=LKYWQR&amp;Dta=/var/www/html/dta/S01/10559.5123.2.dta&amp;Global_Mod=CS57.0215", "5123")</f>
        <v>5123</v>
      </c>
      <c r="Q252" s="35" t="s">
        <v>4854</v>
      </c>
      <c r="R252" s="35" t="s">
        <v>4854</v>
      </c>
      <c r="S252" s="36" t="str">
        <f>HYPERLINK("http://ms.phosphosite.org:5080/cgi-bin/plot-msms.cgi?MassType=1&amp;NumAxis=1&amp;Mod2=170&amp;Pep=LKYWQR&amp;Dta=/var/www/html/dta/S01/10562.5268.2.dta&amp;Global_Mod=CS57.0215", "5268")</f>
        <v>5268</v>
      </c>
      <c r="T252" s="35" t="s">
        <v>4854</v>
      </c>
      <c r="U252" s="35" t="s">
        <v>4854</v>
      </c>
      <c r="V252" s="35" t="s">
        <v>4854</v>
      </c>
      <c r="W252" s="5">
        <v>5239</v>
      </c>
      <c r="X252" s="5">
        <v>5119</v>
      </c>
      <c r="Y252" s="3" t="s">
        <v>4854</v>
      </c>
      <c r="Z252" s="3" t="s">
        <v>4854</v>
      </c>
      <c r="AA252" s="5">
        <v>5262</v>
      </c>
      <c r="AB252" s="3" t="s">
        <v>4854</v>
      </c>
      <c r="AC252" s="3" t="s">
        <v>4854</v>
      </c>
      <c r="AD252" s="3" t="s">
        <v>4854</v>
      </c>
      <c r="AE252" s="90">
        <v>1.857</v>
      </c>
      <c r="AF252" s="90">
        <v>2.1589999999999998</v>
      </c>
      <c r="AG252" s="99" t="s">
        <v>4854</v>
      </c>
      <c r="AH252" s="99" t="s">
        <v>4854</v>
      </c>
      <c r="AI252" s="90">
        <v>1.9419999999999999</v>
      </c>
      <c r="AJ252" s="99" t="s">
        <v>4854</v>
      </c>
      <c r="AK252" s="99" t="s">
        <v>4854</v>
      </c>
      <c r="AL252" s="99" t="s">
        <v>4854</v>
      </c>
      <c r="AM252" s="21">
        <v>-0.49580000000000002</v>
      </c>
      <c r="AN252" s="21">
        <v>0.2011</v>
      </c>
      <c r="AO252" s="102" t="s">
        <v>4854</v>
      </c>
      <c r="AP252" s="102" t="s">
        <v>4854</v>
      </c>
      <c r="AQ252" s="21">
        <v>-0.1666</v>
      </c>
      <c r="AR252" s="102" t="s">
        <v>4854</v>
      </c>
      <c r="AS252" s="102" t="s">
        <v>4854</v>
      </c>
      <c r="AT252" s="102" t="s">
        <v>4854</v>
      </c>
      <c r="AU252" s="21">
        <v>7.6999999999999999E-2</v>
      </c>
      <c r="AV252" s="21">
        <v>0.113</v>
      </c>
      <c r="AW252" s="102" t="s">
        <v>4854</v>
      </c>
      <c r="AX252" s="102" t="s">
        <v>4854</v>
      </c>
      <c r="AY252" s="21">
        <v>2.9000000000000001E-2</v>
      </c>
      <c r="AZ252" s="102" t="s">
        <v>4854</v>
      </c>
      <c r="BA252" s="102" t="s">
        <v>4854</v>
      </c>
      <c r="BB252" s="102" t="s">
        <v>4854</v>
      </c>
      <c r="BC252" s="5">
        <v>2</v>
      </c>
      <c r="BD252" s="5">
        <v>2</v>
      </c>
      <c r="BE252" s="3" t="s">
        <v>4854</v>
      </c>
      <c r="BF252" s="3" t="s">
        <v>4854</v>
      </c>
      <c r="BG252" s="5">
        <v>1</v>
      </c>
      <c r="BH252" s="3" t="s">
        <v>4854</v>
      </c>
      <c r="BI252" s="3" t="s">
        <v>4854</v>
      </c>
      <c r="BJ252" s="3" t="s">
        <v>4854</v>
      </c>
      <c r="BK252" s="90">
        <v>0.97599999999999998</v>
      </c>
      <c r="BL252" s="90">
        <v>0.99399999999999999</v>
      </c>
      <c r="BM252" s="99" t="s">
        <v>4854</v>
      </c>
      <c r="BN252" s="99" t="s">
        <v>4854</v>
      </c>
      <c r="BO252" s="90">
        <v>0.97399999999999998</v>
      </c>
      <c r="BP252" s="99" t="s">
        <v>4854</v>
      </c>
      <c r="BQ252" s="99" t="s">
        <v>4854</v>
      </c>
      <c r="BR252" s="99" t="s">
        <v>4854</v>
      </c>
      <c r="BS252" s="5" t="s">
        <v>4857</v>
      </c>
    </row>
    <row r="253" spans="1:71" s="30" customFormat="1" ht="17.100000000000001" customHeight="1">
      <c r="A253" s="10">
        <v>242</v>
      </c>
      <c r="B253" s="10" t="s">
        <v>3936</v>
      </c>
      <c r="C253" s="4" t="s">
        <v>3926</v>
      </c>
      <c r="D253" s="4" t="s">
        <v>3937</v>
      </c>
      <c r="E253" s="4" t="s">
        <v>3938</v>
      </c>
      <c r="F253" s="10" t="s">
        <v>3939</v>
      </c>
      <c r="G253" s="4" t="s">
        <v>3940</v>
      </c>
      <c r="H253" s="7" t="s">
        <v>3941</v>
      </c>
      <c r="I253" s="4" t="s">
        <v>3942</v>
      </c>
      <c r="J253" s="10" t="s">
        <v>4528</v>
      </c>
      <c r="K253" s="4" t="s">
        <v>5473</v>
      </c>
      <c r="L253" s="4" t="s">
        <v>3943</v>
      </c>
      <c r="M253" s="10">
        <v>4</v>
      </c>
      <c r="N253" s="95">
        <v>923.92049999999995</v>
      </c>
      <c r="O253" s="38" t="s">
        <v>4854</v>
      </c>
      <c r="P253" s="38" t="s">
        <v>4854</v>
      </c>
      <c r="Q253" s="38" t="s">
        <v>4854</v>
      </c>
      <c r="R253" s="38" t="s">
        <v>4854</v>
      </c>
      <c r="S253" s="38" t="s">
        <v>4854</v>
      </c>
      <c r="T253" s="37" t="str">
        <f>HYPERLINK("http://ms.phosphosite.org:5080/cgi-bin/plot-msms.cgi?MassType=1&amp;NumAxis=1&amp;Mod1=170&amp;Mod4=170&amp;Pep=KLLKAGGDPNRSIHTSSSSSSSSSSSSSSSSSSSSSSS&amp;Dta=/var/www/html/dta/S01/10563.12541.4.dta&amp;Global_Mod=CS57.0215", "12541")</f>
        <v>12541</v>
      </c>
      <c r="U253" s="38" t="s">
        <v>4854</v>
      </c>
      <c r="V253" s="38" t="s">
        <v>4854</v>
      </c>
      <c r="W253" s="4" t="s">
        <v>4854</v>
      </c>
      <c r="X253" s="4" t="s">
        <v>4854</v>
      </c>
      <c r="Y253" s="4" t="s">
        <v>4854</v>
      </c>
      <c r="Z253" s="4" t="s">
        <v>4854</v>
      </c>
      <c r="AA253" s="4" t="s">
        <v>4854</v>
      </c>
      <c r="AB253" s="4" t="s">
        <v>4854</v>
      </c>
      <c r="AC253" s="4" t="s">
        <v>4854</v>
      </c>
      <c r="AD253" s="4" t="s">
        <v>4854</v>
      </c>
      <c r="AE253" s="100" t="s">
        <v>4854</v>
      </c>
      <c r="AF253" s="100" t="s">
        <v>4854</v>
      </c>
      <c r="AG253" s="100" t="s">
        <v>4854</v>
      </c>
      <c r="AH253" s="100" t="s">
        <v>4854</v>
      </c>
      <c r="AI253" s="100" t="s">
        <v>4854</v>
      </c>
      <c r="AJ253" s="91">
        <v>3.032</v>
      </c>
      <c r="AK253" s="100" t="s">
        <v>4854</v>
      </c>
      <c r="AL253" s="100" t="s">
        <v>4854</v>
      </c>
      <c r="AM253" s="103" t="s">
        <v>4854</v>
      </c>
      <c r="AN253" s="103" t="s">
        <v>4854</v>
      </c>
      <c r="AO253" s="103" t="s">
        <v>4854</v>
      </c>
      <c r="AP253" s="103" t="s">
        <v>4854</v>
      </c>
      <c r="AQ253" s="103" t="s">
        <v>4854</v>
      </c>
      <c r="AR253" s="95">
        <v>7.2499999999999995E-2</v>
      </c>
      <c r="AS253" s="103" t="s">
        <v>4854</v>
      </c>
      <c r="AT253" s="103" t="s">
        <v>4854</v>
      </c>
      <c r="AU253" s="103" t="s">
        <v>4854</v>
      </c>
      <c r="AV253" s="103" t="s">
        <v>4854</v>
      </c>
      <c r="AW253" s="103" t="s">
        <v>4854</v>
      </c>
      <c r="AX253" s="103" t="s">
        <v>4854</v>
      </c>
      <c r="AY253" s="103" t="s">
        <v>4854</v>
      </c>
      <c r="AZ253" s="95">
        <v>0.13800000000000001</v>
      </c>
      <c r="BA253" s="103" t="s">
        <v>4854</v>
      </c>
      <c r="BB253" s="103" t="s">
        <v>4854</v>
      </c>
      <c r="BC253" s="4" t="s">
        <v>4854</v>
      </c>
      <c r="BD253" s="4" t="s">
        <v>4854</v>
      </c>
      <c r="BE253" s="4" t="s">
        <v>4854</v>
      </c>
      <c r="BF253" s="4" t="s">
        <v>4854</v>
      </c>
      <c r="BG253" s="4" t="s">
        <v>4854</v>
      </c>
      <c r="BH253" s="10">
        <v>1</v>
      </c>
      <c r="BI253" s="4" t="s">
        <v>4854</v>
      </c>
      <c r="BJ253" s="4" t="s">
        <v>4854</v>
      </c>
      <c r="BK253" s="100" t="s">
        <v>4854</v>
      </c>
      <c r="BL253" s="100" t="s">
        <v>4854</v>
      </c>
      <c r="BM253" s="100" t="s">
        <v>4854</v>
      </c>
      <c r="BN253" s="100" t="s">
        <v>4854</v>
      </c>
      <c r="BO253" s="100" t="s">
        <v>4854</v>
      </c>
      <c r="BP253" s="91">
        <v>0.60299999999999998</v>
      </c>
      <c r="BQ253" s="100" t="s">
        <v>4854</v>
      </c>
      <c r="BR253" s="100" t="s">
        <v>4854</v>
      </c>
      <c r="BS253" s="10" t="s">
        <v>4857</v>
      </c>
    </row>
    <row r="254" spans="1:71" s="30" customFormat="1" ht="17.100000000000001" customHeight="1">
      <c r="A254" s="14">
        <v>243</v>
      </c>
      <c r="B254" s="5" t="s">
        <v>3944</v>
      </c>
      <c r="C254" s="3" t="s">
        <v>3926</v>
      </c>
      <c r="D254" s="3" t="s">
        <v>3945</v>
      </c>
      <c r="E254" s="3" t="s">
        <v>3946</v>
      </c>
      <c r="F254" s="5" t="s">
        <v>3947</v>
      </c>
      <c r="G254" s="3" t="s">
        <v>3948</v>
      </c>
      <c r="H254" s="6" t="s">
        <v>3949</v>
      </c>
      <c r="I254" s="3" t="s">
        <v>3950</v>
      </c>
      <c r="J254" s="5" t="s">
        <v>3951</v>
      </c>
      <c r="K254" s="3" t="s">
        <v>5474</v>
      </c>
      <c r="L254" s="3" t="s">
        <v>3952</v>
      </c>
      <c r="M254" s="5">
        <v>3</v>
      </c>
      <c r="N254" s="21">
        <v>366.88170000000002</v>
      </c>
      <c r="O254" s="36" t="str">
        <f>HYPERLINK("http://ms.phosphosite.org:5080/cgi-bin/plot-msms.cgi?MassType=1&amp;NumAxis=1&amp;Mod3=170&amp;Pep=ALKHELAFK&amp;Dta=/var/www/html/dta/S01/10558.4793.3.dta&amp;Global_Mod=CS57.0215", "4793")</f>
        <v>4793</v>
      </c>
      <c r="P254" s="35" t="s">
        <v>4854</v>
      </c>
      <c r="Q254" s="36" t="str">
        <f>HYPERLINK("http://ms.phosphosite.org:5080/cgi-bin/plot-msms.cgi?MassType=1&amp;NumAxis=1&amp;Mod3=170&amp;Pep=ALKHELAFK&amp;Dta=/var/www/html/dta/S01/10560.4734.3.dta&amp;Global_Mod=CS57.0215", "4734")</f>
        <v>4734</v>
      </c>
      <c r="R254" s="35" t="s">
        <v>4854</v>
      </c>
      <c r="S254" s="36" t="str">
        <f>HYPERLINK("http://ms.phosphosite.org:5080/cgi-bin/plot-msms.cgi?MassType=1&amp;NumAxis=1&amp;Mod3=170&amp;Pep=ALKHELAFK&amp;Dta=/var/www/html/dta/S01/10562.4865.3.dta&amp;Global_Mod=CS57.0215", "4865")</f>
        <v>4865</v>
      </c>
      <c r="T254" s="36" t="str">
        <f>HYPERLINK("http://ms.phosphosite.org:5080/cgi-bin/plot-msms.cgi?MassType=1&amp;NumAxis=1&amp;Mod3=170&amp;Pep=ALKHELAFK&amp;Dta=/var/www/html/dta/S01/10563.4787.3.dta&amp;Global_Mod=CS57.0215", "4787")</f>
        <v>4787</v>
      </c>
      <c r="U254" s="35" t="s">
        <v>4854</v>
      </c>
      <c r="V254" s="36" t="str">
        <f>HYPERLINK("http://ms.phosphosite.org:5080/cgi-bin/plot-msms.cgi?MassType=1&amp;NumAxis=1&amp;Mod3=170&amp;Pep=ALKHELAFK&amp;Dta=/var/www/html/dta/S01/10565.5199.3.dta&amp;Global_Mod=CS57.0215", "5199")</f>
        <v>5199</v>
      </c>
      <c r="W254" s="5">
        <v>4790</v>
      </c>
      <c r="X254" s="3" t="s">
        <v>4854</v>
      </c>
      <c r="Y254" s="5">
        <v>4705</v>
      </c>
      <c r="Z254" s="3" t="s">
        <v>4854</v>
      </c>
      <c r="AA254" s="3" t="s">
        <v>4854</v>
      </c>
      <c r="AB254" s="5">
        <v>4782</v>
      </c>
      <c r="AC254" s="3" t="s">
        <v>4854</v>
      </c>
      <c r="AD254" s="5">
        <v>5229</v>
      </c>
      <c r="AE254" s="90">
        <v>2.802</v>
      </c>
      <c r="AF254" s="99" t="s">
        <v>4854</v>
      </c>
      <c r="AG254" s="90">
        <v>2.0939999999999999</v>
      </c>
      <c r="AH254" s="99" t="s">
        <v>4854</v>
      </c>
      <c r="AI254" s="90">
        <v>1.766</v>
      </c>
      <c r="AJ254" s="90">
        <v>2.6949999999999998</v>
      </c>
      <c r="AK254" s="99" t="s">
        <v>4854</v>
      </c>
      <c r="AL254" s="90">
        <v>2.3340000000000001</v>
      </c>
      <c r="AM254" s="21">
        <v>0.70699999999999996</v>
      </c>
      <c r="AN254" s="102" t="s">
        <v>4854</v>
      </c>
      <c r="AO254" s="21">
        <v>0.77800000000000002</v>
      </c>
      <c r="AP254" s="102" t="s">
        <v>4854</v>
      </c>
      <c r="AQ254" s="21">
        <v>0.87809999999999999</v>
      </c>
      <c r="AR254" s="21">
        <v>0.77249999999999996</v>
      </c>
      <c r="AS254" s="102" t="s">
        <v>4854</v>
      </c>
      <c r="AT254" s="21">
        <v>0.16539999999999999</v>
      </c>
      <c r="AU254" s="21">
        <v>0.41299999999999998</v>
      </c>
      <c r="AV254" s="102" t="s">
        <v>4854</v>
      </c>
      <c r="AW254" s="21">
        <v>0.155</v>
      </c>
      <c r="AX254" s="102" t="s">
        <v>4854</v>
      </c>
      <c r="AY254" s="21">
        <v>6.8000000000000005E-2</v>
      </c>
      <c r="AZ254" s="21">
        <v>0.20599999999999999</v>
      </c>
      <c r="BA254" s="102" t="s">
        <v>4854</v>
      </c>
      <c r="BB254" s="21">
        <v>0.222</v>
      </c>
      <c r="BC254" s="5">
        <v>1</v>
      </c>
      <c r="BD254" s="3" t="s">
        <v>4854</v>
      </c>
      <c r="BE254" s="5">
        <v>40</v>
      </c>
      <c r="BF254" s="3" t="s">
        <v>4854</v>
      </c>
      <c r="BG254" s="5">
        <v>21</v>
      </c>
      <c r="BH254" s="5">
        <v>1</v>
      </c>
      <c r="BI254" s="3" t="s">
        <v>4854</v>
      </c>
      <c r="BJ254" s="5">
        <v>6</v>
      </c>
      <c r="BK254" s="90">
        <v>1</v>
      </c>
      <c r="BL254" s="99" t="s">
        <v>4854</v>
      </c>
      <c r="BM254" s="90">
        <v>0.98299999999999998</v>
      </c>
      <c r="BN254" s="99" t="s">
        <v>4854</v>
      </c>
      <c r="BO254" s="90">
        <v>0.90700000000000003</v>
      </c>
      <c r="BP254" s="90">
        <v>0.999</v>
      </c>
      <c r="BQ254" s="99" t="s">
        <v>4854</v>
      </c>
      <c r="BR254" s="90">
        <v>0.998</v>
      </c>
      <c r="BS254" s="5" t="s">
        <v>4857</v>
      </c>
    </row>
    <row r="255" spans="1:71" ht="17.100000000000001" customHeight="1">
      <c r="A255" s="31">
        <v>244</v>
      </c>
      <c r="B255" s="2" t="s">
        <v>3953</v>
      </c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94"/>
      <c r="O255" s="34"/>
      <c r="P255" s="34"/>
      <c r="Q255" s="34"/>
      <c r="R255" s="34"/>
      <c r="S255" s="34"/>
      <c r="T255" s="34"/>
      <c r="U255" s="34"/>
      <c r="V255" s="34"/>
      <c r="W255" s="1"/>
      <c r="X255" s="1"/>
      <c r="Y255" s="1"/>
      <c r="Z255" s="1"/>
      <c r="AA255" s="1"/>
      <c r="AB255" s="1"/>
      <c r="AC255" s="1"/>
      <c r="AD255" s="1"/>
      <c r="AE255" s="89"/>
      <c r="AF255" s="89"/>
      <c r="AG255" s="89"/>
      <c r="AH255" s="89"/>
      <c r="AI255" s="89"/>
      <c r="AJ255" s="89"/>
      <c r="AK255" s="89"/>
      <c r="AL255" s="89"/>
      <c r="AM255" s="94"/>
      <c r="AN255" s="94"/>
      <c r="AO255" s="94"/>
      <c r="AP255" s="94"/>
      <c r="AQ255" s="94"/>
      <c r="AR255" s="94"/>
      <c r="AS255" s="94"/>
      <c r="AT255" s="94"/>
      <c r="AU255" s="94"/>
      <c r="AV255" s="94"/>
      <c r="AW255" s="94"/>
      <c r="AX255" s="94"/>
      <c r="AY255" s="94"/>
      <c r="AZ255" s="94"/>
      <c r="BA255" s="94"/>
      <c r="BB255" s="94"/>
      <c r="BC255" s="1"/>
      <c r="BD255" s="1"/>
      <c r="BE255" s="1"/>
      <c r="BF255" s="1"/>
      <c r="BG255" s="1"/>
      <c r="BH255" s="1"/>
      <c r="BI255" s="1"/>
      <c r="BJ255" s="1"/>
      <c r="BK255" s="89"/>
      <c r="BL255" s="89"/>
      <c r="BM255" s="89"/>
      <c r="BN255" s="89"/>
      <c r="BO255" s="89"/>
      <c r="BP255" s="89"/>
      <c r="BQ255" s="89"/>
      <c r="BR255" s="89"/>
      <c r="BS255" s="1"/>
    </row>
    <row r="256" spans="1:71" s="30" customFormat="1" ht="17.100000000000001" customHeight="1">
      <c r="A256" s="10">
        <v>245</v>
      </c>
      <c r="B256" s="10" t="s">
        <v>3954</v>
      </c>
      <c r="C256" s="4" t="s">
        <v>3953</v>
      </c>
      <c r="D256" s="4" t="s">
        <v>3955</v>
      </c>
      <c r="E256" s="7" t="s">
        <v>3956</v>
      </c>
      <c r="F256" s="10" t="s">
        <v>5070</v>
      </c>
      <c r="G256" s="4" t="s">
        <v>3957</v>
      </c>
      <c r="H256" s="7" t="s">
        <v>3958</v>
      </c>
      <c r="I256" s="4" t="s">
        <v>3959</v>
      </c>
      <c r="J256" s="10" t="s">
        <v>3824</v>
      </c>
      <c r="K256" s="4" t="s">
        <v>5475</v>
      </c>
      <c r="L256" s="4" t="s">
        <v>3825</v>
      </c>
      <c r="M256" s="10">
        <v>2</v>
      </c>
      <c r="N256" s="95">
        <v>725.85659999999996</v>
      </c>
      <c r="O256" s="37" t="str">
        <f>HYPERLINK("http://ms.phosphosite.org:5080/cgi-bin/plot-msms.cgi?MassType=1&amp;NumAxis=1&amp;Mod2=170&amp;Pep=EKYIDQEELNK&amp;Dta=/var/www/html/dta/S01/10558.5060.2.dta&amp;Global_Mod=CS57.0215", "5060")</f>
        <v>5060</v>
      </c>
      <c r="P256" s="38" t="s">
        <v>4854</v>
      </c>
      <c r="Q256" s="38" t="s">
        <v>4854</v>
      </c>
      <c r="R256" s="38" t="s">
        <v>4854</v>
      </c>
      <c r="S256" s="38" t="s">
        <v>4854</v>
      </c>
      <c r="T256" s="38" t="s">
        <v>4854</v>
      </c>
      <c r="U256" s="37" t="str">
        <f>HYPERLINK("http://ms.phosphosite.org:5080/cgi-bin/plot-msms.cgi?MassType=1&amp;NumAxis=1&amp;Mod2=170&amp;Pep=EKYIDQEELNK&amp;Dta=/var/www/html/dta/S01/10564.5357.2.dta&amp;Global_Mod=CS57.0215", "5357")</f>
        <v>5357</v>
      </c>
      <c r="V256" s="38" t="s">
        <v>4854</v>
      </c>
      <c r="W256" s="10">
        <v>5063</v>
      </c>
      <c r="X256" s="4" t="s">
        <v>4854</v>
      </c>
      <c r="Y256" s="4" t="s">
        <v>4854</v>
      </c>
      <c r="Z256" s="4" t="s">
        <v>4854</v>
      </c>
      <c r="AA256" s="4" t="s">
        <v>4854</v>
      </c>
      <c r="AB256" s="4" t="s">
        <v>4854</v>
      </c>
      <c r="AC256" s="10">
        <v>5352</v>
      </c>
      <c r="AD256" s="4" t="s">
        <v>4854</v>
      </c>
      <c r="AE256" s="91">
        <v>2.6480000000000001</v>
      </c>
      <c r="AF256" s="100" t="s">
        <v>4854</v>
      </c>
      <c r="AG256" s="100" t="s">
        <v>4854</v>
      </c>
      <c r="AH256" s="100" t="s">
        <v>4854</v>
      </c>
      <c r="AI256" s="100" t="s">
        <v>4854</v>
      </c>
      <c r="AJ256" s="100" t="s">
        <v>4854</v>
      </c>
      <c r="AK256" s="91">
        <v>2.3319999999999999</v>
      </c>
      <c r="AL256" s="100" t="s">
        <v>4854</v>
      </c>
      <c r="AM256" s="95">
        <v>-0.87380000000000002</v>
      </c>
      <c r="AN256" s="103" t="s">
        <v>4854</v>
      </c>
      <c r="AO256" s="103" t="s">
        <v>4854</v>
      </c>
      <c r="AP256" s="103" t="s">
        <v>4854</v>
      </c>
      <c r="AQ256" s="103" t="s">
        <v>4854</v>
      </c>
      <c r="AR256" s="103" t="s">
        <v>4854</v>
      </c>
      <c r="AS256" s="95">
        <v>-1.3431999999999999</v>
      </c>
      <c r="AT256" s="103" t="s">
        <v>4854</v>
      </c>
      <c r="AU256" s="95">
        <v>0.30099999999999999</v>
      </c>
      <c r="AV256" s="103" t="s">
        <v>4854</v>
      </c>
      <c r="AW256" s="103" t="s">
        <v>4854</v>
      </c>
      <c r="AX256" s="103" t="s">
        <v>4854</v>
      </c>
      <c r="AY256" s="103" t="s">
        <v>4854</v>
      </c>
      <c r="AZ256" s="103" t="s">
        <v>4854</v>
      </c>
      <c r="BA256" s="95">
        <v>0.219</v>
      </c>
      <c r="BB256" s="103" t="s">
        <v>4854</v>
      </c>
      <c r="BC256" s="10">
        <v>2</v>
      </c>
      <c r="BD256" s="4" t="s">
        <v>4854</v>
      </c>
      <c r="BE256" s="4" t="s">
        <v>4854</v>
      </c>
      <c r="BF256" s="4" t="s">
        <v>4854</v>
      </c>
      <c r="BG256" s="4" t="s">
        <v>4854</v>
      </c>
      <c r="BH256" s="4" t="s">
        <v>4854</v>
      </c>
      <c r="BI256" s="10">
        <v>1</v>
      </c>
      <c r="BJ256" s="4" t="s">
        <v>4854</v>
      </c>
      <c r="BK256" s="91">
        <v>0.999</v>
      </c>
      <c r="BL256" s="100" t="s">
        <v>4854</v>
      </c>
      <c r="BM256" s="100" t="s">
        <v>4854</v>
      </c>
      <c r="BN256" s="100" t="s">
        <v>4854</v>
      </c>
      <c r="BO256" s="100" t="s">
        <v>4854</v>
      </c>
      <c r="BP256" s="100" t="s">
        <v>4854</v>
      </c>
      <c r="BQ256" s="91">
        <v>0.97</v>
      </c>
      <c r="BR256" s="100" t="s">
        <v>4854</v>
      </c>
      <c r="BS256" s="10" t="s">
        <v>4857</v>
      </c>
    </row>
    <row r="257" spans="1:71" s="30" customFormat="1" ht="17.100000000000001" customHeight="1">
      <c r="A257" s="14">
        <v>246</v>
      </c>
      <c r="B257" s="5" t="s">
        <v>4252</v>
      </c>
      <c r="C257" s="3" t="s">
        <v>3953</v>
      </c>
      <c r="D257" s="3" t="s">
        <v>3826</v>
      </c>
      <c r="E257" s="6" t="s">
        <v>3827</v>
      </c>
      <c r="F257" s="5" t="s">
        <v>5102</v>
      </c>
      <c r="G257" s="3" t="s">
        <v>3828</v>
      </c>
      <c r="H257" s="6" t="s">
        <v>3829</v>
      </c>
      <c r="I257" s="3" t="s">
        <v>3830</v>
      </c>
      <c r="J257" s="5" t="s">
        <v>4556</v>
      </c>
      <c r="K257" s="3" t="s">
        <v>5476</v>
      </c>
      <c r="L257" s="3" t="s">
        <v>3831</v>
      </c>
      <c r="M257" s="5">
        <v>2</v>
      </c>
      <c r="N257" s="21">
        <v>611.8193</v>
      </c>
      <c r="O257" s="36" t="str">
        <f>HYPERLINK("http://ms.phosphosite.org:5080/cgi-bin/plot-msms.cgi?MassType=1&amp;NumAxis=1&amp;Mod6=170&amp;Pep=VQVEYKGETK&amp;Dta=/var/www/html/dta/S01/10558.3319.2.dta&amp;Global_Mod=CS57.0215", "3319")</f>
        <v>3319</v>
      </c>
      <c r="P257" s="36" t="str">
        <f>HYPERLINK("http://ms.phosphosite.org:5080/cgi-bin/plot-msms.cgi?MassType=1&amp;NumAxis=1&amp;Mod6=170&amp;Pep=VQVEYKGETK&amp;Dta=/var/www/html/dta/S01/10559.3278.2.dta&amp;Global_Mod=CS57.0215", "3278")</f>
        <v>3278</v>
      </c>
      <c r="Q257" s="36" t="str">
        <f>HYPERLINK("http://ms.phosphosite.org:5080/cgi-bin/plot-msms.cgi?MassType=1&amp;NumAxis=1&amp;Mod6=170&amp;Pep=VQVEYKGETK&amp;Dta=/var/www/html/dta/S01/10560.3248.2.dta&amp;Global_Mod=CS57.0215", "3248")</f>
        <v>3248</v>
      </c>
      <c r="R257" s="36" t="str">
        <f>HYPERLINK("http://ms.phosphosite.org:5080/cgi-bin/plot-msms.cgi?MassType=1&amp;NumAxis=1&amp;Mod6=170&amp;Pep=VQVEYKGETK&amp;Dta=/var/www/html/dta/S01/10561.3255.2.dta&amp;Global_Mod=CS57.0215", "3255")</f>
        <v>3255</v>
      </c>
      <c r="S257" s="36" t="str">
        <f>HYPERLINK("http://ms.phosphosite.org:5080/cgi-bin/plot-msms.cgi?MassType=1&amp;NumAxis=1&amp;Mod6=170&amp;Pep=VQVEYKGETK&amp;Dta=/var/www/html/dta/S01/10562.3354.2.dta&amp;Global_Mod=CS57.0215", "3354")</f>
        <v>3354</v>
      </c>
      <c r="T257" s="36" t="str">
        <f>HYPERLINK("http://ms.phosphosite.org:5080/cgi-bin/plot-msms.cgi?MassType=1&amp;NumAxis=1&amp;Mod6=170&amp;Pep=VQVEYKGETK&amp;Dta=/var/www/html/dta/S01/10563.3286.2.dta&amp;Global_Mod=CS57.0215", "3286")</f>
        <v>3286</v>
      </c>
      <c r="U257" s="36" t="str">
        <f>HYPERLINK("http://ms.phosphosite.org:5080/cgi-bin/plot-msms.cgi?MassType=1&amp;NumAxis=1&amp;Mod6=170&amp;Pep=VQVEYKGETK&amp;Dta=/var/www/html/dta/S01/10564.3619.2.dta&amp;Global_Mod=CS57.0215", "3619")</f>
        <v>3619</v>
      </c>
      <c r="V257" s="36" t="str">
        <f>HYPERLINK("http://ms.phosphosite.org:5080/cgi-bin/plot-msms.cgi?MassType=1&amp;NumAxis=1&amp;Mod6=170&amp;Pep=VQVEYKGETK&amp;Dta=/var/www/html/dta/S01/10565.3699.2.dta&amp;Global_Mod=CS57.0215", "3699")</f>
        <v>3699</v>
      </c>
      <c r="W257" s="5">
        <v>3327</v>
      </c>
      <c r="X257" s="5">
        <v>3253</v>
      </c>
      <c r="Y257" s="5">
        <v>3256</v>
      </c>
      <c r="Z257" s="5">
        <v>3273</v>
      </c>
      <c r="AA257" s="5">
        <v>3361</v>
      </c>
      <c r="AB257" s="5">
        <v>3284</v>
      </c>
      <c r="AC257" s="5">
        <v>3627</v>
      </c>
      <c r="AD257" s="5">
        <v>3696</v>
      </c>
      <c r="AE257" s="90">
        <v>2.7930000000000001</v>
      </c>
      <c r="AF257" s="90">
        <v>2.6320000000000001</v>
      </c>
      <c r="AG257" s="90">
        <v>3.028</v>
      </c>
      <c r="AH257" s="90">
        <v>2.6880000000000002</v>
      </c>
      <c r="AI257" s="90">
        <v>2.8580000000000001</v>
      </c>
      <c r="AJ257" s="90">
        <v>2.7280000000000002</v>
      </c>
      <c r="AK257" s="90">
        <v>2.9249999999999998</v>
      </c>
      <c r="AL257" s="90">
        <v>3.0680000000000001</v>
      </c>
      <c r="AM257" s="21">
        <v>0.107</v>
      </c>
      <c r="AN257" s="21">
        <v>0.46450000000000002</v>
      </c>
      <c r="AO257" s="21">
        <v>1.14E-2</v>
      </c>
      <c r="AP257" s="21">
        <v>0.5111</v>
      </c>
      <c r="AQ257" s="21">
        <v>0.31719999999999998</v>
      </c>
      <c r="AR257" s="21">
        <v>0.56430000000000002</v>
      </c>
      <c r="AS257" s="21">
        <v>8.5800000000000001E-2</v>
      </c>
      <c r="AT257" s="21">
        <v>-0.20380000000000001</v>
      </c>
      <c r="AU257" s="21">
        <v>0.309</v>
      </c>
      <c r="AV257" s="21">
        <v>0.27300000000000002</v>
      </c>
      <c r="AW257" s="21">
        <v>0.35199999999999998</v>
      </c>
      <c r="AX257" s="21">
        <v>0.20200000000000001</v>
      </c>
      <c r="AY257" s="21">
        <v>0.309</v>
      </c>
      <c r="AZ257" s="21">
        <v>0.33300000000000002</v>
      </c>
      <c r="BA257" s="21">
        <v>0.34599999999999997</v>
      </c>
      <c r="BB257" s="21">
        <v>0.39400000000000002</v>
      </c>
      <c r="BC257" s="5">
        <v>1</v>
      </c>
      <c r="BD257" s="5">
        <v>1</v>
      </c>
      <c r="BE257" s="5">
        <v>1</v>
      </c>
      <c r="BF257" s="5">
        <v>1</v>
      </c>
      <c r="BG257" s="5">
        <v>1</v>
      </c>
      <c r="BH257" s="5">
        <v>1</v>
      </c>
      <c r="BI257" s="5">
        <v>1</v>
      </c>
      <c r="BJ257" s="5">
        <v>1</v>
      </c>
      <c r="BK257" s="90">
        <v>1</v>
      </c>
      <c r="BL257" s="90">
        <v>0.999</v>
      </c>
      <c r="BM257" s="90">
        <v>1</v>
      </c>
      <c r="BN257" s="90">
        <v>0.999</v>
      </c>
      <c r="BO257" s="90">
        <v>1</v>
      </c>
      <c r="BP257" s="90">
        <v>1</v>
      </c>
      <c r="BQ257" s="90">
        <v>1</v>
      </c>
      <c r="BR257" s="90">
        <v>1</v>
      </c>
      <c r="BS257" s="5" t="s">
        <v>4857</v>
      </c>
    </row>
    <row r="258" spans="1:71" s="30" customFormat="1" ht="17.100000000000001" customHeight="1">
      <c r="A258" s="10">
        <v>247</v>
      </c>
      <c r="B258" s="10" t="s">
        <v>3832</v>
      </c>
      <c r="C258" s="4" t="s">
        <v>3953</v>
      </c>
      <c r="D258" s="4" t="s">
        <v>3826</v>
      </c>
      <c r="E258" s="7" t="s">
        <v>3827</v>
      </c>
      <c r="F258" s="10" t="s">
        <v>4860</v>
      </c>
      <c r="G258" s="4" t="s">
        <v>3828</v>
      </c>
      <c r="H258" s="7" t="s">
        <v>3829</v>
      </c>
      <c r="I258" s="4" t="s">
        <v>3830</v>
      </c>
      <c r="J258" s="10" t="s">
        <v>4556</v>
      </c>
      <c r="K258" s="4" t="s">
        <v>5477</v>
      </c>
      <c r="L258" s="4" t="s">
        <v>3833</v>
      </c>
      <c r="M258" s="10">
        <v>3</v>
      </c>
      <c r="N258" s="95">
        <v>840.75660000000005</v>
      </c>
      <c r="O258" s="37" t="str">
        <f>HYPERLINK("http://ms.phosphosite.org:5080/cgi-bin/plot-msms.cgi?MassType=1&amp;NumAxis=1&amp;Mod2=170&amp;Mod16=160&amp;Pep=SKGPAVGIDLGTTYSCVGVFQHGK&amp;Dta=/var/www/html/dta/S01/10558.9621.3.dta&amp;Global_Mod=CS57.0215", "9621")</f>
        <v>9621</v>
      </c>
      <c r="P258" s="37" t="str">
        <f>HYPERLINK("http://ms.phosphosite.org:5080/cgi-bin/plot-msms.cgi?MassType=1&amp;NumAxis=1&amp;Mod2=170&amp;Mod16=160&amp;Pep=SKGPAVGIDLGTTYSCVGVFQHGK&amp;Dta=/var/www/html/dta/S01/10559.9604.3.dta&amp;Global_Mod=CS57.0215", "9604")</f>
        <v>9604</v>
      </c>
      <c r="Q258" s="37" t="str">
        <f>HYPERLINK("http://ms.phosphosite.org:5080/cgi-bin/plot-msms.cgi?MassType=1&amp;NumAxis=1&amp;Mod2=170&amp;Mod16=160&amp;Pep=SKGPAVGIDLGTTYSCVGVFQHGK&amp;Dta=/var/www/html/dta/S01/10560.9630.3.dta&amp;Global_Mod=CS57.0215", "9630")</f>
        <v>9630</v>
      </c>
      <c r="R258" s="37" t="str">
        <f>HYPERLINK("http://ms.phosphosite.org:5080/cgi-bin/plot-msms.cgi?MassType=1&amp;NumAxis=1&amp;Mod2=170&amp;Mod16=160&amp;Pep=SKGPAVGIDLGTTYSCVGVFQHGK&amp;Dta=/var/www/html/dta/S01/10561.9636.3.dta&amp;Global_Mod=CS57.0215", "9636")</f>
        <v>9636</v>
      </c>
      <c r="S258" s="37" t="str">
        <f>HYPERLINK("http://ms.phosphosite.org:5080/cgi-bin/plot-msms.cgi?MassType=1&amp;NumAxis=1&amp;Mod2=170&amp;Mod16=160&amp;Pep=SKGPAVGIDLGTTYSCVGVFQHGK&amp;Dta=/var/www/html/dta/S01/10562.9793.3.dta&amp;Global_Mod=CS57.0215", "9793")</f>
        <v>9793</v>
      </c>
      <c r="T258" s="37" t="str">
        <f>HYPERLINK("http://ms.phosphosite.org:5080/cgi-bin/plot-msms.cgi?MassType=1&amp;NumAxis=1&amp;Mod2=170&amp;Mod16=160&amp;Pep=SKGPAVGIDLGTTYSCVGVFQHGK&amp;Dta=/var/www/html/dta/S01/10563.9725.3.dta&amp;Global_Mod=CS57.0215", "9725")</f>
        <v>9725</v>
      </c>
      <c r="U258" s="38" t="s">
        <v>4854</v>
      </c>
      <c r="V258" s="38" t="s">
        <v>4854</v>
      </c>
      <c r="W258" s="10">
        <v>9635</v>
      </c>
      <c r="X258" s="10">
        <v>9607</v>
      </c>
      <c r="Y258" s="4" t="s">
        <v>4854</v>
      </c>
      <c r="Z258" s="10">
        <v>9637</v>
      </c>
      <c r="AA258" s="10">
        <v>9784</v>
      </c>
      <c r="AB258" s="10">
        <v>9731</v>
      </c>
      <c r="AC258" s="4" t="s">
        <v>4854</v>
      </c>
      <c r="AD258" s="4" t="s">
        <v>4854</v>
      </c>
      <c r="AE258" s="91">
        <v>5.391</v>
      </c>
      <c r="AF258" s="91">
        <v>4.6950000000000003</v>
      </c>
      <c r="AG258" s="91">
        <v>3.782</v>
      </c>
      <c r="AH258" s="91">
        <v>3.9940000000000002</v>
      </c>
      <c r="AI258" s="91">
        <v>5.0860000000000003</v>
      </c>
      <c r="AJ258" s="91">
        <v>5.3460000000000001</v>
      </c>
      <c r="AK258" s="100" t="s">
        <v>4854</v>
      </c>
      <c r="AL258" s="100" t="s">
        <v>4854</v>
      </c>
      <c r="AM258" s="95">
        <v>0.95720000000000005</v>
      </c>
      <c r="AN258" s="95">
        <v>1.5547</v>
      </c>
      <c r="AO258" s="95">
        <v>1.5106999999999999</v>
      </c>
      <c r="AP258" s="95">
        <v>0.92430000000000001</v>
      </c>
      <c r="AQ258" s="95">
        <v>1.1838</v>
      </c>
      <c r="AR258" s="95">
        <v>0.39450000000000002</v>
      </c>
      <c r="AS258" s="103" t="s">
        <v>4854</v>
      </c>
      <c r="AT258" s="103" t="s">
        <v>4854</v>
      </c>
      <c r="AU258" s="95">
        <v>0.44</v>
      </c>
      <c r="AV258" s="95">
        <v>0.46100000000000002</v>
      </c>
      <c r="AW258" s="95">
        <v>0.247</v>
      </c>
      <c r="AX258" s="95">
        <v>0.314</v>
      </c>
      <c r="AY258" s="95">
        <v>0.46600000000000003</v>
      </c>
      <c r="AZ258" s="95">
        <v>0.47899999999999998</v>
      </c>
      <c r="BA258" s="103" t="s">
        <v>4854</v>
      </c>
      <c r="BB258" s="103" t="s">
        <v>4854</v>
      </c>
      <c r="BC258" s="10">
        <v>1</v>
      </c>
      <c r="BD258" s="10">
        <v>1</v>
      </c>
      <c r="BE258" s="10">
        <v>1</v>
      </c>
      <c r="BF258" s="10">
        <v>1</v>
      </c>
      <c r="BG258" s="10">
        <v>1</v>
      </c>
      <c r="BH258" s="10">
        <v>1</v>
      </c>
      <c r="BI258" s="4" t="s">
        <v>4854</v>
      </c>
      <c r="BJ258" s="4" t="s">
        <v>4854</v>
      </c>
      <c r="BK258" s="91">
        <v>1</v>
      </c>
      <c r="BL258" s="91">
        <v>1</v>
      </c>
      <c r="BM258" s="91">
        <v>0.86</v>
      </c>
      <c r="BN258" s="91">
        <v>0.95899999999999996</v>
      </c>
      <c r="BO258" s="91">
        <v>1</v>
      </c>
      <c r="BP258" s="91">
        <v>1</v>
      </c>
      <c r="BQ258" s="100" t="s">
        <v>4854</v>
      </c>
      <c r="BR258" s="100" t="s">
        <v>4854</v>
      </c>
      <c r="BS258" s="10" t="s">
        <v>4857</v>
      </c>
    </row>
    <row r="259" spans="1:71" s="30" customFormat="1" ht="17.100000000000001" customHeight="1">
      <c r="A259" s="10">
        <v>248</v>
      </c>
      <c r="B259" s="10" t="s">
        <v>3834</v>
      </c>
      <c r="C259" s="4" t="s">
        <v>3953</v>
      </c>
      <c r="D259" s="4" t="s">
        <v>3826</v>
      </c>
      <c r="E259" s="7" t="s">
        <v>3827</v>
      </c>
      <c r="F259" s="10" t="s">
        <v>4860</v>
      </c>
      <c r="G259" s="4" t="s">
        <v>3828</v>
      </c>
      <c r="H259" s="7" t="s">
        <v>3829</v>
      </c>
      <c r="I259" s="4" t="s">
        <v>3830</v>
      </c>
      <c r="J259" s="10" t="s">
        <v>4556</v>
      </c>
      <c r="K259" s="4" t="s">
        <v>5477</v>
      </c>
      <c r="L259" s="4" t="s">
        <v>3833</v>
      </c>
      <c r="M259" s="10">
        <v>3</v>
      </c>
      <c r="N259" s="95">
        <v>840.75660000000005</v>
      </c>
      <c r="O259" s="38" t="s">
        <v>4854</v>
      </c>
      <c r="P259" s="38" t="s">
        <v>4854</v>
      </c>
      <c r="Q259" s="38" t="s">
        <v>4854</v>
      </c>
      <c r="R259" s="38" t="s">
        <v>4854</v>
      </c>
      <c r="S259" s="38" t="s">
        <v>4854</v>
      </c>
      <c r="T259" s="37" t="str">
        <f>HYPERLINK("http://ms.phosphosite.org:5080/cgi-bin/plot-msms.cgi?MassType=1&amp;NumAxis=1&amp;Mod2=170&amp;Mod16=160&amp;Pep=SKGPAVGIDLGTTYSCVGVFQHGK&amp;Dta=/var/www/html/dta/S01/10563.9730.3.dta&amp;Global_Mod=CS57.0215", "9730")</f>
        <v>9730</v>
      </c>
      <c r="U259" s="38" t="s">
        <v>4854</v>
      </c>
      <c r="V259" s="38" t="s">
        <v>4854</v>
      </c>
      <c r="W259" s="4" t="s">
        <v>4854</v>
      </c>
      <c r="X259" s="4" t="s">
        <v>4854</v>
      </c>
      <c r="Y259" s="4" t="s">
        <v>4854</v>
      </c>
      <c r="Z259" s="4" t="s">
        <v>4854</v>
      </c>
      <c r="AA259" s="4" t="s">
        <v>4854</v>
      </c>
      <c r="AB259" s="4" t="s">
        <v>4854</v>
      </c>
      <c r="AC259" s="4" t="s">
        <v>4854</v>
      </c>
      <c r="AD259" s="4" t="s">
        <v>4854</v>
      </c>
      <c r="AE259" s="100" t="s">
        <v>4854</v>
      </c>
      <c r="AF259" s="100" t="s">
        <v>4854</v>
      </c>
      <c r="AG259" s="100" t="s">
        <v>4854</v>
      </c>
      <c r="AH259" s="100" t="s">
        <v>4854</v>
      </c>
      <c r="AI259" s="100" t="s">
        <v>4854</v>
      </c>
      <c r="AJ259" s="91">
        <v>2.3580000000000001</v>
      </c>
      <c r="AK259" s="100" t="s">
        <v>4854</v>
      </c>
      <c r="AL259" s="100" t="s">
        <v>4854</v>
      </c>
      <c r="AM259" s="103" t="s">
        <v>4854</v>
      </c>
      <c r="AN259" s="103" t="s">
        <v>4854</v>
      </c>
      <c r="AO259" s="103" t="s">
        <v>4854</v>
      </c>
      <c r="AP259" s="103" t="s">
        <v>4854</v>
      </c>
      <c r="AQ259" s="103" t="s">
        <v>4854</v>
      </c>
      <c r="AR259" s="95">
        <v>0.39450000000000002</v>
      </c>
      <c r="AS259" s="103" t="s">
        <v>4854</v>
      </c>
      <c r="AT259" s="103" t="s">
        <v>4854</v>
      </c>
      <c r="AU259" s="103" t="s">
        <v>4854</v>
      </c>
      <c r="AV259" s="103" t="s">
        <v>4854</v>
      </c>
      <c r="AW259" s="103" t="s">
        <v>4854</v>
      </c>
      <c r="AX259" s="103" t="s">
        <v>4854</v>
      </c>
      <c r="AY259" s="103" t="s">
        <v>4854</v>
      </c>
      <c r="AZ259" s="95">
        <v>0.159</v>
      </c>
      <c r="BA259" s="103" t="s">
        <v>4854</v>
      </c>
      <c r="BB259" s="103" t="s">
        <v>4854</v>
      </c>
      <c r="BC259" s="4" t="s">
        <v>4854</v>
      </c>
      <c r="BD259" s="4" t="s">
        <v>4854</v>
      </c>
      <c r="BE259" s="4" t="s">
        <v>4854</v>
      </c>
      <c r="BF259" s="4" t="s">
        <v>4854</v>
      </c>
      <c r="BG259" s="4" t="s">
        <v>4854</v>
      </c>
      <c r="BH259" s="10">
        <v>3</v>
      </c>
      <c r="BI259" s="4" t="s">
        <v>4854</v>
      </c>
      <c r="BJ259" s="4" t="s">
        <v>4854</v>
      </c>
      <c r="BK259" s="100" t="s">
        <v>4854</v>
      </c>
      <c r="BL259" s="100" t="s">
        <v>4854</v>
      </c>
      <c r="BM259" s="100" t="s">
        <v>4854</v>
      </c>
      <c r="BN259" s="100" t="s">
        <v>4854</v>
      </c>
      <c r="BO259" s="100" t="s">
        <v>4854</v>
      </c>
      <c r="BP259" s="91">
        <v>0.27900000000000003</v>
      </c>
      <c r="BQ259" s="100" t="s">
        <v>4854</v>
      </c>
      <c r="BR259" s="100" t="s">
        <v>4854</v>
      </c>
      <c r="BS259" s="10" t="s">
        <v>4857</v>
      </c>
    </row>
    <row r="260" spans="1:71" s="30" customFormat="1" ht="17.100000000000001" customHeight="1">
      <c r="A260" s="14">
        <v>249</v>
      </c>
      <c r="B260" s="5" t="s">
        <v>3835</v>
      </c>
      <c r="C260" s="3" t="s">
        <v>3953</v>
      </c>
      <c r="D260" s="3" t="s">
        <v>3826</v>
      </c>
      <c r="E260" s="6" t="s">
        <v>3827</v>
      </c>
      <c r="F260" s="5" t="s">
        <v>4993</v>
      </c>
      <c r="G260" s="3" t="s">
        <v>3828</v>
      </c>
      <c r="H260" s="6" t="s">
        <v>3829</v>
      </c>
      <c r="I260" s="3" t="s">
        <v>3830</v>
      </c>
      <c r="J260" s="5" t="s">
        <v>4556</v>
      </c>
      <c r="K260" s="3" t="s">
        <v>5478</v>
      </c>
      <c r="L260" s="3" t="s">
        <v>3836</v>
      </c>
      <c r="M260" s="5">
        <v>2</v>
      </c>
      <c r="N260" s="21">
        <v>743.40269999999998</v>
      </c>
      <c r="O260" s="36" t="str">
        <f>HYPERLINK("http://ms.phosphosite.org:5080/cgi-bin/plot-msms.cgi?MassType=1&amp;NumAxis=1&amp;Mod4=170&amp;Mod6=160&amp;Pep=ELEKVCNPIITK&amp;Dta=/var/www/html/dta/S01/10558.6926.2.dta&amp;Global_Mod=CS57.0215", "6926")</f>
        <v>6926</v>
      </c>
      <c r="P260" s="35" t="s">
        <v>4854</v>
      </c>
      <c r="Q260" s="35" t="s">
        <v>4854</v>
      </c>
      <c r="R260" s="35" t="s">
        <v>4854</v>
      </c>
      <c r="S260" s="35" t="s">
        <v>4854</v>
      </c>
      <c r="T260" s="35" t="s">
        <v>4854</v>
      </c>
      <c r="U260" s="35" t="s">
        <v>4854</v>
      </c>
      <c r="V260" s="35" t="s">
        <v>4854</v>
      </c>
      <c r="W260" s="5">
        <v>6929</v>
      </c>
      <c r="X260" s="3" t="s">
        <v>4854</v>
      </c>
      <c r="Y260" s="3" t="s">
        <v>4854</v>
      </c>
      <c r="Z260" s="3" t="s">
        <v>4854</v>
      </c>
      <c r="AA260" s="3" t="s">
        <v>4854</v>
      </c>
      <c r="AB260" s="3" t="s">
        <v>4854</v>
      </c>
      <c r="AC260" s="3" t="s">
        <v>4854</v>
      </c>
      <c r="AD260" s="3" t="s">
        <v>4854</v>
      </c>
      <c r="AE260" s="90">
        <v>2.7730000000000001</v>
      </c>
      <c r="AF260" s="99" t="s">
        <v>4854</v>
      </c>
      <c r="AG260" s="99" t="s">
        <v>4854</v>
      </c>
      <c r="AH260" s="99" t="s">
        <v>4854</v>
      </c>
      <c r="AI260" s="99" t="s">
        <v>4854</v>
      </c>
      <c r="AJ260" s="99" t="s">
        <v>4854</v>
      </c>
      <c r="AK260" s="99" t="s">
        <v>4854</v>
      </c>
      <c r="AL260" s="99" t="s">
        <v>4854</v>
      </c>
      <c r="AM260" s="21">
        <v>0.99419999999999997</v>
      </c>
      <c r="AN260" s="102" t="s">
        <v>4854</v>
      </c>
      <c r="AO260" s="102" t="s">
        <v>4854</v>
      </c>
      <c r="AP260" s="102" t="s">
        <v>4854</v>
      </c>
      <c r="AQ260" s="102" t="s">
        <v>4854</v>
      </c>
      <c r="AR260" s="102" t="s">
        <v>4854</v>
      </c>
      <c r="AS260" s="102" t="s">
        <v>4854</v>
      </c>
      <c r="AT260" s="102" t="s">
        <v>4854</v>
      </c>
      <c r="AU260" s="21">
        <v>0.19900000000000001</v>
      </c>
      <c r="AV260" s="102" t="s">
        <v>4854</v>
      </c>
      <c r="AW260" s="102" t="s">
        <v>4854</v>
      </c>
      <c r="AX260" s="102" t="s">
        <v>4854</v>
      </c>
      <c r="AY260" s="102" t="s">
        <v>4854</v>
      </c>
      <c r="AZ260" s="102" t="s">
        <v>4854</v>
      </c>
      <c r="BA260" s="102" t="s">
        <v>4854</v>
      </c>
      <c r="BB260" s="102" t="s">
        <v>4854</v>
      </c>
      <c r="BC260" s="5">
        <v>6</v>
      </c>
      <c r="BD260" s="3" t="s">
        <v>4854</v>
      </c>
      <c r="BE260" s="3" t="s">
        <v>4854</v>
      </c>
      <c r="BF260" s="3" t="s">
        <v>4854</v>
      </c>
      <c r="BG260" s="3" t="s">
        <v>4854</v>
      </c>
      <c r="BH260" s="3" t="s">
        <v>4854</v>
      </c>
      <c r="BI260" s="3" t="s">
        <v>4854</v>
      </c>
      <c r="BJ260" s="3" t="s">
        <v>4854</v>
      </c>
      <c r="BK260" s="90">
        <v>0.997</v>
      </c>
      <c r="BL260" s="99" t="s">
        <v>4854</v>
      </c>
      <c r="BM260" s="99" t="s">
        <v>4854</v>
      </c>
      <c r="BN260" s="99" t="s">
        <v>4854</v>
      </c>
      <c r="BO260" s="99" t="s">
        <v>4854</v>
      </c>
      <c r="BP260" s="99" t="s">
        <v>4854</v>
      </c>
      <c r="BQ260" s="99" t="s">
        <v>4854</v>
      </c>
      <c r="BR260" s="99" t="s">
        <v>4854</v>
      </c>
      <c r="BS260" s="5" t="s">
        <v>4857</v>
      </c>
    </row>
    <row r="261" spans="1:71" s="30" customFormat="1" ht="17.100000000000001" customHeight="1">
      <c r="A261" s="10">
        <v>250</v>
      </c>
      <c r="B261" s="10" t="s">
        <v>3837</v>
      </c>
      <c r="C261" s="4" t="s">
        <v>3953</v>
      </c>
      <c r="D261" s="4" t="s">
        <v>3838</v>
      </c>
      <c r="E261" s="7" t="s">
        <v>3839</v>
      </c>
      <c r="F261" s="10" t="s">
        <v>4955</v>
      </c>
      <c r="G261" s="4" t="s">
        <v>3840</v>
      </c>
      <c r="H261" s="7" t="s">
        <v>3841</v>
      </c>
      <c r="I261" s="4" t="s">
        <v>3842</v>
      </c>
      <c r="J261" s="10" t="s">
        <v>4667</v>
      </c>
      <c r="K261" s="4" t="s">
        <v>3843</v>
      </c>
      <c r="L261" s="4" t="s">
        <v>3843</v>
      </c>
      <c r="M261" s="10">
        <v>2</v>
      </c>
      <c r="N261" s="95">
        <v>866.93029999999999</v>
      </c>
      <c r="O261" s="37" t="str">
        <f>HYPERLINK("http://ms.phosphosite.org:5080/cgi-bin/plot-msms.cgi?MassType=1&amp;NumAxis=1&amp;Mod8=170&amp;Pep=ETGVDLTKDNMALQR&amp;Dta=/var/www/html/dta/S01/10558.7323.2.dta&amp;Global_Mod=CS57.0215", "7323")</f>
        <v>7323</v>
      </c>
      <c r="P261" s="38" t="s">
        <v>4854</v>
      </c>
      <c r="Q261" s="38" t="s">
        <v>4854</v>
      </c>
      <c r="R261" s="38" t="s">
        <v>4854</v>
      </c>
      <c r="S261" s="38" t="s">
        <v>4854</v>
      </c>
      <c r="T261" s="38" t="s">
        <v>4854</v>
      </c>
      <c r="U261" s="37" t="str">
        <f>HYPERLINK("http://ms.phosphosite.org:5080/cgi-bin/plot-msms.cgi?MassType=1&amp;NumAxis=1&amp;Mod8=170&amp;Pep=ETGVDLTKDNMALQR&amp;Dta=/var/www/html/dta/S01/10564.7774.2.dta&amp;Global_Mod=CS57.0215", "7774")</f>
        <v>7774</v>
      </c>
      <c r="V261" s="38" t="s">
        <v>4854</v>
      </c>
      <c r="W261" s="10">
        <v>7325</v>
      </c>
      <c r="X261" s="4" t="s">
        <v>4854</v>
      </c>
      <c r="Y261" s="4" t="s">
        <v>4854</v>
      </c>
      <c r="Z261" s="4" t="s">
        <v>4854</v>
      </c>
      <c r="AA261" s="4" t="s">
        <v>4854</v>
      </c>
      <c r="AB261" s="4" t="s">
        <v>4854</v>
      </c>
      <c r="AC261" s="10">
        <v>7783</v>
      </c>
      <c r="AD261" s="4" t="s">
        <v>4854</v>
      </c>
      <c r="AE261" s="91">
        <v>4.5460000000000003</v>
      </c>
      <c r="AF261" s="100" t="s">
        <v>4854</v>
      </c>
      <c r="AG261" s="100" t="s">
        <v>4854</v>
      </c>
      <c r="AH261" s="100" t="s">
        <v>4854</v>
      </c>
      <c r="AI261" s="100" t="s">
        <v>4854</v>
      </c>
      <c r="AJ261" s="100" t="s">
        <v>4854</v>
      </c>
      <c r="AK261" s="91">
        <v>4.5999999999999996</v>
      </c>
      <c r="AL261" s="100" t="s">
        <v>4854</v>
      </c>
      <c r="AM261" s="95">
        <v>0.2944</v>
      </c>
      <c r="AN261" s="103" t="s">
        <v>4854</v>
      </c>
      <c r="AO261" s="103" t="s">
        <v>4854</v>
      </c>
      <c r="AP261" s="103" t="s">
        <v>4854</v>
      </c>
      <c r="AQ261" s="103" t="s">
        <v>4854</v>
      </c>
      <c r="AR261" s="103" t="s">
        <v>4854</v>
      </c>
      <c r="AS261" s="95">
        <v>-0.3226</v>
      </c>
      <c r="AT261" s="103" t="s">
        <v>4854</v>
      </c>
      <c r="AU261" s="95">
        <v>0.40200000000000002</v>
      </c>
      <c r="AV261" s="103" t="s">
        <v>4854</v>
      </c>
      <c r="AW261" s="103" t="s">
        <v>4854</v>
      </c>
      <c r="AX261" s="103" t="s">
        <v>4854</v>
      </c>
      <c r="AY261" s="103" t="s">
        <v>4854</v>
      </c>
      <c r="AZ261" s="103" t="s">
        <v>4854</v>
      </c>
      <c r="BA261" s="95">
        <v>0.44700000000000001</v>
      </c>
      <c r="BB261" s="103" t="s">
        <v>4854</v>
      </c>
      <c r="BC261" s="10">
        <v>1</v>
      </c>
      <c r="BD261" s="4" t="s">
        <v>4854</v>
      </c>
      <c r="BE261" s="4" t="s">
        <v>4854</v>
      </c>
      <c r="BF261" s="4" t="s">
        <v>4854</v>
      </c>
      <c r="BG261" s="4" t="s">
        <v>4854</v>
      </c>
      <c r="BH261" s="4" t="s">
        <v>4854</v>
      </c>
      <c r="BI261" s="10">
        <v>1</v>
      </c>
      <c r="BJ261" s="4" t="s">
        <v>4854</v>
      </c>
      <c r="BK261" s="91">
        <v>1</v>
      </c>
      <c r="BL261" s="100" t="s">
        <v>4854</v>
      </c>
      <c r="BM261" s="100" t="s">
        <v>4854</v>
      </c>
      <c r="BN261" s="100" t="s">
        <v>4854</v>
      </c>
      <c r="BO261" s="100" t="s">
        <v>4854</v>
      </c>
      <c r="BP261" s="100" t="s">
        <v>4854</v>
      </c>
      <c r="BQ261" s="91">
        <v>1</v>
      </c>
      <c r="BR261" s="100" t="s">
        <v>4854</v>
      </c>
      <c r="BS261" s="10" t="s">
        <v>4857</v>
      </c>
    </row>
    <row r="262" spans="1:71" s="30" customFormat="1" ht="17.100000000000001" customHeight="1">
      <c r="A262" s="10">
        <v>251</v>
      </c>
      <c r="B262" s="10" t="s">
        <v>3844</v>
      </c>
      <c r="C262" s="4" t="s">
        <v>3953</v>
      </c>
      <c r="D262" s="4" t="s">
        <v>3838</v>
      </c>
      <c r="E262" s="7" t="s">
        <v>3839</v>
      </c>
      <c r="F262" s="10" t="s">
        <v>4955</v>
      </c>
      <c r="G262" s="4" t="s">
        <v>3840</v>
      </c>
      <c r="H262" s="7" t="s">
        <v>3841</v>
      </c>
      <c r="I262" s="4" t="s">
        <v>3842</v>
      </c>
      <c r="J262" s="10" t="s">
        <v>4667</v>
      </c>
      <c r="K262" s="4" t="s">
        <v>3843</v>
      </c>
      <c r="L262" s="4" t="s">
        <v>3845</v>
      </c>
      <c r="M262" s="10">
        <v>2</v>
      </c>
      <c r="N262" s="95">
        <v>874.92780000000005</v>
      </c>
      <c r="O262" s="37" t="str">
        <f>HYPERLINK("http://ms.phosphosite.org:5080/cgi-bin/plot-msms.cgi?MassType=1&amp;NumAxis=1&amp;Mod8=170&amp;Mod11=147&amp;Pep=ETGVDLTKDNMALQR&amp;Dta=/var/www/html/dta/S01/10558.5894.2.dta&amp;Global_Mod=CS57.0215", "5894")</f>
        <v>5894</v>
      </c>
      <c r="P262" s="37" t="str">
        <f>HYPERLINK("http://ms.phosphosite.org:5080/cgi-bin/plot-msms.cgi?MassType=1&amp;NumAxis=1&amp;Mod8=170&amp;Mod11=147&amp;Pep=ETGVDLTKDNMALQR&amp;Dta=/var/www/html/dta/S01/10559.5827.2.dta&amp;Global_Mod=CS57.0215", "5827")</f>
        <v>5827</v>
      </c>
      <c r="Q262" s="37" t="str">
        <f>HYPERLINK("http://ms.phosphosite.org:5080/cgi-bin/plot-msms.cgi?MassType=1&amp;NumAxis=1&amp;Mod8=170&amp;Mod11=147&amp;Pep=ETGVDLTKDNMALQR&amp;Dta=/var/www/html/dta/S01/10560.5826.2.dta&amp;Global_Mod=CS57.0215", "5826")</f>
        <v>5826</v>
      </c>
      <c r="R262" s="37" t="str">
        <f>HYPERLINK("http://ms.phosphosite.org:5080/cgi-bin/plot-msms.cgi?MassType=1&amp;NumAxis=1&amp;Mod8=170&amp;Mod11=147&amp;Pep=ETGVDLTKDNMALQR&amp;Dta=/var/www/html/dta/S01/10561.5868.2.dta&amp;Global_Mod=CS57.0215", "5868")</f>
        <v>5868</v>
      </c>
      <c r="S262" s="37" t="str">
        <f>HYPERLINK("http://ms.phosphosite.org:5080/cgi-bin/plot-msms.cgi?MassType=1&amp;NumAxis=1&amp;Mod8=170&amp;Mod11=147&amp;Pep=ETGVDLTKDNMALQR&amp;Dta=/var/www/html/dta/S01/10562.5961.2.dta&amp;Global_Mod=CS57.0215", "5961")</f>
        <v>5961</v>
      </c>
      <c r="T262" s="37" t="str">
        <f>HYPERLINK("http://ms.phosphosite.org:5080/cgi-bin/plot-msms.cgi?MassType=1&amp;NumAxis=1&amp;Mod8=170&amp;Mod11=147&amp;Pep=ETGVDLTKDNMALQR&amp;Dta=/var/www/html/dta/S01/10563.5921.2.dta&amp;Global_Mod=CS57.0215", "5921")</f>
        <v>5921</v>
      </c>
      <c r="U262" s="38" t="s">
        <v>4854</v>
      </c>
      <c r="V262" s="37" t="str">
        <f>HYPERLINK("http://ms.phosphosite.org:5080/cgi-bin/plot-msms.cgi?MassType=1&amp;NumAxis=1&amp;Mod8=170&amp;Mod11=147&amp;Pep=ETGVDLTKDNMALQR&amp;Dta=/var/www/html/dta/S01/10565.6312.2.dta&amp;Global_Mod=CS57.0215", "6312")</f>
        <v>6312</v>
      </c>
      <c r="W262" s="10">
        <v>5888</v>
      </c>
      <c r="X262" s="10">
        <v>5832</v>
      </c>
      <c r="Y262" s="10">
        <v>5816</v>
      </c>
      <c r="Z262" s="10">
        <v>5854</v>
      </c>
      <c r="AA262" s="10">
        <v>5952</v>
      </c>
      <c r="AB262" s="10">
        <v>5925</v>
      </c>
      <c r="AC262" s="4" t="s">
        <v>4854</v>
      </c>
      <c r="AD262" s="10">
        <v>6317</v>
      </c>
      <c r="AE262" s="91">
        <v>3.8839999999999999</v>
      </c>
      <c r="AF262" s="91">
        <v>3.153</v>
      </c>
      <c r="AG262" s="91">
        <v>2.9580000000000002</v>
      </c>
      <c r="AH262" s="91">
        <v>2.9489999999999998</v>
      </c>
      <c r="AI262" s="91">
        <v>3.161</v>
      </c>
      <c r="AJ262" s="91">
        <v>3.4239999999999999</v>
      </c>
      <c r="AK262" s="100" t="s">
        <v>4854</v>
      </c>
      <c r="AL262" s="91">
        <v>3.448</v>
      </c>
      <c r="AM262" s="95">
        <v>0.75329999999999997</v>
      </c>
      <c r="AN262" s="95">
        <v>1.1501999999999999</v>
      </c>
      <c r="AO262" s="95">
        <v>0.97060000000000002</v>
      </c>
      <c r="AP262" s="95">
        <v>0.68979999999999997</v>
      </c>
      <c r="AQ262" s="95">
        <v>1.6944999999999999</v>
      </c>
      <c r="AR262" s="95">
        <v>0.59950000000000003</v>
      </c>
      <c r="AS262" s="103" t="s">
        <v>4854</v>
      </c>
      <c r="AT262" s="95">
        <v>0.74990000000000001</v>
      </c>
      <c r="AU262" s="95">
        <v>0.376</v>
      </c>
      <c r="AV262" s="95">
        <v>0.378</v>
      </c>
      <c r="AW262" s="95">
        <v>0.29299999999999998</v>
      </c>
      <c r="AX262" s="95">
        <v>0.32</v>
      </c>
      <c r="AY262" s="95">
        <v>0.40200000000000002</v>
      </c>
      <c r="AZ262" s="95">
        <v>0.34300000000000003</v>
      </c>
      <c r="BA262" s="103" t="s">
        <v>4854</v>
      </c>
      <c r="BB262" s="95">
        <v>0.40200000000000002</v>
      </c>
      <c r="BC262" s="10">
        <v>1</v>
      </c>
      <c r="BD262" s="10">
        <v>1</v>
      </c>
      <c r="BE262" s="10">
        <v>1</v>
      </c>
      <c r="BF262" s="10">
        <v>1</v>
      </c>
      <c r="BG262" s="10">
        <v>1</v>
      </c>
      <c r="BH262" s="10">
        <v>1</v>
      </c>
      <c r="BI262" s="4" t="s">
        <v>4854</v>
      </c>
      <c r="BJ262" s="10">
        <v>1</v>
      </c>
      <c r="BK262" s="91">
        <v>1</v>
      </c>
      <c r="BL262" s="91">
        <v>1</v>
      </c>
      <c r="BM262" s="91">
        <v>0.999</v>
      </c>
      <c r="BN262" s="91">
        <v>1</v>
      </c>
      <c r="BO262" s="91">
        <v>1</v>
      </c>
      <c r="BP262" s="91">
        <v>1</v>
      </c>
      <c r="BQ262" s="100" t="s">
        <v>4854</v>
      </c>
      <c r="BR262" s="91">
        <v>1</v>
      </c>
      <c r="BS262" s="10" t="s">
        <v>4857</v>
      </c>
    </row>
    <row r="263" spans="1:71" s="30" customFormat="1" ht="17.100000000000001" customHeight="1">
      <c r="A263" s="14">
        <v>252</v>
      </c>
      <c r="B263" s="5" t="s">
        <v>3846</v>
      </c>
      <c r="C263" s="3" t="s">
        <v>3953</v>
      </c>
      <c r="D263" s="3" t="s">
        <v>3838</v>
      </c>
      <c r="E263" s="6" t="s">
        <v>3839</v>
      </c>
      <c r="F263" s="5" t="s">
        <v>4953</v>
      </c>
      <c r="G263" s="3" t="s">
        <v>3840</v>
      </c>
      <c r="H263" s="6" t="s">
        <v>3841</v>
      </c>
      <c r="I263" s="3" t="s">
        <v>3842</v>
      </c>
      <c r="J263" s="5" t="s">
        <v>4667</v>
      </c>
      <c r="K263" s="3" t="s">
        <v>5479</v>
      </c>
      <c r="L263" s="3" t="s">
        <v>3847</v>
      </c>
      <c r="M263" s="5">
        <v>2</v>
      </c>
      <c r="N263" s="21">
        <v>711.83399999999995</v>
      </c>
      <c r="O263" s="36" t="str">
        <f>HYPERLINK("http://ms.phosphosite.org:5080/cgi-bin/plot-msms.cgi?MassType=1&amp;NumAxis=1&amp;Mod4=170&amp;Pep=NAEKYAEEDRR&amp;Dta=/var/www/html/dta/S01/10558.1978.2.dta&amp;Global_Mod=CS57.0215", "1978")</f>
        <v>1978</v>
      </c>
      <c r="P263" s="36" t="str">
        <f>HYPERLINK("http://ms.phosphosite.org:5080/cgi-bin/plot-msms.cgi?MassType=1&amp;NumAxis=1&amp;Mod4=170&amp;Pep=NAEKYAEEDRR&amp;Dta=/var/www/html/dta/S01/10559.1938.2.dta&amp;Global_Mod=CS57.0215", "1938")</f>
        <v>1938</v>
      </c>
      <c r="Q263" s="36" t="str">
        <f>HYPERLINK("http://ms.phosphosite.org:5080/cgi-bin/plot-msms.cgi?MassType=1&amp;NumAxis=1&amp;Mod4=170&amp;Pep=NAEKYAEEDRR&amp;Dta=/var/www/html/dta/S01/10560.1896.2.dta&amp;Global_Mod=CS57.0215", "1896")</f>
        <v>1896</v>
      </c>
      <c r="R263" s="36" t="str">
        <f>HYPERLINK("http://ms.phosphosite.org:5080/cgi-bin/plot-msms.cgi?MassType=1&amp;NumAxis=1&amp;Mod4=170&amp;Pep=NAEKYAEEDRR&amp;Dta=/var/www/html/dta/S01/10561.1937.2.dta&amp;Global_Mod=CS57.0215", "1937")</f>
        <v>1937</v>
      </c>
      <c r="S263" s="35" t="s">
        <v>4854</v>
      </c>
      <c r="T263" s="35" t="s">
        <v>4854</v>
      </c>
      <c r="U263" s="35" t="s">
        <v>4854</v>
      </c>
      <c r="V263" s="36" t="str">
        <f>HYPERLINK("http://ms.phosphosite.org:5080/cgi-bin/plot-msms.cgi?MassType=1&amp;NumAxis=1&amp;Mod4=170&amp;Pep=NAEKYAEEDRR&amp;Dta=/var/www/html/dta/S01/10565.2250.2.dta&amp;Global_Mod=CS57.0215", "2250")</f>
        <v>2250</v>
      </c>
      <c r="W263" s="5">
        <v>1982</v>
      </c>
      <c r="X263" s="5">
        <v>1941</v>
      </c>
      <c r="Y263" s="5">
        <v>1906</v>
      </c>
      <c r="Z263" s="5">
        <v>1938</v>
      </c>
      <c r="AA263" s="3" t="s">
        <v>4854</v>
      </c>
      <c r="AB263" s="3" t="s">
        <v>4854</v>
      </c>
      <c r="AC263" s="3" t="s">
        <v>4854</v>
      </c>
      <c r="AD263" s="5">
        <v>2245</v>
      </c>
      <c r="AE263" s="90">
        <v>2.2160000000000002</v>
      </c>
      <c r="AF263" s="90">
        <v>2.6190000000000002</v>
      </c>
      <c r="AG263" s="90">
        <v>2.2440000000000002</v>
      </c>
      <c r="AH263" s="90">
        <v>2.1339999999999999</v>
      </c>
      <c r="AI263" s="99" t="s">
        <v>4854</v>
      </c>
      <c r="AJ263" s="99" t="s">
        <v>4854</v>
      </c>
      <c r="AK263" s="99" t="s">
        <v>4854</v>
      </c>
      <c r="AL263" s="90">
        <v>2.1349999999999998</v>
      </c>
      <c r="AM263" s="21">
        <v>0.3221</v>
      </c>
      <c r="AN263" s="21">
        <v>0.27150000000000002</v>
      </c>
      <c r="AO263" s="21">
        <v>1.2548999999999999</v>
      </c>
      <c r="AP263" s="21">
        <v>0.85070000000000001</v>
      </c>
      <c r="AQ263" s="102" t="s">
        <v>4854</v>
      </c>
      <c r="AR263" s="102" t="s">
        <v>4854</v>
      </c>
      <c r="AS263" s="102" t="s">
        <v>4854</v>
      </c>
      <c r="AT263" s="21">
        <v>-0.1784</v>
      </c>
      <c r="AU263" s="21">
        <v>0.13900000000000001</v>
      </c>
      <c r="AV263" s="21">
        <v>0.16200000000000001</v>
      </c>
      <c r="AW263" s="21">
        <v>5.2999999999999999E-2</v>
      </c>
      <c r="AX263" s="21">
        <v>0.19500000000000001</v>
      </c>
      <c r="AY263" s="102" t="s">
        <v>4854</v>
      </c>
      <c r="AZ263" s="102" t="s">
        <v>4854</v>
      </c>
      <c r="BA263" s="102" t="s">
        <v>4854</v>
      </c>
      <c r="BB263" s="21">
        <v>5.5E-2</v>
      </c>
      <c r="BC263" s="5">
        <v>1</v>
      </c>
      <c r="BD263" s="5">
        <v>2</v>
      </c>
      <c r="BE263" s="5">
        <v>7</v>
      </c>
      <c r="BF263" s="5">
        <v>2</v>
      </c>
      <c r="BG263" s="3" t="s">
        <v>4854</v>
      </c>
      <c r="BH263" s="3" t="s">
        <v>4854</v>
      </c>
      <c r="BI263" s="3" t="s">
        <v>4854</v>
      </c>
      <c r="BJ263" s="5">
        <v>4</v>
      </c>
      <c r="BK263" s="90">
        <v>0.99199999999999999</v>
      </c>
      <c r="BL263" s="90">
        <v>0.997</v>
      </c>
      <c r="BM263" s="90">
        <v>0.96</v>
      </c>
      <c r="BN263" s="90">
        <v>0.99399999999999999</v>
      </c>
      <c r="BO263" s="99" t="s">
        <v>4854</v>
      </c>
      <c r="BP263" s="99" t="s">
        <v>4854</v>
      </c>
      <c r="BQ263" s="99" t="s">
        <v>4854</v>
      </c>
      <c r="BR263" s="90">
        <v>0.95899999999999996</v>
      </c>
      <c r="BS263" s="5" t="s">
        <v>4857</v>
      </c>
    </row>
    <row r="264" spans="1:71" s="30" customFormat="1" ht="17.100000000000001" customHeight="1">
      <c r="A264" s="14">
        <v>253</v>
      </c>
      <c r="B264" s="5" t="s">
        <v>3848</v>
      </c>
      <c r="C264" s="3" t="s">
        <v>3953</v>
      </c>
      <c r="D264" s="3" t="s">
        <v>3838</v>
      </c>
      <c r="E264" s="6" t="s">
        <v>3839</v>
      </c>
      <c r="F264" s="5" t="s">
        <v>4953</v>
      </c>
      <c r="G264" s="3" t="s">
        <v>3840</v>
      </c>
      <c r="H264" s="6" t="s">
        <v>3841</v>
      </c>
      <c r="I264" s="3" t="s">
        <v>3842</v>
      </c>
      <c r="J264" s="5" t="s">
        <v>4667</v>
      </c>
      <c r="K264" s="3" t="s">
        <v>5479</v>
      </c>
      <c r="L264" s="3" t="s">
        <v>3847</v>
      </c>
      <c r="M264" s="5">
        <v>3</v>
      </c>
      <c r="N264" s="21">
        <v>474.89179999999999</v>
      </c>
      <c r="O264" s="35" t="s">
        <v>4854</v>
      </c>
      <c r="P264" s="36" t="str">
        <f>HYPERLINK("http://ms.phosphosite.org:5080/cgi-bin/plot-msms.cgi?MassType=1&amp;NumAxis=1&amp;Mod4=170&amp;Pep=NAEKYAEEDRR&amp;Dta=/var/www/html/dta/S01/10559.1944.3.dta&amp;Global_Mod=CS57.0215", "1944")</f>
        <v>1944</v>
      </c>
      <c r="Q264" s="35" t="s">
        <v>4854</v>
      </c>
      <c r="R264" s="35" t="s">
        <v>4854</v>
      </c>
      <c r="S264" s="35" t="s">
        <v>4854</v>
      </c>
      <c r="T264" s="35" t="s">
        <v>4854</v>
      </c>
      <c r="U264" s="35" t="s">
        <v>4854</v>
      </c>
      <c r="V264" s="35" t="s">
        <v>4854</v>
      </c>
      <c r="W264" s="3" t="s">
        <v>4854</v>
      </c>
      <c r="X264" s="3" t="s">
        <v>4854</v>
      </c>
      <c r="Y264" s="3" t="s">
        <v>4854</v>
      </c>
      <c r="Z264" s="3" t="s">
        <v>4854</v>
      </c>
      <c r="AA264" s="3" t="s">
        <v>4854</v>
      </c>
      <c r="AB264" s="3" t="s">
        <v>4854</v>
      </c>
      <c r="AC264" s="3" t="s">
        <v>4854</v>
      </c>
      <c r="AD264" s="3" t="s">
        <v>4854</v>
      </c>
      <c r="AE264" s="99" t="s">
        <v>4854</v>
      </c>
      <c r="AF264" s="90">
        <v>1.948</v>
      </c>
      <c r="AG264" s="99" t="s">
        <v>4854</v>
      </c>
      <c r="AH264" s="99" t="s">
        <v>4854</v>
      </c>
      <c r="AI264" s="99" t="s">
        <v>4854</v>
      </c>
      <c r="AJ264" s="99" t="s">
        <v>4854</v>
      </c>
      <c r="AK264" s="99" t="s">
        <v>4854</v>
      </c>
      <c r="AL264" s="99" t="s">
        <v>4854</v>
      </c>
      <c r="AM264" s="102" t="s">
        <v>4854</v>
      </c>
      <c r="AN264" s="21">
        <v>2.2599999999999999E-2</v>
      </c>
      <c r="AO264" s="102" t="s">
        <v>4854</v>
      </c>
      <c r="AP264" s="102" t="s">
        <v>4854</v>
      </c>
      <c r="AQ264" s="102" t="s">
        <v>4854</v>
      </c>
      <c r="AR264" s="102" t="s">
        <v>4854</v>
      </c>
      <c r="AS264" s="102" t="s">
        <v>4854</v>
      </c>
      <c r="AT264" s="102" t="s">
        <v>4854</v>
      </c>
      <c r="AU264" s="102" t="s">
        <v>4854</v>
      </c>
      <c r="AV264" s="21">
        <v>7.6999999999999999E-2</v>
      </c>
      <c r="AW264" s="102" t="s">
        <v>4854</v>
      </c>
      <c r="AX264" s="102" t="s">
        <v>4854</v>
      </c>
      <c r="AY264" s="102" t="s">
        <v>4854</v>
      </c>
      <c r="AZ264" s="102" t="s">
        <v>4854</v>
      </c>
      <c r="BA264" s="102" t="s">
        <v>4854</v>
      </c>
      <c r="BB264" s="102" t="s">
        <v>4854</v>
      </c>
      <c r="BC264" s="3" t="s">
        <v>4854</v>
      </c>
      <c r="BD264" s="5">
        <v>114</v>
      </c>
      <c r="BE264" s="3" t="s">
        <v>4854</v>
      </c>
      <c r="BF264" s="3" t="s">
        <v>4854</v>
      </c>
      <c r="BG264" s="3" t="s">
        <v>4854</v>
      </c>
      <c r="BH264" s="3" t="s">
        <v>4854</v>
      </c>
      <c r="BI264" s="3" t="s">
        <v>4854</v>
      </c>
      <c r="BJ264" s="3" t="s">
        <v>4854</v>
      </c>
      <c r="BK264" s="99" t="s">
        <v>4854</v>
      </c>
      <c r="BL264" s="90">
        <v>0.90100000000000002</v>
      </c>
      <c r="BM264" s="99" t="s">
        <v>4854</v>
      </c>
      <c r="BN264" s="99" t="s">
        <v>4854</v>
      </c>
      <c r="BO264" s="99" t="s">
        <v>4854</v>
      </c>
      <c r="BP264" s="99" t="s">
        <v>4854</v>
      </c>
      <c r="BQ264" s="99" t="s">
        <v>4854</v>
      </c>
      <c r="BR264" s="99" t="s">
        <v>4854</v>
      </c>
      <c r="BS264" s="5" t="s">
        <v>4857</v>
      </c>
    </row>
    <row r="265" spans="1:71" s="30" customFormat="1" ht="17.100000000000001" customHeight="1">
      <c r="A265" s="10">
        <v>254</v>
      </c>
      <c r="B265" s="10" t="s">
        <v>3849</v>
      </c>
      <c r="C265" s="4" t="s">
        <v>3953</v>
      </c>
      <c r="D265" s="4" t="s">
        <v>3850</v>
      </c>
      <c r="E265" s="7" t="s">
        <v>3851</v>
      </c>
      <c r="F265" s="10" t="s">
        <v>5094</v>
      </c>
      <c r="G265" s="4" t="s">
        <v>3852</v>
      </c>
      <c r="H265" s="7" t="s">
        <v>3853</v>
      </c>
      <c r="I265" s="4" t="s">
        <v>3854</v>
      </c>
      <c r="J265" s="10" t="s">
        <v>4653</v>
      </c>
      <c r="K265" s="4" t="s">
        <v>5480</v>
      </c>
      <c r="L265" s="4" t="s">
        <v>3855</v>
      </c>
      <c r="M265" s="10">
        <v>2</v>
      </c>
      <c r="N265" s="95">
        <v>525.77689999999996</v>
      </c>
      <c r="O265" s="38" t="s">
        <v>4854</v>
      </c>
      <c r="P265" s="37" t="str">
        <f>HYPERLINK("http://ms.phosphosite.org:5080/cgi-bin/plot-msms.cgi?MassType=1&amp;NumAxis=1&amp;Mod4=170&amp;Pep=SIAKEGFEK&amp;Dta=/var/www/html/dta/S01/10559.3945.2.dta&amp;Global_Mod=CS57.0215", "3945")</f>
        <v>3945</v>
      </c>
      <c r="Q265" s="37" t="str">
        <f>HYPERLINK("http://ms.phosphosite.org:5080/cgi-bin/plot-msms.cgi?MassType=1&amp;NumAxis=1&amp;Mod4=170&amp;Pep=SIAKEGFEK&amp;Dta=/var/www/html/dta/S01/10560.3932.2.dta&amp;Global_Mod=CS57.0215", "3932")</f>
        <v>3932</v>
      </c>
      <c r="R265" s="37" t="str">
        <f>HYPERLINK("http://ms.phosphosite.org:5080/cgi-bin/plot-msms.cgi?MassType=1&amp;NumAxis=1&amp;Mod4=170&amp;Pep=SIAKEGFEK&amp;Dta=/var/www/html/dta/S01/10561.3976.2.dta&amp;Global_Mod=CS57.0215", "3976")</f>
        <v>3976</v>
      </c>
      <c r="S265" s="37" t="str">
        <f>HYPERLINK("http://ms.phosphosite.org:5080/cgi-bin/plot-msms.cgi?MassType=1&amp;NumAxis=1&amp;Mod4=170&amp;Pep=SIAKEGFEK&amp;Dta=/var/www/html/dta/S01/10562.4071.2.dta&amp;Global_Mod=CS57.0215", "4071")</f>
        <v>4071</v>
      </c>
      <c r="T265" s="37" t="str">
        <f>HYPERLINK("http://ms.phosphosite.org:5080/cgi-bin/plot-msms.cgi?MassType=1&amp;NumAxis=1&amp;Mod4=170&amp;Pep=SIAKEGFEK&amp;Dta=/var/www/html/dta/S01/10563.3993.2.dta&amp;Global_Mod=CS57.0215", "3993")</f>
        <v>3993</v>
      </c>
      <c r="U265" s="38" t="s">
        <v>4854</v>
      </c>
      <c r="V265" s="38" t="s">
        <v>4854</v>
      </c>
      <c r="W265" s="4" t="s">
        <v>4854</v>
      </c>
      <c r="X265" s="10">
        <v>3975</v>
      </c>
      <c r="Y265" s="4" t="s">
        <v>4854</v>
      </c>
      <c r="Z265" s="4" t="s">
        <v>4854</v>
      </c>
      <c r="AA265" s="10">
        <v>4091</v>
      </c>
      <c r="AB265" s="10">
        <v>4013</v>
      </c>
      <c r="AC265" s="4" t="s">
        <v>4854</v>
      </c>
      <c r="AD265" s="4" t="s">
        <v>4854</v>
      </c>
      <c r="AE265" s="100" t="s">
        <v>4854</v>
      </c>
      <c r="AF265" s="91">
        <v>2.13</v>
      </c>
      <c r="AG265" s="91">
        <v>1.8720000000000001</v>
      </c>
      <c r="AH265" s="91">
        <v>2.3490000000000002</v>
      </c>
      <c r="AI265" s="91">
        <v>1.954</v>
      </c>
      <c r="AJ265" s="91">
        <v>2.1429999999999998</v>
      </c>
      <c r="AK265" s="100" t="s">
        <v>4854</v>
      </c>
      <c r="AL265" s="100" t="s">
        <v>4854</v>
      </c>
      <c r="AM265" s="103" t="s">
        <v>4854</v>
      </c>
      <c r="AN265" s="95">
        <v>-0.55010000000000003</v>
      </c>
      <c r="AO265" s="95">
        <v>-1.9900000000000001E-2</v>
      </c>
      <c r="AP265" s="95">
        <v>1.9591000000000001</v>
      </c>
      <c r="AQ265" s="95">
        <v>-0.2969</v>
      </c>
      <c r="AR265" s="95">
        <v>-0.27589999999999998</v>
      </c>
      <c r="AS265" s="103" t="s">
        <v>4854</v>
      </c>
      <c r="AT265" s="103" t="s">
        <v>4854</v>
      </c>
      <c r="AU265" s="103" t="s">
        <v>4854</v>
      </c>
      <c r="AV265" s="95">
        <v>0.14799999999999999</v>
      </c>
      <c r="AW265" s="95">
        <v>2.5999999999999999E-2</v>
      </c>
      <c r="AX265" s="95">
        <v>0.125</v>
      </c>
      <c r="AY265" s="95">
        <v>0.14599999999999999</v>
      </c>
      <c r="AZ265" s="95">
        <v>0.13500000000000001</v>
      </c>
      <c r="BA265" s="103" t="s">
        <v>4854</v>
      </c>
      <c r="BB265" s="103" t="s">
        <v>4854</v>
      </c>
      <c r="BC265" s="4" t="s">
        <v>4854</v>
      </c>
      <c r="BD265" s="10">
        <v>1</v>
      </c>
      <c r="BE265" s="10">
        <v>1</v>
      </c>
      <c r="BF265" s="10">
        <v>1</v>
      </c>
      <c r="BG265" s="10">
        <v>1</v>
      </c>
      <c r="BH265" s="10">
        <v>1</v>
      </c>
      <c r="BI265" s="4" t="s">
        <v>4854</v>
      </c>
      <c r="BJ265" s="4" t="s">
        <v>4854</v>
      </c>
      <c r="BK265" s="100" t="s">
        <v>4854</v>
      </c>
      <c r="BL265" s="91">
        <v>0.98499999999999999</v>
      </c>
      <c r="BM265" s="91">
        <v>0.94399999999999995</v>
      </c>
      <c r="BN265" s="91">
        <v>0.995</v>
      </c>
      <c r="BO265" s="91">
        <v>0.98899999999999999</v>
      </c>
      <c r="BP265" s="91">
        <v>0.99199999999999999</v>
      </c>
      <c r="BQ265" s="100" t="s">
        <v>4854</v>
      </c>
      <c r="BR265" s="100" t="s">
        <v>4854</v>
      </c>
      <c r="BS265" s="10" t="s">
        <v>4857</v>
      </c>
    </row>
    <row r="266" spans="1:71" s="30" customFormat="1" ht="17.100000000000001" customHeight="1">
      <c r="A266" s="14">
        <v>255</v>
      </c>
      <c r="B266" s="5" t="s">
        <v>3856</v>
      </c>
      <c r="C266" s="3" t="s">
        <v>3953</v>
      </c>
      <c r="D266" s="3" t="s">
        <v>3850</v>
      </c>
      <c r="E266" s="6" t="s">
        <v>3851</v>
      </c>
      <c r="F266" s="5" t="s">
        <v>4966</v>
      </c>
      <c r="G266" s="3" t="s">
        <v>3852</v>
      </c>
      <c r="H266" s="6" t="s">
        <v>3853</v>
      </c>
      <c r="I266" s="3" t="s">
        <v>3854</v>
      </c>
      <c r="J266" s="5" t="s">
        <v>4653</v>
      </c>
      <c r="K266" s="3" t="s">
        <v>5481</v>
      </c>
      <c r="L266" s="3" t="s">
        <v>3857</v>
      </c>
      <c r="M266" s="5">
        <v>2</v>
      </c>
      <c r="N266" s="21">
        <v>490.25839999999999</v>
      </c>
      <c r="O266" s="35" t="s">
        <v>4854</v>
      </c>
      <c r="P266" s="35" t="s">
        <v>4854</v>
      </c>
      <c r="Q266" s="35" t="s">
        <v>4854</v>
      </c>
      <c r="R266" s="35" t="s">
        <v>4854</v>
      </c>
      <c r="S266" s="35" t="s">
        <v>4854</v>
      </c>
      <c r="T266" s="36" t="str">
        <f>HYPERLINK("http://ms.phosphosite.org:5080/cgi-bin/plot-msms.cgi?MassType=1&amp;NumAxis=1&amp;Mod5=170&amp;Pep=EGFEKISK&amp;Dta=/var/www/html/dta/S01/10563.4153.2.dta&amp;Global_Mod=CS57.0215", "4153")</f>
        <v>4153</v>
      </c>
      <c r="U266" s="36" t="str">
        <f>HYPERLINK("http://ms.phosphosite.org:5080/cgi-bin/plot-msms.cgi?MassType=1&amp;NumAxis=1&amp;Mod5=170&amp;Pep=EGFEKISK&amp;Dta=/var/www/html/dta/S01/10564.4530.2.dta&amp;Global_Mod=CS57.0215", "4530")</f>
        <v>4530</v>
      </c>
      <c r="V266" s="35" t="s">
        <v>4854</v>
      </c>
      <c r="W266" s="3" t="s">
        <v>4854</v>
      </c>
      <c r="X266" s="3" t="s">
        <v>4854</v>
      </c>
      <c r="Y266" s="3" t="s">
        <v>4854</v>
      </c>
      <c r="Z266" s="3" t="s">
        <v>4854</v>
      </c>
      <c r="AA266" s="3" t="s">
        <v>4854</v>
      </c>
      <c r="AB266" s="3" t="s">
        <v>4854</v>
      </c>
      <c r="AC266" s="3" t="s">
        <v>4854</v>
      </c>
      <c r="AD266" s="3" t="s">
        <v>4854</v>
      </c>
      <c r="AE266" s="99" t="s">
        <v>4854</v>
      </c>
      <c r="AF266" s="99" t="s">
        <v>4854</v>
      </c>
      <c r="AG266" s="99" t="s">
        <v>4854</v>
      </c>
      <c r="AH266" s="99" t="s">
        <v>4854</v>
      </c>
      <c r="AI266" s="99" t="s">
        <v>4854</v>
      </c>
      <c r="AJ266" s="90">
        <v>1.679</v>
      </c>
      <c r="AK266" s="90">
        <v>1.827</v>
      </c>
      <c r="AL266" s="99" t="s">
        <v>4854</v>
      </c>
      <c r="AM266" s="102" t="s">
        <v>4854</v>
      </c>
      <c r="AN266" s="102" t="s">
        <v>4854</v>
      </c>
      <c r="AO266" s="102" t="s">
        <v>4854</v>
      </c>
      <c r="AP266" s="102" t="s">
        <v>4854</v>
      </c>
      <c r="AQ266" s="102" t="s">
        <v>4854</v>
      </c>
      <c r="AR266" s="21">
        <v>0.1724</v>
      </c>
      <c r="AS266" s="21">
        <v>-0.1042</v>
      </c>
      <c r="AT266" s="102" t="s">
        <v>4854</v>
      </c>
      <c r="AU266" s="102" t="s">
        <v>4854</v>
      </c>
      <c r="AV266" s="102" t="s">
        <v>4854</v>
      </c>
      <c r="AW266" s="102" t="s">
        <v>4854</v>
      </c>
      <c r="AX266" s="102" t="s">
        <v>4854</v>
      </c>
      <c r="AY266" s="102" t="s">
        <v>4854</v>
      </c>
      <c r="AZ266" s="21">
        <v>3.7999999999999999E-2</v>
      </c>
      <c r="BA266" s="21">
        <v>4.4999999999999998E-2</v>
      </c>
      <c r="BB266" s="102" t="s">
        <v>4854</v>
      </c>
      <c r="BC266" s="3" t="s">
        <v>4854</v>
      </c>
      <c r="BD266" s="3" t="s">
        <v>4854</v>
      </c>
      <c r="BE266" s="3" t="s">
        <v>4854</v>
      </c>
      <c r="BF266" s="3" t="s">
        <v>4854</v>
      </c>
      <c r="BG266" s="3" t="s">
        <v>4854</v>
      </c>
      <c r="BH266" s="5">
        <v>15</v>
      </c>
      <c r="BI266" s="5">
        <v>22</v>
      </c>
      <c r="BJ266" s="3" t="s">
        <v>4854</v>
      </c>
      <c r="BK266" s="99" t="s">
        <v>4854</v>
      </c>
      <c r="BL266" s="99" t="s">
        <v>4854</v>
      </c>
      <c r="BM266" s="99" t="s">
        <v>4854</v>
      </c>
      <c r="BN266" s="99" t="s">
        <v>4854</v>
      </c>
      <c r="BO266" s="99" t="s">
        <v>4854</v>
      </c>
      <c r="BP266" s="90">
        <v>0.83599999999999997</v>
      </c>
      <c r="BQ266" s="90">
        <v>0.88500000000000001</v>
      </c>
      <c r="BR266" s="99" t="s">
        <v>4854</v>
      </c>
      <c r="BS266" s="5" t="s">
        <v>4857</v>
      </c>
    </row>
    <row r="267" spans="1:71" s="30" customFormat="1" ht="17.100000000000001" customHeight="1">
      <c r="A267" s="10">
        <v>256</v>
      </c>
      <c r="B267" s="10" t="s">
        <v>3858</v>
      </c>
      <c r="C267" s="4" t="s">
        <v>3953</v>
      </c>
      <c r="D267" s="4" t="s">
        <v>3850</v>
      </c>
      <c r="E267" s="7" t="s">
        <v>3851</v>
      </c>
      <c r="F267" s="10" t="s">
        <v>5027</v>
      </c>
      <c r="G267" s="4" t="s">
        <v>3852</v>
      </c>
      <c r="H267" s="7" t="s">
        <v>3853</v>
      </c>
      <c r="I267" s="4" t="s">
        <v>3854</v>
      </c>
      <c r="J267" s="10" t="s">
        <v>4653</v>
      </c>
      <c r="K267" s="4" t="s">
        <v>5482</v>
      </c>
      <c r="L267" s="4" t="s">
        <v>3859</v>
      </c>
      <c r="M267" s="10">
        <v>2</v>
      </c>
      <c r="N267" s="95">
        <v>844.9606</v>
      </c>
      <c r="O267" s="38" t="s">
        <v>4854</v>
      </c>
      <c r="P267" s="38" t="s">
        <v>4854</v>
      </c>
      <c r="Q267" s="37" t="str">
        <f>HYPERLINK("http://ms.phosphosite.org:5080/cgi-bin/plot-msms.cgi?MassType=1&amp;NumAxis=1&amp;Mod8=170&amp;Mod12=147&amp;Pep=VGEVIVTKDDAMLLK&amp;Dta=/var/www/html/dta/S01/10560.8861.2.dta&amp;Global_Mod=CS57.0215", "8861")</f>
        <v>8861</v>
      </c>
      <c r="R267" s="38" t="s">
        <v>4854</v>
      </c>
      <c r="S267" s="38" t="s">
        <v>4854</v>
      </c>
      <c r="T267" s="38" t="s">
        <v>4854</v>
      </c>
      <c r="U267" s="38" t="s">
        <v>4854</v>
      </c>
      <c r="V267" s="38" t="s">
        <v>4854</v>
      </c>
      <c r="W267" s="4" t="s">
        <v>4854</v>
      </c>
      <c r="X267" s="4" t="s">
        <v>4854</v>
      </c>
      <c r="Y267" s="10">
        <v>8863</v>
      </c>
      <c r="Z267" s="4" t="s">
        <v>4854</v>
      </c>
      <c r="AA267" s="4" t="s">
        <v>4854</v>
      </c>
      <c r="AB267" s="4" t="s">
        <v>4854</v>
      </c>
      <c r="AC267" s="4" t="s">
        <v>4854</v>
      </c>
      <c r="AD267" s="4" t="s">
        <v>4854</v>
      </c>
      <c r="AE267" s="100" t="s">
        <v>4854</v>
      </c>
      <c r="AF267" s="100" t="s">
        <v>4854</v>
      </c>
      <c r="AG267" s="91">
        <v>2.8359999999999999</v>
      </c>
      <c r="AH267" s="100" t="s">
        <v>4854</v>
      </c>
      <c r="AI267" s="100" t="s">
        <v>4854</v>
      </c>
      <c r="AJ267" s="100" t="s">
        <v>4854</v>
      </c>
      <c r="AK267" s="100" t="s">
        <v>4854</v>
      </c>
      <c r="AL267" s="100" t="s">
        <v>4854</v>
      </c>
      <c r="AM267" s="103" t="s">
        <v>4854</v>
      </c>
      <c r="AN267" s="103" t="s">
        <v>4854</v>
      </c>
      <c r="AO267" s="95">
        <v>1.1221000000000001</v>
      </c>
      <c r="AP267" s="103" t="s">
        <v>4854</v>
      </c>
      <c r="AQ267" s="103" t="s">
        <v>4854</v>
      </c>
      <c r="AR267" s="103" t="s">
        <v>4854</v>
      </c>
      <c r="AS267" s="103" t="s">
        <v>4854</v>
      </c>
      <c r="AT267" s="103" t="s">
        <v>4854</v>
      </c>
      <c r="AU267" s="103" t="s">
        <v>4854</v>
      </c>
      <c r="AV267" s="103" t="s">
        <v>4854</v>
      </c>
      <c r="AW267" s="95">
        <v>0.219</v>
      </c>
      <c r="AX267" s="103" t="s">
        <v>4854</v>
      </c>
      <c r="AY267" s="103" t="s">
        <v>4854</v>
      </c>
      <c r="AZ267" s="103" t="s">
        <v>4854</v>
      </c>
      <c r="BA267" s="103" t="s">
        <v>4854</v>
      </c>
      <c r="BB267" s="103" t="s">
        <v>4854</v>
      </c>
      <c r="BC267" s="4" t="s">
        <v>4854</v>
      </c>
      <c r="BD267" s="4" t="s">
        <v>4854</v>
      </c>
      <c r="BE267" s="10">
        <v>1</v>
      </c>
      <c r="BF267" s="4" t="s">
        <v>4854</v>
      </c>
      <c r="BG267" s="4" t="s">
        <v>4854</v>
      </c>
      <c r="BH267" s="4" t="s">
        <v>4854</v>
      </c>
      <c r="BI267" s="4" t="s">
        <v>4854</v>
      </c>
      <c r="BJ267" s="4" t="s">
        <v>4854</v>
      </c>
      <c r="BK267" s="100" t="s">
        <v>4854</v>
      </c>
      <c r="BL267" s="100" t="s">
        <v>4854</v>
      </c>
      <c r="BM267" s="91">
        <v>0.998</v>
      </c>
      <c r="BN267" s="100" t="s">
        <v>4854</v>
      </c>
      <c r="BO267" s="100" t="s">
        <v>4854</v>
      </c>
      <c r="BP267" s="100" t="s">
        <v>4854</v>
      </c>
      <c r="BQ267" s="100" t="s">
        <v>4854</v>
      </c>
      <c r="BR267" s="100" t="s">
        <v>4854</v>
      </c>
      <c r="BS267" s="10" t="s">
        <v>4857</v>
      </c>
    </row>
    <row r="268" spans="1:71" s="30" customFormat="1" ht="17.100000000000001" customHeight="1">
      <c r="A268" s="14">
        <v>257</v>
      </c>
      <c r="B268" s="5" t="s">
        <v>3860</v>
      </c>
      <c r="C268" s="3" t="s">
        <v>3953</v>
      </c>
      <c r="D268" s="3" t="s">
        <v>3850</v>
      </c>
      <c r="E268" s="6" t="s">
        <v>3851</v>
      </c>
      <c r="F268" s="5" t="s">
        <v>3861</v>
      </c>
      <c r="G268" s="3" t="s">
        <v>3852</v>
      </c>
      <c r="H268" s="6" t="s">
        <v>3853</v>
      </c>
      <c r="I268" s="3" t="s">
        <v>3854</v>
      </c>
      <c r="J268" s="5" t="s">
        <v>4653</v>
      </c>
      <c r="K268" s="3" t="s">
        <v>5483</v>
      </c>
      <c r="L268" s="3" t="s">
        <v>3862</v>
      </c>
      <c r="M268" s="5">
        <v>2</v>
      </c>
      <c r="N268" s="21">
        <v>398.22719999999998</v>
      </c>
      <c r="O268" s="35" t="s">
        <v>4854</v>
      </c>
      <c r="P268" s="35" t="s">
        <v>4854</v>
      </c>
      <c r="Q268" s="35" t="s">
        <v>4854</v>
      </c>
      <c r="R268" s="35" t="s">
        <v>4854</v>
      </c>
      <c r="S268" s="36" t="str">
        <f>HYPERLINK("http://ms.phosphosite.org:5080/cgi-bin/plot-msms.cgi?MassType=1&amp;NumAxis=1&amp;Mod5=170&amp;Pep=AHIEKR&amp;Dta=/var/www/html/dta/S01/10562.1263.2.dta&amp;Global_Mod=CS57.0215", "1263")</f>
        <v>1263</v>
      </c>
      <c r="T268" s="35" t="s">
        <v>4854</v>
      </c>
      <c r="U268" s="35" t="s">
        <v>4854</v>
      </c>
      <c r="V268" s="35" t="s">
        <v>4854</v>
      </c>
      <c r="W268" s="3" t="s">
        <v>4854</v>
      </c>
      <c r="X268" s="3" t="s">
        <v>4854</v>
      </c>
      <c r="Y268" s="3" t="s">
        <v>4854</v>
      </c>
      <c r="Z268" s="3" t="s">
        <v>4854</v>
      </c>
      <c r="AA268" s="5">
        <v>1253</v>
      </c>
      <c r="AB268" s="3" t="s">
        <v>4854</v>
      </c>
      <c r="AC268" s="3" t="s">
        <v>4854</v>
      </c>
      <c r="AD268" s="3" t="s">
        <v>4854</v>
      </c>
      <c r="AE268" s="99" t="s">
        <v>4854</v>
      </c>
      <c r="AF268" s="99" t="s">
        <v>4854</v>
      </c>
      <c r="AG268" s="99" t="s">
        <v>4854</v>
      </c>
      <c r="AH268" s="99" t="s">
        <v>4854</v>
      </c>
      <c r="AI268" s="90">
        <v>1.5209999999999999</v>
      </c>
      <c r="AJ268" s="99" t="s">
        <v>4854</v>
      </c>
      <c r="AK268" s="99" t="s">
        <v>4854</v>
      </c>
      <c r="AL268" s="99" t="s">
        <v>4854</v>
      </c>
      <c r="AM268" s="102" t="s">
        <v>4854</v>
      </c>
      <c r="AN268" s="102" t="s">
        <v>4854</v>
      </c>
      <c r="AO268" s="102" t="s">
        <v>4854</v>
      </c>
      <c r="AP268" s="102" t="s">
        <v>4854</v>
      </c>
      <c r="AQ268" s="21">
        <v>0.3538</v>
      </c>
      <c r="AR268" s="102" t="s">
        <v>4854</v>
      </c>
      <c r="AS268" s="102" t="s">
        <v>4854</v>
      </c>
      <c r="AT268" s="102" t="s">
        <v>4854</v>
      </c>
      <c r="AU268" s="102" t="s">
        <v>4854</v>
      </c>
      <c r="AV268" s="102" t="s">
        <v>4854</v>
      </c>
      <c r="AW268" s="102" t="s">
        <v>4854</v>
      </c>
      <c r="AX268" s="102" t="s">
        <v>4854</v>
      </c>
      <c r="AY268" s="21">
        <v>6.0000000000000001E-3</v>
      </c>
      <c r="AZ268" s="102" t="s">
        <v>4854</v>
      </c>
      <c r="BA268" s="102" t="s">
        <v>4854</v>
      </c>
      <c r="BB268" s="102" t="s">
        <v>4854</v>
      </c>
      <c r="BC268" s="3" t="s">
        <v>4854</v>
      </c>
      <c r="BD268" s="3" t="s">
        <v>4854</v>
      </c>
      <c r="BE268" s="3" t="s">
        <v>4854</v>
      </c>
      <c r="BF268" s="3" t="s">
        <v>4854</v>
      </c>
      <c r="BG268" s="5">
        <v>1</v>
      </c>
      <c r="BH268" s="3" t="s">
        <v>4854</v>
      </c>
      <c r="BI268" s="3" t="s">
        <v>4854</v>
      </c>
      <c r="BJ268" s="3" t="s">
        <v>4854</v>
      </c>
      <c r="BK268" s="99" t="s">
        <v>4854</v>
      </c>
      <c r="BL268" s="99" t="s">
        <v>4854</v>
      </c>
      <c r="BM268" s="99" t="s">
        <v>4854</v>
      </c>
      <c r="BN268" s="99" t="s">
        <v>4854</v>
      </c>
      <c r="BO268" s="90">
        <v>0.97299999999999998</v>
      </c>
      <c r="BP268" s="99" t="s">
        <v>4854</v>
      </c>
      <c r="BQ268" s="99" t="s">
        <v>4854</v>
      </c>
      <c r="BR268" s="99" t="s">
        <v>4854</v>
      </c>
      <c r="BS268" s="5" t="s">
        <v>4857</v>
      </c>
    </row>
    <row r="269" spans="1:71" s="30" customFormat="1" ht="17.100000000000001" customHeight="1">
      <c r="A269" s="10">
        <v>258</v>
      </c>
      <c r="B269" s="10" t="s">
        <v>3863</v>
      </c>
      <c r="C269" s="4" t="s">
        <v>3953</v>
      </c>
      <c r="D269" s="4" t="s">
        <v>3850</v>
      </c>
      <c r="E269" s="7" t="s">
        <v>3851</v>
      </c>
      <c r="F269" s="10" t="s">
        <v>5075</v>
      </c>
      <c r="G269" s="4" t="s">
        <v>3852</v>
      </c>
      <c r="H269" s="7" t="s">
        <v>3853</v>
      </c>
      <c r="I269" s="4" t="s">
        <v>3854</v>
      </c>
      <c r="J269" s="10" t="s">
        <v>4653</v>
      </c>
      <c r="K269" s="4" t="s">
        <v>5484</v>
      </c>
      <c r="L269" s="4" t="s">
        <v>3864</v>
      </c>
      <c r="M269" s="10">
        <v>3</v>
      </c>
      <c r="N269" s="95">
        <v>951.14509999999996</v>
      </c>
      <c r="O269" s="37" t="str">
        <f>HYPERLINK("http://ms.phosphosite.org:5080/cgi-bin/plot-msms.cgi?MassType=1&amp;NumAxis=1&amp;Mod19=170&amp;Pep=IQEITEQLDITTSEYEKEKLNER&amp;Dta=/var/www/html/dta/S01/10558.10155.3.dta&amp;Global_Mod=CS57.0215", "10155")</f>
        <v>10155</v>
      </c>
      <c r="P269" s="37" t="str">
        <f>HYPERLINK("http://ms.phosphosite.org:5080/cgi-bin/plot-msms.cgi?MassType=1&amp;NumAxis=1&amp;Mod19=170&amp;Pep=IQEITEQLDITTSEYEKEKLNER&amp;Dta=/var/www/html/dta/S01/10559.10131.3.dta&amp;Global_Mod=CS57.0215", "10131")</f>
        <v>10131</v>
      </c>
      <c r="Q269" s="37" t="str">
        <f>HYPERLINK("http://ms.phosphosite.org:5080/cgi-bin/plot-msms.cgi?MassType=1&amp;NumAxis=1&amp;Mod19=170&amp;Pep=IQEITEQLDITTSEYEKEKLNER&amp;Dta=/var/www/html/dta/S01/10560.10147.3.dta&amp;Global_Mod=CS57.0215", "10147")</f>
        <v>10147</v>
      </c>
      <c r="R269" s="37" t="str">
        <f>HYPERLINK("http://ms.phosphosite.org:5080/cgi-bin/plot-msms.cgi?MassType=1&amp;NumAxis=1&amp;Mod19=170&amp;Pep=IQEITEQLDITTSEYEKEKLNER&amp;Dta=/var/www/html/dta/S01/10561.10172.3.dta&amp;Global_Mod=CS57.0215", "10172")</f>
        <v>10172</v>
      </c>
      <c r="S269" s="37" t="str">
        <f>HYPERLINK("http://ms.phosphosite.org:5080/cgi-bin/plot-msms.cgi?MassType=1&amp;NumAxis=1&amp;Mod19=170&amp;Pep=IQEITEQLDITTSEYEKEKLNER&amp;Dta=/var/www/html/dta/S01/10562.10330.3.dta&amp;Global_Mod=CS57.0215", "10330")</f>
        <v>10330</v>
      </c>
      <c r="T269" s="37" t="str">
        <f>HYPERLINK("http://ms.phosphosite.org:5080/cgi-bin/plot-msms.cgi?MassType=1&amp;NumAxis=1&amp;Mod19=170&amp;Pep=IQEITEQLDITTSEYEKEKLNER&amp;Dta=/var/www/html/dta/S01/10563.10287.3.dta&amp;Global_Mod=CS57.0215", "10287")</f>
        <v>10287</v>
      </c>
      <c r="U269" s="37" t="str">
        <f>HYPERLINK("http://ms.phosphosite.org:5080/cgi-bin/plot-msms.cgi?MassType=1&amp;NumAxis=1&amp;Mod19=170&amp;Pep=IQEITEQLDITTSEYEKEKLNER&amp;Dta=/var/www/html/dta/S01/10564.10770.3.dta&amp;Global_Mod=CS57.0215", "10770")</f>
        <v>10770</v>
      </c>
      <c r="V269" s="37" t="str">
        <f>HYPERLINK("http://ms.phosphosite.org:5080/cgi-bin/plot-msms.cgi?MassType=1&amp;NumAxis=1&amp;Mod19=170&amp;Pep=IQEITEQLDITTSEYEKEKLNER&amp;Dta=/var/www/html/dta/S01/10565.10734.3.dta&amp;Global_Mod=CS57.0215", "10734")</f>
        <v>10734</v>
      </c>
      <c r="W269" s="10">
        <v>10174</v>
      </c>
      <c r="X269" s="10">
        <v>10146</v>
      </c>
      <c r="Y269" s="10">
        <v>10161</v>
      </c>
      <c r="Z269" s="10">
        <v>10176</v>
      </c>
      <c r="AA269" s="10">
        <v>10345</v>
      </c>
      <c r="AB269" s="10">
        <v>10292</v>
      </c>
      <c r="AC269" s="10">
        <v>10775</v>
      </c>
      <c r="AD269" s="10">
        <v>10728</v>
      </c>
      <c r="AE269" s="91">
        <v>4.1219999999999999</v>
      </c>
      <c r="AF269" s="91">
        <v>3.5449999999999999</v>
      </c>
      <c r="AG269" s="91">
        <v>4.1059999999999999</v>
      </c>
      <c r="AH269" s="91">
        <v>4.7750000000000004</v>
      </c>
      <c r="AI269" s="91">
        <v>3.4039999999999999</v>
      </c>
      <c r="AJ269" s="91">
        <v>3.69</v>
      </c>
      <c r="AK269" s="91">
        <v>3.7450000000000001</v>
      </c>
      <c r="AL269" s="91">
        <v>4.085</v>
      </c>
      <c r="AM269" s="95">
        <v>1.1196999999999999</v>
      </c>
      <c r="AN269" s="95">
        <v>1.3848</v>
      </c>
      <c r="AO269" s="95">
        <v>1.5085999999999999</v>
      </c>
      <c r="AP269" s="95">
        <v>1.0660000000000001</v>
      </c>
      <c r="AQ269" s="95">
        <v>0.94330000000000003</v>
      </c>
      <c r="AR269" s="95">
        <v>1.1586000000000001</v>
      </c>
      <c r="AS269" s="95">
        <v>1.0207999999999999</v>
      </c>
      <c r="AT269" s="95">
        <v>0.8861</v>
      </c>
      <c r="AU269" s="95">
        <v>0.26300000000000001</v>
      </c>
      <c r="AV269" s="95">
        <v>0.32500000000000001</v>
      </c>
      <c r="AW269" s="95">
        <v>0.31</v>
      </c>
      <c r="AX269" s="95">
        <v>0.44800000000000001</v>
      </c>
      <c r="AY269" s="95">
        <v>0.30099999999999999</v>
      </c>
      <c r="AZ269" s="95">
        <v>0.35499999999999998</v>
      </c>
      <c r="BA269" s="95">
        <v>0.16800000000000001</v>
      </c>
      <c r="BB269" s="95">
        <v>0.314</v>
      </c>
      <c r="BC269" s="10">
        <v>1</v>
      </c>
      <c r="BD269" s="10">
        <v>1</v>
      </c>
      <c r="BE269" s="10">
        <v>2</v>
      </c>
      <c r="BF269" s="10">
        <v>1</v>
      </c>
      <c r="BG269" s="10">
        <v>1</v>
      </c>
      <c r="BH269" s="10">
        <v>1</v>
      </c>
      <c r="BI269" s="10">
        <v>1</v>
      </c>
      <c r="BJ269" s="10">
        <v>2</v>
      </c>
      <c r="BK269" s="91">
        <v>1</v>
      </c>
      <c r="BL269" s="91">
        <v>1</v>
      </c>
      <c r="BM269" s="91">
        <v>1</v>
      </c>
      <c r="BN269" s="91">
        <v>1</v>
      </c>
      <c r="BO269" s="91">
        <v>1</v>
      </c>
      <c r="BP269" s="91">
        <v>1</v>
      </c>
      <c r="BQ269" s="91">
        <v>0.998</v>
      </c>
      <c r="BR269" s="91">
        <v>1</v>
      </c>
      <c r="BS269" s="10" t="s">
        <v>4857</v>
      </c>
    </row>
    <row r="270" spans="1:71" s="30" customFormat="1" ht="17.100000000000001" customHeight="1">
      <c r="A270" s="10">
        <v>259</v>
      </c>
      <c r="B270" s="10" t="s">
        <v>3865</v>
      </c>
      <c r="C270" s="4" t="s">
        <v>3953</v>
      </c>
      <c r="D270" s="4" t="s">
        <v>3850</v>
      </c>
      <c r="E270" s="7" t="s">
        <v>3851</v>
      </c>
      <c r="F270" s="10" t="s">
        <v>5075</v>
      </c>
      <c r="G270" s="4" t="s">
        <v>3852</v>
      </c>
      <c r="H270" s="7" t="s">
        <v>3853</v>
      </c>
      <c r="I270" s="4" t="s">
        <v>3854</v>
      </c>
      <c r="J270" s="10" t="s">
        <v>4653</v>
      </c>
      <c r="K270" s="4" t="s">
        <v>5484</v>
      </c>
      <c r="L270" s="4" t="s">
        <v>3864</v>
      </c>
      <c r="M270" s="10">
        <v>3</v>
      </c>
      <c r="N270" s="95">
        <v>951.14509999999996</v>
      </c>
      <c r="O270" s="37" t="str">
        <f>HYPERLINK("http://ms.phosphosite.org:5080/cgi-bin/plot-msms.cgi?MassType=1&amp;NumAxis=1&amp;Mod19=170&amp;Pep=IQEITEQLDITTSEYEKEKLNER&amp;Dta=/var/www/html/dta/S01/10558.10160.3.dta&amp;Global_Mod=CS57.0215", "10160")</f>
        <v>10160</v>
      </c>
      <c r="P270" s="38" t="s">
        <v>4854</v>
      </c>
      <c r="Q270" s="38" t="s">
        <v>4854</v>
      </c>
      <c r="R270" s="38" t="s">
        <v>4854</v>
      </c>
      <c r="S270" s="38" t="s">
        <v>4854</v>
      </c>
      <c r="T270" s="38" t="s">
        <v>4854</v>
      </c>
      <c r="U270" s="38" t="s">
        <v>4854</v>
      </c>
      <c r="V270" s="37" t="str">
        <f>HYPERLINK("http://ms.phosphosite.org:5080/cgi-bin/plot-msms.cgi?MassType=1&amp;NumAxis=1&amp;Mod19=170&amp;Pep=IQEITEQLDITTSEYEKEKLNER&amp;Dta=/var/www/html/dta/S01/10565.10716.3.dta&amp;Global_Mod=CS57.0215", "10716")</f>
        <v>10716</v>
      </c>
      <c r="W270" s="10">
        <v>10174</v>
      </c>
      <c r="X270" s="4" t="s">
        <v>4854</v>
      </c>
      <c r="Y270" s="4" t="s">
        <v>4854</v>
      </c>
      <c r="Z270" s="4" t="s">
        <v>4854</v>
      </c>
      <c r="AA270" s="4" t="s">
        <v>4854</v>
      </c>
      <c r="AB270" s="4" t="s">
        <v>4854</v>
      </c>
      <c r="AC270" s="4" t="s">
        <v>4854</v>
      </c>
      <c r="AD270" s="10">
        <v>10728</v>
      </c>
      <c r="AE270" s="91">
        <v>3.427</v>
      </c>
      <c r="AF270" s="100" t="s">
        <v>4854</v>
      </c>
      <c r="AG270" s="100" t="s">
        <v>4854</v>
      </c>
      <c r="AH270" s="100" t="s">
        <v>4854</v>
      </c>
      <c r="AI270" s="100" t="s">
        <v>4854</v>
      </c>
      <c r="AJ270" s="100" t="s">
        <v>4854</v>
      </c>
      <c r="AK270" s="100" t="s">
        <v>4854</v>
      </c>
      <c r="AL270" s="91">
        <v>2.6349999999999998</v>
      </c>
      <c r="AM270" s="95">
        <v>1.1196999999999999</v>
      </c>
      <c r="AN270" s="103" t="s">
        <v>4854</v>
      </c>
      <c r="AO270" s="103" t="s">
        <v>4854</v>
      </c>
      <c r="AP270" s="103" t="s">
        <v>4854</v>
      </c>
      <c r="AQ270" s="103" t="s">
        <v>4854</v>
      </c>
      <c r="AR270" s="103" t="s">
        <v>4854</v>
      </c>
      <c r="AS270" s="103" t="s">
        <v>4854</v>
      </c>
      <c r="AT270" s="95">
        <v>0.77849999999999997</v>
      </c>
      <c r="AU270" s="95">
        <v>0.30099999999999999</v>
      </c>
      <c r="AV270" s="103" t="s">
        <v>4854</v>
      </c>
      <c r="AW270" s="103" t="s">
        <v>4854</v>
      </c>
      <c r="AX270" s="103" t="s">
        <v>4854</v>
      </c>
      <c r="AY270" s="103" t="s">
        <v>4854</v>
      </c>
      <c r="AZ270" s="103" t="s">
        <v>4854</v>
      </c>
      <c r="BA270" s="103" t="s">
        <v>4854</v>
      </c>
      <c r="BB270" s="95">
        <v>0.02</v>
      </c>
      <c r="BC270" s="10">
        <v>3</v>
      </c>
      <c r="BD270" s="4" t="s">
        <v>4854</v>
      </c>
      <c r="BE270" s="4" t="s">
        <v>4854</v>
      </c>
      <c r="BF270" s="4" t="s">
        <v>4854</v>
      </c>
      <c r="BG270" s="4" t="s">
        <v>4854</v>
      </c>
      <c r="BH270" s="4" t="s">
        <v>4854</v>
      </c>
      <c r="BI270" s="4" t="s">
        <v>4854</v>
      </c>
      <c r="BJ270" s="10">
        <v>1</v>
      </c>
      <c r="BK270" s="91">
        <v>1</v>
      </c>
      <c r="BL270" s="100" t="s">
        <v>4854</v>
      </c>
      <c r="BM270" s="100" t="s">
        <v>4854</v>
      </c>
      <c r="BN270" s="100" t="s">
        <v>4854</v>
      </c>
      <c r="BO270" s="100" t="s">
        <v>4854</v>
      </c>
      <c r="BP270" s="100" t="s">
        <v>4854</v>
      </c>
      <c r="BQ270" s="100" t="s">
        <v>4854</v>
      </c>
      <c r="BR270" s="91">
        <v>0.95799999999999996</v>
      </c>
      <c r="BS270" s="10" t="s">
        <v>4857</v>
      </c>
    </row>
    <row r="271" spans="1:71" s="30" customFormat="1" ht="17.100000000000001" customHeight="1">
      <c r="A271" s="14">
        <v>260</v>
      </c>
      <c r="B271" s="5" t="s">
        <v>3866</v>
      </c>
      <c r="C271" s="3" t="s">
        <v>3953</v>
      </c>
      <c r="D271" s="3" t="s">
        <v>3850</v>
      </c>
      <c r="E271" s="6" t="s">
        <v>3851</v>
      </c>
      <c r="F271" s="5" t="s">
        <v>5013</v>
      </c>
      <c r="G271" s="3" t="s">
        <v>3852</v>
      </c>
      <c r="H271" s="6" t="s">
        <v>3853</v>
      </c>
      <c r="I271" s="3" t="s">
        <v>3854</v>
      </c>
      <c r="J271" s="5" t="s">
        <v>4653</v>
      </c>
      <c r="K271" s="3" t="s">
        <v>5485</v>
      </c>
      <c r="L271" s="3" t="s">
        <v>3867</v>
      </c>
      <c r="M271" s="5">
        <v>2</v>
      </c>
      <c r="N271" s="21">
        <v>920.95910000000003</v>
      </c>
      <c r="O271" s="36" t="str">
        <f>HYPERLINK("http://ms.phosphosite.org:5080/cgi-bin/plot-msms.cgi?MassType=1&amp;NumAxis=1&amp;Mod1=160&amp;Mod9=170&amp;Pep=CIPALDSLKPANEDQK&amp;Dta=/var/www/html/dta/S01/10558.8666.2.dta&amp;Global_Mod=CS57.0215", "8666")</f>
        <v>8666</v>
      </c>
      <c r="P271" s="36" t="str">
        <f>HYPERLINK("http://ms.phosphosite.org:5080/cgi-bin/plot-msms.cgi?MassType=1&amp;NumAxis=1&amp;Mod1=160&amp;Mod9=170&amp;Pep=CIPALDSLKPANEDQK&amp;Dta=/var/www/html/dta/S01/10559.8646.2.dta&amp;Global_Mod=CS57.0215", "8646")</f>
        <v>8646</v>
      </c>
      <c r="Q271" s="36" t="str">
        <f>HYPERLINK("http://ms.phosphosite.org:5080/cgi-bin/plot-msms.cgi?MassType=1&amp;NumAxis=1&amp;Mod1=160&amp;Mod9=170&amp;Pep=CIPALDSLKPANEDQK&amp;Dta=/var/www/html/dta/S01/10560.8631.2.dta&amp;Global_Mod=CS57.0215", "8631")</f>
        <v>8631</v>
      </c>
      <c r="R271" s="36" t="str">
        <f>HYPERLINK("http://ms.phosphosite.org:5080/cgi-bin/plot-msms.cgi?MassType=1&amp;NumAxis=1&amp;Mod1=160&amp;Mod9=170&amp;Pep=CIPALDSLKPANEDQK&amp;Dta=/var/www/html/dta/S01/10561.8680.2.dta&amp;Global_Mod=CS57.0215", "8680")</f>
        <v>8680</v>
      </c>
      <c r="S271" s="36" t="str">
        <f>HYPERLINK("http://ms.phosphosite.org:5080/cgi-bin/plot-msms.cgi?MassType=1&amp;NumAxis=1&amp;Mod1=160&amp;Mod9=170&amp;Pep=CIPALDSLKPANEDQK&amp;Dta=/var/www/html/dta/S01/10562.8819.2.dta&amp;Global_Mod=CS57.0215", "8819")</f>
        <v>8819</v>
      </c>
      <c r="T271" s="36" t="str">
        <f>HYPERLINK("http://ms.phosphosite.org:5080/cgi-bin/plot-msms.cgi?MassType=1&amp;NumAxis=1&amp;Mod1=160&amp;Mod9=170&amp;Pep=CIPALDSLKPANEDQK&amp;Dta=/var/www/html/dta/S01/10563.8804.2.dta&amp;Global_Mod=CS57.0215", "8804")</f>
        <v>8804</v>
      </c>
      <c r="U271" s="36" t="str">
        <f>HYPERLINK("http://ms.phosphosite.org:5080/cgi-bin/plot-msms.cgi?MassType=1&amp;NumAxis=1&amp;Mod1=160&amp;Mod9=170&amp;Pep=CIPALDSLKPANEDQK&amp;Dta=/var/www/html/dta/S01/10564.9190.2.dta&amp;Global_Mod=CS57.0215", "9190")</f>
        <v>9190</v>
      </c>
      <c r="V271" s="35" t="s">
        <v>4854</v>
      </c>
      <c r="W271" s="5">
        <v>8711</v>
      </c>
      <c r="X271" s="5">
        <v>8615</v>
      </c>
      <c r="Y271" s="5">
        <v>8654</v>
      </c>
      <c r="Z271" s="5">
        <v>8703</v>
      </c>
      <c r="AA271" s="5">
        <v>8776</v>
      </c>
      <c r="AB271" s="5">
        <v>8763</v>
      </c>
      <c r="AC271" s="5">
        <v>9213</v>
      </c>
      <c r="AD271" s="3" t="s">
        <v>4854</v>
      </c>
      <c r="AE271" s="90">
        <v>4.4249999999999998</v>
      </c>
      <c r="AF271" s="90">
        <v>3.6589999999999998</v>
      </c>
      <c r="AG271" s="90">
        <v>4.38</v>
      </c>
      <c r="AH271" s="90">
        <v>2.4140000000000001</v>
      </c>
      <c r="AI271" s="90">
        <v>4.1719999999999997</v>
      </c>
      <c r="AJ271" s="90">
        <v>2.194</v>
      </c>
      <c r="AK271" s="90">
        <v>4.282</v>
      </c>
      <c r="AL271" s="99" t="s">
        <v>4854</v>
      </c>
      <c r="AM271" s="21">
        <v>0.879</v>
      </c>
      <c r="AN271" s="21">
        <v>1.0815999999999999</v>
      </c>
      <c r="AO271" s="21">
        <v>1.2000999999999999</v>
      </c>
      <c r="AP271" s="21">
        <v>0.68620000000000003</v>
      </c>
      <c r="AQ271" s="21">
        <v>-0.22040000000000001</v>
      </c>
      <c r="AR271" s="21">
        <v>0.42220000000000002</v>
      </c>
      <c r="AS271" s="21">
        <v>0.65200000000000002</v>
      </c>
      <c r="AT271" s="102" t="s">
        <v>4854</v>
      </c>
      <c r="AU271" s="21">
        <v>0.42499999999999999</v>
      </c>
      <c r="AV271" s="21">
        <v>0.48899999999999999</v>
      </c>
      <c r="AW271" s="21">
        <v>0.45300000000000001</v>
      </c>
      <c r="AX271" s="21">
        <v>0.25700000000000001</v>
      </c>
      <c r="AY271" s="21">
        <v>0.47099999999999997</v>
      </c>
      <c r="AZ271" s="21">
        <v>0.26</v>
      </c>
      <c r="BA271" s="21">
        <v>0.48799999999999999</v>
      </c>
      <c r="BB271" s="102" t="s">
        <v>4854</v>
      </c>
      <c r="BC271" s="5">
        <v>1</v>
      </c>
      <c r="BD271" s="5">
        <v>1</v>
      </c>
      <c r="BE271" s="5">
        <v>1</v>
      </c>
      <c r="BF271" s="5">
        <v>1</v>
      </c>
      <c r="BG271" s="5">
        <v>1</v>
      </c>
      <c r="BH271" s="5">
        <v>1</v>
      </c>
      <c r="BI271" s="5">
        <v>1</v>
      </c>
      <c r="BJ271" s="3" t="s">
        <v>4854</v>
      </c>
      <c r="BK271" s="90">
        <v>1</v>
      </c>
      <c r="BL271" s="90">
        <v>1</v>
      </c>
      <c r="BM271" s="90">
        <v>1</v>
      </c>
      <c r="BN271" s="90">
        <v>1</v>
      </c>
      <c r="BO271" s="90">
        <v>1</v>
      </c>
      <c r="BP271" s="90">
        <v>1</v>
      </c>
      <c r="BQ271" s="90">
        <v>1</v>
      </c>
      <c r="BR271" s="99" t="s">
        <v>4854</v>
      </c>
      <c r="BS271" s="5" t="s">
        <v>4857</v>
      </c>
    </row>
    <row r="272" spans="1:71" s="30" customFormat="1" ht="17.100000000000001" customHeight="1">
      <c r="A272" s="10">
        <v>261</v>
      </c>
      <c r="B272" s="10" t="s">
        <v>4016</v>
      </c>
      <c r="C272" s="4" t="s">
        <v>3953</v>
      </c>
      <c r="D272" s="4" t="s">
        <v>3850</v>
      </c>
      <c r="E272" s="7" t="s">
        <v>3851</v>
      </c>
      <c r="F272" s="10" t="s">
        <v>5213</v>
      </c>
      <c r="G272" s="4" t="s">
        <v>3852</v>
      </c>
      <c r="H272" s="7" t="s">
        <v>3853</v>
      </c>
      <c r="I272" s="4" t="s">
        <v>3854</v>
      </c>
      <c r="J272" s="10" t="s">
        <v>4653</v>
      </c>
      <c r="K272" s="4" t="s">
        <v>5486</v>
      </c>
      <c r="L272" s="4" t="s">
        <v>3868</v>
      </c>
      <c r="M272" s="10">
        <v>2</v>
      </c>
      <c r="N272" s="95">
        <v>492.31599999999997</v>
      </c>
      <c r="O272" s="37" t="str">
        <f>HYPERLINK("http://ms.phosphosite.org:5080/cgi-bin/plot-msms.cgi?MassType=1&amp;NumAxis=1&amp;Mod7=170&amp;Pep=IGIEIIKR&amp;Dta=/var/www/html/dta/S01/10558.7773.2.dta&amp;Global_Mod=CS57.0215", "7773")</f>
        <v>7773</v>
      </c>
      <c r="P272" s="38" t="s">
        <v>4854</v>
      </c>
      <c r="Q272" s="37" t="str">
        <f>HYPERLINK("http://ms.phosphosite.org:5080/cgi-bin/plot-msms.cgi?MassType=1&amp;NumAxis=1&amp;Mod7=170&amp;Pep=IGIEIIKR&amp;Dta=/var/www/html/dta/S01/10560.7736.2.dta&amp;Global_Mod=CS57.0215", "7736")</f>
        <v>7736</v>
      </c>
      <c r="R272" s="37" t="str">
        <f>HYPERLINK("http://ms.phosphosite.org:5080/cgi-bin/plot-msms.cgi?MassType=1&amp;NumAxis=1&amp;Mod7=170&amp;Pep=IGIEIIKR&amp;Dta=/var/www/html/dta/S01/10561.7785.2.dta&amp;Global_Mod=CS57.0215", "7785")</f>
        <v>7785</v>
      </c>
      <c r="S272" s="37" t="str">
        <f>HYPERLINK("http://ms.phosphosite.org:5080/cgi-bin/plot-msms.cgi?MassType=1&amp;NumAxis=1&amp;Mod7=170&amp;Pep=IGIEIIKR&amp;Dta=/var/www/html/dta/S01/10562.7888.2.dta&amp;Global_Mod=CS57.0215", "7888")</f>
        <v>7888</v>
      </c>
      <c r="T272" s="37" t="str">
        <f>HYPERLINK("http://ms.phosphosite.org:5080/cgi-bin/plot-msms.cgi?MassType=1&amp;NumAxis=1&amp;Mod7=170&amp;Pep=IGIEIIKR&amp;Dta=/var/www/html/dta/S01/10563.7856.2.dta&amp;Global_Mod=CS57.0215", "7856")</f>
        <v>7856</v>
      </c>
      <c r="U272" s="37" t="str">
        <f>HYPERLINK("http://ms.phosphosite.org:5080/cgi-bin/plot-msms.cgi?MassType=1&amp;NumAxis=1&amp;Mod7=170&amp;Pep=IGIEIIKR&amp;Dta=/var/www/html/dta/S01/10564.8272.2.dta&amp;Global_Mod=CS57.0215", "8272")</f>
        <v>8272</v>
      </c>
      <c r="V272" s="37" t="str">
        <f>HYPERLINK("http://ms.phosphosite.org:5080/cgi-bin/plot-msms.cgi?MassType=1&amp;NumAxis=1&amp;Mod7=170&amp;Pep=IGIEIIKR&amp;Dta=/var/www/html/dta/S01/10565.8326.2.dta&amp;Global_Mod=CS57.0215", "8326")</f>
        <v>8326</v>
      </c>
      <c r="W272" s="10">
        <v>8370</v>
      </c>
      <c r="X272" s="4" t="s">
        <v>4854</v>
      </c>
      <c r="Y272" s="10">
        <v>8335</v>
      </c>
      <c r="Z272" s="10">
        <v>7812</v>
      </c>
      <c r="AA272" s="10">
        <v>7918</v>
      </c>
      <c r="AB272" s="10">
        <v>8444</v>
      </c>
      <c r="AC272" s="10">
        <v>8916</v>
      </c>
      <c r="AD272" s="10">
        <v>8935</v>
      </c>
      <c r="AE272" s="91">
        <v>2.653</v>
      </c>
      <c r="AF272" s="100" t="s">
        <v>4854</v>
      </c>
      <c r="AG272" s="91">
        <v>2.4889999999999999</v>
      </c>
      <c r="AH272" s="91">
        <v>2.5329999999999999</v>
      </c>
      <c r="AI272" s="91">
        <v>2.0579999999999998</v>
      </c>
      <c r="AJ272" s="91">
        <v>2.2629999999999999</v>
      </c>
      <c r="AK272" s="91">
        <v>2.113</v>
      </c>
      <c r="AL272" s="91">
        <v>2.9340000000000002</v>
      </c>
      <c r="AM272" s="95">
        <v>0.28199999999999997</v>
      </c>
      <c r="AN272" s="103" t="s">
        <v>4854</v>
      </c>
      <c r="AO272" s="95">
        <v>0.47820000000000001</v>
      </c>
      <c r="AP272" s="95">
        <v>0.5534</v>
      </c>
      <c r="AQ272" s="95">
        <v>0.22509999999999999</v>
      </c>
      <c r="AR272" s="95">
        <v>0.40400000000000003</v>
      </c>
      <c r="AS272" s="95">
        <v>0.27289999999999998</v>
      </c>
      <c r="AT272" s="95">
        <v>-9.4100000000000003E-2</v>
      </c>
      <c r="AU272" s="95">
        <v>5.6000000000000001E-2</v>
      </c>
      <c r="AV272" s="103" t="s">
        <v>4854</v>
      </c>
      <c r="AW272" s="95">
        <v>0.08</v>
      </c>
      <c r="AX272" s="95">
        <v>0.08</v>
      </c>
      <c r="AY272" s="95">
        <v>6.8000000000000005E-2</v>
      </c>
      <c r="AZ272" s="95">
        <v>9.7000000000000003E-2</v>
      </c>
      <c r="BA272" s="95">
        <v>4.3999999999999997E-2</v>
      </c>
      <c r="BB272" s="95">
        <v>4.8000000000000001E-2</v>
      </c>
      <c r="BC272" s="10">
        <v>1</v>
      </c>
      <c r="BD272" s="4" t="s">
        <v>4854</v>
      </c>
      <c r="BE272" s="10">
        <v>1</v>
      </c>
      <c r="BF272" s="10">
        <v>1</v>
      </c>
      <c r="BG272" s="10">
        <v>5</v>
      </c>
      <c r="BH272" s="10">
        <v>1</v>
      </c>
      <c r="BI272" s="10">
        <v>1</v>
      </c>
      <c r="BJ272" s="10">
        <v>1</v>
      </c>
      <c r="BK272" s="91">
        <v>0.999</v>
      </c>
      <c r="BL272" s="100" t="s">
        <v>4854</v>
      </c>
      <c r="BM272" s="91">
        <v>0.999</v>
      </c>
      <c r="BN272" s="91">
        <v>0.999</v>
      </c>
      <c r="BO272" s="91">
        <v>0.995</v>
      </c>
      <c r="BP272" s="91">
        <v>0.999</v>
      </c>
      <c r="BQ272" s="91">
        <v>0.996</v>
      </c>
      <c r="BR272" s="91">
        <v>0.999</v>
      </c>
      <c r="BS272" s="10" t="s">
        <v>4857</v>
      </c>
    </row>
    <row r="273" spans="1:71" s="30" customFormat="1" ht="17.100000000000001" customHeight="1">
      <c r="A273" s="14">
        <v>262</v>
      </c>
      <c r="B273" s="5" t="s">
        <v>3869</v>
      </c>
      <c r="C273" s="3" t="s">
        <v>3953</v>
      </c>
      <c r="D273" s="3" t="s">
        <v>3870</v>
      </c>
      <c r="E273" s="3" t="s">
        <v>3871</v>
      </c>
      <c r="F273" s="5" t="s">
        <v>5192</v>
      </c>
      <c r="G273" s="3" t="s">
        <v>3872</v>
      </c>
      <c r="H273" s="6" t="s">
        <v>3873</v>
      </c>
      <c r="I273" s="3" t="s">
        <v>3874</v>
      </c>
      <c r="J273" s="5" t="s">
        <v>4747</v>
      </c>
      <c r="K273" s="3" t="s">
        <v>5487</v>
      </c>
      <c r="L273" s="3" t="s">
        <v>3875</v>
      </c>
      <c r="M273" s="5">
        <v>2</v>
      </c>
      <c r="N273" s="21">
        <v>611.30909999999994</v>
      </c>
      <c r="O273" s="35" t="s">
        <v>4854</v>
      </c>
      <c r="P273" s="35" t="s">
        <v>4854</v>
      </c>
      <c r="Q273" s="35" t="s">
        <v>4854</v>
      </c>
      <c r="R273" s="35" t="s">
        <v>4854</v>
      </c>
      <c r="S273" s="35" t="s">
        <v>4854</v>
      </c>
      <c r="T273" s="35" t="s">
        <v>4854</v>
      </c>
      <c r="U273" s="36" t="str">
        <f>HYPERLINK("http://ms.phosphosite.org:5080/cgi-bin/plot-msms.cgi?MassType=1&amp;NumAxis=1&amp;Mod8=170&amp;Pep=DVNVNFEKSK&amp;Dta=/var/www/html/dta/S01/10564.5669.2.dta&amp;Global_Mod=CS57.0215", "5669")</f>
        <v>5669</v>
      </c>
      <c r="V273" s="36" t="str">
        <f>HYPERLINK("http://ms.phosphosite.org:5080/cgi-bin/plot-msms.cgi?MassType=1&amp;NumAxis=1&amp;Mod8=170&amp;Pep=DVNVNFEKSK&amp;Dta=/var/www/html/dta/S01/10565.5762.2.dta&amp;Global_Mod=CS57.0215", "5762")</f>
        <v>5762</v>
      </c>
      <c r="W273" s="3" t="s">
        <v>4854</v>
      </c>
      <c r="X273" s="3" t="s">
        <v>4854</v>
      </c>
      <c r="Y273" s="3" t="s">
        <v>4854</v>
      </c>
      <c r="Z273" s="3" t="s">
        <v>4854</v>
      </c>
      <c r="AA273" s="3" t="s">
        <v>4854</v>
      </c>
      <c r="AB273" s="3" t="s">
        <v>4854</v>
      </c>
      <c r="AC273" s="5">
        <v>5649</v>
      </c>
      <c r="AD273" s="5">
        <v>5757</v>
      </c>
      <c r="AE273" s="99" t="s">
        <v>4854</v>
      </c>
      <c r="AF273" s="99" t="s">
        <v>4854</v>
      </c>
      <c r="AG273" s="99" t="s">
        <v>4854</v>
      </c>
      <c r="AH273" s="99" t="s">
        <v>4854</v>
      </c>
      <c r="AI273" s="99" t="s">
        <v>4854</v>
      </c>
      <c r="AJ273" s="99" t="s">
        <v>4854</v>
      </c>
      <c r="AK273" s="90">
        <v>2.8439999999999999</v>
      </c>
      <c r="AL273" s="90">
        <v>2.4049999999999998</v>
      </c>
      <c r="AM273" s="102" t="s">
        <v>4854</v>
      </c>
      <c r="AN273" s="102" t="s">
        <v>4854</v>
      </c>
      <c r="AO273" s="102" t="s">
        <v>4854</v>
      </c>
      <c r="AP273" s="102" t="s">
        <v>4854</v>
      </c>
      <c r="AQ273" s="102" t="s">
        <v>4854</v>
      </c>
      <c r="AR273" s="102" t="s">
        <v>4854</v>
      </c>
      <c r="AS273" s="21">
        <v>3.5999999999999997E-2</v>
      </c>
      <c r="AT273" s="21">
        <v>-0.38479999999999998</v>
      </c>
      <c r="AU273" s="102" t="s">
        <v>4854</v>
      </c>
      <c r="AV273" s="102" t="s">
        <v>4854</v>
      </c>
      <c r="AW273" s="102" t="s">
        <v>4854</v>
      </c>
      <c r="AX273" s="102" t="s">
        <v>4854</v>
      </c>
      <c r="AY273" s="102" t="s">
        <v>4854</v>
      </c>
      <c r="AZ273" s="102" t="s">
        <v>4854</v>
      </c>
      <c r="BA273" s="21">
        <v>0.17</v>
      </c>
      <c r="BB273" s="21">
        <v>0.215</v>
      </c>
      <c r="BC273" s="3" t="s">
        <v>4854</v>
      </c>
      <c r="BD273" s="3" t="s">
        <v>4854</v>
      </c>
      <c r="BE273" s="3" t="s">
        <v>4854</v>
      </c>
      <c r="BF273" s="3" t="s">
        <v>4854</v>
      </c>
      <c r="BG273" s="3" t="s">
        <v>4854</v>
      </c>
      <c r="BH273" s="3" t="s">
        <v>4854</v>
      </c>
      <c r="BI273" s="5">
        <v>1</v>
      </c>
      <c r="BJ273" s="5">
        <v>2</v>
      </c>
      <c r="BK273" s="99" t="s">
        <v>4854</v>
      </c>
      <c r="BL273" s="99" t="s">
        <v>4854</v>
      </c>
      <c r="BM273" s="99" t="s">
        <v>4854</v>
      </c>
      <c r="BN273" s="99" t="s">
        <v>4854</v>
      </c>
      <c r="BO273" s="99" t="s">
        <v>4854</v>
      </c>
      <c r="BP273" s="99" t="s">
        <v>4854</v>
      </c>
      <c r="BQ273" s="90">
        <v>0.999</v>
      </c>
      <c r="BR273" s="90">
        <v>0.998</v>
      </c>
      <c r="BS273" s="5" t="s">
        <v>4857</v>
      </c>
    </row>
    <row r="274" spans="1:71" s="30" customFormat="1" ht="17.100000000000001" customHeight="1">
      <c r="A274" s="10">
        <v>263</v>
      </c>
      <c r="B274" s="10" t="s">
        <v>3876</v>
      </c>
      <c r="C274" s="4" t="s">
        <v>3953</v>
      </c>
      <c r="D274" s="4" t="s">
        <v>3877</v>
      </c>
      <c r="E274" s="7" t="s">
        <v>3878</v>
      </c>
      <c r="F274" s="10" t="s">
        <v>5222</v>
      </c>
      <c r="G274" s="4" t="s">
        <v>3879</v>
      </c>
      <c r="H274" s="7" t="s">
        <v>3880</v>
      </c>
      <c r="I274" s="4" t="s">
        <v>3881</v>
      </c>
      <c r="J274" s="10" t="s">
        <v>4528</v>
      </c>
      <c r="K274" s="4" t="s">
        <v>5488</v>
      </c>
      <c r="L274" s="4" t="s">
        <v>3882</v>
      </c>
      <c r="M274" s="10">
        <v>2</v>
      </c>
      <c r="N274" s="95">
        <v>628.81150000000002</v>
      </c>
      <c r="O274" s="38" t="s">
        <v>4854</v>
      </c>
      <c r="P274" s="37" t="str">
        <f>HYPERLINK("http://ms.phosphosite.org:5080/cgi-bin/plot-msms.cgi?MassType=1&amp;NumAxis=1&amp;Mod7=170&amp;Pep=IGNSYFKEEK&amp;Dta=/var/www/html/dta/S01/10559.4799.2.dta&amp;Global_Mod=CS57.0215", "4799")</f>
        <v>4799</v>
      </c>
      <c r="Q274" s="38" t="s">
        <v>4854</v>
      </c>
      <c r="R274" s="38" t="s">
        <v>4854</v>
      </c>
      <c r="S274" s="38" t="s">
        <v>4854</v>
      </c>
      <c r="T274" s="37" t="str">
        <f>HYPERLINK("http://ms.phosphosite.org:5080/cgi-bin/plot-msms.cgi?MassType=1&amp;NumAxis=1&amp;Mod7=170&amp;Pep=IGNSYFKEEK&amp;Dta=/var/www/html/dta/S01/10563.4854.2.dta&amp;Global_Mod=CS57.0215", "4854")</f>
        <v>4854</v>
      </c>
      <c r="U274" s="37" t="str">
        <f>HYPERLINK("http://ms.phosphosite.org:5080/cgi-bin/plot-msms.cgi?MassType=1&amp;NumAxis=1&amp;Mod7=170&amp;Pep=IGNSYFKEEK&amp;Dta=/var/www/html/dta/S01/10564.5204.2.dta&amp;Global_Mod=CS57.0215", "5204")</f>
        <v>5204</v>
      </c>
      <c r="V274" s="38" t="s">
        <v>4854</v>
      </c>
      <c r="W274" s="4" t="s">
        <v>4854</v>
      </c>
      <c r="X274" s="4" t="s">
        <v>4854</v>
      </c>
      <c r="Y274" s="4" t="s">
        <v>4854</v>
      </c>
      <c r="Z274" s="4" t="s">
        <v>4854</v>
      </c>
      <c r="AA274" s="4" t="s">
        <v>4854</v>
      </c>
      <c r="AB274" s="10">
        <v>4859</v>
      </c>
      <c r="AC274" s="10">
        <v>5198</v>
      </c>
      <c r="AD274" s="4" t="s">
        <v>4854</v>
      </c>
      <c r="AE274" s="100" t="s">
        <v>4854</v>
      </c>
      <c r="AF274" s="91">
        <v>2.0289999999999999</v>
      </c>
      <c r="AG274" s="100" t="s">
        <v>4854</v>
      </c>
      <c r="AH274" s="100" t="s">
        <v>4854</v>
      </c>
      <c r="AI274" s="100" t="s">
        <v>4854</v>
      </c>
      <c r="AJ274" s="91">
        <v>2.395</v>
      </c>
      <c r="AK274" s="91">
        <v>2.246</v>
      </c>
      <c r="AL274" s="100" t="s">
        <v>4854</v>
      </c>
      <c r="AM274" s="103" t="s">
        <v>4854</v>
      </c>
      <c r="AN274" s="95">
        <v>-1.3655999999999999</v>
      </c>
      <c r="AO274" s="103" t="s">
        <v>4854</v>
      </c>
      <c r="AP274" s="103" t="s">
        <v>4854</v>
      </c>
      <c r="AQ274" s="103" t="s">
        <v>4854</v>
      </c>
      <c r="AR274" s="95">
        <v>-0.95740000000000003</v>
      </c>
      <c r="AS274" s="95">
        <v>-0.68279999999999996</v>
      </c>
      <c r="AT274" s="103" t="s">
        <v>4854</v>
      </c>
      <c r="AU274" s="103" t="s">
        <v>4854</v>
      </c>
      <c r="AV274" s="95">
        <v>4.8000000000000001E-2</v>
      </c>
      <c r="AW274" s="103" t="s">
        <v>4854</v>
      </c>
      <c r="AX274" s="103" t="s">
        <v>4854</v>
      </c>
      <c r="AY274" s="103" t="s">
        <v>4854</v>
      </c>
      <c r="AZ274" s="95">
        <v>0.191</v>
      </c>
      <c r="BA274" s="95">
        <v>0.18099999999999999</v>
      </c>
      <c r="BB274" s="103" t="s">
        <v>4854</v>
      </c>
      <c r="BC274" s="4" t="s">
        <v>4854</v>
      </c>
      <c r="BD274" s="10">
        <v>241</v>
      </c>
      <c r="BE274" s="4" t="s">
        <v>4854</v>
      </c>
      <c r="BF274" s="4" t="s">
        <v>4854</v>
      </c>
      <c r="BG274" s="4" t="s">
        <v>4854</v>
      </c>
      <c r="BH274" s="10">
        <v>1</v>
      </c>
      <c r="BI274" s="10">
        <v>70</v>
      </c>
      <c r="BJ274" s="4" t="s">
        <v>4854</v>
      </c>
      <c r="BK274" s="100" t="s">
        <v>4854</v>
      </c>
      <c r="BL274" s="91">
        <v>0.28899999999999998</v>
      </c>
      <c r="BM274" s="100" t="s">
        <v>4854</v>
      </c>
      <c r="BN274" s="100" t="s">
        <v>4854</v>
      </c>
      <c r="BO274" s="100" t="s">
        <v>4854</v>
      </c>
      <c r="BP274" s="91">
        <v>0.99399999999999999</v>
      </c>
      <c r="BQ274" s="91">
        <v>0.96599999999999997</v>
      </c>
      <c r="BR274" s="100" t="s">
        <v>4854</v>
      </c>
      <c r="BS274" s="10" t="s">
        <v>4857</v>
      </c>
    </row>
    <row r="275" spans="1:71" ht="17.100000000000001" customHeight="1">
      <c r="A275" s="31">
        <v>264</v>
      </c>
      <c r="B275" s="2" t="s">
        <v>3883</v>
      </c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94"/>
      <c r="O275" s="34"/>
      <c r="P275" s="34"/>
      <c r="Q275" s="34"/>
      <c r="R275" s="34"/>
      <c r="S275" s="34"/>
      <c r="T275" s="34"/>
      <c r="U275" s="34"/>
      <c r="V275" s="34"/>
      <c r="W275" s="1"/>
      <c r="X275" s="1"/>
      <c r="Y275" s="1"/>
      <c r="Z275" s="1"/>
      <c r="AA275" s="1"/>
      <c r="AB275" s="1"/>
      <c r="AC275" s="1"/>
      <c r="AD275" s="1"/>
      <c r="AE275" s="89"/>
      <c r="AF275" s="89"/>
      <c r="AG275" s="89"/>
      <c r="AH275" s="89"/>
      <c r="AI275" s="89"/>
      <c r="AJ275" s="89"/>
      <c r="AK275" s="89"/>
      <c r="AL275" s="89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1"/>
      <c r="BD275" s="1"/>
      <c r="BE275" s="1"/>
      <c r="BF275" s="1"/>
      <c r="BG275" s="1"/>
      <c r="BH275" s="1"/>
      <c r="BI275" s="1"/>
      <c r="BJ275" s="1"/>
      <c r="BK275" s="89"/>
      <c r="BL275" s="89"/>
      <c r="BM275" s="89"/>
      <c r="BN275" s="89"/>
      <c r="BO275" s="89"/>
      <c r="BP275" s="89"/>
      <c r="BQ275" s="89"/>
      <c r="BR275" s="89"/>
      <c r="BS275" s="1"/>
    </row>
    <row r="276" spans="1:71" s="30" customFormat="1" ht="17.100000000000001" customHeight="1">
      <c r="A276" s="14">
        <v>265</v>
      </c>
      <c r="B276" s="5" t="s">
        <v>3884</v>
      </c>
      <c r="C276" s="3" t="s">
        <v>3883</v>
      </c>
      <c r="D276" s="3" t="s">
        <v>3885</v>
      </c>
      <c r="E276" s="3" t="s">
        <v>3886</v>
      </c>
      <c r="F276" s="5" t="s">
        <v>3887</v>
      </c>
      <c r="G276" s="3" t="s">
        <v>3888</v>
      </c>
      <c r="H276" s="6" t="s">
        <v>3889</v>
      </c>
      <c r="I276" s="3" t="s">
        <v>3890</v>
      </c>
      <c r="J276" s="5" t="s">
        <v>4299</v>
      </c>
      <c r="K276" s="3" t="s">
        <v>5489</v>
      </c>
      <c r="L276" s="3" t="s">
        <v>3768</v>
      </c>
      <c r="M276" s="5">
        <v>3</v>
      </c>
      <c r="N276" s="21">
        <v>377.88380000000001</v>
      </c>
      <c r="O276" s="35" t="s">
        <v>4854</v>
      </c>
      <c r="P276" s="35" t="s">
        <v>4854</v>
      </c>
      <c r="Q276" s="35" t="s">
        <v>4854</v>
      </c>
      <c r="R276" s="35" t="s">
        <v>4854</v>
      </c>
      <c r="S276" s="35" t="s">
        <v>4854</v>
      </c>
      <c r="T276" s="35" t="s">
        <v>4854</v>
      </c>
      <c r="U276" s="35" t="s">
        <v>4854</v>
      </c>
      <c r="V276" s="36" t="str">
        <f>HYPERLINK("http://ms.phosphosite.org:5080/cgi-bin/plot-msms.cgi?MassType=1&amp;NumAxis=1&amp;Mod5=170&amp;Pep=VNASKTVDKK&amp;Dta=/var/www/html/dta/S01/10565.2202.3.dta&amp;Global_Mod=CS57.0215", "2202")</f>
        <v>2202</v>
      </c>
      <c r="W276" s="3" t="s">
        <v>4854</v>
      </c>
      <c r="X276" s="3" t="s">
        <v>4854</v>
      </c>
      <c r="Y276" s="3" t="s">
        <v>4854</v>
      </c>
      <c r="Z276" s="3" t="s">
        <v>4854</v>
      </c>
      <c r="AA276" s="3" t="s">
        <v>4854</v>
      </c>
      <c r="AB276" s="3" t="s">
        <v>4854</v>
      </c>
      <c r="AC276" s="3" t="s">
        <v>4854</v>
      </c>
      <c r="AD276" s="3" t="s">
        <v>4854</v>
      </c>
      <c r="AE276" s="99" t="s">
        <v>4854</v>
      </c>
      <c r="AF276" s="99" t="s">
        <v>4854</v>
      </c>
      <c r="AG276" s="99" t="s">
        <v>4854</v>
      </c>
      <c r="AH276" s="99" t="s">
        <v>4854</v>
      </c>
      <c r="AI276" s="99" t="s">
        <v>4854</v>
      </c>
      <c r="AJ276" s="99" t="s">
        <v>4854</v>
      </c>
      <c r="AK276" s="99" t="s">
        <v>4854</v>
      </c>
      <c r="AL276" s="90">
        <v>1.9330000000000001</v>
      </c>
      <c r="AM276" s="102" t="s">
        <v>4854</v>
      </c>
      <c r="AN276" s="102" t="s">
        <v>4854</v>
      </c>
      <c r="AO276" s="102" t="s">
        <v>4854</v>
      </c>
      <c r="AP276" s="102" t="s">
        <v>4854</v>
      </c>
      <c r="AQ276" s="102" t="s">
        <v>4854</v>
      </c>
      <c r="AR276" s="102" t="s">
        <v>4854</v>
      </c>
      <c r="AS276" s="102" t="s">
        <v>4854</v>
      </c>
      <c r="AT276" s="21">
        <v>-1.7027000000000001</v>
      </c>
      <c r="AU276" s="102" t="s">
        <v>4854</v>
      </c>
      <c r="AV276" s="102" t="s">
        <v>4854</v>
      </c>
      <c r="AW276" s="102" t="s">
        <v>4854</v>
      </c>
      <c r="AX276" s="102" t="s">
        <v>4854</v>
      </c>
      <c r="AY276" s="102" t="s">
        <v>4854</v>
      </c>
      <c r="AZ276" s="102" t="s">
        <v>4854</v>
      </c>
      <c r="BA276" s="102" t="s">
        <v>4854</v>
      </c>
      <c r="BB276" s="21">
        <v>7.0000000000000001E-3</v>
      </c>
      <c r="BC276" s="3" t="s">
        <v>4854</v>
      </c>
      <c r="BD276" s="3" t="s">
        <v>4854</v>
      </c>
      <c r="BE276" s="3" t="s">
        <v>4854</v>
      </c>
      <c r="BF276" s="3" t="s">
        <v>4854</v>
      </c>
      <c r="BG276" s="3" t="s">
        <v>4854</v>
      </c>
      <c r="BH276" s="3" t="s">
        <v>4854</v>
      </c>
      <c r="BI276" s="3" t="s">
        <v>4854</v>
      </c>
      <c r="BJ276" s="5">
        <v>723</v>
      </c>
      <c r="BK276" s="99" t="s">
        <v>4854</v>
      </c>
      <c r="BL276" s="99" t="s">
        <v>4854</v>
      </c>
      <c r="BM276" s="99" t="s">
        <v>4854</v>
      </c>
      <c r="BN276" s="99" t="s">
        <v>4854</v>
      </c>
      <c r="BO276" s="99" t="s">
        <v>4854</v>
      </c>
      <c r="BP276" s="99" t="s">
        <v>4854</v>
      </c>
      <c r="BQ276" s="99" t="s">
        <v>4854</v>
      </c>
      <c r="BR276" s="90">
        <v>0.193</v>
      </c>
      <c r="BS276" s="5" t="s">
        <v>4857</v>
      </c>
    </row>
    <row r="277" spans="1:71" s="30" customFormat="1" ht="17.100000000000001" customHeight="1">
      <c r="A277" s="10">
        <v>266</v>
      </c>
      <c r="B277" s="10" t="s">
        <v>3769</v>
      </c>
      <c r="C277" s="4" t="s">
        <v>3883</v>
      </c>
      <c r="D277" s="4" t="s">
        <v>3770</v>
      </c>
      <c r="E277" s="4" t="s">
        <v>3771</v>
      </c>
      <c r="F277" s="10" t="s">
        <v>3772</v>
      </c>
      <c r="G277" s="4" t="s">
        <v>3773</v>
      </c>
      <c r="H277" s="7" t="s">
        <v>3774</v>
      </c>
      <c r="I277" s="4" t="s">
        <v>3775</v>
      </c>
      <c r="J277" s="10" t="s">
        <v>4113</v>
      </c>
      <c r="K277" s="4" t="s">
        <v>5490</v>
      </c>
      <c r="L277" s="4" t="s">
        <v>3776</v>
      </c>
      <c r="M277" s="10">
        <v>4</v>
      </c>
      <c r="N277" s="95">
        <v>632.0806</v>
      </c>
      <c r="O277" s="37" t="str">
        <f>HYPERLINK("http://ms.phosphosite.org:5080/cgi-bin/plot-msms.cgi?MassType=1&amp;NumAxis=1&amp;Mod15=170&amp;Mod21=170&amp;Pep=YSNVNTLGNNGPTHKKLYRHK&amp;Dta=/var/www/html/dta/S01/10558.7863.4.dta&amp;Global_Mod=CS57.0215", "7863")</f>
        <v>7863</v>
      </c>
      <c r="P277" s="38" t="s">
        <v>4854</v>
      </c>
      <c r="Q277" s="38" t="s">
        <v>4854</v>
      </c>
      <c r="R277" s="38" t="s">
        <v>4854</v>
      </c>
      <c r="S277" s="38" t="s">
        <v>4854</v>
      </c>
      <c r="T277" s="38" t="s">
        <v>4854</v>
      </c>
      <c r="U277" s="38" t="s">
        <v>4854</v>
      </c>
      <c r="V277" s="38" t="s">
        <v>4854</v>
      </c>
      <c r="W277" s="4" t="s">
        <v>4854</v>
      </c>
      <c r="X277" s="4" t="s">
        <v>4854</v>
      </c>
      <c r="Y277" s="4" t="s">
        <v>4854</v>
      </c>
      <c r="Z277" s="4" t="s">
        <v>4854</v>
      </c>
      <c r="AA277" s="4" t="s">
        <v>4854</v>
      </c>
      <c r="AB277" s="4" t="s">
        <v>4854</v>
      </c>
      <c r="AC277" s="4" t="s">
        <v>4854</v>
      </c>
      <c r="AD277" s="4" t="s">
        <v>4854</v>
      </c>
      <c r="AE277" s="91">
        <v>2.3290000000000002</v>
      </c>
      <c r="AF277" s="100" t="s">
        <v>4854</v>
      </c>
      <c r="AG277" s="100" t="s">
        <v>4854</v>
      </c>
      <c r="AH277" s="100" t="s">
        <v>4854</v>
      </c>
      <c r="AI277" s="100" t="s">
        <v>4854</v>
      </c>
      <c r="AJ277" s="100" t="s">
        <v>4854</v>
      </c>
      <c r="AK277" s="100" t="s">
        <v>4854</v>
      </c>
      <c r="AL277" s="100" t="s">
        <v>4854</v>
      </c>
      <c r="AM277" s="95">
        <v>-0.94750000000000001</v>
      </c>
      <c r="AN277" s="103" t="s">
        <v>4854</v>
      </c>
      <c r="AO277" s="103" t="s">
        <v>4854</v>
      </c>
      <c r="AP277" s="103" t="s">
        <v>4854</v>
      </c>
      <c r="AQ277" s="103" t="s">
        <v>4854</v>
      </c>
      <c r="AR277" s="103" t="s">
        <v>4854</v>
      </c>
      <c r="AS277" s="103" t="s">
        <v>4854</v>
      </c>
      <c r="AT277" s="103" t="s">
        <v>4854</v>
      </c>
      <c r="AU277" s="95">
        <v>1.2E-2</v>
      </c>
      <c r="AV277" s="103" t="s">
        <v>4854</v>
      </c>
      <c r="AW277" s="103" t="s">
        <v>4854</v>
      </c>
      <c r="AX277" s="103" t="s">
        <v>4854</v>
      </c>
      <c r="AY277" s="103" t="s">
        <v>4854</v>
      </c>
      <c r="AZ277" s="103" t="s">
        <v>4854</v>
      </c>
      <c r="BA277" s="103" t="s">
        <v>4854</v>
      </c>
      <c r="BB277" s="103" t="s">
        <v>4854</v>
      </c>
      <c r="BC277" s="10">
        <v>38</v>
      </c>
      <c r="BD277" s="4" t="s">
        <v>4854</v>
      </c>
      <c r="BE277" s="4" t="s">
        <v>4854</v>
      </c>
      <c r="BF277" s="4" t="s">
        <v>4854</v>
      </c>
      <c r="BG277" s="4" t="s">
        <v>4854</v>
      </c>
      <c r="BH277" s="4" t="s">
        <v>4854</v>
      </c>
      <c r="BI277" s="4" t="s">
        <v>4854</v>
      </c>
      <c r="BJ277" s="4" t="s">
        <v>4854</v>
      </c>
      <c r="BK277" s="91">
        <v>0.442</v>
      </c>
      <c r="BL277" s="100" t="s">
        <v>4854</v>
      </c>
      <c r="BM277" s="100" t="s">
        <v>4854</v>
      </c>
      <c r="BN277" s="100" t="s">
        <v>4854</v>
      </c>
      <c r="BO277" s="100" t="s">
        <v>4854</v>
      </c>
      <c r="BP277" s="100" t="s">
        <v>4854</v>
      </c>
      <c r="BQ277" s="100" t="s">
        <v>4854</v>
      </c>
      <c r="BR277" s="100" t="s">
        <v>4854</v>
      </c>
      <c r="BS277" s="10" t="s">
        <v>4857</v>
      </c>
    </row>
    <row r="278" spans="1:71" s="30" customFormat="1" ht="17.100000000000001" customHeight="1">
      <c r="A278" s="14">
        <v>267</v>
      </c>
      <c r="B278" s="5" t="s">
        <v>4819</v>
      </c>
      <c r="C278" s="3" t="s">
        <v>3883</v>
      </c>
      <c r="D278" s="3" t="s">
        <v>3777</v>
      </c>
      <c r="E278" s="6" t="s">
        <v>3778</v>
      </c>
      <c r="F278" s="5" t="s">
        <v>5284</v>
      </c>
      <c r="G278" s="3" t="s">
        <v>3779</v>
      </c>
      <c r="H278" s="6" t="s">
        <v>3780</v>
      </c>
      <c r="I278" s="3" t="s">
        <v>3781</v>
      </c>
      <c r="J278" s="5" t="s">
        <v>4765</v>
      </c>
      <c r="K278" s="3" t="s">
        <v>5491</v>
      </c>
      <c r="L278" s="3" t="s">
        <v>3782</v>
      </c>
      <c r="M278" s="5">
        <v>2</v>
      </c>
      <c r="N278" s="21">
        <v>669.3768</v>
      </c>
      <c r="O278" s="35" t="s">
        <v>4854</v>
      </c>
      <c r="P278" s="36" t="str">
        <f>HYPERLINK("http://ms.phosphosite.org:5080/cgi-bin/plot-msms.cgi?MassType=1&amp;NumAxis=1&amp;Mod5=170&amp;Pep=VVNGKVEYFLK&amp;Dta=/var/www/html/dta/S01/10559.9235.2.dta&amp;Global_Mod=CS57.0215", "9235")</f>
        <v>9235</v>
      </c>
      <c r="Q278" s="36" t="str">
        <f>HYPERLINK("http://ms.phosphosite.org:5080/cgi-bin/plot-msms.cgi?MassType=1&amp;NumAxis=1&amp;Mod5=170&amp;Pep=VVNGKVEYFLK&amp;Dta=/var/www/html/dta/S01/10560.9261.2.dta&amp;Global_Mod=CS57.0215", "9261")</f>
        <v>9261</v>
      </c>
      <c r="R278" s="35" t="s">
        <v>4854</v>
      </c>
      <c r="S278" s="35" t="s">
        <v>4854</v>
      </c>
      <c r="T278" s="35" t="s">
        <v>4854</v>
      </c>
      <c r="U278" s="36" t="str">
        <f>HYPERLINK("http://ms.phosphosite.org:5080/cgi-bin/plot-msms.cgi?MassType=1&amp;NumAxis=1&amp;Mod5=170&amp;Pep=VVNGKVEYFLK&amp;Dta=/var/www/html/dta/S01/10564.9896.2.dta&amp;Global_Mod=CS57.0215", "9896")</f>
        <v>9896</v>
      </c>
      <c r="V278" s="35" t="s">
        <v>4854</v>
      </c>
      <c r="W278" s="3" t="s">
        <v>4854</v>
      </c>
      <c r="X278" s="5">
        <v>9231</v>
      </c>
      <c r="Y278" s="5">
        <v>9248</v>
      </c>
      <c r="Z278" s="3" t="s">
        <v>4854</v>
      </c>
      <c r="AA278" s="3" t="s">
        <v>4854</v>
      </c>
      <c r="AB278" s="3" t="s">
        <v>4854</v>
      </c>
      <c r="AC278" s="5">
        <v>9884</v>
      </c>
      <c r="AD278" s="3" t="s">
        <v>4854</v>
      </c>
      <c r="AE278" s="99" t="s">
        <v>4854</v>
      </c>
      <c r="AF278" s="90">
        <v>2.8769999999999998</v>
      </c>
      <c r="AG278" s="90">
        <v>2.8919999999999999</v>
      </c>
      <c r="AH278" s="99" t="s">
        <v>4854</v>
      </c>
      <c r="AI278" s="99" t="s">
        <v>4854</v>
      </c>
      <c r="AJ278" s="99" t="s">
        <v>4854</v>
      </c>
      <c r="AK278" s="90">
        <v>3.01</v>
      </c>
      <c r="AL278" s="99" t="s">
        <v>4854</v>
      </c>
      <c r="AM278" s="102" t="s">
        <v>4854</v>
      </c>
      <c r="AN278" s="21">
        <v>0.34510000000000002</v>
      </c>
      <c r="AO278" s="21">
        <v>0.2868</v>
      </c>
      <c r="AP278" s="102" t="s">
        <v>4854</v>
      </c>
      <c r="AQ278" s="102" t="s">
        <v>4854</v>
      </c>
      <c r="AR278" s="102" t="s">
        <v>4854</v>
      </c>
      <c r="AS278" s="21">
        <v>0.1321</v>
      </c>
      <c r="AT278" s="102" t="s">
        <v>4854</v>
      </c>
      <c r="AU278" s="102" t="s">
        <v>4854</v>
      </c>
      <c r="AV278" s="21">
        <v>0.308</v>
      </c>
      <c r="AW278" s="21">
        <v>0.254</v>
      </c>
      <c r="AX278" s="102" t="s">
        <v>4854</v>
      </c>
      <c r="AY278" s="102" t="s">
        <v>4854</v>
      </c>
      <c r="AZ278" s="102" t="s">
        <v>4854</v>
      </c>
      <c r="BA278" s="21">
        <v>0.29699999999999999</v>
      </c>
      <c r="BB278" s="102" t="s">
        <v>4854</v>
      </c>
      <c r="BC278" s="3" t="s">
        <v>4854</v>
      </c>
      <c r="BD278" s="5">
        <v>1</v>
      </c>
      <c r="BE278" s="5">
        <v>1</v>
      </c>
      <c r="BF278" s="3" t="s">
        <v>4854</v>
      </c>
      <c r="BG278" s="3" t="s">
        <v>4854</v>
      </c>
      <c r="BH278" s="3" t="s">
        <v>4854</v>
      </c>
      <c r="BI278" s="5">
        <v>1</v>
      </c>
      <c r="BJ278" s="3" t="s">
        <v>4854</v>
      </c>
      <c r="BK278" s="99" t="s">
        <v>4854</v>
      </c>
      <c r="BL278" s="90">
        <v>1</v>
      </c>
      <c r="BM278" s="90">
        <v>0.999</v>
      </c>
      <c r="BN278" s="99" t="s">
        <v>4854</v>
      </c>
      <c r="BO278" s="99" t="s">
        <v>4854</v>
      </c>
      <c r="BP278" s="99" t="s">
        <v>4854</v>
      </c>
      <c r="BQ278" s="90">
        <v>1</v>
      </c>
      <c r="BR278" s="99" t="s">
        <v>4854</v>
      </c>
      <c r="BS278" s="5" t="s">
        <v>4857</v>
      </c>
    </row>
    <row r="279" spans="1:71" s="30" customFormat="1" ht="17.100000000000001" customHeight="1">
      <c r="A279" s="10">
        <v>268</v>
      </c>
      <c r="B279" s="10" t="s">
        <v>3783</v>
      </c>
      <c r="C279" s="4" t="s">
        <v>3883</v>
      </c>
      <c r="D279" s="4" t="s">
        <v>3784</v>
      </c>
      <c r="E279" s="7" t="s">
        <v>3785</v>
      </c>
      <c r="F279" s="10" t="s">
        <v>4959</v>
      </c>
      <c r="G279" s="4" t="s">
        <v>3786</v>
      </c>
      <c r="H279" s="7" t="s">
        <v>3787</v>
      </c>
      <c r="I279" s="4" t="s">
        <v>3788</v>
      </c>
      <c r="J279" s="10" t="s">
        <v>3789</v>
      </c>
      <c r="K279" s="4" t="s">
        <v>5492</v>
      </c>
      <c r="L279" s="4" t="s">
        <v>3790</v>
      </c>
      <c r="M279" s="10">
        <v>2</v>
      </c>
      <c r="N279" s="95">
        <v>530.27509999999995</v>
      </c>
      <c r="O279" s="38" t="s">
        <v>4854</v>
      </c>
      <c r="P279" s="37" t="str">
        <f>HYPERLINK("http://ms.phosphosite.org:5080/cgi-bin/plot-msms.cgi?MassType=1&amp;NumAxis=1&amp;Mod4=170&amp;Mod7=170&amp;Pep=AGGKAGKDSGK&amp;Dta=/var/www/html/dta/S01/10559.1393.2.dta&amp;Global_Mod=CS57.0215", "1393")</f>
        <v>1393</v>
      </c>
      <c r="Q279" s="37" t="str">
        <f>HYPERLINK("http://ms.phosphosite.org:5080/cgi-bin/plot-msms.cgi?MassType=1&amp;NumAxis=1&amp;Mod4=170&amp;Mod7=170&amp;Pep=AGGKAGKDSGK&amp;Dta=/var/www/html/dta/S01/10560.1375.2.dta&amp;Global_Mod=CS57.0215", "1375")</f>
        <v>1375</v>
      </c>
      <c r="R279" s="37" t="str">
        <f>HYPERLINK("http://ms.phosphosite.org:5080/cgi-bin/plot-msms.cgi?MassType=1&amp;NumAxis=1&amp;Mod4=170&amp;Mod7=170&amp;Pep=AGGKAGKDSGK&amp;Dta=/var/www/html/dta/S01/10561.1382.2.dta&amp;Global_Mod=CS57.0215", "1382")</f>
        <v>1382</v>
      </c>
      <c r="S279" s="37" t="str">
        <f>HYPERLINK("http://ms.phosphosite.org:5080/cgi-bin/plot-msms.cgi?MassType=1&amp;NumAxis=1&amp;Mod4=170&amp;Mod7=170&amp;Pep=AGGKAGKDSGK&amp;Dta=/var/www/html/dta/S01/10562.1436.2.dta&amp;Global_Mod=CS57.0215", "1436")</f>
        <v>1436</v>
      </c>
      <c r="T279" s="37" t="str">
        <f>HYPERLINK("http://ms.phosphosite.org:5080/cgi-bin/plot-msms.cgi?MassType=1&amp;NumAxis=1&amp;Mod4=170&amp;Mod7=170&amp;Pep=AGGKAGKDSGK&amp;Dta=/var/www/html/dta/S01/10563.1384.2.dta&amp;Global_Mod=CS57.0215", "1384")</f>
        <v>1384</v>
      </c>
      <c r="U279" s="38" t="s">
        <v>4854</v>
      </c>
      <c r="V279" s="37" t="str">
        <f>HYPERLINK("http://ms.phosphosite.org:5080/cgi-bin/plot-msms.cgi?MassType=1&amp;NumAxis=1&amp;Mod4=170&amp;Mod7=170&amp;Pep=AGGKAGKDSGK&amp;Dta=/var/www/html/dta/S01/10565.1614.2.dta&amp;Global_Mod=CS57.0215", "1614")</f>
        <v>1614</v>
      </c>
      <c r="W279" s="4" t="s">
        <v>4854</v>
      </c>
      <c r="X279" s="10">
        <v>1392</v>
      </c>
      <c r="Y279" s="10">
        <v>1374</v>
      </c>
      <c r="Z279" s="10">
        <v>1390</v>
      </c>
      <c r="AA279" s="10">
        <v>1435</v>
      </c>
      <c r="AB279" s="4" t="s">
        <v>4854</v>
      </c>
      <c r="AC279" s="4" t="s">
        <v>4854</v>
      </c>
      <c r="AD279" s="10">
        <v>1785</v>
      </c>
      <c r="AE279" s="100" t="s">
        <v>4854</v>
      </c>
      <c r="AF279" s="91">
        <v>3.4420000000000002</v>
      </c>
      <c r="AG279" s="91">
        <v>3.5630000000000002</v>
      </c>
      <c r="AH279" s="91">
        <v>3.4780000000000002</v>
      </c>
      <c r="AI279" s="91">
        <v>3.2749999999999999</v>
      </c>
      <c r="AJ279" s="91">
        <v>3.5870000000000002</v>
      </c>
      <c r="AK279" s="100" t="s">
        <v>4854</v>
      </c>
      <c r="AL279" s="91">
        <v>3.7029999999999998</v>
      </c>
      <c r="AM279" s="103" t="s">
        <v>4854</v>
      </c>
      <c r="AN279" s="95">
        <v>-1.55E-2</v>
      </c>
      <c r="AO279" s="95">
        <v>0.1779</v>
      </c>
      <c r="AP279" s="95">
        <v>0.32329999999999998</v>
      </c>
      <c r="AQ279" s="95">
        <v>0.3695</v>
      </c>
      <c r="AR279" s="95">
        <v>0.1138</v>
      </c>
      <c r="AS279" s="103" t="s">
        <v>4854</v>
      </c>
      <c r="AT279" s="95">
        <v>-0.59409999999999996</v>
      </c>
      <c r="AU279" s="103" t="s">
        <v>4854</v>
      </c>
      <c r="AV279" s="95">
        <v>0.41799999999999998</v>
      </c>
      <c r="AW279" s="95">
        <v>0.40799999999999997</v>
      </c>
      <c r="AX279" s="95">
        <v>0.41799999999999998</v>
      </c>
      <c r="AY279" s="95">
        <v>0.40100000000000002</v>
      </c>
      <c r="AZ279" s="95">
        <v>0.45300000000000001</v>
      </c>
      <c r="BA279" s="103" t="s">
        <v>4854</v>
      </c>
      <c r="BB279" s="95">
        <v>0.45300000000000001</v>
      </c>
      <c r="BC279" s="4" t="s">
        <v>4854</v>
      </c>
      <c r="BD279" s="10">
        <v>1</v>
      </c>
      <c r="BE279" s="10">
        <v>1</v>
      </c>
      <c r="BF279" s="10">
        <v>1</v>
      </c>
      <c r="BG279" s="10">
        <v>1</v>
      </c>
      <c r="BH279" s="10">
        <v>1</v>
      </c>
      <c r="BI279" s="4" t="s">
        <v>4854</v>
      </c>
      <c r="BJ279" s="10">
        <v>1</v>
      </c>
      <c r="BK279" s="100" t="s">
        <v>4854</v>
      </c>
      <c r="BL279" s="91">
        <v>1</v>
      </c>
      <c r="BM279" s="91">
        <v>1</v>
      </c>
      <c r="BN279" s="91">
        <v>1</v>
      </c>
      <c r="BO279" s="91">
        <v>0.98799999999999999</v>
      </c>
      <c r="BP279" s="91">
        <v>1</v>
      </c>
      <c r="BQ279" s="100" t="s">
        <v>4854</v>
      </c>
      <c r="BR279" s="91">
        <v>1</v>
      </c>
      <c r="BS279" s="10" t="s">
        <v>4857</v>
      </c>
    </row>
    <row r="280" spans="1:71" s="30" customFormat="1" ht="17.100000000000001" customHeight="1">
      <c r="A280" s="14">
        <v>269</v>
      </c>
      <c r="B280" s="5" t="s">
        <v>3791</v>
      </c>
      <c r="C280" s="3" t="s">
        <v>3883</v>
      </c>
      <c r="D280" s="3" t="s">
        <v>3784</v>
      </c>
      <c r="E280" s="6" t="s">
        <v>3785</v>
      </c>
      <c r="F280" s="5" t="s">
        <v>5047</v>
      </c>
      <c r="G280" s="3" t="s">
        <v>3786</v>
      </c>
      <c r="H280" s="6" t="s">
        <v>3787</v>
      </c>
      <c r="I280" s="3" t="s">
        <v>3788</v>
      </c>
      <c r="J280" s="5" t="s">
        <v>3789</v>
      </c>
      <c r="K280" s="3" t="s">
        <v>5493</v>
      </c>
      <c r="L280" s="3" t="s">
        <v>3792</v>
      </c>
      <c r="M280" s="5">
        <v>2</v>
      </c>
      <c r="N280" s="21">
        <v>650.84640000000002</v>
      </c>
      <c r="O280" s="36" t="str">
        <f>HYPERLINK("http://ms.phosphosite.org:5080/cgi-bin/plot-msms.cgi?MassType=1&amp;NumAxis=1&amp;Mod4=170&amp;Mod7=170&amp;Mod11=170&amp;Pep=AGGKAGKDSGKAK&amp;Dta=/var/www/html/dta/S01/10558.1678.2.dta&amp;Global_Mod=CS57.0215", "1678")</f>
        <v>1678</v>
      </c>
      <c r="P280" s="36" t="str">
        <f>HYPERLINK("http://ms.phosphosite.org:5080/cgi-bin/plot-msms.cgi?MassType=1&amp;NumAxis=1&amp;Mod4=170&amp;Mod7=170&amp;Mod11=170&amp;Pep=AGGKAGKDSGKAK&amp;Dta=/var/www/html/dta/S01/10559.1638.2.dta&amp;Global_Mod=CS57.0215", "1638")</f>
        <v>1638</v>
      </c>
      <c r="Q280" s="36" t="str">
        <f>HYPERLINK("http://ms.phosphosite.org:5080/cgi-bin/plot-msms.cgi?MassType=1&amp;NumAxis=1&amp;Mod4=170&amp;Mod7=170&amp;Mod11=170&amp;Pep=AGGKAGKDSGKAK&amp;Dta=/var/www/html/dta/S01/10560.1629.2.dta&amp;Global_Mod=CS57.0215", "1629")</f>
        <v>1629</v>
      </c>
      <c r="R280" s="36" t="str">
        <f>HYPERLINK("http://ms.phosphosite.org:5080/cgi-bin/plot-msms.cgi?MassType=1&amp;NumAxis=1&amp;Mod4=170&amp;Mod7=170&amp;Mod11=170&amp;Pep=AGGKAGKDSGKAK&amp;Dta=/var/www/html/dta/S01/10561.1624.2.dta&amp;Global_Mod=CS57.0215", "1624")</f>
        <v>1624</v>
      </c>
      <c r="S280" s="36" t="str">
        <f>HYPERLINK("http://ms.phosphosite.org:5080/cgi-bin/plot-msms.cgi?MassType=1&amp;NumAxis=1&amp;Mod4=170&amp;Mod7=170&amp;Mod11=170&amp;Pep=AGGKAGKDSGKAK&amp;Dta=/var/www/html/dta/S01/10562.1691.2.dta&amp;Global_Mod=CS57.0215", "1691")</f>
        <v>1691</v>
      </c>
      <c r="T280" s="36" t="str">
        <f>HYPERLINK("http://ms.phosphosite.org:5080/cgi-bin/plot-msms.cgi?MassType=1&amp;NumAxis=1&amp;Mod4=170&amp;Mod7=170&amp;Mod11=170&amp;Pep=AGGKAGKDSGKAK&amp;Dta=/var/www/html/dta/S01/10563.1617.2.dta&amp;Global_Mod=CS57.0215", "1617")</f>
        <v>1617</v>
      </c>
      <c r="U280" s="36" t="str">
        <f>HYPERLINK("http://ms.phosphosite.org:5080/cgi-bin/plot-msms.cgi?MassType=1&amp;NumAxis=1&amp;Mod4=170&amp;Mod7=170&amp;Mod11=170&amp;Pep=AGGKAGKDSGKAK&amp;Dta=/var/www/html/dta/S01/10564.1850.2.dta&amp;Global_Mod=CS57.0215", "1850")</f>
        <v>1850</v>
      </c>
      <c r="V280" s="36" t="str">
        <f>HYPERLINK("http://ms.phosphosite.org:5080/cgi-bin/plot-msms.cgi?MassType=1&amp;NumAxis=1&amp;Mod4=170&amp;Mod7=170&amp;Mod11=170&amp;Pep=AGGKAGKDSGKAK&amp;Dta=/var/www/html/dta/S01/10565.1905.2.dta&amp;Global_Mod=CS57.0215", "1905")</f>
        <v>1905</v>
      </c>
      <c r="W280" s="3" t="s">
        <v>4854</v>
      </c>
      <c r="X280" s="3" t="s">
        <v>4854</v>
      </c>
      <c r="Y280" s="3" t="s">
        <v>4854</v>
      </c>
      <c r="Z280" s="3" t="s">
        <v>4854</v>
      </c>
      <c r="AA280" s="3" t="s">
        <v>4854</v>
      </c>
      <c r="AB280" s="3" t="s">
        <v>4854</v>
      </c>
      <c r="AC280" s="3" t="s">
        <v>4854</v>
      </c>
      <c r="AD280" s="3" t="s">
        <v>4854</v>
      </c>
      <c r="AE280" s="90">
        <v>3.5339999999999998</v>
      </c>
      <c r="AF280" s="90">
        <v>3.4569999999999999</v>
      </c>
      <c r="AG280" s="90">
        <v>3.5670000000000002</v>
      </c>
      <c r="AH280" s="90">
        <v>3.1589999999999998</v>
      </c>
      <c r="AI280" s="90">
        <v>3.2490000000000001</v>
      </c>
      <c r="AJ280" s="90">
        <v>3.347</v>
      </c>
      <c r="AK280" s="90">
        <v>3.032</v>
      </c>
      <c r="AL280" s="90">
        <v>3.27</v>
      </c>
      <c r="AM280" s="21">
        <v>0.61890000000000001</v>
      </c>
      <c r="AN280" s="21">
        <v>0.64739999999999998</v>
      </c>
      <c r="AO280" s="21">
        <v>0.68579999999999997</v>
      </c>
      <c r="AP280" s="21">
        <v>0.74039999999999995</v>
      </c>
      <c r="AQ280" s="21">
        <v>0.50209999999999999</v>
      </c>
      <c r="AR280" s="21">
        <v>0.622</v>
      </c>
      <c r="AS280" s="21">
        <v>0.33450000000000002</v>
      </c>
      <c r="AT280" s="21">
        <v>-6.8400000000000002E-2</v>
      </c>
      <c r="AU280" s="21">
        <v>0.20799999999999999</v>
      </c>
      <c r="AV280" s="21">
        <v>0.254</v>
      </c>
      <c r="AW280" s="21">
        <v>0.27700000000000002</v>
      </c>
      <c r="AX280" s="21">
        <v>0.223</v>
      </c>
      <c r="AY280" s="21">
        <v>0.27700000000000002</v>
      </c>
      <c r="AZ280" s="21">
        <v>0.26500000000000001</v>
      </c>
      <c r="BA280" s="21">
        <v>0.23899999999999999</v>
      </c>
      <c r="BB280" s="21">
        <v>0.29599999999999999</v>
      </c>
      <c r="BC280" s="5">
        <v>1</v>
      </c>
      <c r="BD280" s="5">
        <v>1</v>
      </c>
      <c r="BE280" s="5">
        <v>1</v>
      </c>
      <c r="BF280" s="5">
        <v>1</v>
      </c>
      <c r="BG280" s="5">
        <v>1</v>
      </c>
      <c r="BH280" s="5">
        <v>1</v>
      </c>
      <c r="BI280" s="5">
        <v>1</v>
      </c>
      <c r="BJ280" s="5">
        <v>1</v>
      </c>
      <c r="BK280" s="90">
        <v>0.68700000000000006</v>
      </c>
      <c r="BL280" s="90">
        <v>0.76300000000000001</v>
      </c>
      <c r="BM280" s="90">
        <v>0.82099999999999995</v>
      </c>
      <c r="BN280" s="90">
        <v>0.61899999999999999</v>
      </c>
      <c r="BO280" s="90">
        <v>0.76100000000000001</v>
      </c>
      <c r="BP280" s="90">
        <v>0.76</v>
      </c>
      <c r="BQ280" s="90">
        <v>0.61899999999999999</v>
      </c>
      <c r="BR280" s="90">
        <v>0.79800000000000004</v>
      </c>
      <c r="BS280" s="5" t="s">
        <v>4857</v>
      </c>
    </row>
    <row r="281" spans="1:71" s="30" customFormat="1" ht="17.100000000000001" customHeight="1">
      <c r="A281" s="14">
        <v>270</v>
      </c>
      <c r="B281" s="5" t="s">
        <v>3793</v>
      </c>
      <c r="C281" s="3" t="s">
        <v>3883</v>
      </c>
      <c r="D281" s="3" t="s">
        <v>3784</v>
      </c>
      <c r="E281" s="6" t="s">
        <v>3785</v>
      </c>
      <c r="F281" s="5" t="s">
        <v>5047</v>
      </c>
      <c r="G281" s="3" t="s">
        <v>3786</v>
      </c>
      <c r="H281" s="6" t="s">
        <v>3787</v>
      </c>
      <c r="I281" s="3" t="s">
        <v>3788</v>
      </c>
      <c r="J281" s="5" t="s">
        <v>3789</v>
      </c>
      <c r="K281" s="3" t="s">
        <v>5493</v>
      </c>
      <c r="L281" s="3" t="s">
        <v>3792</v>
      </c>
      <c r="M281" s="5">
        <v>3</v>
      </c>
      <c r="N281" s="21">
        <v>434.23340000000002</v>
      </c>
      <c r="O281" s="35" t="s">
        <v>4854</v>
      </c>
      <c r="P281" s="36" t="str">
        <f>HYPERLINK("http://ms.phosphosite.org:5080/cgi-bin/plot-msms.cgi?MassType=1&amp;NumAxis=1&amp;Mod4=170&amp;Mod7=170&amp;Mod11=170&amp;Pep=AGGKAGKDSGKAK&amp;Dta=/var/www/html/dta/S01/10559.1646.3.dta&amp;Global_Mod=CS57.0215", "1646")</f>
        <v>1646</v>
      </c>
      <c r="Q281" s="36" t="str">
        <f>HYPERLINK("http://ms.phosphosite.org:5080/cgi-bin/plot-msms.cgi?MassType=1&amp;NumAxis=1&amp;Mod4=170&amp;Mod7=170&amp;Mod11=170&amp;Pep=AGGKAGKDSGKAK&amp;Dta=/var/www/html/dta/S01/10560.1630.3.dta&amp;Global_Mod=CS57.0215", "1630")</f>
        <v>1630</v>
      </c>
      <c r="R281" s="35" t="s">
        <v>4854</v>
      </c>
      <c r="S281" s="36" t="str">
        <f>HYPERLINK("http://ms.phosphosite.org:5080/cgi-bin/plot-msms.cgi?MassType=1&amp;NumAxis=1&amp;Mod4=170&amp;Mod7=170&amp;Mod11=170&amp;Pep=AGGKAGKDSGKAK&amp;Dta=/var/www/html/dta/S01/10562.1701.3.dta&amp;Global_Mod=CS57.0215", "1701")</f>
        <v>1701</v>
      </c>
      <c r="T281" s="36" t="str">
        <f>HYPERLINK("http://ms.phosphosite.org:5080/cgi-bin/plot-msms.cgi?MassType=1&amp;NumAxis=1&amp;Mod4=170&amp;Mod7=170&amp;Mod11=170&amp;Pep=AGGKAGKDSGKAK&amp;Dta=/var/www/html/dta/S01/10563.1626.3.dta&amp;Global_Mod=CS57.0215", "1626")</f>
        <v>1626</v>
      </c>
      <c r="U281" s="35" t="s">
        <v>4854</v>
      </c>
      <c r="V281" s="36" t="str">
        <f>HYPERLINK("http://ms.phosphosite.org:5080/cgi-bin/plot-msms.cgi?MassType=1&amp;NumAxis=1&amp;Mod4=170&amp;Mod7=170&amp;Mod11=170&amp;Pep=AGGKAGKDSGKAK&amp;Dta=/var/www/html/dta/S01/10565.1912.3.dta&amp;Global_Mod=CS57.0215", "1912")</f>
        <v>1912</v>
      </c>
      <c r="W281" s="3" t="s">
        <v>4854</v>
      </c>
      <c r="X281" s="3" t="s">
        <v>4854</v>
      </c>
      <c r="Y281" s="3" t="s">
        <v>4854</v>
      </c>
      <c r="Z281" s="3" t="s">
        <v>4854</v>
      </c>
      <c r="AA281" s="3" t="s">
        <v>4854</v>
      </c>
      <c r="AB281" s="3" t="s">
        <v>4854</v>
      </c>
      <c r="AC281" s="3" t="s">
        <v>4854</v>
      </c>
      <c r="AD281" s="3" t="s">
        <v>4854</v>
      </c>
      <c r="AE281" s="99" t="s">
        <v>4854</v>
      </c>
      <c r="AF281" s="90">
        <v>3.0310000000000001</v>
      </c>
      <c r="AG281" s="90">
        <v>3.2559999999999998</v>
      </c>
      <c r="AH281" s="99" t="s">
        <v>4854</v>
      </c>
      <c r="AI281" s="90">
        <v>3.4369999999999998</v>
      </c>
      <c r="AJ281" s="90">
        <v>3.165</v>
      </c>
      <c r="AK281" s="99" t="s">
        <v>4854</v>
      </c>
      <c r="AL281" s="90">
        <v>3.8</v>
      </c>
      <c r="AM281" s="102" t="s">
        <v>4854</v>
      </c>
      <c r="AN281" s="21">
        <v>0.1769</v>
      </c>
      <c r="AO281" s="21">
        <v>0.32140000000000002</v>
      </c>
      <c r="AP281" s="102" t="s">
        <v>4854</v>
      </c>
      <c r="AQ281" s="21">
        <v>0.34060000000000001</v>
      </c>
      <c r="AR281" s="21">
        <v>0.2437</v>
      </c>
      <c r="AS281" s="102" t="s">
        <v>4854</v>
      </c>
      <c r="AT281" s="21">
        <v>-0.25290000000000001</v>
      </c>
      <c r="AU281" s="102" t="s">
        <v>4854</v>
      </c>
      <c r="AV281" s="21">
        <v>0.18099999999999999</v>
      </c>
      <c r="AW281" s="21">
        <v>0.14899999999999999</v>
      </c>
      <c r="AX281" s="102" t="s">
        <v>4854</v>
      </c>
      <c r="AY281" s="21">
        <v>0.13500000000000001</v>
      </c>
      <c r="AZ281" s="21">
        <v>0.13800000000000001</v>
      </c>
      <c r="BA281" s="102" t="s">
        <v>4854</v>
      </c>
      <c r="BB281" s="21">
        <v>0.16800000000000001</v>
      </c>
      <c r="BC281" s="3" t="s">
        <v>4854</v>
      </c>
      <c r="BD281" s="5">
        <v>3</v>
      </c>
      <c r="BE281" s="5">
        <v>1</v>
      </c>
      <c r="BF281" s="3" t="s">
        <v>4854</v>
      </c>
      <c r="BG281" s="5">
        <v>2</v>
      </c>
      <c r="BH281" s="5">
        <v>1</v>
      </c>
      <c r="BI281" s="3" t="s">
        <v>4854</v>
      </c>
      <c r="BJ281" s="5">
        <v>1</v>
      </c>
      <c r="BK281" s="99" t="s">
        <v>4854</v>
      </c>
      <c r="BL281" s="90">
        <v>0.13900000000000001</v>
      </c>
      <c r="BM281" s="90">
        <v>0.151</v>
      </c>
      <c r="BN281" s="99" t="s">
        <v>4854</v>
      </c>
      <c r="BO281" s="90">
        <v>0.129</v>
      </c>
      <c r="BP281" s="90">
        <v>0.12</v>
      </c>
      <c r="BQ281" s="99" t="s">
        <v>4854</v>
      </c>
      <c r="BR281" s="90">
        <v>0.28999999999999998</v>
      </c>
      <c r="BS281" s="5" t="s">
        <v>4857</v>
      </c>
    </row>
    <row r="282" spans="1:71" s="30" customFormat="1" ht="17.100000000000001" customHeight="1">
      <c r="A282" s="10">
        <v>271</v>
      </c>
      <c r="B282" s="10" t="s">
        <v>3794</v>
      </c>
      <c r="C282" s="4" t="s">
        <v>3883</v>
      </c>
      <c r="D282" s="4" t="s">
        <v>3795</v>
      </c>
      <c r="E282" s="4" t="s">
        <v>3796</v>
      </c>
      <c r="F282" s="10" t="s">
        <v>4974</v>
      </c>
      <c r="G282" s="4" t="s">
        <v>3786</v>
      </c>
      <c r="H282" s="7" t="s">
        <v>3797</v>
      </c>
      <c r="I282" s="4" t="s">
        <v>3788</v>
      </c>
      <c r="J282" s="10" t="s">
        <v>4838</v>
      </c>
      <c r="K282" s="4" t="s">
        <v>5494</v>
      </c>
      <c r="L282" s="4" t="s">
        <v>3798</v>
      </c>
      <c r="M282" s="10">
        <v>2</v>
      </c>
      <c r="N282" s="95">
        <v>771.41769999999997</v>
      </c>
      <c r="O282" s="37" t="str">
        <f>HYPERLINK("http://ms.phosphosite.org:5080/cgi-bin/plot-msms.cgi?MassType=1&amp;NumAxis=1&amp;Mod4=170&amp;Mod7=170&amp;Mod11=170&amp;Mod13=170&amp;Pep=AGGKAGKDSGKAKAK&amp;Dta=/var/www/html/dta/S01/10558.2332.2.dta&amp;Global_Mod=CS57.0215", "2332")</f>
        <v>2332</v>
      </c>
      <c r="P282" s="37" t="str">
        <f>HYPERLINK("http://ms.phosphosite.org:5080/cgi-bin/plot-msms.cgi?MassType=1&amp;NumAxis=1&amp;Mod4=170&amp;Mod7=170&amp;Mod11=170&amp;Mod13=170&amp;Pep=AGGKAGKDSGKAKAK&amp;Dta=/var/www/html/dta/S01/10559.2273.2.dta&amp;Global_Mod=CS57.0215", "2273")</f>
        <v>2273</v>
      </c>
      <c r="Q282" s="37" t="str">
        <f>HYPERLINK("http://ms.phosphosite.org:5080/cgi-bin/plot-msms.cgi?MassType=1&amp;NumAxis=1&amp;Mod4=170&amp;Mod7=170&amp;Mod11=170&amp;Mod13=170&amp;Pep=AGGKAGKDSGKAKAK&amp;Dta=/var/www/html/dta/S01/10560.2270.2.dta&amp;Global_Mod=CS57.0215", "2270")</f>
        <v>2270</v>
      </c>
      <c r="R282" s="37" t="str">
        <f>HYPERLINK("http://ms.phosphosite.org:5080/cgi-bin/plot-msms.cgi?MassType=1&amp;NumAxis=1&amp;Mod4=170&amp;Mod7=170&amp;Mod11=170&amp;Mod13=170&amp;Pep=AGGKAGKDSGKAKAK&amp;Dta=/var/www/html/dta/S01/10561.2329.2.dta&amp;Global_Mod=CS57.0215", "2329")</f>
        <v>2329</v>
      </c>
      <c r="S282" s="37" t="str">
        <f>HYPERLINK("http://ms.phosphosite.org:5080/cgi-bin/plot-msms.cgi?MassType=1&amp;NumAxis=1&amp;Mod4=170&amp;Mod7=170&amp;Mod11=170&amp;Mod13=170&amp;Pep=AGGKAGKDSGKAKAK&amp;Dta=/var/www/html/dta/S01/10562.2389.2.dta&amp;Global_Mod=CS57.0215", "2389")</f>
        <v>2389</v>
      </c>
      <c r="T282" s="37" t="str">
        <f>HYPERLINK("http://ms.phosphosite.org:5080/cgi-bin/plot-msms.cgi?MassType=1&amp;NumAxis=1&amp;Mod4=170&amp;Mod7=170&amp;Mod11=170&amp;Mod13=170&amp;Pep=AGGKAGKDSGKAKAK&amp;Dta=/var/www/html/dta/S01/10563.2311.2.dta&amp;Global_Mod=CS57.0215", "2311")</f>
        <v>2311</v>
      </c>
      <c r="U282" s="37" t="str">
        <f>HYPERLINK("http://ms.phosphosite.org:5080/cgi-bin/plot-msms.cgi?MassType=1&amp;NumAxis=1&amp;Mod4=170&amp;Mod7=170&amp;Mod11=170&amp;Mod13=170&amp;Pep=AGGKAGKDSGKAKAK&amp;Dta=/var/www/html/dta/S01/10564.2571.2.dta&amp;Global_Mod=CS57.0215", "2571")</f>
        <v>2571</v>
      </c>
      <c r="V282" s="38" t="s">
        <v>4854</v>
      </c>
      <c r="W282" s="4" t="s">
        <v>4854</v>
      </c>
      <c r="X282" s="4" t="s">
        <v>4854</v>
      </c>
      <c r="Y282" s="4" t="s">
        <v>4854</v>
      </c>
      <c r="Z282" s="4" t="s">
        <v>4854</v>
      </c>
      <c r="AA282" s="4" t="s">
        <v>4854</v>
      </c>
      <c r="AB282" s="4" t="s">
        <v>4854</v>
      </c>
      <c r="AC282" s="4" t="s">
        <v>4854</v>
      </c>
      <c r="AD282" s="4" t="s">
        <v>4854</v>
      </c>
      <c r="AE282" s="91">
        <v>3.0489999999999999</v>
      </c>
      <c r="AF282" s="91">
        <v>4.101</v>
      </c>
      <c r="AG282" s="91">
        <v>3.34</v>
      </c>
      <c r="AH282" s="91">
        <v>3.68</v>
      </c>
      <c r="AI282" s="91">
        <v>2.9079999999999999</v>
      </c>
      <c r="AJ282" s="91">
        <v>3.3410000000000002</v>
      </c>
      <c r="AK282" s="91">
        <v>3.58</v>
      </c>
      <c r="AL282" s="100" t="s">
        <v>4854</v>
      </c>
      <c r="AM282" s="95">
        <v>0.50370000000000004</v>
      </c>
      <c r="AN282" s="95">
        <v>0.4148</v>
      </c>
      <c r="AO282" s="95">
        <v>1.2495000000000001</v>
      </c>
      <c r="AP282" s="95">
        <v>0.28120000000000001</v>
      </c>
      <c r="AQ282" s="95">
        <v>0.68069999999999997</v>
      </c>
      <c r="AR282" s="95">
        <v>0.84930000000000005</v>
      </c>
      <c r="AS282" s="95">
        <v>9.1800000000000007E-2</v>
      </c>
      <c r="AT282" s="103" t="s">
        <v>4854</v>
      </c>
      <c r="AU282" s="95">
        <v>7.8E-2</v>
      </c>
      <c r="AV282" s="95">
        <v>0.30199999999999999</v>
      </c>
      <c r="AW282" s="95">
        <v>0.249</v>
      </c>
      <c r="AX282" s="95">
        <v>0.36299999999999999</v>
      </c>
      <c r="AY282" s="95">
        <v>0.216</v>
      </c>
      <c r="AZ282" s="95">
        <v>0.38700000000000001</v>
      </c>
      <c r="BA282" s="95">
        <v>0.28100000000000003</v>
      </c>
      <c r="BB282" s="103" t="s">
        <v>4854</v>
      </c>
      <c r="BC282" s="10">
        <v>1</v>
      </c>
      <c r="BD282" s="10">
        <v>1</v>
      </c>
      <c r="BE282" s="10">
        <v>1</v>
      </c>
      <c r="BF282" s="10">
        <v>1</v>
      </c>
      <c r="BG282" s="10">
        <v>1</v>
      </c>
      <c r="BH282" s="10">
        <v>1</v>
      </c>
      <c r="BI282" s="10">
        <v>1</v>
      </c>
      <c r="BJ282" s="4" t="s">
        <v>4854</v>
      </c>
      <c r="BK282" s="91">
        <v>0.18</v>
      </c>
      <c r="BL282" s="91">
        <v>0.88600000000000001</v>
      </c>
      <c r="BM282" s="91">
        <v>0.68500000000000005</v>
      </c>
      <c r="BN282" s="91">
        <v>0.90400000000000003</v>
      </c>
      <c r="BO282" s="91">
        <v>0.46700000000000003</v>
      </c>
      <c r="BP282" s="91">
        <v>0.89400000000000002</v>
      </c>
      <c r="BQ282" s="91">
        <v>0.79700000000000004</v>
      </c>
      <c r="BR282" s="100" t="s">
        <v>4854</v>
      </c>
      <c r="BS282" s="10" t="s">
        <v>4857</v>
      </c>
    </row>
    <row r="283" spans="1:71" s="30" customFormat="1" ht="17.100000000000001" customHeight="1">
      <c r="A283" s="10">
        <v>272</v>
      </c>
      <c r="B283" s="10" t="s">
        <v>3799</v>
      </c>
      <c r="C283" s="4" t="s">
        <v>3883</v>
      </c>
      <c r="D283" s="4" t="s">
        <v>3795</v>
      </c>
      <c r="E283" s="4" t="s">
        <v>3796</v>
      </c>
      <c r="F283" s="10" t="s">
        <v>4974</v>
      </c>
      <c r="G283" s="4" t="s">
        <v>3786</v>
      </c>
      <c r="H283" s="7" t="s">
        <v>3797</v>
      </c>
      <c r="I283" s="4" t="s">
        <v>3788</v>
      </c>
      <c r="J283" s="10" t="s">
        <v>4838</v>
      </c>
      <c r="K283" s="4" t="s">
        <v>5494</v>
      </c>
      <c r="L283" s="4" t="s">
        <v>3798</v>
      </c>
      <c r="M283" s="10">
        <v>3</v>
      </c>
      <c r="N283" s="95">
        <v>514.61419999999998</v>
      </c>
      <c r="O283" s="38" t="s">
        <v>4854</v>
      </c>
      <c r="P283" s="38" t="s">
        <v>4854</v>
      </c>
      <c r="Q283" s="37" t="str">
        <f>HYPERLINK("http://ms.phosphosite.org:5080/cgi-bin/plot-msms.cgi?MassType=1&amp;NumAxis=1&amp;Mod4=170&amp;Mod7=170&amp;Mod11=170&amp;Mod13=170&amp;Pep=AGGKAGKDSGKAKAK&amp;Dta=/var/www/html/dta/S01/10560.2269.3.dta&amp;Global_Mod=CS57.0215", "2269")</f>
        <v>2269</v>
      </c>
      <c r="R283" s="37" t="str">
        <f>HYPERLINK("http://ms.phosphosite.org:5080/cgi-bin/plot-msms.cgi?MassType=1&amp;NumAxis=1&amp;Mod4=170&amp;Mod7=170&amp;Mod11=170&amp;Mod13=170&amp;Pep=AGGKAGKDSGKAKAK&amp;Dta=/var/www/html/dta/S01/10561.2319.3.dta&amp;Global_Mod=CS57.0215", "2319")</f>
        <v>2319</v>
      </c>
      <c r="S283" s="38" t="s">
        <v>4854</v>
      </c>
      <c r="T283" s="37" t="str">
        <f>HYPERLINK("http://ms.phosphosite.org:5080/cgi-bin/plot-msms.cgi?MassType=1&amp;NumAxis=1&amp;Mod4=170&amp;Mod7=170&amp;Mod11=170&amp;Mod13=170&amp;Pep=AGGKAGKDSGKAKAK&amp;Dta=/var/www/html/dta/S01/10563.2298.3.dta&amp;Global_Mod=CS57.0215", "2298")</f>
        <v>2298</v>
      </c>
      <c r="U283" s="37" t="str">
        <f>HYPERLINK("http://ms.phosphosite.org:5080/cgi-bin/plot-msms.cgi?MassType=1&amp;NumAxis=1&amp;Mod4=170&amp;Mod7=170&amp;Mod11=170&amp;Mod13=170&amp;Pep=AGGKAGKDSGKAKAK&amp;Dta=/var/www/html/dta/S01/10564.2563.3.dta&amp;Global_Mod=CS57.0215", "2563")</f>
        <v>2563</v>
      </c>
      <c r="V283" s="38" t="s">
        <v>4854</v>
      </c>
      <c r="W283" s="4" t="s">
        <v>4854</v>
      </c>
      <c r="X283" s="4" t="s">
        <v>4854</v>
      </c>
      <c r="Y283" s="4" t="s">
        <v>4854</v>
      </c>
      <c r="Z283" s="4" t="s">
        <v>4854</v>
      </c>
      <c r="AA283" s="4" t="s">
        <v>4854</v>
      </c>
      <c r="AB283" s="4" t="s">
        <v>4854</v>
      </c>
      <c r="AC283" s="4" t="s">
        <v>4854</v>
      </c>
      <c r="AD283" s="4" t="s">
        <v>4854</v>
      </c>
      <c r="AE283" s="100" t="s">
        <v>4854</v>
      </c>
      <c r="AF283" s="100" t="s">
        <v>4854</v>
      </c>
      <c r="AG283" s="91">
        <v>3.91</v>
      </c>
      <c r="AH283" s="91">
        <v>4.4530000000000003</v>
      </c>
      <c r="AI283" s="100" t="s">
        <v>4854</v>
      </c>
      <c r="AJ283" s="91">
        <v>3.7</v>
      </c>
      <c r="AK283" s="91">
        <v>4.1970000000000001</v>
      </c>
      <c r="AL283" s="100" t="s">
        <v>4854</v>
      </c>
      <c r="AM283" s="103" t="s">
        <v>4854</v>
      </c>
      <c r="AN283" s="103" t="s">
        <v>4854</v>
      </c>
      <c r="AO283" s="95">
        <v>0.76829999999999998</v>
      </c>
      <c r="AP283" s="95">
        <v>0.93689999999999996</v>
      </c>
      <c r="AQ283" s="103" t="s">
        <v>4854</v>
      </c>
      <c r="AR283" s="95">
        <v>0.87719999999999998</v>
      </c>
      <c r="AS283" s="95">
        <v>0.33110000000000001</v>
      </c>
      <c r="AT283" s="103" t="s">
        <v>4854</v>
      </c>
      <c r="AU283" s="103" t="s">
        <v>4854</v>
      </c>
      <c r="AV283" s="103" t="s">
        <v>4854</v>
      </c>
      <c r="AW283" s="95">
        <v>0.34499999999999997</v>
      </c>
      <c r="AX283" s="95">
        <v>0.33200000000000002</v>
      </c>
      <c r="AY283" s="103" t="s">
        <v>4854</v>
      </c>
      <c r="AZ283" s="95">
        <v>0.3</v>
      </c>
      <c r="BA283" s="95">
        <v>0.26</v>
      </c>
      <c r="BB283" s="103" t="s">
        <v>4854</v>
      </c>
      <c r="BC283" s="4" t="s">
        <v>4854</v>
      </c>
      <c r="BD283" s="4" t="s">
        <v>4854</v>
      </c>
      <c r="BE283" s="10">
        <v>1</v>
      </c>
      <c r="BF283" s="10">
        <v>1</v>
      </c>
      <c r="BG283" s="4" t="s">
        <v>4854</v>
      </c>
      <c r="BH283" s="10">
        <v>1</v>
      </c>
      <c r="BI283" s="10">
        <v>1</v>
      </c>
      <c r="BJ283" s="4" t="s">
        <v>4854</v>
      </c>
      <c r="BK283" s="100" t="s">
        <v>4854</v>
      </c>
      <c r="BL283" s="100" t="s">
        <v>4854</v>
      </c>
      <c r="BM283" s="91">
        <v>0.78800000000000003</v>
      </c>
      <c r="BN283" s="91">
        <v>0.82299999999999995</v>
      </c>
      <c r="BO283" s="100" t="s">
        <v>4854</v>
      </c>
      <c r="BP283" s="91">
        <v>0.64400000000000002</v>
      </c>
      <c r="BQ283" s="91">
        <v>0.61899999999999999</v>
      </c>
      <c r="BR283" s="100" t="s">
        <v>4854</v>
      </c>
      <c r="BS283" s="10" t="s">
        <v>4857</v>
      </c>
    </row>
    <row r="284" spans="1:71" s="30" customFormat="1" ht="17.100000000000001" customHeight="1">
      <c r="A284" s="14">
        <v>273</v>
      </c>
      <c r="B284" s="5" t="s">
        <v>3800</v>
      </c>
      <c r="C284" s="3" t="s">
        <v>3883</v>
      </c>
      <c r="D284" s="3" t="s">
        <v>3784</v>
      </c>
      <c r="E284" s="6" t="s">
        <v>3785</v>
      </c>
      <c r="F284" s="5" t="s">
        <v>5316</v>
      </c>
      <c r="G284" s="3" t="s">
        <v>3786</v>
      </c>
      <c r="H284" s="6" t="s">
        <v>3787</v>
      </c>
      <c r="I284" s="3" t="s">
        <v>3788</v>
      </c>
      <c r="J284" s="5" t="s">
        <v>3789</v>
      </c>
      <c r="K284" s="3" t="s">
        <v>5495</v>
      </c>
      <c r="L284" s="3" t="s">
        <v>3801</v>
      </c>
      <c r="M284" s="5">
        <v>2</v>
      </c>
      <c r="N284" s="21">
        <v>473.25360000000001</v>
      </c>
      <c r="O284" s="35" t="s">
        <v>4854</v>
      </c>
      <c r="P284" s="35" t="s">
        <v>4854</v>
      </c>
      <c r="Q284" s="35" t="s">
        <v>4854</v>
      </c>
      <c r="R284" s="35" t="s">
        <v>4854</v>
      </c>
      <c r="S284" s="36" t="str">
        <f>HYPERLINK("http://ms.phosphosite.org:5080/cgi-bin/plot-msms.cgi?MassType=1&amp;NumAxis=1&amp;Mod3=170&amp;Mod7=170&amp;Pep=AGKDSGKAK&amp;Dta=/var/www/html/dta/S01/10562.1403.2.dta&amp;Global_Mod=CS57.0215", "1403")</f>
        <v>1403</v>
      </c>
      <c r="T284" s="36" t="str">
        <f>HYPERLINK("http://ms.phosphosite.org:5080/cgi-bin/plot-msms.cgi?MassType=1&amp;NumAxis=1&amp;Mod3=170&amp;Mod7=170&amp;Pep=AGKDSGKAK&amp;Dta=/var/www/html/dta/S01/10563.1363.2.dta&amp;Global_Mod=CS57.0215", "1363")</f>
        <v>1363</v>
      </c>
      <c r="U284" s="35" t="s">
        <v>4854</v>
      </c>
      <c r="V284" s="36" t="str">
        <f>HYPERLINK("http://ms.phosphosite.org:5080/cgi-bin/plot-msms.cgi?MassType=1&amp;NumAxis=1&amp;Mod3=170&amp;Mod7=170&amp;Pep=AGKDSGKAK&amp;Dta=/var/www/html/dta/S01/10565.1592.2.dta&amp;Global_Mod=CS57.0215", "1592")</f>
        <v>1592</v>
      </c>
      <c r="W284" s="3" t="s">
        <v>4854</v>
      </c>
      <c r="X284" s="3" t="s">
        <v>4854</v>
      </c>
      <c r="Y284" s="3" t="s">
        <v>4854</v>
      </c>
      <c r="Z284" s="3" t="s">
        <v>4854</v>
      </c>
      <c r="AA284" s="5">
        <v>1402</v>
      </c>
      <c r="AB284" s="5">
        <v>1350</v>
      </c>
      <c r="AC284" s="3" t="s">
        <v>4854</v>
      </c>
      <c r="AD284" s="5">
        <v>1591</v>
      </c>
      <c r="AE284" s="99" t="s">
        <v>4854</v>
      </c>
      <c r="AF284" s="99" t="s">
        <v>4854</v>
      </c>
      <c r="AG284" s="99" t="s">
        <v>4854</v>
      </c>
      <c r="AH284" s="99" t="s">
        <v>4854</v>
      </c>
      <c r="AI284" s="90">
        <v>2.8849999999999998</v>
      </c>
      <c r="AJ284" s="90">
        <v>2.298</v>
      </c>
      <c r="AK284" s="99" t="s">
        <v>4854</v>
      </c>
      <c r="AL284" s="90">
        <v>2.694</v>
      </c>
      <c r="AM284" s="102" t="s">
        <v>4854</v>
      </c>
      <c r="AN284" s="102" t="s">
        <v>4854</v>
      </c>
      <c r="AO284" s="102" t="s">
        <v>4854</v>
      </c>
      <c r="AP284" s="102" t="s">
        <v>4854</v>
      </c>
      <c r="AQ284" s="21">
        <v>-6.2399999999999997E-2</v>
      </c>
      <c r="AR284" s="21">
        <v>3.2800000000000003E-2</v>
      </c>
      <c r="AS284" s="102" t="s">
        <v>4854</v>
      </c>
      <c r="AT284" s="21">
        <v>-0.86939999999999995</v>
      </c>
      <c r="AU284" s="102" t="s">
        <v>4854</v>
      </c>
      <c r="AV284" s="102" t="s">
        <v>4854</v>
      </c>
      <c r="AW284" s="102" t="s">
        <v>4854</v>
      </c>
      <c r="AX284" s="102" t="s">
        <v>4854</v>
      </c>
      <c r="AY284" s="21">
        <v>9.5000000000000001E-2</v>
      </c>
      <c r="AZ284" s="21">
        <v>2.8000000000000001E-2</v>
      </c>
      <c r="BA284" s="102" t="s">
        <v>4854</v>
      </c>
      <c r="BB284" s="21">
        <v>0.128</v>
      </c>
      <c r="BC284" s="3" t="s">
        <v>4854</v>
      </c>
      <c r="BD284" s="3" t="s">
        <v>4854</v>
      </c>
      <c r="BE284" s="3" t="s">
        <v>4854</v>
      </c>
      <c r="BF284" s="3" t="s">
        <v>4854</v>
      </c>
      <c r="BG284" s="5">
        <v>2</v>
      </c>
      <c r="BH284" s="5">
        <v>1</v>
      </c>
      <c r="BI284" s="3" t="s">
        <v>4854</v>
      </c>
      <c r="BJ284" s="5">
        <v>1</v>
      </c>
      <c r="BK284" s="99" t="s">
        <v>4854</v>
      </c>
      <c r="BL284" s="99" t="s">
        <v>4854</v>
      </c>
      <c r="BM284" s="99" t="s">
        <v>4854</v>
      </c>
      <c r="BN284" s="99" t="s">
        <v>4854</v>
      </c>
      <c r="BO284" s="90">
        <v>0.997</v>
      </c>
      <c r="BP284" s="90">
        <v>0.98099999999999998</v>
      </c>
      <c r="BQ284" s="99" t="s">
        <v>4854</v>
      </c>
      <c r="BR284" s="90">
        <v>0.99399999999999999</v>
      </c>
      <c r="BS284" s="5" t="s">
        <v>4857</v>
      </c>
    </row>
    <row r="285" spans="1:71" s="30" customFormat="1" ht="17.100000000000001" customHeight="1">
      <c r="A285" s="10">
        <v>274</v>
      </c>
      <c r="B285" s="10" t="s">
        <v>4437</v>
      </c>
      <c r="C285" s="4" t="s">
        <v>3883</v>
      </c>
      <c r="D285" s="4" t="s">
        <v>3795</v>
      </c>
      <c r="E285" s="4" t="s">
        <v>3796</v>
      </c>
      <c r="F285" s="10" t="s">
        <v>4977</v>
      </c>
      <c r="G285" s="4" t="s">
        <v>3786</v>
      </c>
      <c r="H285" s="7" t="s">
        <v>3797</v>
      </c>
      <c r="I285" s="4" t="s">
        <v>3788</v>
      </c>
      <c r="J285" s="10" t="s">
        <v>4838</v>
      </c>
      <c r="K285" s="4" t="s">
        <v>5496</v>
      </c>
      <c r="L285" s="4" t="s">
        <v>3802</v>
      </c>
      <c r="M285" s="10">
        <v>2</v>
      </c>
      <c r="N285" s="95">
        <v>593.82489999999996</v>
      </c>
      <c r="O285" s="37" t="str">
        <f>HYPERLINK("http://ms.phosphosite.org:5080/cgi-bin/plot-msms.cgi?MassType=1&amp;NumAxis=1&amp;Mod3=170&amp;Mod7=170&amp;Mod9=170&amp;Pep=AGKDSGKAKAK&amp;Dta=/var/www/html/dta/S01/10558.1710.2.dta&amp;Global_Mod=CS57.0215", "1710")</f>
        <v>1710</v>
      </c>
      <c r="P285" s="37" t="str">
        <f>HYPERLINK("http://ms.phosphosite.org:5080/cgi-bin/plot-msms.cgi?MassType=1&amp;NumAxis=1&amp;Mod3=170&amp;Mod7=170&amp;Mod9=170&amp;Pep=AGKDSGKAKAK&amp;Dta=/var/www/html/dta/S01/10559.1670.2.dta&amp;Global_Mod=CS57.0215", "1670")</f>
        <v>1670</v>
      </c>
      <c r="Q285" s="37" t="str">
        <f>HYPERLINK("http://ms.phosphosite.org:5080/cgi-bin/plot-msms.cgi?MassType=1&amp;NumAxis=1&amp;Mod3=170&amp;Mod7=170&amp;Mod9=170&amp;Pep=AGKDSGKAKAK&amp;Dta=/var/www/html/dta/S01/10560.1661.2.dta&amp;Global_Mod=CS57.0215", "1661")</f>
        <v>1661</v>
      </c>
      <c r="R285" s="38" t="s">
        <v>4854</v>
      </c>
      <c r="S285" s="37" t="str">
        <f>HYPERLINK("http://ms.phosphosite.org:5080/cgi-bin/plot-msms.cgi?MassType=1&amp;NumAxis=1&amp;Mod3=170&amp;Mod7=170&amp;Mod9=170&amp;Pep=AGKDSGKAKAK&amp;Dta=/var/www/html/dta/S01/10562.1724.2.dta&amp;Global_Mod=CS57.0215", "1724")</f>
        <v>1724</v>
      </c>
      <c r="T285" s="37" t="str">
        <f>HYPERLINK("http://ms.phosphosite.org:5080/cgi-bin/plot-msms.cgi?MassType=1&amp;NumAxis=1&amp;Mod3=170&amp;Mod7=170&amp;Mod9=170&amp;Pep=AGKDSGKAKAK&amp;Dta=/var/www/html/dta/S01/10563.1654.2.dta&amp;Global_Mod=CS57.0215", "1654")</f>
        <v>1654</v>
      </c>
      <c r="U285" s="37" t="str">
        <f>HYPERLINK("http://ms.phosphosite.org:5080/cgi-bin/plot-msms.cgi?MassType=1&amp;NumAxis=1&amp;Mod3=170&amp;Mod7=170&amp;Mod9=170&amp;Pep=AGKDSGKAKAK&amp;Dta=/var/www/html/dta/S01/10564.1906.2.dta&amp;Global_Mod=CS57.0215", "1906")</f>
        <v>1906</v>
      </c>
      <c r="V285" s="37" t="str">
        <f>HYPERLINK("http://ms.phosphosite.org:5080/cgi-bin/plot-msms.cgi?MassType=1&amp;NumAxis=1&amp;Mod3=170&amp;Mod7=170&amp;Mod9=170&amp;Pep=AGKDSGKAKAK&amp;Dta=/var/www/html/dta/S01/10565.1935.2.dta&amp;Global_Mod=CS57.0215", "1935")</f>
        <v>1935</v>
      </c>
      <c r="W285" s="10">
        <v>1708</v>
      </c>
      <c r="X285" s="10">
        <v>1667</v>
      </c>
      <c r="Y285" s="10">
        <v>1660</v>
      </c>
      <c r="Z285" s="4" t="s">
        <v>4854</v>
      </c>
      <c r="AA285" s="10">
        <v>1721</v>
      </c>
      <c r="AB285" s="10">
        <v>1658</v>
      </c>
      <c r="AC285" s="10">
        <v>1902</v>
      </c>
      <c r="AD285" s="10">
        <v>1933</v>
      </c>
      <c r="AE285" s="91">
        <v>3.5059999999999998</v>
      </c>
      <c r="AF285" s="91">
        <v>3.2970000000000002</v>
      </c>
      <c r="AG285" s="91">
        <v>3.2749999999999999</v>
      </c>
      <c r="AH285" s="100" t="s">
        <v>4854</v>
      </c>
      <c r="AI285" s="91">
        <v>3.5009999999999999</v>
      </c>
      <c r="AJ285" s="91">
        <v>3.2610000000000001</v>
      </c>
      <c r="AK285" s="91">
        <v>3.0510000000000002</v>
      </c>
      <c r="AL285" s="91">
        <v>3.1179999999999999</v>
      </c>
      <c r="AM285" s="95">
        <v>0.3982</v>
      </c>
      <c r="AN285" s="95">
        <v>0.65600000000000003</v>
      </c>
      <c r="AO285" s="95">
        <v>0.46729999999999999</v>
      </c>
      <c r="AP285" s="103" t="s">
        <v>4854</v>
      </c>
      <c r="AQ285" s="95">
        <v>0.126</v>
      </c>
      <c r="AR285" s="95">
        <v>1.2770999999999999</v>
      </c>
      <c r="AS285" s="95">
        <v>0.36359999999999998</v>
      </c>
      <c r="AT285" s="95">
        <v>-3.8399999999999997E-2</v>
      </c>
      <c r="AU285" s="95">
        <v>0.28599999999999998</v>
      </c>
      <c r="AV285" s="95">
        <v>0.35399999999999998</v>
      </c>
      <c r="AW285" s="95">
        <v>0.31900000000000001</v>
      </c>
      <c r="AX285" s="103" t="s">
        <v>4854</v>
      </c>
      <c r="AY285" s="95">
        <v>0.27300000000000002</v>
      </c>
      <c r="AZ285" s="95">
        <v>0.31900000000000001</v>
      </c>
      <c r="BA285" s="95">
        <v>0.28699999999999998</v>
      </c>
      <c r="BB285" s="95">
        <v>0.33100000000000002</v>
      </c>
      <c r="BC285" s="10">
        <v>1</v>
      </c>
      <c r="BD285" s="10">
        <v>1</v>
      </c>
      <c r="BE285" s="10">
        <v>1</v>
      </c>
      <c r="BF285" s="4" t="s">
        <v>4854</v>
      </c>
      <c r="BG285" s="10">
        <v>1</v>
      </c>
      <c r="BH285" s="10">
        <v>1</v>
      </c>
      <c r="BI285" s="10">
        <v>1</v>
      </c>
      <c r="BJ285" s="10">
        <v>1</v>
      </c>
      <c r="BK285" s="91">
        <v>0.999</v>
      </c>
      <c r="BL285" s="91">
        <v>0.999</v>
      </c>
      <c r="BM285" s="91">
        <v>0.999</v>
      </c>
      <c r="BN285" s="100" t="s">
        <v>4854</v>
      </c>
      <c r="BO285" s="91">
        <v>0.999</v>
      </c>
      <c r="BP285" s="91">
        <v>0.999</v>
      </c>
      <c r="BQ285" s="91">
        <v>0.998</v>
      </c>
      <c r="BR285" s="91">
        <v>0.999</v>
      </c>
      <c r="BS285" s="10" t="s">
        <v>4857</v>
      </c>
    </row>
    <row r="286" spans="1:71" s="30" customFormat="1" ht="17.100000000000001" customHeight="1">
      <c r="A286" s="14">
        <v>275</v>
      </c>
      <c r="B286" s="5" t="s">
        <v>3803</v>
      </c>
      <c r="C286" s="3" t="s">
        <v>3883</v>
      </c>
      <c r="D286" s="3" t="s">
        <v>3804</v>
      </c>
      <c r="E286" s="3" t="s">
        <v>3805</v>
      </c>
      <c r="F286" s="5" t="s">
        <v>4228</v>
      </c>
      <c r="G286" s="3" t="s">
        <v>3806</v>
      </c>
      <c r="H286" s="6" t="s">
        <v>3807</v>
      </c>
      <c r="I286" s="3" t="s">
        <v>3808</v>
      </c>
      <c r="J286" s="5" t="s">
        <v>4699</v>
      </c>
      <c r="K286" s="3" t="s">
        <v>5497</v>
      </c>
      <c r="L286" s="3" t="s">
        <v>3809</v>
      </c>
      <c r="M286" s="5">
        <v>3</v>
      </c>
      <c r="N286" s="21">
        <v>958.1037</v>
      </c>
      <c r="O286" s="36" t="str">
        <f>HYPERLINK("http://ms.phosphosite.org:5080/cgi-bin/plot-msms.cgi?MassType=1&amp;NumAxis=1&amp;Mod2=170&amp;Pep=AKDSDKEGTSNSTSEDGPGDGFTILSSK&amp;Dta=/var/www/html/dta/S01/10558.6917.3.dta&amp;Global_Mod=CS57.0215", "6917")</f>
        <v>6917</v>
      </c>
      <c r="P286" s="36" t="str">
        <f>HYPERLINK("http://ms.phosphosite.org:5080/cgi-bin/plot-msms.cgi?MassType=1&amp;NumAxis=1&amp;Mod2=170&amp;Pep=AKDSDKEGTSNSTSEDGPGDGFTILSSK&amp;Dta=/var/www/html/dta/S01/10559.6883.3.dta&amp;Global_Mod=CS57.0215", "6883")</f>
        <v>6883</v>
      </c>
      <c r="Q286" s="36" t="str">
        <f>HYPERLINK("http://ms.phosphosite.org:5080/cgi-bin/plot-msms.cgi?MassType=1&amp;NumAxis=1&amp;Mod2=170&amp;Pep=AKDSDKEGTSNSTSEDGPGDGFTILSSK&amp;Dta=/var/www/html/dta/S01/10560.6893.3.dta&amp;Global_Mod=CS57.0215", "6893")</f>
        <v>6893</v>
      </c>
      <c r="R286" s="36" t="str">
        <f>HYPERLINK("http://ms.phosphosite.org:5080/cgi-bin/plot-msms.cgi?MassType=1&amp;NumAxis=1&amp;Mod2=170&amp;Pep=AKDSDKEGTSNSTSEDGPGDGFTILSSK&amp;Dta=/var/www/html/dta/S01/10561.6917.3.dta&amp;Global_Mod=CS57.0215", "6917")</f>
        <v>6917</v>
      </c>
      <c r="S286" s="36" t="str">
        <f>HYPERLINK("http://ms.phosphosite.org:5080/cgi-bin/plot-msms.cgi?MassType=1&amp;NumAxis=1&amp;Mod2=170&amp;Pep=AKDSDKEGTSNSTSEDGPGDGFTILSSK&amp;Dta=/var/www/html/dta/S01/10562.7077.3.dta&amp;Global_Mod=CS57.0215", "7077")</f>
        <v>7077</v>
      </c>
      <c r="T286" s="36" t="str">
        <f>HYPERLINK("http://ms.phosphosite.org:5080/cgi-bin/plot-msms.cgi?MassType=1&amp;NumAxis=1&amp;Mod2=170&amp;Pep=AKDSDKEGTSNSTSEDGPGDGFTILSSK&amp;Dta=/var/www/html/dta/S01/10563.7013.3.dta&amp;Global_Mod=CS57.0215", "7013")</f>
        <v>7013</v>
      </c>
      <c r="U286" s="36" t="str">
        <f>HYPERLINK("http://ms.phosphosite.org:5080/cgi-bin/plot-msms.cgi?MassType=1&amp;NumAxis=1&amp;Mod2=170&amp;Pep=AKDSDKEGTSNSTSEDGPGDGFTILSSK&amp;Dta=/var/www/html/dta/S01/10564.7395.3.dta&amp;Global_Mod=CS57.0215", "7395")</f>
        <v>7395</v>
      </c>
      <c r="V286" s="36" t="str">
        <f>HYPERLINK("http://ms.phosphosite.org:5080/cgi-bin/plot-msms.cgi?MassType=1&amp;NumAxis=1&amp;Mod2=170&amp;Pep=AKDSDKEGTSNSTSEDGPGDGFTILSSK&amp;Dta=/var/www/html/dta/S01/10565.7475.3.dta&amp;Global_Mod=CS57.0215", "7475")</f>
        <v>7475</v>
      </c>
      <c r="W286" s="5">
        <v>7017</v>
      </c>
      <c r="X286" s="5">
        <v>6976</v>
      </c>
      <c r="Y286" s="5">
        <v>6960</v>
      </c>
      <c r="Z286" s="5">
        <v>6998</v>
      </c>
      <c r="AA286" s="5">
        <v>7137</v>
      </c>
      <c r="AB286" s="5">
        <v>7069</v>
      </c>
      <c r="AC286" s="5">
        <v>7431</v>
      </c>
      <c r="AD286" s="5">
        <v>7516</v>
      </c>
      <c r="AE286" s="90">
        <v>5.31</v>
      </c>
      <c r="AF286" s="90">
        <v>5.1609999999999996</v>
      </c>
      <c r="AG286" s="90">
        <v>5.0869999999999997</v>
      </c>
      <c r="AH286" s="90">
        <v>4.54</v>
      </c>
      <c r="AI286" s="90">
        <v>5.944</v>
      </c>
      <c r="AJ286" s="90">
        <v>5.8940000000000001</v>
      </c>
      <c r="AK286" s="90">
        <v>7.4580000000000002</v>
      </c>
      <c r="AL286" s="90">
        <v>6.41</v>
      </c>
      <c r="AM286" s="21">
        <v>0.63160000000000005</v>
      </c>
      <c r="AN286" s="21">
        <v>1.0323</v>
      </c>
      <c r="AO286" s="21">
        <v>1.1127</v>
      </c>
      <c r="AP286" s="21">
        <v>1.0361</v>
      </c>
      <c r="AQ286" s="21">
        <v>0.70189999999999997</v>
      </c>
      <c r="AR286" s="21">
        <v>0.77259999999999995</v>
      </c>
      <c r="AS286" s="21">
        <v>0.93830000000000002</v>
      </c>
      <c r="AT286" s="21">
        <v>0.56330000000000002</v>
      </c>
      <c r="AU286" s="21">
        <v>0.373</v>
      </c>
      <c r="AV286" s="21">
        <v>0.48099999999999998</v>
      </c>
      <c r="AW286" s="21">
        <v>0.55900000000000005</v>
      </c>
      <c r="AX286" s="21">
        <v>0.433</v>
      </c>
      <c r="AY286" s="21">
        <v>0.502</v>
      </c>
      <c r="AZ286" s="21">
        <v>0.54900000000000004</v>
      </c>
      <c r="BA286" s="21">
        <v>0.38200000000000001</v>
      </c>
      <c r="BB286" s="21">
        <v>0.44900000000000001</v>
      </c>
      <c r="BC286" s="5">
        <v>2</v>
      </c>
      <c r="BD286" s="5">
        <v>1</v>
      </c>
      <c r="BE286" s="5">
        <v>1</v>
      </c>
      <c r="BF286" s="5">
        <v>1</v>
      </c>
      <c r="BG286" s="5">
        <v>1</v>
      </c>
      <c r="BH286" s="5">
        <v>1</v>
      </c>
      <c r="BI286" s="5">
        <v>2</v>
      </c>
      <c r="BJ286" s="5">
        <v>2</v>
      </c>
      <c r="BK286" s="90">
        <v>1</v>
      </c>
      <c r="BL286" s="90">
        <v>1</v>
      </c>
      <c r="BM286" s="90">
        <v>1</v>
      </c>
      <c r="BN286" s="90">
        <v>1</v>
      </c>
      <c r="BO286" s="90">
        <v>1</v>
      </c>
      <c r="BP286" s="90">
        <v>1</v>
      </c>
      <c r="BQ286" s="90">
        <v>1</v>
      </c>
      <c r="BR286" s="90">
        <v>1</v>
      </c>
      <c r="BS286" s="5" t="s">
        <v>4857</v>
      </c>
    </row>
    <row r="287" spans="1:71" s="30" customFormat="1" ht="17.100000000000001" customHeight="1">
      <c r="A287" s="14">
        <v>276</v>
      </c>
      <c r="B287" s="5" t="s">
        <v>3810</v>
      </c>
      <c r="C287" s="3" t="s">
        <v>3883</v>
      </c>
      <c r="D287" s="3" t="s">
        <v>3804</v>
      </c>
      <c r="E287" s="3" t="s">
        <v>3805</v>
      </c>
      <c r="F287" s="5" t="s">
        <v>4228</v>
      </c>
      <c r="G287" s="3" t="s">
        <v>3806</v>
      </c>
      <c r="H287" s="6" t="s">
        <v>3807</v>
      </c>
      <c r="I287" s="3" t="s">
        <v>3808</v>
      </c>
      <c r="J287" s="5" t="s">
        <v>4699</v>
      </c>
      <c r="K287" s="3" t="s">
        <v>5497</v>
      </c>
      <c r="L287" s="3" t="s">
        <v>3809</v>
      </c>
      <c r="M287" s="5">
        <v>3</v>
      </c>
      <c r="N287" s="21">
        <v>958.1037</v>
      </c>
      <c r="O287" s="36" t="str">
        <f>HYPERLINK("http://ms.phosphosite.org:5080/cgi-bin/plot-msms.cgi?MassType=1&amp;NumAxis=1&amp;Mod2=170&amp;Pep=AKDSDKEGTSNSTSEDGPGDGFTILSSK&amp;Dta=/var/www/html/dta/S01/10558.6971.3.dta&amp;Global_Mod=CS57.0215", "6971")</f>
        <v>6971</v>
      </c>
      <c r="P287" s="35" t="s">
        <v>4854</v>
      </c>
      <c r="Q287" s="35" t="s">
        <v>4854</v>
      </c>
      <c r="R287" s="35" t="s">
        <v>4854</v>
      </c>
      <c r="S287" s="35" t="s">
        <v>4854</v>
      </c>
      <c r="T287" s="35" t="s">
        <v>4854</v>
      </c>
      <c r="U287" s="36" t="str">
        <f>HYPERLINK("http://ms.phosphosite.org:5080/cgi-bin/plot-msms.cgi?MassType=1&amp;NumAxis=1&amp;Mod2=170&amp;Pep=AKDSDKEGTSNSTSEDGPGDGFTILSSK&amp;Dta=/var/www/html/dta/S01/10564.7411.3.dta&amp;Global_Mod=CS57.0215", "7411")</f>
        <v>7411</v>
      </c>
      <c r="V287" s="35" t="s">
        <v>4854</v>
      </c>
      <c r="W287" s="5">
        <v>7017</v>
      </c>
      <c r="X287" s="3" t="s">
        <v>4854</v>
      </c>
      <c r="Y287" s="3" t="s">
        <v>4854</v>
      </c>
      <c r="Z287" s="3" t="s">
        <v>4854</v>
      </c>
      <c r="AA287" s="3" t="s">
        <v>4854</v>
      </c>
      <c r="AB287" s="3" t="s">
        <v>4854</v>
      </c>
      <c r="AC287" s="5">
        <v>7431</v>
      </c>
      <c r="AD287" s="3" t="s">
        <v>4854</v>
      </c>
      <c r="AE287" s="90">
        <v>5.2240000000000002</v>
      </c>
      <c r="AF287" s="99" t="s">
        <v>4854</v>
      </c>
      <c r="AG287" s="99" t="s">
        <v>4854</v>
      </c>
      <c r="AH287" s="99" t="s">
        <v>4854</v>
      </c>
      <c r="AI287" s="99" t="s">
        <v>4854</v>
      </c>
      <c r="AJ287" s="99" t="s">
        <v>4854</v>
      </c>
      <c r="AK287" s="90">
        <v>6.23</v>
      </c>
      <c r="AL287" s="99" t="s">
        <v>4854</v>
      </c>
      <c r="AM287" s="21">
        <v>0.78890000000000005</v>
      </c>
      <c r="AN287" s="102" t="s">
        <v>4854</v>
      </c>
      <c r="AO287" s="102" t="s">
        <v>4854</v>
      </c>
      <c r="AP287" s="102" t="s">
        <v>4854</v>
      </c>
      <c r="AQ287" s="102" t="s">
        <v>4854</v>
      </c>
      <c r="AR287" s="102" t="s">
        <v>4854</v>
      </c>
      <c r="AS287" s="21">
        <v>0.95750000000000002</v>
      </c>
      <c r="AT287" s="102" t="s">
        <v>4854</v>
      </c>
      <c r="AU287" s="21">
        <v>0.496</v>
      </c>
      <c r="AV287" s="102" t="s">
        <v>4854</v>
      </c>
      <c r="AW287" s="102" t="s">
        <v>4854</v>
      </c>
      <c r="AX287" s="102" t="s">
        <v>4854</v>
      </c>
      <c r="AY287" s="102" t="s">
        <v>4854</v>
      </c>
      <c r="AZ287" s="102" t="s">
        <v>4854</v>
      </c>
      <c r="BA287" s="21">
        <v>0.47899999999999998</v>
      </c>
      <c r="BB287" s="102" t="s">
        <v>4854</v>
      </c>
      <c r="BC287" s="5">
        <v>1</v>
      </c>
      <c r="BD287" s="3" t="s">
        <v>4854</v>
      </c>
      <c r="BE287" s="3" t="s">
        <v>4854</v>
      </c>
      <c r="BF287" s="3" t="s">
        <v>4854</v>
      </c>
      <c r="BG287" s="3" t="s">
        <v>4854</v>
      </c>
      <c r="BH287" s="3" t="s">
        <v>4854</v>
      </c>
      <c r="BI287" s="5">
        <v>2</v>
      </c>
      <c r="BJ287" s="3" t="s">
        <v>4854</v>
      </c>
      <c r="BK287" s="90">
        <v>1</v>
      </c>
      <c r="BL287" s="99" t="s">
        <v>4854</v>
      </c>
      <c r="BM287" s="99" t="s">
        <v>4854</v>
      </c>
      <c r="BN287" s="99" t="s">
        <v>4854</v>
      </c>
      <c r="BO287" s="99" t="s">
        <v>4854</v>
      </c>
      <c r="BP287" s="99" t="s">
        <v>4854</v>
      </c>
      <c r="BQ287" s="90">
        <v>1</v>
      </c>
      <c r="BR287" s="99" t="s">
        <v>4854</v>
      </c>
      <c r="BS287" s="5" t="s">
        <v>4857</v>
      </c>
    </row>
    <row r="288" spans="1:71" s="30" customFormat="1" ht="17.100000000000001" customHeight="1">
      <c r="A288" s="10">
        <v>277</v>
      </c>
      <c r="B288" s="10" t="s">
        <v>4588</v>
      </c>
      <c r="C288" s="4" t="s">
        <v>3883</v>
      </c>
      <c r="D288" s="4" t="s">
        <v>3804</v>
      </c>
      <c r="E288" s="4" t="s">
        <v>3805</v>
      </c>
      <c r="F288" s="10" t="s">
        <v>4113</v>
      </c>
      <c r="G288" s="4" t="s">
        <v>3806</v>
      </c>
      <c r="H288" s="7" t="s">
        <v>3807</v>
      </c>
      <c r="I288" s="4" t="s">
        <v>3808</v>
      </c>
      <c r="J288" s="10" t="s">
        <v>4699</v>
      </c>
      <c r="K288" s="4" t="s">
        <v>5498</v>
      </c>
      <c r="L288" s="4" t="s">
        <v>3811</v>
      </c>
      <c r="M288" s="10">
        <v>3</v>
      </c>
      <c r="N288" s="95">
        <v>958.1037</v>
      </c>
      <c r="O288" s="37" t="str">
        <f>HYPERLINK("http://ms.phosphosite.org:5080/cgi-bin/plot-msms.cgi?MassType=1&amp;NumAxis=1&amp;Mod6=170&amp;Pep=AKDSDKEGTSNSTSEDGPGDGFTILSSK&amp;Dta=/var/www/html/dta/S01/10558.7069.3.dta&amp;Global_Mod=CS57.0215", "7069")</f>
        <v>7069</v>
      </c>
      <c r="P288" s="37" t="str">
        <f>HYPERLINK("http://ms.phosphosite.org:5080/cgi-bin/plot-msms.cgi?MassType=1&amp;NumAxis=1&amp;Mod6=170&amp;Pep=AKDSDKEGTSNSTSEDGPGDGFTILSSK&amp;Dta=/var/www/html/dta/S01/10559.6978.3.dta&amp;Global_Mod=CS57.0215", "6978")</f>
        <v>6978</v>
      </c>
      <c r="Q288" s="37" t="str">
        <f>HYPERLINK("http://ms.phosphosite.org:5080/cgi-bin/plot-msms.cgi?MassType=1&amp;NumAxis=1&amp;Mod6=170&amp;Pep=AKDSDKEGTSNSTSEDGPGDGFTILSSK&amp;Dta=/var/www/html/dta/S01/10560.6985.3.dta&amp;Global_Mod=CS57.0215", "6985")</f>
        <v>6985</v>
      </c>
      <c r="R288" s="37" t="str">
        <f>HYPERLINK("http://ms.phosphosite.org:5080/cgi-bin/plot-msms.cgi?MassType=1&amp;NumAxis=1&amp;Mod6=170&amp;Pep=AKDSDKEGTSNSTSEDGPGDGFTILSSK&amp;Dta=/var/www/html/dta/S01/10561.7012.3.dta&amp;Global_Mod=CS57.0215", "7012")</f>
        <v>7012</v>
      </c>
      <c r="S288" s="38" t="s">
        <v>4854</v>
      </c>
      <c r="T288" s="37" t="str">
        <f>HYPERLINK("http://ms.phosphosite.org:5080/cgi-bin/plot-msms.cgi?MassType=1&amp;NumAxis=1&amp;Mod6=170&amp;Pep=AKDSDKEGTSNSTSEDGPGDGFTILSSK&amp;Dta=/var/www/html/dta/S01/10563.7105.3.dta&amp;Global_Mod=CS57.0215", "7105")</f>
        <v>7105</v>
      </c>
      <c r="U288" s="38" t="s">
        <v>4854</v>
      </c>
      <c r="V288" s="38" t="s">
        <v>4854</v>
      </c>
      <c r="W288" s="10">
        <v>7017</v>
      </c>
      <c r="X288" s="10">
        <v>6976</v>
      </c>
      <c r="Y288" s="10">
        <v>6960</v>
      </c>
      <c r="Z288" s="10">
        <v>6998</v>
      </c>
      <c r="AA288" s="4" t="s">
        <v>4854</v>
      </c>
      <c r="AB288" s="10">
        <v>7069</v>
      </c>
      <c r="AC288" s="4" t="s">
        <v>4854</v>
      </c>
      <c r="AD288" s="4" t="s">
        <v>4854</v>
      </c>
      <c r="AE288" s="91">
        <v>5.7910000000000004</v>
      </c>
      <c r="AF288" s="91">
        <v>6.5179999999999998</v>
      </c>
      <c r="AG288" s="91">
        <v>6.0490000000000004</v>
      </c>
      <c r="AH288" s="91">
        <v>6.8570000000000002</v>
      </c>
      <c r="AI288" s="100" t="s">
        <v>4854</v>
      </c>
      <c r="AJ288" s="91">
        <v>5.0030000000000001</v>
      </c>
      <c r="AK288" s="100" t="s">
        <v>4854</v>
      </c>
      <c r="AL288" s="100" t="s">
        <v>4854</v>
      </c>
      <c r="AM288" s="95">
        <v>0.7611</v>
      </c>
      <c r="AN288" s="95">
        <v>0.95709999999999995</v>
      </c>
      <c r="AO288" s="95">
        <v>1.0792999999999999</v>
      </c>
      <c r="AP288" s="95">
        <v>1.0047999999999999</v>
      </c>
      <c r="AQ288" s="103" t="s">
        <v>4854</v>
      </c>
      <c r="AR288" s="95">
        <v>0.80500000000000005</v>
      </c>
      <c r="AS288" s="103" t="s">
        <v>4854</v>
      </c>
      <c r="AT288" s="103" t="s">
        <v>4854</v>
      </c>
      <c r="AU288" s="95">
        <v>0.378</v>
      </c>
      <c r="AV288" s="95">
        <v>0.45200000000000001</v>
      </c>
      <c r="AW288" s="95">
        <v>0.436</v>
      </c>
      <c r="AX288" s="95">
        <v>0.46400000000000002</v>
      </c>
      <c r="AY288" s="103" t="s">
        <v>4854</v>
      </c>
      <c r="AZ288" s="95">
        <v>0.39700000000000002</v>
      </c>
      <c r="BA288" s="103" t="s">
        <v>4854</v>
      </c>
      <c r="BB288" s="103" t="s">
        <v>4854</v>
      </c>
      <c r="BC288" s="10">
        <v>1</v>
      </c>
      <c r="BD288" s="10">
        <v>1</v>
      </c>
      <c r="BE288" s="10">
        <v>1</v>
      </c>
      <c r="BF288" s="10">
        <v>1</v>
      </c>
      <c r="BG288" s="4" t="s">
        <v>4854</v>
      </c>
      <c r="BH288" s="10">
        <v>1</v>
      </c>
      <c r="BI288" s="4" t="s">
        <v>4854</v>
      </c>
      <c r="BJ288" s="4" t="s">
        <v>4854</v>
      </c>
      <c r="BK288" s="91">
        <v>1</v>
      </c>
      <c r="BL288" s="91">
        <v>1</v>
      </c>
      <c r="BM288" s="91">
        <v>1</v>
      </c>
      <c r="BN288" s="91">
        <v>1</v>
      </c>
      <c r="BO288" s="100" t="s">
        <v>4854</v>
      </c>
      <c r="BP288" s="91">
        <v>1</v>
      </c>
      <c r="BQ288" s="100" t="s">
        <v>4854</v>
      </c>
      <c r="BR288" s="100" t="s">
        <v>4854</v>
      </c>
      <c r="BS288" s="10" t="s">
        <v>4857</v>
      </c>
    </row>
    <row r="289" spans="1:71" s="30" customFormat="1" ht="17.100000000000001" customHeight="1">
      <c r="A289" s="10">
        <v>278</v>
      </c>
      <c r="B289" s="10" t="s">
        <v>3812</v>
      </c>
      <c r="C289" s="4" t="s">
        <v>3883</v>
      </c>
      <c r="D289" s="4" t="s">
        <v>3804</v>
      </c>
      <c r="E289" s="4" t="s">
        <v>3805</v>
      </c>
      <c r="F289" s="10" t="s">
        <v>4113</v>
      </c>
      <c r="G289" s="4" t="s">
        <v>3806</v>
      </c>
      <c r="H289" s="7" t="s">
        <v>3807</v>
      </c>
      <c r="I289" s="4" t="s">
        <v>3808</v>
      </c>
      <c r="J289" s="10" t="s">
        <v>4699</v>
      </c>
      <c r="K289" s="4" t="s">
        <v>5498</v>
      </c>
      <c r="L289" s="4" t="s">
        <v>3811</v>
      </c>
      <c r="M289" s="10">
        <v>3</v>
      </c>
      <c r="N289" s="95">
        <v>958.1037</v>
      </c>
      <c r="O289" s="38" t="s">
        <v>4854</v>
      </c>
      <c r="P289" s="38" t="s">
        <v>4854</v>
      </c>
      <c r="Q289" s="38" t="s">
        <v>4854</v>
      </c>
      <c r="R289" s="37" t="str">
        <f>HYPERLINK("http://ms.phosphosite.org:5080/cgi-bin/plot-msms.cgi?MassType=1&amp;NumAxis=1&amp;Mod6=170&amp;Pep=AKDSDKEGTSNSTSEDGPGDGFTILSSK&amp;Dta=/var/www/html/dta/S01/10561.7016.3.dta&amp;Global_Mod=CS57.0215", "7016")</f>
        <v>7016</v>
      </c>
      <c r="S289" s="38" t="s">
        <v>4854</v>
      </c>
      <c r="T289" s="38" t="s">
        <v>4854</v>
      </c>
      <c r="U289" s="38" t="s">
        <v>4854</v>
      </c>
      <c r="V289" s="38" t="s">
        <v>4854</v>
      </c>
      <c r="W289" s="4" t="s">
        <v>4854</v>
      </c>
      <c r="X289" s="4" t="s">
        <v>4854</v>
      </c>
      <c r="Y289" s="4" t="s">
        <v>4854</v>
      </c>
      <c r="Z289" s="10">
        <v>6998</v>
      </c>
      <c r="AA289" s="4" t="s">
        <v>4854</v>
      </c>
      <c r="AB289" s="4" t="s">
        <v>4854</v>
      </c>
      <c r="AC289" s="4" t="s">
        <v>4854</v>
      </c>
      <c r="AD289" s="4" t="s">
        <v>4854</v>
      </c>
      <c r="AE289" s="100" t="s">
        <v>4854</v>
      </c>
      <c r="AF289" s="100" t="s">
        <v>4854</v>
      </c>
      <c r="AG289" s="100" t="s">
        <v>4854</v>
      </c>
      <c r="AH289" s="91">
        <v>6.2850000000000001</v>
      </c>
      <c r="AI289" s="100" t="s">
        <v>4854</v>
      </c>
      <c r="AJ289" s="100" t="s">
        <v>4854</v>
      </c>
      <c r="AK289" s="100" t="s">
        <v>4854</v>
      </c>
      <c r="AL289" s="100" t="s">
        <v>4854</v>
      </c>
      <c r="AM289" s="103" t="s">
        <v>4854</v>
      </c>
      <c r="AN289" s="103" t="s">
        <v>4854</v>
      </c>
      <c r="AO289" s="103" t="s">
        <v>4854</v>
      </c>
      <c r="AP289" s="95">
        <v>1.0047999999999999</v>
      </c>
      <c r="AQ289" s="103" t="s">
        <v>4854</v>
      </c>
      <c r="AR289" s="103" t="s">
        <v>4854</v>
      </c>
      <c r="AS289" s="103" t="s">
        <v>4854</v>
      </c>
      <c r="AT289" s="103" t="s">
        <v>4854</v>
      </c>
      <c r="AU289" s="103" t="s">
        <v>4854</v>
      </c>
      <c r="AV289" s="103" t="s">
        <v>4854</v>
      </c>
      <c r="AW289" s="103" t="s">
        <v>4854</v>
      </c>
      <c r="AX289" s="95">
        <v>0.51900000000000002</v>
      </c>
      <c r="AY289" s="103" t="s">
        <v>4854</v>
      </c>
      <c r="AZ289" s="103" t="s">
        <v>4854</v>
      </c>
      <c r="BA289" s="103" t="s">
        <v>4854</v>
      </c>
      <c r="BB289" s="103" t="s">
        <v>4854</v>
      </c>
      <c r="BC289" s="4" t="s">
        <v>4854</v>
      </c>
      <c r="BD289" s="4" t="s">
        <v>4854</v>
      </c>
      <c r="BE289" s="4" t="s">
        <v>4854</v>
      </c>
      <c r="BF289" s="10">
        <v>1</v>
      </c>
      <c r="BG289" s="4" t="s">
        <v>4854</v>
      </c>
      <c r="BH289" s="4" t="s">
        <v>4854</v>
      </c>
      <c r="BI289" s="4" t="s">
        <v>4854</v>
      </c>
      <c r="BJ289" s="4" t="s">
        <v>4854</v>
      </c>
      <c r="BK289" s="100" t="s">
        <v>4854</v>
      </c>
      <c r="BL289" s="100" t="s">
        <v>4854</v>
      </c>
      <c r="BM289" s="100" t="s">
        <v>4854</v>
      </c>
      <c r="BN289" s="91">
        <v>1</v>
      </c>
      <c r="BO289" s="100" t="s">
        <v>4854</v>
      </c>
      <c r="BP289" s="100" t="s">
        <v>4854</v>
      </c>
      <c r="BQ289" s="100" t="s">
        <v>4854</v>
      </c>
      <c r="BR289" s="100" t="s">
        <v>4854</v>
      </c>
      <c r="BS289" s="10" t="s">
        <v>4857</v>
      </c>
    </row>
    <row r="290" spans="1:71" s="30" customFormat="1" ht="17.100000000000001" customHeight="1">
      <c r="A290" s="10">
        <v>279</v>
      </c>
      <c r="B290" s="10" t="s">
        <v>3813</v>
      </c>
      <c r="C290" s="4" t="s">
        <v>3883</v>
      </c>
      <c r="D290" s="4" t="s">
        <v>3804</v>
      </c>
      <c r="E290" s="4" t="s">
        <v>3805</v>
      </c>
      <c r="F290" s="10" t="s">
        <v>4113</v>
      </c>
      <c r="G290" s="4" t="s">
        <v>3806</v>
      </c>
      <c r="H290" s="7" t="s">
        <v>3807</v>
      </c>
      <c r="I290" s="4" t="s">
        <v>3808</v>
      </c>
      <c r="J290" s="10" t="s">
        <v>4699</v>
      </c>
      <c r="K290" s="4" t="s">
        <v>5498</v>
      </c>
      <c r="L290" s="4" t="s">
        <v>3814</v>
      </c>
      <c r="M290" s="10">
        <v>3</v>
      </c>
      <c r="N290" s="95">
        <v>891.72640000000001</v>
      </c>
      <c r="O290" s="37" t="str">
        <f>HYPERLINK("http://ms.phosphosite.org:5080/cgi-bin/plot-msms.cgi?MassType=1&amp;NumAxis=1&amp;Mod4=170&amp;Pep=DSDKEGTSNSTSEDGPGDGFTILSSK&amp;Dta=/var/www/html/dta/S01/10558.8619.3.dta&amp;Global_Mod=CS57.0215", "8619")</f>
        <v>8619</v>
      </c>
      <c r="P290" s="38" t="s">
        <v>4854</v>
      </c>
      <c r="Q290" s="38" t="s">
        <v>4854</v>
      </c>
      <c r="R290" s="38" t="s">
        <v>4854</v>
      </c>
      <c r="S290" s="38" t="s">
        <v>4854</v>
      </c>
      <c r="T290" s="38" t="s">
        <v>4854</v>
      </c>
      <c r="U290" s="38" t="s">
        <v>4854</v>
      </c>
      <c r="V290" s="38" t="s">
        <v>4854</v>
      </c>
      <c r="W290" s="10">
        <v>8634</v>
      </c>
      <c r="X290" s="4" t="s">
        <v>4854</v>
      </c>
      <c r="Y290" s="4" t="s">
        <v>4854</v>
      </c>
      <c r="Z290" s="4" t="s">
        <v>4854</v>
      </c>
      <c r="AA290" s="4" t="s">
        <v>4854</v>
      </c>
      <c r="AB290" s="4" t="s">
        <v>4854</v>
      </c>
      <c r="AC290" s="4" t="s">
        <v>4854</v>
      </c>
      <c r="AD290" s="4" t="s">
        <v>4854</v>
      </c>
      <c r="AE290" s="91">
        <v>4.0229999999999997</v>
      </c>
      <c r="AF290" s="100" t="s">
        <v>4854</v>
      </c>
      <c r="AG290" s="100" t="s">
        <v>4854</v>
      </c>
      <c r="AH290" s="100" t="s">
        <v>4854</v>
      </c>
      <c r="AI290" s="100" t="s">
        <v>4854</v>
      </c>
      <c r="AJ290" s="100" t="s">
        <v>4854</v>
      </c>
      <c r="AK290" s="100" t="s">
        <v>4854</v>
      </c>
      <c r="AL290" s="100" t="s">
        <v>4854</v>
      </c>
      <c r="AM290" s="95">
        <v>-0.7</v>
      </c>
      <c r="AN290" s="103" t="s">
        <v>4854</v>
      </c>
      <c r="AO290" s="103" t="s">
        <v>4854</v>
      </c>
      <c r="AP290" s="103" t="s">
        <v>4854</v>
      </c>
      <c r="AQ290" s="103" t="s">
        <v>4854</v>
      </c>
      <c r="AR290" s="103" t="s">
        <v>4854</v>
      </c>
      <c r="AS290" s="103" t="s">
        <v>4854</v>
      </c>
      <c r="AT290" s="103" t="s">
        <v>4854</v>
      </c>
      <c r="AU290" s="95">
        <v>0.34300000000000003</v>
      </c>
      <c r="AV290" s="103" t="s">
        <v>4854</v>
      </c>
      <c r="AW290" s="103" t="s">
        <v>4854</v>
      </c>
      <c r="AX290" s="103" t="s">
        <v>4854</v>
      </c>
      <c r="AY290" s="103" t="s">
        <v>4854</v>
      </c>
      <c r="AZ290" s="103" t="s">
        <v>4854</v>
      </c>
      <c r="BA290" s="103" t="s">
        <v>4854</v>
      </c>
      <c r="BB290" s="103" t="s">
        <v>4854</v>
      </c>
      <c r="BC290" s="10">
        <v>1</v>
      </c>
      <c r="BD290" s="4" t="s">
        <v>4854</v>
      </c>
      <c r="BE290" s="4" t="s">
        <v>4854</v>
      </c>
      <c r="BF290" s="4" t="s">
        <v>4854</v>
      </c>
      <c r="BG290" s="4" t="s">
        <v>4854</v>
      </c>
      <c r="BH290" s="4" t="s">
        <v>4854</v>
      </c>
      <c r="BI290" s="4" t="s">
        <v>4854</v>
      </c>
      <c r="BJ290" s="4" t="s">
        <v>4854</v>
      </c>
      <c r="BK290" s="91">
        <v>0.998</v>
      </c>
      <c r="BL290" s="100" t="s">
        <v>4854</v>
      </c>
      <c r="BM290" s="100" t="s">
        <v>4854</v>
      </c>
      <c r="BN290" s="100" t="s">
        <v>4854</v>
      </c>
      <c r="BO290" s="100" t="s">
        <v>4854</v>
      </c>
      <c r="BP290" s="100" t="s">
        <v>4854</v>
      </c>
      <c r="BQ290" s="100" t="s">
        <v>4854</v>
      </c>
      <c r="BR290" s="100" t="s">
        <v>4854</v>
      </c>
      <c r="BS290" s="10" t="s">
        <v>4857</v>
      </c>
    </row>
    <row r="291" spans="1:71" s="30" customFormat="1" ht="17.100000000000001" customHeight="1">
      <c r="A291" s="14">
        <v>280</v>
      </c>
      <c r="B291" s="5" t="s">
        <v>3815</v>
      </c>
      <c r="C291" s="3" t="s">
        <v>3883</v>
      </c>
      <c r="D291" s="3" t="s">
        <v>3816</v>
      </c>
      <c r="E291" s="6" t="s">
        <v>3817</v>
      </c>
      <c r="F291" s="5" t="s">
        <v>4974</v>
      </c>
      <c r="G291" s="3" t="s">
        <v>3818</v>
      </c>
      <c r="H291" s="6" t="s">
        <v>3819</v>
      </c>
      <c r="I291" s="3" t="s">
        <v>3820</v>
      </c>
      <c r="J291" s="5" t="s">
        <v>4838</v>
      </c>
      <c r="K291" s="3" t="s">
        <v>5499</v>
      </c>
      <c r="L291" s="3" t="s">
        <v>3821</v>
      </c>
      <c r="M291" s="5">
        <v>2</v>
      </c>
      <c r="N291" s="21">
        <v>786.423</v>
      </c>
      <c r="O291" s="36" t="str">
        <f>HYPERLINK("http://ms.phosphosite.org:5080/cgi-bin/plot-msms.cgi?MassType=1&amp;NumAxis=1&amp;Mod4=170&amp;Mod7=170&amp;Mod11=170&amp;Mod13=170&amp;Pep=AGGKAGKDSGKAKTK&amp;Dta=/var/www/html/dta/S01/10558.2257.2.dta&amp;Global_Mod=CS57.0215", "2257")</f>
        <v>2257</v>
      </c>
      <c r="P291" s="36" t="str">
        <f>HYPERLINK("http://ms.phosphosite.org:5080/cgi-bin/plot-msms.cgi?MassType=1&amp;NumAxis=1&amp;Mod4=170&amp;Mod7=170&amp;Mod11=170&amp;Mod13=170&amp;Pep=AGGKAGKDSGKAKTK&amp;Dta=/var/www/html/dta/S01/10559.2216.2.dta&amp;Global_Mod=CS57.0215", "2216")</f>
        <v>2216</v>
      </c>
      <c r="Q291" s="36" t="str">
        <f>HYPERLINK("http://ms.phosphosite.org:5080/cgi-bin/plot-msms.cgi?MassType=1&amp;NumAxis=1&amp;Mod4=170&amp;Mod7=170&amp;Mod11=170&amp;Mod13=170&amp;Pep=AGGKAGKDSGKAKTK&amp;Dta=/var/www/html/dta/S01/10560.2195.2.dta&amp;Global_Mod=CS57.0215", "2195")</f>
        <v>2195</v>
      </c>
      <c r="R291" s="36" t="str">
        <f>HYPERLINK("http://ms.phosphosite.org:5080/cgi-bin/plot-msms.cgi?MassType=1&amp;NumAxis=1&amp;Mod4=170&amp;Mod7=170&amp;Mod11=170&amp;Mod13=170&amp;Pep=AGGKAGKDSGKAKTK&amp;Dta=/var/www/html/dta/S01/10561.2226.2.dta&amp;Global_Mod=CS57.0215", "2226")</f>
        <v>2226</v>
      </c>
      <c r="S291" s="36" t="str">
        <f>HYPERLINK("http://ms.phosphosite.org:5080/cgi-bin/plot-msms.cgi?MassType=1&amp;NumAxis=1&amp;Mod4=170&amp;Mod7=170&amp;Mod11=170&amp;Mod13=170&amp;Pep=AGGKAGKDSGKAKTK&amp;Dta=/var/www/html/dta/S01/10562.2293.2.dta&amp;Global_Mod=CS57.0215", "2293")</f>
        <v>2293</v>
      </c>
      <c r="T291" s="36" t="str">
        <f>HYPERLINK("http://ms.phosphosite.org:5080/cgi-bin/plot-msms.cgi?MassType=1&amp;NumAxis=1&amp;Mod4=170&amp;Mod7=170&amp;Mod11=170&amp;Mod13=170&amp;Pep=AGGKAGKDSGKAKTK&amp;Dta=/var/www/html/dta/S01/10563.2228.2.dta&amp;Global_Mod=CS57.0215", "2228")</f>
        <v>2228</v>
      </c>
      <c r="U291" s="36" t="str">
        <f>HYPERLINK("http://ms.phosphosite.org:5080/cgi-bin/plot-msms.cgi?MassType=1&amp;NumAxis=1&amp;Mod4=170&amp;Mod7=170&amp;Mod11=170&amp;Mod13=170&amp;Pep=AGGKAGKDSGKAKTK&amp;Dta=/var/www/html/dta/S01/10564.2506.2.dta&amp;Global_Mod=CS57.0215", "2506")</f>
        <v>2506</v>
      </c>
      <c r="V291" s="36" t="str">
        <f>HYPERLINK("http://ms.phosphosite.org:5080/cgi-bin/plot-msms.cgi?MassType=1&amp;NumAxis=1&amp;Mod4=170&amp;Mod7=170&amp;Mod11=170&amp;Mod13=170&amp;Pep=AGGKAGKDSGKAKTK&amp;Dta=/var/www/html/dta/S01/10565.2559.2.dta&amp;Global_Mod=CS57.0215", "2559")</f>
        <v>2559</v>
      </c>
      <c r="W291" s="5">
        <v>2274</v>
      </c>
      <c r="X291" s="3" t="s">
        <v>4854</v>
      </c>
      <c r="Y291" s="5">
        <v>2208</v>
      </c>
      <c r="Z291" s="5">
        <v>2245</v>
      </c>
      <c r="AA291" s="5">
        <v>2316</v>
      </c>
      <c r="AB291" s="5">
        <v>2247</v>
      </c>
      <c r="AC291" s="5">
        <v>2522</v>
      </c>
      <c r="AD291" s="5">
        <v>2576</v>
      </c>
      <c r="AE291" s="90">
        <v>4.1420000000000003</v>
      </c>
      <c r="AF291" s="90">
        <v>3.875</v>
      </c>
      <c r="AG291" s="90">
        <v>4.4349999999999996</v>
      </c>
      <c r="AH291" s="90">
        <v>4.4240000000000004</v>
      </c>
      <c r="AI291" s="90">
        <v>4.5709999999999997</v>
      </c>
      <c r="AJ291" s="90">
        <v>4.0709999999999997</v>
      </c>
      <c r="AK291" s="90">
        <v>4.2869999999999999</v>
      </c>
      <c r="AL291" s="90">
        <v>4.2300000000000004</v>
      </c>
      <c r="AM291" s="21">
        <v>0.52349999999999997</v>
      </c>
      <c r="AN291" s="21">
        <v>0.68059999999999998</v>
      </c>
      <c r="AO291" s="21">
        <v>0.73280000000000001</v>
      </c>
      <c r="AP291" s="21">
        <v>0.88680000000000003</v>
      </c>
      <c r="AQ291" s="21">
        <v>0.76839999999999997</v>
      </c>
      <c r="AR291" s="21">
        <v>0.7742</v>
      </c>
      <c r="AS291" s="21">
        <v>0.17929999999999999</v>
      </c>
      <c r="AT291" s="21">
        <v>-0.16489999999999999</v>
      </c>
      <c r="AU291" s="21">
        <v>0.46200000000000002</v>
      </c>
      <c r="AV291" s="21">
        <v>0.39500000000000002</v>
      </c>
      <c r="AW291" s="21">
        <v>0.45600000000000002</v>
      </c>
      <c r="AX291" s="21">
        <v>0.47299999999999998</v>
      </c>
      <c r="AY291" s="21">
        <v>0.38100000000000001</v>
      </c>
      <c r="AZ291" s="21">
        <v>0.48499999999999999</v>
      </c>
      <c r="BA291" s="21">
        <v>0.42799999999999999</v>
      </c>
      <c r="BB291" s="21">
        <v>0.45</v>
      </c>
      <c r="BC291" s="5">
        <v>1</v>
      </c>
      <c r="BD291" s="5">
        <v>1</v>
      </c>
      <c r="BE291" s="5">
        <v>1</v>
      </c>
      <c r="BF291" s="5">
        <v>1</v>
      </c>
      <c r="BG291" s="5">
        <v>1</v>
      </c>
      <c r="BH291" s="5">
        <v>1</v>
      </c>
      <c r="BI291" s="5">
        <v>1</v>
      </c>
      <c r="BJ291" s="5">
        <v>1</v>
      </c>
      <c r="BK291" s="90">
        <v>1</v>
      </c>
      <c r="BL291" s="90">
        <v>0.93600000000000005</v>
      </c>
      <c r="BM291" s="90">
        <v>1</v>
      </c>
      <c r="BN291" s="90">
        <v>1</v>
      </c>
      <c r="BO291" s="90">
        <v>1</v>
      </c>
      <c r="BP291" s="90">
        <v>1</v>
      </c>
      <c r="BQ291" s="90">
        <v>1</v>
      </c>
      <c r="BR291" s="90">
        <v>1</v>
      </c>
      <c r="BS291" s="5" t="s">
        <v>4857</v>
      </c>
    </row>
    <row r="292" spans="1:71" s="30" customFormat="1" ht="17.100000000000001" customHeight="1">
      <c r="A292" s="14">
        <v>281</v>
      </c>
      <c r="B292" s="5" t="s">
        <v>4334</v>
      </c>
      <c r="C292" s="3" t="s">
        <v>3883</v>
      </c>
      <c r="D292" s="3" t="s">
        <v>3816</v>
      </c>
      <c r="E292" s="6" t="s">
        <v>3817</v>
      </c>
      <c r="F292" s="5" t="s">
        <v>4974</v>
      </c>
      <c r="G292" s="3" t="s">
        <v>3818</v>
      </c>
      <c r="H292" s="6" t="s">
        <v>3819</v>
      </c>
      <c r="I292" s="3" t="s">
        <v>3820</v>
      </c>
      <c r="J292" s="5" t="s">
        <v>4838</v>
      </c>
      <c r="K292" s="3" t="s">
        <v>5499</v>
      </c>
      <c r="L292" s="3" t="s">
        <v>3821</v>
      </c>
      <c r="M292" s="5">
        <v>3</v>
      </c>
      <c r="N292" s="21">
        <v>524.61779999999999</v>
      </c>
      <c r="O292" s="36" t="str">
        <f>HYPERLINK("http://ms.phosphosite.org:5080/cgi-bin/plot-msms.cgi?MassType=1&amp;NumAxis=1&amp;Mod4=170&amp;Mod7=170&amp;Mod11=170&amp;Mod13=170&amp;Pep=AGGKAGKDSGKAKTK&amp;Dta=/var/www/html/dta/S01/10558.2264.3.dta&amp;Global_Mod=CS57.0215", "2264")</f>
        <v>2264</v>
      </c>
      <c r="P292" s="36" t="str">
        <f>HYPERLINK("http://ms.phosphosite.org:5080/cgi-bin/plot-msms.cgi?MassType=1&amp;NumAxis=1&amp;Mod4=170&amp;Mod7=170&amp;Mod11=170&amp;Mod13=170&amp;Pep=AGGKAGKDSGKAKTK&amp;Dta=/var/www/html/dta/S01/10559.2215.3.dta&amp;Global_Mod=CS57.0215", "2215")</f>
        <v>2215</v>
      </c>
      <c r="Q292" s="36" t="str">
        <f>HYPERLINK("http://ms.phosphosite.org:5080/cgi-bin/plot-msms.cgi?MassType=1&amp;NumAxis=1&amp;Mod4=170&amp;Mod7=170&amp;Mod11=170&amp;Mod13=170&amp;Pep=AGGKAGKDSGKAKTK&amp;Dta=/var/www/html/dta/S01/10560.2199.3.dta&amp;Global_Mod=CS57.0215", "2199")</f>
        <v>2199</v>
      </c>
      <c r="R292" s="36" t="str">
        <f>HYPERLINK("http://ms.phosphosite.org:5080/cgi-bin/plot-msms.cgi?MassType=1&amp;NumAxis=1&amp;Mod4=170&amp;Mod7=170&amp;Mod11=170&amp;Mod13=170&amp;Pep=AGGKAGKDSGKAKTK&amp;Dta=/var/www/html/dta/S01/10561.2225.3.dta&amp;Global_Mod=CS57.0215", "2225")</f>
        <v>2225</v>
      </c>
      <c r="S292" s="36" t="str">
        <f>HYPERLINK("http://ms.phosphosite.org:5080/cgi-bin/plot-msms.cgi?MassType=1&amp;NumAxis=1&amp;Mod4=170&amp;Mod7=170&amp;Mod11=170&amp;Mod13=170&amp;Pep=AGGKAGKDSGKAKTK&amp;Dta=/var/www/html/dta/S01/10562.2295.3.dta&amp;Global_Mod=CS57.0215", "2295")</f>
        <v>2295</v>
      </c>
      <c r="T292" s="36" t="str">
        <f>HYPERLINK("http://ms.phosphosite.org:5080/cgi-bin/plot-msms.cgi?MassType=1&amp;NumAxis=1&amp;Mod4=170&amp;Mod7=170&amp;Mod11=170&amp;Mod13=170&amp;Pep=AGGKAGKDSGKAKTK&amp;Dta=/var/www/html/dta/S01/10563.2226.3.dta&amp;Global_Mod=CS57.0215", "2226")</f>
        <v>2226</v>
      </c>
      <c r="U292" s="36" t="str">
        <f>HYPERLINK("http://ms.phosphosite.org:5080/cgi-bin/plot-msms.cgi?MassType=1&amp;NumAxis=1&amp;Mod4=170&amp;Mod7=170&amp;Mod11=170&amp;Mod13=170&amp;Pep=AGGKAGKDSGKAKTK&amp;Dta=/var/www/html/dta/S01/10564.2502.3.dta&amp;Global_Mod=CS57.0215", "2502")</f>
        <v>2502</v>
      </c>
      <c r="V292" s="36" t="str">
        <f>HYPERLINK("http://ms.phosphosite.org:5080/cgi-bin/plot-msms.cgi?MassType=1&amp;NumAxis=1&amp;Mod4=170&amp;Mod7=170&amp;Mod11=170&amp;Mod13=170&amp;Pep=AGGKAGKDSGKAKTK&amp;Dta=/var/www/html/dta/S01/10565.2564.3.dta&amp;Global_Mod=CS57.0215", "2564")</f>
        <v>2564</v>
      </c>
      <c r="W292" s="5">
        <v>2284</v>
      </c>
      <c r="X292" s="3" t="s">
        <v>4854</v>
      </c>
      <c r="Y292" s="3" t="s">
        <v>4854</v>
      </c>
      <c r="Z292" s="5">
        <v>2245</v>
      </c>
      <c r="AA292" s="5">
        <v>2316</v>
      </c>
      <c r="AB292" s="5">
        <v>2247</v>
      </c>
      <c r="AC292" s="5">
        <v>2522</v>
      </c>
      <c r="AD292" s="5">
        <v>2582</v>
      </c>
      <c r="AE292" s="90">
        <v>4.5540000000000003</v>
      </c>
      <c r="AF292" s="90">
        <v>3.3119999999999998</v>
      </c>
      <c r="AG292" s="90">
        <v>4.1509999999999998</v>
      </c>
      <c r="AH292" s="90">
        <v>4.9189999999999996</v>
      </c>
      <c r="AI292" s="90">
        <v>4.2149999999999999</v>
      </c>
      <c r="AJ292" s="90">
        <v>4.694</v>
      </c>
      <c r="AK292" s="90">
        <v>4.734</v>
      </c>
      <c r="AL292" s="90">
        <v>4.2380000000000004</v>
      </c>
      <c r="AM292" s="21">
        <v>-1.47E-2</v>
      </c>
      <c r="AN292" s="21">
        <v>-7.6399999999999996E-2</v>
      </c>
      <c r="AO292" s="21">
        <v>-1.54E-2</v>
      </c>
      <c r="AP292" s="21">
        <v>5.8400000000000001E-2</v>
      </c>
      <c r="AQ292" s="21">
        <v>0.1055</v>
      </c>
      <c r="AR292" s="21">
        <v>7.6899999999999996E-2</v>
      </c>
      <c r="AS292" s="21">
        <v>-0.252</v>
      </c>
      <c r="AT292" s="21">
        <v>-0.46010000000000001</v>
      </c>
      <c r="AU292" s="21">
        <v>0.379</v>
      </c>
      <c r="AV292" s="21">
        <v>0.313</v>
      </c>
      <c r="AW292" s="21">
        <v>0.316</v>
      </c>
      <c r="AX292" s="21">
        <v>0.372</v>
      </c>
      <c r="AY292" s="21">
        <v>0.437</v>
      </c>
      <c r="AZ292" s="21">
        <v>0.41899999999999998</v>
      </c>
      <c r="BA292" s="21">
        <v>0.43099999999999999</v>
      </c>
      <c r="BB292" s="21">
        <v>0.39100000000000001</v>
      </c>
      <c r="BC292" s="5">
        <v>1</v>
      </c>
      <c r="BD292" s="5">
        <v>16</v>
      </c>
      <c r="BE292" s="5">
        <v>1</v>
      </c>
      <c r="BF292" s="5">
        <v>1</v>
      </c>
      <c r="BG292" s="5">
        <v>1</v>
      </c>
      <c r="BH292" s="5">
        <v>1</v>
      </c>
      <c r="BI292" s="5">
        <v>1</v>
      </c>
      <c r="BJ292" s="5">
        <v>2</v>
      </c>
      <c r="BK292" s="90">
        <v>1</v>
      </c>
      <c r="BL292" s="90">
        <v>0.436</v>
      </c>
      <c r="BM292" s="90">
        <v>0.75800000000000001</v>
      </c>
      <c r="BN292" s="90">
        <v>1</v>
      </c>
      <c r="BO292" s="90">
        <v>1</v>
      </c>
      <c r="BP292" s="90">
        <v>1</v>
      </c>
      <c r="BQ292" s="90">
        <v>1</v>
      </c>
      <c r="BR292" s="90">
        <v>1</v>
      </c>
      <c r="BS292" s="5" t="s">
        <v>4857</v>
      </c>
    </row>
    <row r="293" spans="1:71" s="30" customFormat="1" ht="17.100000000000001" customHeight="1">
      <c r="A293" s="10">
        <v>282</v>
      </c>
      <c r="B293" s="10" t="s">
        <v>4201</v>
      </c>
      <c r="C293" s="4" t="s">
        <v>3883</v>
      </c>
      <c r="D293" s="4" t="s">
        <v>3816</v>
      </c>
      <c r="E293" s="7" t="s">
        <v>3817</v>
      </c>
      <c r="F293" s="10" t="s">
        <v>4977</v>
      </c>
      <c r="G293" s="4" t="s">
        <v>3818</v>
      </c>
      <c r="H293" s="7" t="s">
        <v>3819</v>
      </c>
      <c r="I293" s="4" t="s">
        <v>3820</v>
      </c>
      <c r="J293" s="10" t="s">
        <v>4838</v>
      </c>
      <c r="K293" s="4" t="s">
        <v>5500</v>
      </c>
      <c r="L293" s="4" t="s">
        <v>3822</v>
      </c>
      <c r="M293" s="10">
        <v>2</v>
      </c>
      <c r="N293" s="95">
        <v>608.83019999999999</v>
      </c>
      <c r="O293" s="37" t="str">
        <f>HYPERLINK("http://ms.phosphosite.org:5080/cgi-bin/plot-msms.cgi?MassType=1&amp;NumAxis=1&amp;Mod3=170&amp;Mod7=170&amp;Mod9=170&amp;Pep=AGKDSGKAKTK&amp;Dta=/var/www/html/dta/S01/10558.1672.2.dta&amp;Global_Mod=CS57.0215", "1672")</f>
        <v>1672</v>
      </c>
      <c r="P293" s="37" t="str">
        <f>HYPERLINK("http://ms.phosphosite.org:5080/cgi-bin/plot-msms.cgi?MassType=1&amp;NumAxis=1&amp;Mod3=170&amp;Mod7=170&amp;Mod9=170&amp;Pep=AGKDSGKAKTK&amp;Dta=/var/www/html/dta/S01/10559.1636.2.dta&amp;Global_Mod=CS57.0215", "1636")</f>
        <v>1636</v>
      </c>
      <c r="Q293" s="37" t="str">
        <f>HYPERLINK("http://ms.phosphosite.org:5080/cgi-bin/plot-msms.cgi?MassType=1&amp;NumAxis=1&amp;Mod3=170&amp;Mod7=170&amp;Mod9=170&amp;Pep=AGKDSGKAKTK&amp;Dta=/var/www/html/dta/S01/10560.1617.2.dta&amp;Global_Mod=CS57.0215", "1617")</f>
        <v>1617</v>
      </c>
      <c r="R293" s="37" t="str">
        <f>HYPERLINK("http://ms.phosphosite.org:5080/cgi-bin/plot-msms.cgi?MassType=1&amp;NumAxis=1&amp;Mod3=170&amp;Mod7=170&amp;Mod9=170&amp;Pep=AGKDSGKAKTK&amp;Dta=/var/www/html/dta/S01/10561.1612.2.dta&amp;Global_Mod=CS57.0215", "1612")</f>
        <v>1612</v>
      </c>
      <c r="S293" s="37" t="str">
        <f>HYPERLINK("http://ms.phosphosite.org:5080/cgi-bin/plot-msms.cgi?MassType=1&amp;NumAxis=1&amp;Mod3=170&amp;Mod7=170&amp;Mod9=170&amp;Pep=AGKDSGKAKTK&amp;Dta=/var/www/html/dta/S01/10562.1679.2.dta&amp;Global_Mod=CS57.0215", "1679")</f>
        <v>1679</v>
      </c>
      <c r="T293" s="38" t="s">
        <v>4854</v>
      </c>
      <c r="U293" s="37" t="str">
        <f>HYPERLINK("http://ms.phosphosite.org:5080/cgi-bin/plot-msms.cgi?MassType=1&amp;NumAxis=1&amp;Mod3=170&amp;Mod7=170&amp;Mod9=170&amp;Pep=AGKDSGKAKTK&amp;Dta=/var/www/html/dta/S01/10564.1844.2.dta&amp;Global_Mod=CS57.0215", "1844")</f>
        <v>1844</v>
      </c>
      <c r="V293" s="38" t="s">
        <v>4854</v>
      </c>
      <c r="W293" s="4" t="s">
        <v>4854</v>
      </c>
      <c r="X293" s="10">
        <v>1634</v>
      </c>
      <c r="Y293" s="10">
        <v>1627</v>
      </c>
      <c r="Z293" s="10">
        <v>1621</v>
      </c>
      <c r="AA293" s="10">
        <v>1688</v>
      </c>
      <c r="AB293" s="4" t="s">
        <v>4854</v>
      </c>
      <c r="AC293" s="10">
        <v>1848</v>
      </c>
      <c r="AD293" s="4" t="s">
        <v>4854</v>
      </c>
      <c r="AE293" s="91">
        <v>2.0009999999999999</v>
      </c>
      <c r="AF293" s="91">
        <v>2.5289999999999999</v>
      </c>
      <c r="AG293" s="91">
        <v>3.2989999999999999</v>
      </c>
      <c r="AH293" s="91">
        <v>3.1619999999999999</v>
      </c>
      <c r="AI293" s="91">
        <v>3.1869999999999998</v>
      </c>
      <c r="AJ293" s="100" t="s">
        <v>4854</v>
      </c>
      <c r="AK293" s="91">
        <v>2.4319999999999999</v>
      </c>
      <c r="AL293" s="100" t="s">
        <v>4854</v>
      </c>
      <c r="AM293" s="95">
        <v>8.8999999999999999E-3</v>
      </c>
      <c r="AN293" s="95">
        <v>0.1215</v>
      </c>
      <c r="AO293" s="95">
        <v>0.3105</v>
      </c>
      <c r="AP293" s="95">
        <v>0.31630000000000003</v>
      </c>
      <c r="AQ293" s="95">
        <v>0.253</v>
      </c>
      <c r="AR293" s="103" t="s">
        <v>4854</v>
      </c>
      <c r="AS293" s="95">
        <v>0.1404</v>
      </c>
      <c r="AT293" s="103" t="s">
        <v>4854</v>
      </c>
      <c r="AU293" s="95">
        <v>0.128</v>
      </c>
      <c r="AV293" s="95">
        <v>0.19400000000000001</v>
      </c>
      <c r="AW293" s="95">
        <v>0.314</v>
      </c>
      <c r="AX293" s="95">
        <v>0.312</v>
      </c>
      <c r="AY293" s="95">
        <v>0.3</v>
      </c>
      <c r="AZ293" s="103" t="s">
        <v>4854</v>
      </c>
      <c r="BA293" s="95">
        <v>0.156</v>
      </c>
      <c r="BB293" s="103" t="s">
        <v>4854</v>
      </c>
      <c r="BC293" s="10">
        <v>1</v>
      </c>
      <c r="BD293" s="10">
        <v>1</v>
      </c>
      <c r="BE293" s="10">
        <v>1</v>
      </c>
      <c r="BF293" s="10">
        <v>1</v>
      </c>
      <c r="BG293" s="10">
        <v>1</v>
      </c>
      <c r="BH293" s="4" t="s">
        <v>4854</v>
      </c>
      <c r="BI293" s="10">
        <v>1</v>
      </c>
      <c r="BJ293" s="4" t="s">
        <v>4854</v>
      </c>
      <c r="BK293" s="91">
        <v>0.91100000000000003</v>
      </c>
      <c r="BL293" s="91">
        <v>0.98599999999999999</v>
      </c>
      <c r="BM293" s="91">
        <v>0.999</v>
      </c>
      <c r="BN293" s="91">
        <v>0.998</v>
      </c>
      <c r="BO293" s="91">
        <v>0.998</v>
      </c>
      <c r="BP293" s="100" t="s">
        <v>4854</v>
      </c>
      <c r="BQ293" s="91">
        <v>0.97399999999999998</v>
      </c>
      <c r="BR293" s="100" t="s">
        <v>4854</v>
      </c>
      <c r="BS293" s="10" t="s">
        <v>4857</v>
      </c>
    </row>
    <row r="294" spans="1:71" s="30" customFormat="1" ht="17.100000000000001" customHeight="1">
      <c r="A294" s="14">
        <v>283</v>
      </c>
      <c r="B294" s="5" t="s">
        <v>3823</v>
      </c>
      <c r="C294" s="3" t="s">
        <v>3883</v>
      </c>
      <c r="D294" s="3" t="s">
        <v>3735</v>
      </c>
      <c r="E294" s="3" t="s">
        <v>3736</v>
      </c>
      <c r="F294" s="5" t="s">
        <v>5314</v>
      </c>
      <c r="G294" s="3" t="s">
        <v>3737</v>
      </c>
      <c r="H294" s="6" t="s">
        <v>3738</v>
      </c>
      <c r="I294" s="3" t="s">
        <v>3739</v>
      </c>
      <c r="J294" s="5" t="s">
        <v>3740</v>
      </c>
      <c r="K294" s="3" t="s">
        <v>5501</v>
      </c>
      <c r="L294" s="3" t="s">
        <v>3741</v>
      </c>
      <c r="M294" s="5">
        <v>2</v>
      </c>
      <c r="N294" s="21">
        <v>651.88499999999999</v>
      </c>
      <c r="O294" s="35" t="s">
        <v>4854</v>
      </c>
      <c r="P294" s="35" t="s">
        <v>4854</v>
      </c>
      <c r="Q294" s="35" t="s">
        <v>4854</v>
      </c>
      <c r="R294" s="35" t="s">
        <v>4854</v>
      </c>
      <c r="S294" s="35" t="s">
        <v>4854</v>
      </c>
      <c r="T294" s="35" t="s">
        <v>4854</v>
      </c>
      <c r="U294" s="36" t="str">
        <f>HYPERLINK("http://ms.phosphosite.org:5080/cgi-bin/plot-msms.cgi?MassType=1&amp;NumAxis=1&amp;Mod5=170&amp;Pep=SLVSKGTLVQTK&amp;Dta=/var/www/html/dta/S01/10564.6631.2.dta&amp;Global_Mod=CS57.0215", "6631")</f>
        <v>6631</v>
      </c>
      <c r="V294" s="36" t="str">
        <f>HYPERLINK("http://ms.phosphosite.org:5080/cgi-bin/plot-msms.cgi?MassType=1&amp;NumAxis=1&amp;Mod5=170&amp;Pep=SLVSKGTLVQTK&amp;Dta=/var/www/html/dta/S01/10565.6704.2.dta&amp;Global_Mod=CS57.0215", "6704")</f>
        <v>6704</v>
      </c>
      <c r="W294" s="3" t="s">
        <v>4854</v>
      </c>
      <c r="X294" s="3" t="s">
        <v>4854</v>
      </c>
      <c r="Y294" s="3" t="s">
        <v>4854</v>
      </c>
      <c r="Z294" s="3" t="s">
        <v>4854</v>
      </c>
      <c r="AA294" s="3" t="s">
        <v>4854</v>
      </c>
      <c r="AB294" s="3" t="s">
        <v>4854</v>
      </c>
      <c r="AC294" s="5">
        <v>6628</v>
      </c>
      <c r="AD294" s="5">
        <v>6702</v>
      </c>
      <c r="AE294" s="99" t="s">
        <v>4854</v>
      </c>
      <c r="AF294" s="99" t="s">
        <v>4854</v>
      </c>
      <c r="AG294" s="99" t="s">
        <v>4854</v>
      </c>
      <c r="AH294" s="99" t="s">
        <v>4854</v>
      </c>
      <c r="AI294" s="99" t="s">
        <v>4854</v>
      </c>
      <c r="AJ294" s="99" t="s">
        <v>4854</v>
      </c>
      <c r="AK294" s="90">
        <v>2.9860000000000002</v>
      </c>
      <c r="AL294" s="90">
        <v>2.952</v>
      </c>
      <c r="AM294" s="102" t="s">
        <v>4854</v>
      </c>
      <c r="AN294" s="102" t="s">
        <v>4854</v>
      </c>
      <c r="AO294" s="102" t="s">
        <v>4854</v>
      </c>
      <c r="AP294" s="102" t="s">
        <v>4854</v>
      </c>
      <c r="AQ294" s="102" t="s">
        <v>4854</v>
      </c>
      <c r="AR294" s="102" t="s">
        <v>4854</v>
      </c>
      <c r="AS294" s="21">
        <v>0.2298</v>
      </c>
      <c r="AT294" s="21">
        <v>-6.0400000000000002E-2</v>
      </c>
      <c r="AU294" s="102" t="s">
        <v>4854</v>
      </c>
      <c r="AV294" s="102" t="s">
        <v>4854</v>
      </c>
      <c r="AW294" s="102" t="s">
        <v>4854</v>
      </c>
      <c r="AX294" s="102" t="s">
        <v>4854</v>
      </c>
      <c r="AY294" s="102" t="s">
        <v>4854</v>
      </c>
      <c r="AZ294" s="102" t="s">
        <v>4854</v>
      </c>
      <c r="BA294" s="21">
        <v>0.28899999999999998</v>
      </c>
      <c r="BB294" s="21">
        <v>0.28100000000000003</v>
      </c>
      <c r="BC294" s="3" t="s">
        <v>4854</v>
      </c>
      <c r="BD294" s="3" t="s">
        <v>4854</v>
      </c>
      <c r="BE294" s="3" t="s">
        <v>4854</v>
      </c>
      <c r="BF294" s="3" t="s">
        <v>4854</v>
      </c>
      <c r="BG294" s="3" t="s">
        <v>4854</v>
      </c>
      <c r="BH294" s="3" t="s">
        <v>4854</v>
      </c>
      <c r="BI294" s="5">
        <v>1</v>
      </c>
      <c r="BJ294" s="5">
        <v>1</v>
      </c>
      <c r="BK294" s="99" t="s">
        <v>4854</v>
      </c>
      <c r="BL294" s="99" t="s">
        <v>4854</v>
      </c>
      <c r="BM294" s="99" t="s">
        <v>4854</v>
      </c>
      <c r="BN294" s="99" t="s">
        <v>4854</v>
      </c>
      <c r="BO294" s="99" t="s">
        <v>4854</v>
      </c>
      <c r="BP294" s="99" t="s">
        <v>4854</v>
      </c>
      <c r="BQ294" s="90">
        <v>1</v>
      </c>
      <c r="BR294" s="90">
        <v>1</v>
      </c>
      <c r="BS294" s="5" t="s">
        <v>4857</v>
      </c>
    </row>
    <row r="295" spans="1:71" s="30" customFormat="1" ht="17.100000000000001" customHeight="1">
      <c r="A295" s="10">
        <v>284</v>
      </c>
      <c r="B295" s="10" t="s">
        <v>3742</v>
      </c>
      <c r="C295" s="4" t="s">
        <v>3883</v>
      </c>
      <c r="D295" s="4" t="s">
        <v>3743</v>
      </c>
      <c r="E295" s="4" t="s">
        <v>3744</v>
      </c>
      <c r="F295" s="10" t="s">
        <v>3745</v>
      </c>
      <c r="G295" s="4" t="s">
        <v>3746</v>
      </c>
      <c r="H295" s="7" t="s">
        <v>3747</v>
      </c>
      <c r="I295" s="4" t="s">
        <v>3748</v>
      </c>
      <c r="J295" s="10" t="s">
        <v>4765</v>
      </c>
      <c r="K295" s="4" t="s">
        <v>5502</v>
      </c>
      <c r="L295" s="4" t="s">
        <v>3749</v>
      </c>
      <c r="M295" s="10">
        <v>2</v>
      </c>
      <c r="N295" s="95">
        <v>556.83730000000003</v>
      </c>
      <c r="O295" s="38" t="s">
        <v>4854</v>
      </c>
      <c r="P295" s="38" t="s">
        <v>4854</v>
      </c>
      <c r="Q295" s="38" t="s">
        <v>4854</v>
      </c>
      <c r="R295" s="37" t="str">
        <f>HYPERLINK("http://ms.phosphosite.org:5080/cgi-bin/plot-msms.cgi?MassType=1&amp;NumAxis=1&amp;Mod3=170&amp;Mod4=170&amp;Mod6=170&amp;Pep=SPKKAKVTK&amp;Dta=/var/www/html/dta/S01/10561.2559.2.dta&amp;Global_Mod=CS57.0215", "2559")</f>
        <v>2559</v>
      </c>
      <c r="S295" s="37" t="str">
        <f>HYPERLINK("http://ms.phosphosite.org:5080/cgi-bin/plot-msms.cgi?MassType=1&amp;NumAxis=1&amp;Mod3=170&amp;Mod4=170&amp;Mod6=170&amp;Pep=SPKKAKVTK&amp;Dta=/var/www/html/dta/S01/10562.2643.2.dta&amp;Global_Mod=CS57.0215", "2643")</f>
        <v>2643</v>
      </c>
      <c r="T295" s="38" t="s">
        <v>4854</v>
      </c>
      <c r="U295" s="37" t="str">
        <f>HYPERLINK("http://ms.phosphosite.org:5080/cgi-bin/plot-msms.cgi?MassType=1&amp;NumAxis=1&amp;Mod3=170&amp;Mod4=170&amp;Mod6=170&amp;Pep=SPKKAKVTK&amp;Dta=/var/www/html/dta/S01/10564.2849.2.dta&amp;Global_Mod=CS57.0215", "2849")</f>
        <v>2849</v>
      </c>
      <c r="V295" s="38" t="s">
        <v>4854</v>
      </c>
      <c r="W295" s="4" t="s">
        <v>4854</v>
      </c>
      <c r="X295" s="4" t="s">
        <v>4854</v>
      </c>
      <c r="Y295" s="4" t="s">
        <v>4854</v>
      </c>
      <c r="Z295" s="4" t="s">
        <v>4854</v>
      </c>
      <c r="AA295" s="4" t="s">
        <v>4854</v>
      </c>
      <c r="AB295" s="4" t="s">
        <v>4854</v>
      </c>
      <c r="AC295" s="4" t="s">
        <v>4854</v>
      </c>
      <c r="AD295" s="4" t="s">
        <v>4854</v>
      </c>
      <c r="AE295" s="100" t="s">
        <v>4854</v>
      </c>
      <c r="AF295" s="100" t="s">
        <v>4854</v>
      </c>
      <c r="AG295" s="100" t="s">
        <v>4854</v>
      </c>
      <c r="AH295" s="91">
        <v>1.978</v>
      </c>
      <c r="AI295" s="91">
        <v>1.776</v>
      </c>
      <c r="AJ295" s="100" t="s">
        <v>4854</v>
      </c>
      <c r="AK295" s="91">
        <v>2.1669999999999998</v>
      </c>
      <c r="AL295" s="100" t="s">
        <v>4854</v>
      </c>
      <c r="AM295" s="103" t="s">
        <v>4854</v>
      </c>
      <c r="AN295" s="103" t="s">
        <v>4854</v>
      </c>
      <c r="AO295" s="103" t="s">
        <v>4854</v>
      </c>
      <c r="AP295" s="95">
        <v>0.3553</v>
      </c>
      <c r="AQ295" s="95">
        <v>4.1599999999999998E-2</v>
      </c>
      <c r="AR295" s="103" t="s">
        <v>4854</v>
      </c>
      <c r="AS295" s="95">
        <v>-0.21360000000000001</v>
      </c>
      <c r="AT295" s="103" t="s">
        <v>4854</v>
      </c>
      <c r="AU295" s="103" t="s">
        <v>4854</v>
      </c>
      <c r="AV295" s="103" t="s">
        <v>4854</v>
      </c>
      <c r="AW295" s="103" t="s">
        <v>4854</v>
      </c>
      <c r="AX295" s="95">
        <v>3.4000000000000002E-2</v>
      </c>
      <c r="AY295" s="95">
        <v>5.7000000000000002E-2</v>
      </c>
      <c r="AZ295" s="103" t="s">
        <v>4854</v>
      </c>
      <c r="BA295" s="95">
        <v>4.3999999999999997E-2</v>
      </c>
      <c r="BB295" s="103" t="s">
        <v>4854</v>
      </c>
      <c r="BC295" s="4" t="s">
        <v>4854</v>
      </c>
      <c r="BD295" s="4" t="s">
        <v>4854</v>
      </c>
      <c r="BE295" s="4" t="s">
        <v>4854</v>
      </c>
      <c r="BF295" s="10">
        <v>22</v>
      </c>
      <c r="BG295" s="10">
        <v>8</v>
      </c>
      <c r="BH295" s="4" t="s">
        <v>4854</v>
      </c>
      <c r="BI295" s="10">
        <v>7</v>
      </c>
      <c r="BJ295" s="4" t="s">
        <v>4854</v>
      </c>
      <c r="BK295" s="100" t="s">
        <v>4854</v>
      </c>
      <c r="BL295" s="100" t="s">
        <v>4854</v>
      </c>
      <c r="BM295" s="100" t="s">
        <v>4854</v>
      </c>
      <c r="BN295" s="91">
        <v>6.8000000000000005E-2</v>
      </c>
      <c r="BO295" s="91">
        <v>7.0000000000000007E-2</v>
      </c>
      <c r="BP295" s="100" t="s">
        <v>4854</v>
      </c>
      <c r="BQ295" s="91">
        <v>0.16300000000000001</v>
      </c>
      <c r="BR295" s="100" t="s">
        <v>4854</v>
      </c>
      <c r="BS295" s="10" t="s">
        <v>4857</v>
      </c>
    </row>
    <row r="296" spans="1:71" s="30" customFormat="1" ht="17.100000000000001" customHeight="1">
      <c r="A296" s="14">
        <v>285</v>
      </c>
      <c r="B296" s="5" t="s">
        <v>3750</v>
      </c>
      <c r="C296" s="3" t="s">
        <v>3883</v>
      </c>
      <c r="D296" s="3" t="s">
        <v>3751</v>
      </c>
      <c r="E296" s="3" t="s">
        <v>3752</v>
      </c>
      <c r="F296" s="5" t="s">
        <v>3753</v>
      </c>
      <c r="G296" s="3" t="s">
        <v>3746</v>
      </c>
      <c r="H296" s="6" t="s">
        <v>3754</v>
      </c>
      <c r="I296" s="3" t="s">
        <v>3748</v>
      </c>
      <c r="J296" s="5" t="s">
        <v>3755</v>
      </c>
      <c r="K296" s="3" t="s">
        <v>5503</v>
      </c>
      <c r="L296" s="3" t="s">
        <v>3756</v>
      </c>
      <c r="M296" s="5">
        <v>2</v>
      </c>
      <c r="N296" s="21">
        <v>810.90250000000003</v>
      </c>
      <c r="O296" s="35" t="s">
        <v>4854</v>
      </c>
      <c r="P296" s="35" t="s">
        <v>4854</v>
      </c>
      <c r="Q296" s="35" t="s">
        <v>4854</v>
      </c>
      <c r="R296" s="35" t="s">
        <v>4854</v>
      </c>
      <c r="S296" s="35" t="s">
        <v>4854</v>
      </c>
      <c r="T296" s="35" t="s">
        <v>4854</v>
      </c>
      <c r="U296" s="36" t="str">
        <f>HYPERLINK("http://ms.phosphosite.org:5080/cgi-bin/plot-msms.cgi?MassType=1&amp;NumAxis=1&amp;Mod11=170&amp;Pep=ALAAAGYDVEKNNSR&amp;Dta=/var/www/html/dta/S01/10564.5208.2.dta&amp;Global_Mod=CS57.0215", "5208")</f>
        <v>5208</v>
      </c>
      <c r="V296" s="36" t="str">
        <f>HYPERLINK("http://ms.phosphosite.org:5080/cgi-bin/plot-msms.cgi?MassType=1&amp;NumAxis=1&amp;Mod11=170&amp;Pep=ALAAAGYDVEKNNSR&amp;Dta=/var/www/html/dta/S01/10565.5301.2.dta&amp;Global_Mod=CS57.0215", "5301")</f>
        <v>5301</v>
      </c>
      <c r="W296" s="3" t="s">
        <v>4854</v>
      </c>
      <c r="X296" s="3" t="s">
        <v>4854</v>
      </c>
      <c r="Y296" s="3" t="s">
        <v>4854</v>
      </c>
      <c r="Z296" s="3" t="s">
        <v>4854</v>
      </c>
      <c r="AA296" s="3" t="s">
        <v>4854</v>
      </c>
      <c r="AB296" s="3" t="s">
        <v>4854</v>
      </c>
      <c r="AC296" s="5">
        <v>5198</v>
      </c>
      <c r="AD296" s="5">
        <v>5284</v>
      </c>
      <c r="AE296" s="99" t="s">
        <v>4854</v>
      </c>
      <c r="AF296" s="99" t="s">
        <v>4854</v>
      </c>
      <c r="AG296" s="99" t="s">
        <v>4854</v>
      </c>
      <c r="AH296" s="99" t="s">
        <v>4854</v>
      </c>
      <c r="AI296" s="99" t="s">
        <v>4854</v>
      </c>
      <c r="AJ296" s="99" t="s">
        <v>4854</v>
      </c>
      <c r="AK296" s="90">
        <v>2.952</v>
      </c>
      <c r="AL296" s="90">
        <v>2.8879999999999999</v>
      </c>
      <c r="AM296" s="102" t="s">
        <v>4854</v>
      </c>
      <c r="AN296" s="102" t="s">
        <v>4854</v>
      </c>
      <c r="AO296" s="102" t="s">
        <v>4854</v>
      </c>
      <c r="AP296" s="102" t="s">
        <v>4854</v>
      </c>
      <c r="AQ296" s="102" t="s">
        <v>4854</v>
      </c>
      <c r="AR296" s="102" t="s">
        <v>4854</v>
      </c>
      <c r="AS296" s="21">
        <v>-0.86350000000000005</v>
      </c>
      <c r="AT296" s="21">
        <v>-1.7310000000000001</v>
      </c>
      <c r="AU296" s="102" t="s">
        <v>4854</v>
      </c>
      <c r="AV296" s="102" t="s">
        <v>4854</v>
      </c>
      <c r="AW296" s="102" t="s">
        <v>4854</v>
      </c>
      <c r="AX296" s="102" t="s">
        <v>4854</v>
      </c>
      <c r="AY296" s="102" t="s">
        <v>4854</v>
      </c>
      <c r="AZ296" s="102" t="s">
        <v>4854</v>
      </c>
      <c r="BA296" s="21">
        <v>0.29799999999999999</v>
      </c>
      <c r="BB296" s="21">
        <v>0.29499999999999998</v>
      </c>
      <c r="BC296" s="3" t="s">
        <v>4854</v>
      </c>
      <c r="BD296" s="3" t="s">
        <v>4854</v>
      </c>
      <c r="BE296" s="3" t="s">
        <v>4854</v>
      </c>
      <c r="BF296" s="3" t="s">
        <v>4854</v>
      </c>
      <c r="BG296" s="3" t="s">
        <v>4854</v>
      </c>
      <c r="BH296" s="3" t="s">
        <v>4854</v>
      </c>
      <c r="BI296" s="5">
        <v>1</v>
      </c>
      <c r="BJ296" s="5">
        <v>1</v>
      </c>
      <c r="BK296" s="99" t="s">
        <v>4854</v>
      </c>
      <c r="BL296" s="99" t="s">
        <v>4854</v>
      </c>
      <c r="BM296" s="99" t="s">
        <v>4854</v>
      </c>
      <c r="BN296" s="99" t="s">
        <v>4854</v>
      </c>
      <c r="BO296" s="99" t="s">
        <v>4854</v>
      </c>
      <c r="BP296" s="99" t="s">
        <v>4854</v>
      </c>
      <c r="BQ296" s="90">
        <v>0.999</v>
      </c>
      <c r="BR296" s="90">
        <v>0.96399999999999997</v>
      </c>
      <c r="BS296" s="5" t="s">
        <v>4857</v>
      </c>
    </row>
    <row r="297" spans="1:71" s="30" customFormat="1" ht="17.100000000000001" customHeight="1">
      <c r="A297" s="10">
        <v>286</v>
      </c>
      <c r="B297" s="10" t="s">
        <v>3757</v>
      </c>
      <c r="C297" s="4" t="s">
        <v>3883</v>
      </c>
      <c r="D297" s="4" t="s">
        <v>3758</v>
      </c>
      <c r="E297" s="7" t="s">
        <v>3759</v>
      </c>
      <c r="F297" s="10" t="s">
        <v>5317</v>
      </c>
      <c r="G297" s="4" t="s">
        <v>3760</v>
      </c>
      <c r="H297" s="7" t="s">
        <v>3761</v>
      </c>
      <c r="I297" s="4" t="s">
        <v>3762</v>
      </c>
      <c r="J297" s="10" t="s">
        <v>3763</v>
      </c>
      <c r="K297" s="4" t="s">
        <v>5504</v>
      </c>
      <c r="L297" s="4" t="s">
        <v>3764</v>
      </c>
      <c r="M297" s="10">
        <v>3</v>
      </c>
      <c r="N297" s="95">
        <v>602.34379999999999</v>
      </c>
      <c r="O297" s="37" t="str">
        <f>HYPERLINK("http://ms.phosphosite.org:5080/cgi-bin/plot-msms.cgi?MassType=1&amp;NumAxis=1&amp;Mod9=170&amp;Pep=LLLPGELAKHAVSEGTK&amp;Dta=/var/www/html/dta/S01/10558.9221.3.dta&amp;Global_Mod=CS57.0215", "9221")</f>
        <v>9221</v>
      </c>
      <c r="P297" s="38" t="s">
        <v>4854</v>
      </c>
      <c r="Q297" s="38" t="s">
        <v>4854</v>
      </c>
      <c r="R297" s="37" t="str">
        <f>HYPERLINK("http://ms.phosphosite.org:5080/cgi-bin/plot-msms.cgi?MassType=1&amp;NumAxis=1&amp;Mod9=170&amp;Pep=LLLPGELAKHAVSEGTK&amp;Dta=/var/www/html/dta/S01/10561.9234.3.dta&amp;Global_Mod=CS57.0215", "9234")</f>
        <v>9234</v>
      </c>
      <c r="S297" s="38" t="s">
        <v>4854</v>
      </c>
      <c r="T297" s="38" t="s">
        <v>4854</v>
      </c>
      <c r="U297" s="38" t="s">
        <v>4854</v>
      </c>
      <c r="V297" s="37" t="str">
        <f>HYPERLINK("http://ms.phosphosite.org:5080/cgi-bin/plot-msms.cgi?MassType=1&amp;NumAxis=1&amp;Mod9=170&amp;Pep=LLLPGELAKHAVSEGTK&amp;Dta=/var/www/html/dta/S01/10565.9755.3.dta&amp;Global_Mod=CS57.0215", "9755")</f>
        <v>9755</v>
      </c>
      <c r="W297" s="4" t="s">
        <v>4854</v>
      </c>
      <c r="X297" s="4" t="s">
        <v>4854</v>
      </c>
      <c r="Y297" s="4" t="s">
        <v>4854</v>
      </c>
      <c r="Z297" s="4" t="s">
        <v>4854</v>
      </c>
      <c r="AA297" s="4" t="s">
        <v>4854</v>
      </c>
      <c r="AB297" s="4" t="s">
        <v>4854</v>
      </c>
      <c r="AC297" s="4" t="s">
        <v>4854</v>
      </c>
      <c r="AD297" s="10">
        <v>9771</v>
      </c>
      <c r="AE297" s="91">
        <v>2.3330000000000002</v>
      </c>
      <c r="AF297" s="100" t="s">
        <v>4854</v>
      </c>
      <c r="AG297" s="100" t="s">
        <v>4854</v>
      </c>
      <c r="AH297" s="91">
        <v>1.7789999999999999</v>
      </c>
      <c r="AI297" s="100" t="s">
        <v>4854</v>
      </c>
      <c r="AJ297" s="100" t="s">
        <v>4854</v>
      </c>
      <c r="AK297" s="100" t="s">
        <v>4854</v>
      </c>
      <c r="AL297" s="91">
        <v>2.5129999999999999</v>
      </c>
      <c r="AM297" s="95">
        <v>0.48499999999999999</v>
      </c>
      <c r="AN297" s="103" t="s">
        <v>4854</v>
      </c>
      <c r="AO297" s="103" t="s">
        <v>4854</v>
      </c>
      <c r="AP297" s="95">
        <v>0.41020000000000001</v>
      </c>
      <c r="AQ297" s="103" t="s">
        <v>4854</v>
      </c>
      <c r="AR297" s="103" t="s">
        <v>4854</v>
      </c>
      <c r="AS297" s="103" t="s">
        <v>4854</v>
      </c>
      <c r="AT297" s="95">
        <v>6.5100000000000005E-2</v>
      </c>
      <c r="AU297" s="95">
        <v>0.08</v>
      </c>
      <c r="AV297" s="103" t="s">
        <v>4854</v>
      </c>
      <c r="AW297" s="103" t="s">
        <v>4854</v>
      </c>
      <c r="AX297" s="95">
        <v>4.2000000000000003E-2</v>
      </c>
      <c r="AY297" s="103" t="s">
        <v>4854</v>
      </c>
      <c r="AZ297" s="103" t="s">
        <v>4854</v>
      </c>
      <c r="BA297" s="103" t="s">
        <v>4854</v>
      </c>
      <c r="BB297" s="95">
        <v>0.158</v>
      </c>
      <c r="BC297" s="10">
        <v>79</v>
      </c>
      <c r="BD297" s="4" t="s">
        <v>4854</v>
      </c>
      <c r="BE297" s="4" t="s">
        <v>4854</v>
      </c>
      <c r="BF297" s="10">
        <v>5</v>
      </c>
      <c r="BG297" s="4" t="s">
        <v>4854</v>
      </c>
      <c r="BH297" s="4" t="s">
        <v>4854</v>
      </c>
      <c r="BI297" s="4" t="s">
        <v>4854</v>
      </c>
      <c r="BJ297" s="10">
        <v>50</v>
      </c>
      <c r="BK297" s="91">
        <v>0.93400000000000005</v>
      </c>
      <c r="BL297" s="100" t="s">
        <v>4854</v>
      </c>
      <c r="BM297" s="100" t="s">
        <v>4854</v>
      </c>
      <c r="BN297" s="91">
        <v>0.876</v>
      </c>
      <c r="BO297" s="100" t="s">
        <v>4854</v>
      </c>
      <c r="BP297" s="100" t="s">
        <v>4854</v>
      </c>
      <c r="BQ297" s="100" t="s">
        <v>4854</v>
      </c>
      <c r="BR297" s="91">
        <v>0.98499999999999999</v>
      </c>
      <c r="BS297" s="10" t="s">
        <v>4857</v>
      </c>
    </row>
    <row r="298" spans="1:71" s="30" customFormat="1" ht="17.100000000000001" customHeight="1">
      <c r="A298" s="14">
        <v>287</v>
      </c>
      <c r="B298" s="5" t="s">
        <v>3765</v>
      </c>
      <c r="C298" s="3" t="s">
        <v>3883</v>
      </c>
      <c r="D298" s="3" t="s">
        <v>3758</v>
      </c>
      <c r="E298" s="6" t="s">
        <v>3759</v>
      </c>
      <c r="F298" s="5" t="s">
        <v>4995</v>
      </c>
      <c r="G298" s="3" t="s">
        <v>3760</v>
      </c>
      <c r="H298" s="6" t="s">
        <v>3761</v>
      </c>
      <c r="I298" s="3" t="s">
        <v>3762</v>
      </c>
      <c r="J298" s="5" t="s">
        <v>3763</v>
      </c>
      <c r="K298" s="3" t="s">
        <v>5505</v>
      </c>
      <c r="L298" s="3" t="s">
        <v>3766</v>
      </c>
      <c r="M298" s="5">
        <v>2</v>
      </c>
      <c r="N298" s="21">
        <v>635.34349999999995</v>
      </c>
      <c r="O298" s="35" t="s">
        <v>4854</v>
      </c>
      <c r="P298" s="35" t="s">
        <v>4854</v>
      </c>
      <c r="Q298" s="35" t="s">
        <v>4854</v>
      </c>
      <c r="R298" s="36" t="str">
        <f>HYPERLINK("http://ms.phosphosite.org:5080/cgi-bin/plot-msms.cgi?MassType=1&amp;NumAxis=1&amp;Mod8=170&amp;Pep=HAVSEGTKAVTK&amp;Dta=/var/www/html/dta/S01/10561.1550.2.dta&amp;Global_Mod=CS57.0215", "1550")</f>
        <v>1550</v>
      </c>
      <c r="S298" s="35" t="s">
        <v>4854</v>
      </c>
      <c r="T298" s="35" t="s">
        <v>4854</v>
      </c>
      <c r="U298" s="35" t="s">
        <v>4854</v>
      </c>
      <c r="V298" s="35" t="s">
        <v>4854</v>
      </c>
      <c r="W298" s="3" t="s">
        <v>4854</v>
      </c>
      <c r="X298" s="3" t="s">
        <v>4854</v>
      </c>
      <c r="Y298" s="3" t="s">
        <v>4854</v>
      </c>
      <c r="Z298" s="5">
        <v>1830</v>
      </c>
      <c r="AA298" s="3" t="s">
        <v>4854</v>
      </c>
      <c r="AB298" s="3" t="s">
        <v>4854</v>
      </c>
      <c r="AC298" s="3" t="s">
        <v>4854</v>
      </c>
      <c r="AD298" s="3" t="s">
        <v>4854</v>
      </c>
      <c r="AE298" s="99" t="s">
        <v>4854</v>
      </c>
      <c r="AF298" s="99" t="s">
        <v>4854</v>
      </c>
      <c r="AG298" s="99" t="s">
        <v>4854</v>
      </c>
      <c r="AH298" s="90">
        <v>2.9950000000000001</v>
      </c>
      <c r="AI298" s="99" t="s">
        <v>4854</v>
      </c>
      <c r="AJ298" s="99" t="s">
        <v>4854</v>
      </c>
      <c r="AK298" s="99" t="s">
        <v>4854</v>
      </c>
      <c r="AL298" s="99" t="s">
        <v>4854</v>
      </c>
      <c r="AM298" s="102" t="s">
        <v>4854</v>
      </c>
      <c r="AN298" s="102" t="s">
        <v>4854</v>
      </c>
      <c r="AO298" s="102" t="s">
        <v>4854</v>
      </c>
      <c r="AP298" s="21">
        <v>0.83460000000000001</v>
      </c>
      <c r="AQ298" s="102" t="s">
        <v>4854</v>
      </c>
      <c r="AR298" s="102" t="s">
        <v>4854</v>
      </c>
      <c r="AS298" s="102" t="s">
        <v>4854</v>
      </c>
      <c r="AT298" s="102" t="s">
        <v>4854</v>
      </c>
      <c r="AU298" s="102" t="s">
        <v>4854</v>
      </c>
      <c r="AV298" s="102" t="s">
        <v>4854</v>
      </c>
      <c r="AW298" s="102" t="s">
        <v>4854</v>
      </c>
      <c r="AX298" s="21">
        <v>0.39300000000000002</v>
      </c>
      <c r="AY298" s="102" t="s">
        <v>4854</v>
      </c>
      <c r="AZ298" s="102" t="s">
        <v>4854</v>
      </c>
      <c r="BA298" s="102" t="s">
        <v>4854</v>
      </c>
      <c r="BB298" s="102" t="s">
        <v>4854</v>
      </c>
      <c r="BC298" s="3" t="s">
        <v>4854</v>
      </c>
      <c r="BD298" s="3" t="s">
        <v>4854</v>
      </c>
      <c r="BE298" s="3" t="s">
        <v>4854</v>
      </c>
      <c r="BF298" s="5">
        <v>1</v>
      </c>
      <c r="BG298" s="3" t="s">
        <v>4854</v>
      </c>
      <c r="BH298" s="3" t="s">
        <v>4854</v>
      </c>
      <c r="BI298" s="3" t="s">
        <v>4854</v>
      </c>
      <c r="BJ298" s="3" t="s">
        <v>4854</v>
      </c>
      <c r="BK298" s="99" t="s">
        <v>4854</v>
      </c>
      <c r="BL298" s="99" t="s">
        <v>4854</v>
      </c>
      <c r="BM298" s="99" t="s">
        <v>4854</v>
      </c>
      <c r="BN298" s="90">
        <v>1</v>
      </c>
      <c r="BO298" s="99" t="s">
        <v>4854</v>
      </c>
      <c r="BP298" s="99" t="s">
        <v>4854</v>
      </c>
      <c r="BQ298" s="99" t="s">
        <v>4854</v>
      </c>
      <c r="BR298" s="99" t="s">
        <v>4854</v>
      </c>
      <c r="BS298" s="5" t="s">
        <v>4857</v>
      </c>
    </row>
    <row r="299" spans="1:71" s="30" customFormat="1" ht="17.100000000000001" customHeight="1">
      <c r="A299" s="10">
        <v>288</v>
      </c>
      <c r="B299" s="10" t="s">
        <v>3767</v>
      </c>
      <c r="C299" s="4" t="s">
        <v>3883</v>
      </c>
      <c r="D299" s="4" t="s">
        <v>3721</v>
      </c>
      <c r="E299" s="7" t="s">
        <v>3722</v>
      </c>
      <c r="F299" s="10" t="s">
        <v>5176</v>
      </c>
      <c r="G299" s="4" t="s">
        <v>3760</v>
      </c>
      <c r="H299" s="7" t="s">
        <v>3723</v>
      </c>
      <c r="I299" s="4" t="s">
        <v>3762</v>
      </c>
      <c r="J299" s="10" t="s">
        <v>3724</v>
      </c>
      <c r="K299" s="4" t="s">
        <v>5506</v>
      </c>
      <c r="L299" s="4" t="s">
        <v>3725</v>
      </c>
      <c r="M299" s="10">
        <v>2</v>
      </c>
      <c r="N299" s="95">
        <v>513.77689999999996</v>
      </c>
      <c r="O299" s="37" t="str">
        <f>HYPERLINK("http://ms.phosphosite.org:5080/cgi-bin/plot-msms.cgi?MassType=1&amp;NumAxis=1&amp;Mod4=170&amp;Pep=AVTKYTSSK&amp;Dta=/var/www/html/dta/S01/10558.1961.2.dta&amp;Global_Mod=CS57.0215", "1961")</f>
        <v>1961</v>
      </c>
      <c r="P299" s="37" t="str">
        <f>HYPERLINK("http://ms.phosphosite.org:5080/cgi-bin/plot-msms.cgi?MassType=1&amp;NumAxis=1&amp;Mod4=170&amp;Pep=AVTKYTSSK&amp;Dta=/var/www/html/dta/S01/10559.1912.2.dta&amp;Global_Mod=CS57.0215", "1912")</f>
        <v>1912</v>
      </c>
      <c r="Q299" s="37" t="str">
        <f>HYPERLINK("http://ms.phosphosite.org:5080/cgi-bin/plot-msms.cgi?MassType=1&amp;NumAxis=1&amp;Mod4=170&amp;Pep=AVTKYTSSK&amp;Dta=/var/www/html/dta/S01/10560.1882.2.dta&amp;Global_Mod=CS57.0215", "1882")</f>
        <v>1882</v>
      </c>
      <c r="R299" s="37" t="str">
        <f>HYPERLINK("http://ms.phosphosite.org:5080/cgi-bin/plot-msms.cgi?MassType=1&amp;NumAxis=1&amp;Mod4=170&amp;Pep=AVTKYTSSK&amp;Dta=/var/www/html/dta/S01/10561.1919.2.dta&amp;Global_Mod=CS57.0215", "1919")</f>
        <v>1919</v>
      </c>
      <c r="S299" s="37" t="str">
        <f>HYPERLINK("http://ms.phosphosite.org:5080/cgi-bin/plot-msms.cgi?MassType=1&amp;NumAxis=1&amp;Mod4=170&amp;Pep=AVTKYTSSK&amp;Dta=/var/www/html/dta/S01/10562.2018.2.dta&amp;Global_Mod=CS57.0215", "2018")</f>
        <v>2018</v>
      </c>
      <c r="T299" s="37" t="str">
        <f>HYPERLINK("http://ms.phosphosite.org:5080/cgi-bin/plot-msms.cgi?MassType=1&amp;NumAxis=1&amp;Mod4=170&amp;Pep=AVTKYTSSK&amp;Dta=/var/www/html/dta/S01/10563.1902.2.dta&amp;Global_Mod=CS57.0215", "1902")</f>
        <v>1902</v>
      </c>
      <c r="U299" s="37" t="str">
        <f>HYPERLINK("http://ms.phosphosite.org:5080/cgi-bin/plot-msms.cgi?MassType=1&amp;NumAxis=1&amp;Mod4=170&amp;Pep=AVTKYTSSK&amp;Dta=/var/www/html/dta/S01/10564.2178.2.dta&amp;Global_Mod=CS57.0215", "2178")</f>
        <v>2178</v>
      </c>
      <c r="V299" s="37" t="str">
        <f>HYPERLINK("http://ms.phosphosite.org:5080/cgi-bin/plot-msms.cgi?MassType=1&amp;NumAxis=1&amp;Mod4=170&amp;Pep=AVTKYTSSK&amp;Dta=/var/www/html/dta/S01/10565.2225.2.dta&amp;Global_Mod=CS57.0215", "2225")</f>
        <v>2225</v>
      </c>
      <c r="W299" s="10">
        <v>1971</v>
      </c>
      <c r="X299" s="10">
        <v>1941</v>
      </c>
      <c r="Y299" s="10">
        <v>1914</v>
      </c>
      <c r="Z299" s="10">
        <v>1938</v>
      </c>
      <c r="AA299" s="10">
        <v>2006</v>
      </c>
      <c r="AB299" s="10">
        <v>1930</v>
      </c>
      <c r="AC299" s="10">
        <v>2208</v>
      </c>
      <c r="AD299" s="10">
        <v>2256</v>
      </c>
      <c r="AE299" s="91">
        <v>2.58</v>
      </c>
      <c r="AF299" s="91">
        <v>2.2309999999999999</v>
      </c>
      <c r="AG299" s="91">
        <v>2.8479999999999999</v>
      </c>
      <c r="AH299" s="91">
        <v>2.448</v>
      </c>
      <c r="AI299" s="91">
        <v>2.7410000000000001</v>
      </c>
      <c r="AJ299" s="91">
        <v>2.2999999999999998</v>
      </c>
      <c r="AK299" s="91">
        <v>2.3540000000000001</v>
      </c>
      <c r="AL299" s="91">
        <v>2.44</v>
      </c>
      <c r="AM299" s="95">
        <v>-0.26190000000000002</v>
      </c>
      <c r="AN299" s="95">
        <v>-0.1401</v>
      </c>
      <c r="AO299" s="95">
        <v>2.64E-2</v>
      </c>
      <c r="AP299" s="95">
        <v>2.06E-2</v>
      </c>
      <c r="AQ299" s="95">
        <v>0.156</v>
      </c>
      <c r="AR299" s="95">
        <v>0.1774</v>
      </c>
      <c r="AS299" s="95">
        <v>-0.1772</v>
      </c>
      <c r="AT299" s="95">
        <v>-0.63500000000000001</v>
      </c>
      <c r="AU299" s="95">
        <v>0.35199999999999998</v>
      </c>
      <c r="AV299" s="95">
        <v>0.23300000000000001</v>
      </c>
      <c r="AW299" s="95">
        <v>0.26800000000000002</v>
      </c>
      <c r="AX299" s="95">
        <v>0.28000000000000003</v>
      </c>
      <c r="AY299" s="95">
        <v>0.35499999999999998</v>
      </c>
      <c r="AZ299" s="95">
        <v>0.29399999999999998</v>
      </c>
      <c r="BA299" s="95">
        <v>0.223</v>
      </c>
      <c r="BB299" s="95">
        <v>0.35899999999999999</v>
      </c>
      <c r="BC299" s="10">
        <v>1</v>
      </c>
      <c r="BD299" s="10">
        <v>1</v>
      </c>
      <c r="BE299" s="10">
        <v>1</v>
      </c>
      <c r="BF299" s="10">
        <v>1</v>
      </c>
      <c r="BG299" s="10">
        <v>1</v>
      </c>
      <c r="BH299" s="10">
        <v>1</v>
      </c>
      <c r="BI299" s="10">
        <v>1</v>
      </c>
      <c r="BJ299" s="10">
        <v>1</v>
      </c>
      <c r="BK299" s="91">
        <v>1</v>
      </c>
      <c r="BL299" s="91">
        <v>0.998</v>
      </c>
      <c r="BM299" s="91">
        <v>1</v>
      </c>
      <c r="BN299" s="91">
        <v>0.999</v>
      </c>
      <c r="BO299" s="91">
        <v>1</v>
      </c>
      <c r="BP299" s="91">
        <v>0.999</v>
      </c>
      <c r="BQ299" s="91">
        <v>0.998</v>
      </c>
      <c r="BR299" s="91">
        <v>0.999</v>
      </c>
      <c r="BS299" s="10" t="s">
        <v>4857</v>
      </c>
    </row>
    <row r="300" spans="1:71" s="30" customFormat="1" ht="17.100000000000001" customHeight="1">
      <c r="A300" s="14">
        <v>289</v>
      </c>
      <c r="B300" s="5" t="s">
        <v>3726</v>
      </c>
      <c r="C300" s="3" t="s">
        <v>3883</v>
      </c>
      <c r="D300" s="3" t="s">
        <v>3727</v>
      </c>
      <c r="E300" s="6" t="s">
        <v>3728</v>
      </c>
      <c r="F300" s="8" t="s">
        <v>5006</v>
      </c>
      <c r="G300" s="3" t="s">
        <v>3729</v>
      </c>
      <c r="H300" s="6" t="s">
        <v>3730</v>
      </c>
      <c r="I300" s="3" t="s">
        <v>3731</v>
      </c>
      <c r="J300" s="5" t="s">
        <v>3732</v>
      </c>
      <c r="K300" s="3" t="s">
        <v>5507</v>
      </c>
      <c r="L300" s="3" t="s">
        <v>3733</v>
      </c>
      <c r="M300" s="5">
        <v>2</v>
      </c>
      <c r="N300" s="21">
        <v>527.79819999999995</v>
      </c>
      <c r="O300" s="35" t="s">
        <v>4854</v>
      </c>
      <c r="P300" s="35" t="s">
        <v>4854</v>
      </c>
      <c r="Q300" s="35" t="s">
        <v>4854</v>
      </c>
      <c r="R300" s="35" t="s">
        <v>4854</v>
      </c>
      <c r="S300" s="36" t="str">
        <f>HYPERLINK("http://ms.phosphosite.org:5080/cgi-bin/plot-msms.cgi?MassType=1&amp;NumAxis=1&amp;Mod6=170&amp;Mod7=170&amp;Pep=SAPAPKKGSK&amp;Dta=/var/www/html/dta/S01/10562.1582.2.dta&amp;Global_Mod=CS57.0215", "1582")</f>
        <v>1582</v>
      </c>
      <c r="T300" s="35" t="s">
        <v>4854</v>
      </c>
      <c r="U300" s="35" t="s">
        <v>4854</v>
      </c>
      <c r="V300" s="35" t="s">
        <v>4854</v>
      </c>
      <c r="W300" s="3" t="s">
        <v>4854</v>
      </c>
      <c r="X300" s="3" t="s">
        <v>4854</v>
      </c>
      <c r="Y300" s="3" t="s">
        <v>4854</v>
      </c>
      <c r="Z300" s="3" t="s">
        <v>4854</v>
      </c>
      <c r="AA300" s="3" t="s">
        <v>4854</v>
      </c>
      <c r="AB300" s="3" t="s">
        <v>4854</v>
      </c>
      <c r="AC300" s="3" t="s">
        <v>4854</v>
      </c>
      <c r="AD300" s="3" t="s">
        <v>4854</v>
      </c>
      <c r="AE300" s="99" t="s">
        <v>4854</v>
      </c>
      <c r="AF300" s="99" t="s">
        <v>4854</v>
      </c>
      <c r="AG300" s="99" t="s">
        <v>4854</v>
      </c>
      <c r="AH300" s="99" t="s">
        <v>4854</v>
      </c>
      <c r="AI300" s="90">
        <v>1.6439999999999999</v>
      </c>
      <c r="AJ300" s="99" t="s">
        <v>4854</v>
      </c>
      <c r="AK300" s="99" t="s">
        <v>4854</v>
      </c>
      <c r="AL300" s="99" t="s">
        <v>4854</v>
      </c>
      <c r="AM300" s="102" t="s">
        <v>4854</v>
      </c>
      <c r="AN300" s="102" t="s">
        <v>4854</v>
      </c>
      <c r="AO300" s="102" t="s">
        <v>4854</v>
      </c>
      <c r="AP300" s="102" t="s">
        <v>4854</v>
      </c>
      <c r="AQ300" s="21">
        <v>-0.1341</v>
      </c>
      <c r="AR300" s="102" t="s">
        <v>4854</v>
      </c>
      <c r="AS300" s="102" t="s">
        <v>4854</v>
      </c>
      <c r="AT300" s="102" t="s">
        <v>4854</v>
      </c>
      <c r="AU300" s="102" t="s">
        <v>4854</v>
      </c>
      <c r="AV300" s="102" t="s">
        <v>4854</v>
      </c>
      <c r="AW300" s="102" t="s">
        <v>4854</v>
      </c>
      <c r="AX300" s="102" t="s">
        <v>4854</v>
      </c>
      <c r="AY300" s="21">
        <v>0.04</v>
      </c>
      <c r="AZ300" s="102" t="s">
        <v>4854</v>
      </c>
      <c r="BA300" s="102" t="s">
        <v>4854</v>
      </c>
      <c r="BB300" s="102" t="s">
        <v>4854</v>
      </c>
      <c r="BC300" s="3" t="s">
        <v>4854</v>
      </c>
      <c r="BD300" s="3" t="s">
        <v>4854</v>
      </c>
      <c r="BE300" s="3" t="s">
        <v>4854</v>
      </c>
      <c r="BF300" s="3" t="s">
        <v>4854</v>
      </c>
      <c r="BG300" s="5">
        <v>50</v>
      </c>
      <c r="BH300" s="3" t="s">
        <v>4854</v>
      </c>
      <c r="BI300" s="3" t="s">
        <v>4854</v>
      </c>
      <c r="BJ300" s="3" t="s">
        <v>4854</v>
      </c>
      <c r="BK300" s="99" t="s">
        <v>4854</v>
      </c>
      <c r="BL300" s="99" t="s">
        <v>4854</v>
      </c>
      <c r="BM300" s="99" t="s">
        <v>4854</v>
      </c>
      <c r="BN300" s="99" t="s">
        <v>4854</v>
      </c>
      <c r="BO300" s="90">
        <v>0.72699999999999998</v>
      </c>
      <c r="BP300" s="99" t="s">
        <v>4854</v>
      </c>
      <c r="BQ300" s="99" t="s">
        <v>4854</v>
      </c>
      <c r="BR300" s="99" t="s">
        <v>4854</v>
      </c>
      <c r="BS300" s="5" t="s">
        <v>4857</v>
      </c>
    </row>
    <row r="301" spans="1:71" s="30" customFormat="1" ht="17.100000000000001" customHeight="1">
      <c r="A301" s="10">
        <v>290</v>
      </c>
      <c r="B301" s="10" t="s">
        <v>3734</v>
      </c>
      <c r="C301" s="4" t="s">
        <v>3883</v>
      </c>
      <c r="D301" s="4" t="s">
        <v>3727</v>
      </c>
      <c r="E301" s="7" t="s">
        <v>3728</v>
      </c>
      <c r="F301" s="9" t="s">
        <v>5044</v>
      </c>
      <c r="G301" s="4" t="s">
        <v>3729</v>
      </c>
      <c r="H301" s="7" t="s">
        <v>3730</v>
      </c>
      <c r="I301" s="4" t="s">
        <v>3731</v>
      </c>
      <c r="J301" s="10" t="s">
        <v>3732</v>
      </c>
      <c r="K301" s="4" t="s">
        <v>5508</v>
      </c>
      <c r="L301" s="4" t="s">
        <v>3692</v>
      </c>
      <c r="M301" s="10">
        <v>2</v>
      </c>
      <c r="N301" s="95">
        <v>612.851</v>
      </c>
      <c r="O301" s="37" t="str">
        <f>HYPERLINK("http://ms.phosphosite.org:5080/cgi-bin/plot-msms.cgi?MassType=1&amp;NumAxis=1&amp;Mod6=170&amp;Mod7=170&amp;Mod10=170&amp;Pep=SAPAPKKGSKK&amp;Dta=/var/www/html/dta/S01/10558.1864.2.dta&amp;Global_Mod=CS57.0215", "1864")</f>
        <v>1864</v>
      </c>
      <c r="P301" s="37" t="str">
        <f>HYPERLINK("http://ms.phosphosite.org:5080/cgi-bin/plot-msms.cgi?MassType=1&amp;NumAxis=1&amp;Mod6=170&amp;Mod7=170&amp;Mod10=170&amp;Pep=SAPAPKKGSKK&amp;Dta=/var/www/html/dta/S01/10559.1823.2.dta&amp;Global_Mod=CS57.0215", "1823")</f>
        <v>1823</v>
      </c>
      <c r="Q301" s="37" t="str">
        <f>HYPERLINK("http://ms.phosphosite.org:5080/cgi-bin/plot-msms.cgi?MassType=1&amp;NumAxis=1&amp;Mod6=170&amp;Mod7=170&amp;Mod10=170&amp;Pep=SAPAPKKGSKK&amp;Dta=/var/www/html/dta/S01/10560.1815.2.dta&amp;Global_Mod=CS57.0215", "1815")</f>
        <v>1815</v>
      </c>
      <c r="R301" s="37" t="str">
        <f>HYPERLINK("http://ms.phosphosite.org:5080/cgi-bin/plot-msms.cgi?MassType=1&amp;NumAxis=1&amp;Mod6=170&amp;Mod7=170&amp;Mod10=170&amp;Pep=SAPAPKKGSKK&amp;Dta=/var/www/html/dta/S01/10561.1832.2.dta&amp;Global_Mod=CS57.0215", "1832")</f>
        <v>1832</v>
      </c>
      <c r="S301" s="37" t="str">
        <f>HYPERLINK("http://ms.phosphosite.org:5080/cgi-bin/plot-msms.cgi?MassType=1&amp;NumAxis=1&amp;Mod6=170&amp;Mod7=170&amp;Mod10=170&amp;Pep=SAPAPKKGSKK&amp;Dta=/var/www/html/dta/S01/10562.1873.2.dta&amp;Global_Mod=CS57.0215", "1873")</f>
        <v>1873</v>
      </c>
      <c r="T301" s="37" t="str">
        <f>HYPERLINK("http://ms.phosphosite.org:5080/cgi-bin/plot-msms.cgi?MassType=1&amp;NumAxis=1&amp;Mod6=170&amp;Mod7=170&amp;Mod10=170&amp;Pep=SAPAPKKGSKK&amp;Dta=/var/www/html/dta/S01/10563.1814.2.dta&amp;Global_Mod=CS57.0215", "1814")</f>
        <v>1814</v>
      </c>
      <c r="U301" s="37" t="str">
        <f>HYPERLINK("http://ms.phosphosite.org:5080/cgi-bin/plot-msms.cgi?MassType=1&amp;NumAxis=1&amp;Mod6=170&amp;Mod7=170&amp;Mod10=170&amp;Pep=SAPAPKKGSKK&amp;Dta=/var/www/html/dta/S01/10564.2057.2.dta&amp;Global_Mod=CS57.0215", "2057")</f>
        <v>2057</v>
      </c>
      <c r="V301" s="37" t="str">
        <f>HYPERLINK("http://ms.phosphosite.org:5080/cgi-bin/plot-msms.cgi?MassType=1&amp;NumAxis=1&amp;Mod6=170&amp;Mod7=170&amp;Mod10=170&amp;Pep=SAPAPKKGSKK&amp;Dta=/var/www/html/dta/S01/10565.2127.2.dta&amp;Global_Mod=CS57.0215", "2127")</f>
        <v>2127</v>
      </c>
      <c r="W301" s="10">
        <v>1851</v>
      </c>
      <c r="X301" s="10">
        <v>1843</v>
      </c>
      <c r="Y301" s="10">
        <v>1792</v>
      </c>
      <c r="Z301" s="10">
        <v>1841</v>
      </c>
      <c r="AA301" s="10">
        <v>1897</v>
      </c>
      <c r="AB301" s="10">
        <v>1812</v>
      </c>
      <c r="AC301" s="10">
        <v>2067</v>
      </c>
      <c r="AD301" s="10">
        <v>2114</v>
      </c>
      <c r="AE301" s="91">
        <v>2.2250000000000001</v>
      </c>
      <c r="AF301" s="91">
        <v>2.33</v>
      </c>
      <c r="AG301" s="91">
        <v>2.1970000000000001</v>
      </c>
      <c r="AH301" s="91">
        <v>2.1640000000000001</v>
      </c>
      <c r="AI301" s="91">
        <v>2.1619999999999999</v>
      </c>
      <c r="AJ301" s="91">
        <v>2.129</v>
      </c>
      <c r="AK301" s="91">
        <v>2.1269999999999998</v>
      </c>
      <c r="AL301" s="91">
        <v>2.1930000000000001</v>
      </c>
      <c r="AM301" s="95">
        <v>-0.15770000000000001</v>
      </c>
      <c r="AN301" s="95">
        <v>-0.12909999999999999</v>
      </c>
      <c r="AO301" s="95">
        <v>0.1191</v>
      </c>
      <c r="AP301" s="95">
        <v>5.4600000000000003E-2</v>
      </c>
      <c r="AQ301" s="95">
        <v>-5.0700000000000002E-2</v>
      </c>
      <c r="AR301" s="95">
        <v>0.23430000000000001</v>
      </c>
      <c r="AS301" s="95">
        <v>-8.7400000000000005E-2</v>
      </c>
      <c r="AT301" s="95">
        <v>-0.3095</v>
      </c>
      <c r="AU301" s="95">
        <v>0.23599999999999999</v>
      </c>
      <c r="AV301" s="95">
        <v>0.34399999999999997</v>
      </c>
      <c r="AW301" s="95">
        <v>0.314</v>
      </c>
      <c r="AX301" s="95">
        <v>0.31900000000000001</v>
      </c>
      <c r="AY301" s="95">
        <v>0.189</v>
      </c>
      <c r="AZ301" s="95">
        <v>0.313</v>
      </c>
      <c r="BA301" s="95">
        <v>0.32300000000000001</v>
      </c>
      <c r="BB301" s="95">
        <v>0.27800000000000002</v>
      </c>
      <c r="BC301" s="10">
        <v>1</v>
      </c>
      <c r="BD301" s="10">
        <v>2</v>
      </c>
      <c r="BE301" s="10">
        <v>2</v>
      </c>
      <c r="BF301" s="10">
        <v>1</v>
      </c>
      <c r="BG301" s="10">
        <v>1</v>
      </c>
      <c r="BH301" s="10">
        <v>1</v>
      </c>
      <c r="BI301" s="10">
        <v>1</v>
      </c>
      <c r="BJ301" s="10">
        <v>1</v>
      </c>
      <c r="BK301" s="91">
        <v>0.997</v>
      </c>
      <c r="BL301" s="91">
        <v>0.999</v>
      </c>
      <c r="BM301" s="91">
        <v>0.999</v>
      </c>
      <c r="BN301" s="91">
        <v>0.999</v>
      </c>
      <c r="BO301" s="91">
        <v>0.995</v>
      </c>
      <c r="BP301" s="91">
        <v>0.999</v>
      </c>
      <c r="BQ301" s="91">
        <v>0.999</v>
      </c>
      <c r="BR301" s="91">
        <v>0.998</v>
      </c>
      <c r="BS301" s="10" t="s">
        <v>4857</v>
      </c>
    </row>
    <row r="302" spans="1:71" s="30" customFormat="1" ht="17.100000000000001" customHeight="1">
      <c r="A302" s="10">
        <v>291</v>
      </c>
      <c r="B302" s="10" t="s">
        <v>3693</v>
      </c>
      <c r="C302" s="4" t="s">
        <v>3883</v>
      </c>
      <c r="D302" s="4" t="s">
        <v>3727</v>
      </c>
      <c r="E302" s="7" t="s">
        <v>3728</v>
      </c>
      <c r="F302" s="9" t="s">
        <v>5044</v>
      </c>
      <c r="G302" s="4" t="s">
        <v>3729</v>
      </c>
      <c r="H302" s="7" t="s">
        <v>3730</v>
      </c>
      <c r="I302" s="4" t="s">
        <v>3731</v>
      </c>
      <c r="J302" s="10" t="s">
        <v>3732</v>
      </c>
      <c r="K302" s="4" t="s">
        <v>5508</v>
      </c>
      <c r="L302" s="4" t="s">
        <v>3692</v>
      </c>
      <c r="M302" s="10">
        <v>2</v>
      </c>
      <c r="N302" s="95">
        <v>612.851</v>
      </c>
      <c r="O302" s="37" t="str">
        <f>HYPERLINK("http://ms.phosphosite.org:5080/cgi-bin/plot-msms.cgi?MassType=1&amp;NumAxis=1&amp;Mod6=170&amp;Mod7=170&amp;Mod10=170&amp;Pep=SAPAPKKGSKK&amp;Dta=/var/www/html/dta/S01/10558.1839.2.dta&amp;Global_Mod=CS57.0215", "1839")</f>
        <v>1839</v>
      </c>
      <c r="P302" s="38" t="s">
        <v>4854</v>
      </c>
      <c r="Q302" s="37" t="str">
        <f>HYPERLINK("http://ms.phosphosite.org:5080/cgi-bin/plot-msms.cgi?MassType=1&amp;NumAxis=1&amp;Mod6=170&amp;Mod7=170&amp;Mod10=170&amp;Pep=SAPAPKKGSKK&amp;Dta=/var/www/html/dta/S01/10560.1782.2.dta&amp;Global_Mod=CS57.0215", "1782")</f>
        <v>1782</v>
      </c>
      <c r="R302" s="37" t="str">
        <f>HYPERLINK("http://ms.phosphosite.org:5080/cgi-bin/plot-msms.cgi?MassType=1&amp;NumAxis=1&amp;Mod6=170&amp;Mod7=170&amp;Mod10=170&amp;Pep=SAPAPKKGSKK&amp;Dta=/var/www/html/dta/S01/10561.1826.2.dta&amp;Global_Mod=CS57.0215", "1826")</f>
        <v>1826</v>
      </c>
      <c r="S302" s="38" t="s">
        <v>4854</v>
      </c>
      <c r="T302" s="37" t="str">
        <f>HYPERLINK("http://ms.phosphosite.org:5080/cgi-bin/plot-msms.cgi?MassType=1&amp;NumAxis=1&amp;Mod6=170&amp;Mod7=170&amp;Mod10=170&amp;Pep=SAPAPKKGSKK&amp;Dta=/var/www/html/dta/S01/10563.1799.2.dta&amp;Global_Mod=CS57.0215", "1799")</f>
        <v>1799</v>
      </c>
      <c r="U302" s="38" t="s">
        <v>4854</v>
      </c>
      <c r="V302" s="37" t="str">
        <f>HYPERLINK("http://ms.phosphosite.org:5080/cgi-bin/plot-msms.cgi?MassType=1&amp;NumAxis=1&amp;Mod6=170&amp;Mod7=170&amp;Mod10=170&amp;Pep=SAPAPKKGSKK&amp;Dta=/var/www/html/dta/S01/10565.2095.2.dta&amp;Global_Mod=CS57.0215", "2095")</f>
        <v>2095</v>
      </c>
      <c r="W302" s="10">
        <v>1851</v>
      </c>
      <c r="X302" s="4" t="s">
        <v>4854</v>
      </c>
      <c r="Y302" s="10">
        <v>1792</v>
      </c>
      <c r="Z302" s="10">
        <v>1841</v>
      </c>
      <c r="AA302" s="4" t="s">
        <v>4854</v>
      </c>
      <c r="AB302" s="10">
        <v>1812</v>
      </c>
      <c r="AC302" s="4" t="s">
        <v>4854</v>
      </c>
      <c r="AD302" s="10">
        <v>2114</v>
      </c>
      <c r="AE302" s="91">
        <v>1.8320000000000001</v>
      </c>
      <c r="AF302" s="100" t="s">
        <v>4854</v>
      </c>
      <c r="AG302" s="91">
        <v>1.768</v>
      </c>
      <c r="AH302" s="91">
        <v>1.6779999999999999</v>
      </c>
      <c r="AI302" s="100" t="s">
        <v>4854</v>
      </c>
      <c r="AJ302" s="91">
        <v>1.7809999999999999</v>
      </c>
      <c r="AK302" s="100" t="s">
        <v>4854</v>
      </c>
      <c r="AL302" s="91">
        <v>2.121</v>
      </c>
      <c r="AM302" s="95">
        <v>-0.15770000000000001</v>
      </c>
      <c r="AN302" s="103" t="s">
        <v>4854</v>
      </c>
      <c r="AO302" s="95">
        <v>0.1191</v>
      </c>
      <c r="AP302" s="95">
        <v>5.4600000000000003E-2</v>
      </c>
      <c r="AQ302" s="103" t="s">
        <v>4854</v>
      </c>
      <c r="AR302" s="95">
        <v>0.23430000000000001</v>
      </c>
      <c r="AS302" s="103" t="s">
        <v>4854</v>
      </c>
      <c r="AT302" s="95">
        <v>-0.3095</v>
      </c>
      <c r="AU302" s="95">
        <v>0.191</v>
      </c>
      <c r="AV302" s="103" t="s">
        <v>4854</v>
      </c>
      <c r="AW302" s="95">
        <v>0.23799999999999999</v>
      </c>
      <c r="AX302" s="95">
        <v>0.18099999999999999</v>
      </c>
      <c r="AY302" s="103" t="s">
        <v>4854</v>
      </c>
      <c r="AZ302" s="95">
        <v>0.152</v>
      </c>
      <c r="BA302" s="103" t="s">
        <v>4854</v>
      </c>
      <c r="BB302" s="95">
        <v>0.23200000000000001</v>
      </c>
      <c r="BC302" s="10">
        <v>1</v>
      </c>
      <c r="BD302" s="4" t="s">
        <v>4854</v>
      </c>
      <c r="BE302" s="10">
        <v>1</v>
      </c>
      <c r="BF302" s="10">
        <v>3</v>
      </c>
      <c r="BG302" s="4" t="s">
        <v>4854</v>
      </c>
      <c r="BH302" s="10">
        <v>1</v>
      </c>
      <c r="BI302" s="4" t="s">
        <v>4854</v>
      </c>
      <c r="BJ302" s="10">
        <v>1</v>
      </c>
      <c r="BK302" s="91">
        <v>0.98899999999999999</v>
      </c>
      <c r="BL302" s="100" t="s">
        <v>4854</v>
      </c>
      <c r="BM302" s="91">
        <v>0.99299999999999999</v>
      </c>
      <c r="BN302" s="91">
        <v>0.97299999999999998</v>
      </c>
      <c r="BO302" s="100" t="s">
        <v>4854</v>
      </c>
      <c r="BP302" s="91">
        <v>0.98</v>
      </c>
      <c r="BQ302" s="100" t="s">
        <v>4854</v>
      </c>
      <c r="BR302" s="91">
        <v>0.997</v>
      </c>
      <c r="BS302" s="10" t="s">
        <v>4857</v>
      </c>
    </row>
    <row r="303" spans="1:71" s="30" customFormat="1" ht="17.100000000000001" customHeight="1">
      <c r="A303" s="10">
        <v>292</v>
      </c>
      <c r="B303" s="10" t="s">
        <v>3694</v>
      </c>
      <c r="C303" s="4" t="s">
        <v>3883</v>
      </c>
      <c r="D303" s="4" t="s">
        <v>3727</v>
      </c>
      <c r="E303" s="7" t="s">
        <v>3728</v>
      </c>
      <c r="F303" s="9" t="s">
        <v>5044</v>
      </c>
      <c r="G303" s="4" t="s">
        <v>3729</v>
      </c>
      <c r="H303" s="7" t="s">
        <v>3730</v>
      </c>
      <c r="I303" s="4" t="s">
        <v>3731</v>
      </c>
      <c r="J303" s="10" t="s">
        <v>3732</v>
      </c>
      <c r="K303" s="4" t="s">
        <v>5508</v>
      </c>
      <c r="L303" s="4" t="s">
        <v>3692</v>
      </c>
      <c r="M303" s="10">
        <v>3</v>
      </c>
      <c r="N303" s="95">
        <v>408.90309999999999</v>
      </c>
      <c r="O303" s="38" t="s">
        <v>4854</v>
      </c>
      <c r="P303" s="38" t="s">
        <v>4854</v>
      </c>
      <c r="Q303" s="37" t="str">
        <f>HYPERLINK("http://ms.phosphosite.org:5080/cgi-bin/plot-msms.cgi?MassType=1&amp;NumAxis=1&amp;Mod6=170&amp;Mod7=170&amp;Mod10=170&amp;Pep=SAPAPKKGSKK&amp;Dta=/var/www/html/dta/S01/10560.1794.3.dta&amp;Global_Mod=CS57.0215", "1794")</f>
        <v>1794</v>
      </c>
      <c r="R303" s="38" t="s">
        <v>4854</v>
      </c>
      <c r="S303" s="38" t="s">
        <v>4854</v>
      </c>
      <c r="T303" s="37" t="str">
        <f>HYPERLINK("http://ms.phosphosite.org:5080/cgi-bin/plot-msms.cgi?MassType=1&amp;NumAxis=1&amp;Mod6=170&amp;Mod7=170&amp;Mod10=170&amp;Pep=SAPAPKKGSKK&amp;Dta=/var/www/html/dta/S01/10563.1815.3.dta&amp;Global_Mod=CS57.0215", "1815")</f>
        <v>1815</v>
      </c>
      <c r="U303" s="37" t="str">
        <f>HYPERLINK("http://ms.phosphosite.org:5080/cgi-bin/plot-msms.cgi?MassType=1&amp;NumAxis=1&amp;Mod6=170&amp;Mod7=170&amp;Mod10=170&amp;Pep=SAPAPKKGSKK&amp;Dta=/var/www/html/dta/S01/10564.2058.3.dta&amp;Global_Mod=CS57.0215", "2058")</f>
        <v>2058</v>
      </c>
      <c r="V303" s="38" t="s">
        <v>4854</v>
      </c>
      <c r="W303" s="4" t="s">
        <v>4854</v>
      </c>
      <c r="X303" s="4" t="s">
        <v>4854</v>
      </c>
      <c r="Y303" s="10">
        <v>1792</v>
      </c>
      <c r="Z303" s="4" t="s">
        <v>4854</v>
      </c>
      <c r="AA303" s="4" t="s">
        <v>4854</v>
      </c>
      <c r="AB303" s="10">
        <v>1812</v>
      </c>
      <c r="AC303" s="4" t="s">
        <v>4854</v>
      </c>
      <c r="AD303" s="4" t="s">
        <v>4854</v>
      </c>
      <c r="AE303" s="100" t="s">
        <v>4854</v>
      </c>
      <c r="AF303" s="100" t="s">
        <v>4854</v>
      </c>
      <c r="AG303" s="91">
        <v>1.84</v>
      </c>
      <c r="AH303" s="100" t="s">
        <v>4854</v>
      </c>
      <c r="AI303" s="100" t="s">
        <v>4854</v>
      </c>
      <c r="AJ303" s="91">
        <v>2.2639999999999998</v>
      </c>
      <c r="AK303" s="91">
        <v>1.823</v>
      </c>
      <c r="AL303" s="100" t="s">
        <v>4854</v>
      </c>
      <c r="AM303" s="103" t="s">
        <v>4854</v>
      </c>
      <c r="AN303" s="103" t="s">
        <v>4854</v>
      </c>
      <c r="AO303" s="95">
        <v>0.33139999999999997</v>
      </c>
      <c r="AP303" s="103" t="s">
        <v>4854</v>
      </c>
      <c r="AQ303" s="103" t="s">
        <v>4854</v>
      </c>
      <c r="AR303" s="95">
        <v>0.4637</v>
      </c>
      <c r="AS303" s="95">
        <v>8.8099999999999998E-2</v>
      </c>
      <c r="AT303" s="103" t="s">
        <v>4854</v>
      </c>
      <c r="AU303" s="103" t="s">
        <v>4854</v>
      </c>
      <c r="AV303" s="103" t="s">
        <v>4854</v>
      </c>
      <c r="AW303" s="95">
        <v>0.192</v>
      </c>
      <c r="AX303" s="103" t="s">
        <v>4854</v>
      </c>
      <c r="AY303" s="103" t="s">
        <v>4854</v>
      </c>
      <c r="AZ303" s="95">
        <v>0.25</v>
      </c>
      <c r="BA303" s="95">
        <v>5.3999999999999999E-2</v>
      </c>
      <c r="BB303" s="103" t="s">
        <v>4854</v>
      </c>
      <c r="BC303" s="4" t="s">
        <v>4854</v>
      </c>
      <c r="BD303" s="4" t="s">
        <v>4854</v>
      </c>
      <c r="BE303" s="10">
        <v>1</v>
      </c>
      <c r="BF303" s="4" t="s">
        <v>4854</v>
      </c>
      <c r="BG303" s="4" t="s">
        <v>4854</v>
      </c>
      <c r="BH303" s="10">
        <v>3</v>
      </c>
      <c r="BI303" s="10">
        <v>3</v>
      </c>
      <c r="BJ303" s="4" t="s">
        <v>4854</v>
      </c>
      <c r="BK303" s="100" t="s">
        <v>4854</v>
      </c>
      <c r="BL303" s="100" t="s">
        <v>4854</v>
      </c>
      <c r="BM303" s="91">
        <v>0.99299999999999999</v>
      </c>
      <c r="BN303" s="100" t="s">
        <v>4854</v>
      </c>
      <c r="BO303" s="100" t="s">
        <v>4854</v>
      </c>
      <c r="BP303" s="91">
        <v>0.998</v>
      </c>
      <c r="BQ303" s="91">
        <v>0.92800000000000005</v>
      </c>
      <c r="BR303" s="100" t="s">
        <v>4854</v>
      </c>
      <c r="BS303" s="10" t="s">
        <v>4857</v>
      </c>
    </row>
    <row r="304" spans="1:71" s="30" customFormat="1" ht="17.100000000000001" customHeight="1">
      <c r="A304" s="14">
        <v>293</v>
      </c>
      <c r="B304" s="5" t="s">
        <v>3695</v>
      </c>
      <c r="C304" s="3" t="s">
        <v>3883</v>
      </c>
      <c r="D304" s="3" t="s">
        <v>3696</v>
      </c>
      <c r="E304" s="6" t="s">
        <v>3697</v>
      </c>
      <c r="F304" s="8" t="s">
        <v>5012</v>
      </c>
      <c r="G304" s="3" t="s">
        <v>3729</v>
      </c>
      <c r="H304" s="6" t="s">
        <v>3698</v>
      </c>
      <c r="I304" s="3" t="s">
        <v>3731</v>
      </c>
      <c r="J304" s="5" t="s">
        <v>4838</v>
      </c>
      <c r="K304" s="3" t="s">
        <v>5509</v>
      </c>
      <c r="L304" s="3" t="s">
        <v>3699</v>
      </c>
      <c r="M304" s="5">
        <v>2</v>
      </c>
      <c r="N304" s="21">
        <v>833.48030000000006</v>
      </c>
      <c r="O304" s="35" t="s">
        <v>4854</v>
      </c>
      <c r="P304" s="35" t="s">
        <v>4854</v>
      </c>
      <c r="Q304" s="36" t="str">
        <f>HYPERLINK("http://ms.phosphosite.org:5080/cgi-bin/plot-msms.cgi?MassType=1&amp;NumAxis=1&amp;Mod6=170&amp;Mod7=170&amp;Mod10=170&amp;Mod11=170&amp;Pep=SAPAPKKGSKKAISK&amp;Dta=/var/www/html/dta/S01/10560.3825.2.dta&amp;Global_Mod=CS57.0215", "3825")</f>
        <v>3825</v>
      </c>
      <c r="R304" s="36" t="str">
        <f>HYPERLINK("http://ms.phosphosite.org:5080/cgi-bin/plot-msms.cgi?MassType=1&amp;NumAxis=1&amp;Mod6=170&amp;Mod7=170&amp;Mod10=170&amp;Mod11=170&amp;Pep=SAPAPKKGSKKAISK&amp;Dta=/var/www/html/dta/S01/10561.3859.2.dta&amp;Global_Mod=CS57.0215", "3859")</f>
        <v>3859</v>
      </c>
      <c r="S304" s="36" t="str">
        <f>HYPERLINK("http://ms.phosphosite.org:5080/cgi-bin/plot-msms.cgi?MassType=1&amp;NumAxis=1&amp;Mod6=170&amp;Mod7=170&amp;Mod10=170&amp;Mod11=170&amp;Pep=SAPAPKKGSKKAISK&amp;Dta=/var/www/html/dta/S01/10562.3947.2.dta&amp;Global_Mod=CS57.0215", "3947")</f>
        <v>3947</v>
      </c>
      <c r="T304" s="36" t="str">
        <f>HYPERLINK("http://ms.phosphosite.org:5080/cgi-bin/plot-msms.cgi?MassType=1&amp;NumAxis=1&amp;Mod6=170&amp;Mod7=170&amp;Mod10=170&amp;Mod11=170&amp;Pep=SAPAPKKGSKKAISK&amp;Dta=/var/www/html/dta/S01/10563.3887.2.dta&amp;Global_Mod=CS57.0215", "3887")</f>
        <v>3887</v>
      </c>
      <c r="U304" s="36" t="str">
        <f>HYPERLINK("http://ms.phosphosite.org:5080/cgi-bin/plot-msms.cgi?MassType=1&amp;NumAxis=1&amp;Mod6=170&amp;Mod7=170&amp;Mod10=170&amp;Mod11=170&amp;Pep=SAPAPKKGSKKAISK&amp;Dta=/var/www/html/dta/S01/10564.4160.2.dta&amp;Global_Mod=CS57.0215", "4160")</f>
        <v>4160</v>
      </c>
      <c r="V304" s="36" t="str">
        <f>HYPERLINK("http://ms.phosphosite.org:5080/cgi-bin/plot-msms.cgi?MassType=1&amp;NumAxis=1&amp;Mod6=170&amp;Mod7=170&amp;Mod10=170&amp;Mod11=170&amp;Pep=SAPAPKKGSKKAISK&amp;Dta=/var/www/html/dta/S01/10565.4242.2.dta&amp;Global_Mod=CS57.0215", "4242")</f>
        <v>4242</v>
      </c>
      <c r="W304" s="3" t="s">
        <v>4854</v>
      </c>
      <c r="X304" s="3" t="s">
        <v>4854</v>
      </c>
      <c r="Y304" s="5">
        <v>3459</v>
      </c>
      <c r="Z304" s="5">
        <v>3467</v>
      </c>
      <c r="AA304" s="5">
        <v>3554</v>
      </c>
      <c r="AB304" s="5">
        <v>3494</v>
      </c>
      <c r="AC304" s="5">
        <v>3780</v>
      </c>
      <c r="AD304" s="5">
        <v>3839</v>
      </c>
      <c r="AE304" s="99" t="s">
        <v>4854</v>
      </c>
      <c r="AF304" s="99" t="s">
        <v>4854</v>
      </c>
      <c r="AG304" s="90">
        <v>2.5630000000000002</v>
      </c>
      <c r="AH304" s="90">
        <v>2.484</v>
      </c>
      <c r="AI304" s="90">
        <v>3.0920000000000001</v>
      </c>
      <c r="AJ304" s="90">
        <v>2.3820000000000001</v>
      </c>
      <c r="AK304" s="90">
        <v>2.839</v>
      </c>
      <c r="AL304" s="90">
        <v>2.419</v>
      </c>
      <c r="AM304" s="102" t="s">
        <v>4854</v>
      </c>
      <c r="AN304" s="102" t="s">
        <v>4854</v>
      </c>
      <c r="AO304" s="21">
        <v>0.39379999999999998</v>
      </c>
      <c r="AP304" s="21">
        <v>0.73229999999999995</v>
      </c>
      <c r="AQ304" s="21">
        <v>7.6899999999999996E-2</v>
      </c>
      <c r="AR304" s="21">
        <v>2.8199999999999999E-2</v>
      </c>
      <c r="AS304" s="21">
        <v>0.2611</v>
      </c>
      <c r="AT304" s="21">
        <v>0.41839999999999999</v>
      </c>
      <c r="AU304" s="102" t="s">
        <v>4854</v>
      </c>
      <c r="AV304" s="102" t="s">
        <v>4854</v>
      </c>
      <c r="AW304" s="21">
        <v>0.36299999999999999</v>
      </c>
      <c r="AX304" s="21">
        <v>0.42399999999999999</v>
      </c>
      <c r="AY304" s="21">
        <v>0.27100000000000002</v>
      </c>
      <c r="AZ304" s="21">
        <v>0.376</v>
      </c>
      <c r="BA304" s="21">
        <v>0.33600000000000002</v>
      </c>
      <c r="BB304" s="21">
        <v>0.38600000000000001</v>
      </c>
      <c r="BC304" s="3" t="s">
        <v>4854</v>
      </c>
      <c r="BD304" s="3" t="s">
        <v>4854</v>
      </c>
      <c r="BE304" s="5">
        <v>1</v>
      </c>
      <c r="BF304" s="5">
        <v>1</v>
      </c>
      <c r="BG304" s="5">
        <v>1</v>
      </c>
      <c r="BH304" s="5">
        <v>1</v>
      </c>
      <c r="BI304" s="5">
        <v>1</v>
      </c>
      <c r="BJ304" s="5">
        <v>1</v>
      </c>
      <c r="BK304" s="99" t="s">
        <v>4854</v>
      </c>
      <c r="BL304" s="99" t="s">
        <v>4854</v>
      </c>
      <c r="BM304" s="90">
        <v>1</v>
      </c>
      <c r="BN304" s="90">
        <v>1</v>
      </c>
      <c r="BO304" s="90">
        <v>0.999</v>
      </c>
      <c r="BP304" s="90">
        <v>0.999</v>
      </c>
      <c r="BQ304" s="90">
        <v>1</v>
      </c>
      <c r="BR304" s="90">
        <v>1</v>
      </c>
      <c r="BS304" s="5" t="s">
        <v>4857</v>
      </c>
    </row>
    <row r="305" spans="1:71" s="30" customFormat="1" ht="17.100000000000001" customHeight="1">
      <c r="A305" s="14">
        <v>294</v>
      </c>
      <c r="B305" s="5" t="s">
        <v>3700</v>
      </c>
      <c r="C305" s="3" t="s">
        <v>3883</v>
      </c>
      <c r="D305" s="3" t="s">
        <v>3696</v>
      </c>
      <c r="E305" s="6" t="s">
        <v>3697</v>
      </c>
      <c r="F305" s="8" t="s">
        <v>5012</v>
      </c>
      <c r="G305" s="3" t="s">
        <v>3729</v>
      </c>
      <c r="H305" s="6" t="s">
        <v>3698</v>
      </c>
      <c r="I305" s="3" t="s">
        <v>3731</v>
      </c>
      <c r="J305" s="5" t="s">
        <v>4838</v>
      </c>
      <c r="K305" s="3" t="s">
        <v>5509</v>
      </c>
      <c r="L305" s="3" t="s">
        <v>3699</v>
      </c>
      <c r="M305" s="5">
        <v>3</v>
      </c>
      <c r="N305" s="21">
        <v>555.98929999999996</v>
      </c>
      <c r="O305" s="35" t="s">
        <v>4854</v>
      </c>
      <c r="P305" s="36" t="str">
        <f>HYPERLINK("http://ms.phosphosite.org:5080/cgi-bin/plot-msms.cgi?MassType=1&amp;NumAxis=1&amp;Mod6=170&amp;Mod7=170&amp;Mod10=170&amp;Mod11=170&amp;Pep=SAPAPKKGSKKAISK&amp;Dta=/var/www/html/dta/S01/10559.3825.3.dta&amp;Global_Mod=CS57.0215", "3825")</f>
        <v>3825</v>
      </c>
      <c r="Q305" s="35" t="s">
        <v>4854</v>
      </c>
      <c r="R305" s="35" t="s">
        <v>4854</v>
      </c>
      <c r="S305" s="35" t="s">
        <v>4854</v>
      </c>
      <c r="T305" s="35" t="s">
        <v>4854</v>
      </c>
      <c r="U305" s="36" t="str">
        <f>HYPERLINK("http://ms.phosphosite.org:5080/cgi-bin/plot-msms.cgi?MassType=1&amp;NumAxis=1&amp;Mod6=170&amp;Mod7=170&amp;Mod10=170&amp;Mod11=170&amp;Pep=SAPAPKKGSKKAISK&amp;Dta=/var/www/html/dta/S01/10564.4146.3.dta&amp;Global_Mod=CS57.0215", "4146")</f>
        <v>4146</v>
      </c>
      <c r="V305" s="36" t="str">
        <f>HYPERLINK("http://ms.phosphosite.org:5080/cgi-bin/plot-msms.cgi?MassType=1&amp;NumAxis=1&amp;Mod6=170&amp;Mod7=170&amp;Mod10=170&amp;Mod11=170&amp;Pep=SAPAPKKGSKKAISK&amp;Dta=/var/www/html/dta/S01/10565.4228.3.dta&amp;Global_Mod=CS57.0215", "4228")</f>
        <v>4228</v>
      </c>
      <c r="W305" s="3" t="s">
        <v>4854</v>
      </c>
      <c r="X305" s="3" t="s">
        <v>4854</v>
      </c>
      <c r="Y305" s="3" t="s">
        <v>4854</v>
      </c>
      <c r="Z305" s="3" t="s">
        <v>4854</v>
      </c>
      <c r="AA305" s="3" t="s">
        <v>4854</v>
      </c>
      <c r="AB305" s="3" t="s">
        <v>4854</v>
      </c>
      <c r="AC305" s="5">
        <v>3769</v>
      </c>
      <c r="AD305" s="5">
        <v>3839</v>
      </c>
      <c r="AE305" s="99" t="s">
        <v>4854</v>
      </c>
      <c r="AF305" s="90">
        <v>2.1640000000000001</v>
      </c>
      <c r="AG305" s="99" t="s">
        <v>4854</v>
      </c>
      <c r="AH305" s="99" t="s">
        <v>4854</v>
      </c>
      <c r="AI305" s="99" t="s">
        <v>4854</v>
      </c>
      <c r="AJ305" s="99" t="s">
        <v>4854</v>
      </c>
      <c r="AK305" s="90">
        <v>2.3519999999999999</v>
      </c>
      <c r="AL305" s="90">
        <v>2.9910000000000001</v>
      </c>
      <c r="AM305" s="102" t="s">
        <v>4854</v>
      </c>
      <c r="AN305" s="21">
        <v>0.33200000000000002</v>
      </c>
      <c r="AO305" s="102" t="s">
        <v>4854</v>
      </c>
      <c r="AP305" s="102" t="s">
        <v>4854</v>
      </c>
      <c r="AQ305" s="102" t="s">
        <v>4854</v>
      </c>
      <c r="AR305" s="102" t="s">
        <v>4854</v>
      </c>
      <c r="AS305" s="21">
        <v>0.42680000000000001</v>
      </c>
      <c r="AT305" s="21">
        <v>-3.7199999999999997E-2</v>
      </c>
      <c r="AU305" s="102" t="s">
        <v>4854</v>
      </c>
      <c r="AV305" s="21">
        <v>8.6999999999999994E-2</v>
      </c>
      <c r="AW305" s="102" t="s">
        <v>4854</v>
      </c>
      <c r="AX305" s="102" t="s">
        <v>4854</v>
      </c>
      <c r="AY305" s="102" t="s">
        <v>4854</v>
      </c>
      <c r="AZ305" s="102" t="s">
        <v>4854</v>
      </c>
      <c r="BA305" s="21">
        <v>0.22700000000000001</v>
      </c>
      <c r="BB305" s="21">
        <v>0.33700000000000002</v>
      </c>
      <c r="BC305" s="3" t="s">
        <v>4854</v>
      </c>
      <c r="BD305" s="5">
        <v>22</v>
      </c>
      <c r="BE305" s="3" t="s">
        <v>4854</v>
      </c>
      <c r="BF305" s="3" t="s">
        <v>4854</v>
      </c>
      <c r="BG305" s="3" t="s">
        <v>4854</v>
      </c>
      <c r="BH305" s="3" t="s">
        <v>4854</v>
      </c>
      <c r="BI305" s="5">
        <v>1</v>
      </c>
      <c r="BJ305" s="5">
        <v>2</v>
      </c>
      <c r="BK305" s="99" t="s">
        <v>4854</v>
      </c>
      <c r="BL305" s="90">
        <v>0.94899999999999995</v>
      </c>
      <c r="BM305" s="99" t="s">
        <v>4854</v>
      </c>
      <c r="BN305" s="99" t="s">
        <v>4854</v>
      </c>
      <c r="BO305" s="99" t="s">
        <v>4854</v>
      </c>
      <c r="BP305" s="99" t="s">
        <v>4854</v>
      </c>
      <c r="BQ305" s="90">
        <v>0.998</v>
      </c>
      <c r="BR305" s="90">
        <v>1</v>
      </c>
      <c r="BS305" s="5" t="s">
        <v>4857</v>
      </c>
    </row>
    <row r="306" spans="1:71" s="30" customFormat="1" ht="17.100000000000001" customHeight="1">
      <c r="A306" s="10">
        <v>295</v>
      </c>
      <c r="B306" s="10" t="s">
        <v>3701</v>
      </c>
      <c r="C306" s="4" t="s">
        <v>3883</v>
      </c>
      <c r="D306" s="4" t="s">
        <v>3696</v>
      </c>
      <c r="E306" s="7" t="s">
        <v>3697</v>
      </c>
      <c r="F306" s="9" t="s">
        <v>5174</v>
      </c>
      <c r="G306" s="4" t="s">
        <v>3729</v>
      </c>
      <c r="H306" s="7" t="s">
        <v>3698</v>
      </c>
      <c r="I306" s="4" t="s">
        <v>3731</v>
      </c>
      <c r="J306" s="10" t="s">
        <v>4838</v>
      </c>
      <c r="K306" s="4" t="s">
        <v>5510</v>
      </c>
      <c r="L306" s="4" t="s">
        <v>3702</v>
      </c>
      <c r="M306" s="10">
        <v>2</v>
      </c>
      <c r="N306" s="95">
        <v>536.82169999999996</v>
      </c>
      <c r="O306" s="37" t="str">
        <f>HYPERLINK("http://ms.phosphosite.org:5080/cgi-bin/plot-msms.cgi?MassType=1&amp;NumAxis=1&amp;Mod1=170&amp;Mod4=170&amp;Mod5=170&amp;Pep=KGSKKAISK&amp;Dta=/var/www/html/dta/S01/10558.2173.2.dta&amp;Global_Mod=CS57.0215", "2173")</f>
        <v>2173</v>
      </c>
      <c r="P306" s="37" t="str">
        <f>HYPERLINK("http://ms.phosphosite.org:5080/cgi-bin/plot-msms.cgi?MassType=1&amp;NumAxis=1&amp;Mod1=170&amp;Mod4=170&amp;Mod5=170&amp;Pep=KGSKKAISK&amp;Dta=/var/www/html/dta/S01/10559.2154.2.dta&amp;Global_Mod=CS57.0215", "2154")</f>
        <v>2154</v>
      </c>
      <c r="Q306" s="37" t="str">
        <f>HYPERLINK("http://ms.phosphosite.org:5080/cgi-bin/plot-msms.cgi?MassType=1&amp;NumAxis=1&amp;Mod1=170&amp;Mod4=170&amp;Mod5=170&amp;Pep=KGSKKAISK&amp;Dta=/var/www/html/dta/S01/10560.2143.2.dta&amp;Global_Mod=CS57.0215", "2143")</f>
        <v>2143</v>
      </c>
      <c r="R306" s="37" t="str">
        <f>HYPERLINK("http://ms.phosphosite.org:5080/cgi-bin/plot-msms.cgi?MassType=1&amp;NumAxis=1&amp;Mod1=170&amp;Mod4=170&amp;Mod5=170&amp;Pep=KGSKKAISK&amp;Dta=/var/www/html/dta/S01/10561.2160.2.dta&amp;Global_Mod=CS57.0215", "2160")</f>
        <v>2160</v>
      </c>
      <c r="S306" s="37" t="str">
        <f>HYPERLINK("http://ms.phosphosite.org:5080/cgi-bin/plot-msms.cgi?MassType=1&amp;NumAxis=1&amp;Mod1=170&amp;Mod4=170&amp;Mod5=170&amp;Pep=KGSKKAISK&amp;Dta=/var/www/html/dta/S01/10562.2223.2.dta&amp;Global_Mod=CS57.0215", "2223")</f>
        <v>2223</v>
      </c>
      <c r="T306" s="37" t="str">
        <f>HYPERLINK("http://ms.phosphosite.org:5080/cgi-bin/plot-msms.cgi?MassType=1&amp;NumAxis=1&amp;Mod1=170&amp;Mod4=170&amp;Mod5=170&amp;Pep=KGSKKAISK&amp;Dta=/var/www/html/dta/S01/10563.2144.2.dta&amp;Global_Mod=CS57.0215", "2144")</f>
        <v>2144</v>
      </c>
      <c r="U306" s="37" t="str">
        <f>HYPERLINK("http://ms.phosphosite.org:5080/cgi-bin/plot-msms.cgi?MassType=1&amp;NumAxis=1&amp;Mod1=170&amp;Mod4=170&amp;Mod5=170&amp;Pep=KGSKKAISK&amp;Dta=/var/www/html/dta/S01/10564.2437.2.dta&amp;Global_Mod=CS57.0215", "2437")</f>
        <v>2437</v>
      </c>
      <c r="V306" s="37" t="str">
        <f>HYPERLINK("http://ms.phosphosite.org:5080/cgi-bin/plot-msms.cgi?MassType=1&amp;NumAxis=1&amp;Mod1=170&amp;Mod4=170&amp;Mod5=170&amp;Pep=KGSKKAISK&amp;Dta=/var/www/html/dta/S01/10565.2490.2.dta&amp;Global_Mod=CS57.0215", "2490")</f>
        <v>2490</v>
      </c>
      <c r="W306" s="10">
        <v>1862</v>
      </c>
      <c r="X306" s="10">
        <v>1854</v>
      </c>
      <c r="Y306" s="10">
        <v>1803</v>
      </c>
      <c r="Z306" s="10">
        <v>1852</v>
      </c>
      <c r="AA306" s="10">
        <v>1908</v>
      </c>
      <c r="AB306" s="10">
        <v>1823</v>
      </c>
      <c r="AC306" s="10">
        <v>2078</v>
      </c>
      <c r="AD306" s="10">
        <v>2125</v>
      </c>
      <c r="AE306" s="91">
        <v>3.419</v>
      </c>
      <c r="AF306" s="91">
        <v>3.0659999999999998</v>
      </c>
      <c r="AG306" s="91">
        <v>3.6549999999999998</v>
      </c>
      <c r="AH306" s="91">
        <v>3.4849999999999999</v>
      </c>
      <c r="AI306" s="91">
        <v>2.3719999999999999</v>
      </c>
      <c r="AJ306" s="91">
        <v>3.2469999999999999</v>
      </c>
      <c r="AK306" s="91">
        <v>3.464</v>
      </c>
      <c r="AL306" s="91">
        <v>3.15</v>
      </c>
      <c r="AM306" s="95">
        <v>-0.38740000000000002</v>
      </c>
      <c r="AN306" s="95">
        <v>-0.26619999999999999</v>
      </c>
      <c r="AO306" s="95">
        <v>-0.2215</v>
      </c>
      <c r="AP306" s="95">
        <v>-0.1003</v>
      </c>
      <c r="AQ306" s="95">
        <v>-0.24390000000000001</v>
      </c>
      <c r="AR306" s="95">
        <v>-0.14319999999999999</v>
      </c>
      <c r="AS306" s="95">
        <v>-0.41349999999999998</v>
      </c>
      <c r="AT306" s="95">
        <v>-0.83589999999999998</v>
      </c>
      <c r="AU306" s="95">
        <v>0.182</v>
      </c>
      <c r="AV306" s="95">
        <v>0.191</v>
      </c>
      <c r="AW306" s="95">
        <v>0.183</v>
      </c>
      <c r="AX306" s="95">
        <v>0.193</v>
      </c>
      <c r="AY306" s="95">
        <v>0.157</v>
      </c>
      <c r="AZ306" s="95">
        <v>0.20300000000000001</v>
      </c>
      <c r="BA306" s="95">
        <v>0.193</v>
      </c>
      <c r="BB306" s="95">
        <v>0.18</v>
      </c>
      <c r="BC306" s="10">
        <v>1</v>
      </c>
      <c r="BD306" s="10">
        <v>1</v>
      </c>
      <c r="BE306" s="10">
        <v>1</v>
      </c>
      <c r="BF306" s="10">
        <v>1</v>
      </c>
      <c r="BG306" s="10">
        <v>1</v>
      </c>
      <c r="BH306" s="10">
        <v>1</v>
      </c>
      <c r="BI306" s="10">
        <v>1</v>
      </c>
      <c r="BJ306" s="10">
        <v>1</v>
      </c>
      <c r="BK306" s="91">
        <v>1</v>
      </c>
      <c r="BL306" s="91">
        <v>0.999</v>
      </c>
      <c r="BM306" s="91">
        <v>1</v>
      </c>
      <c r="BN306" s="91">
        <v>1</v>
      </c>
      <c r="BO306" s="91">
        <v>0.997</v>
      </c>
      <c r="BP306" s="91">
        <v>1</v>
      </c>
      <c r="BQ306" s="91">
        <v>1</v>
      </c>
      <c r="BR306" s="91">
        <v>0.999</v>
      </c>
      <c r="BS306" s="10" t="s">
        <v>4857</v>
      </c>
    </row>
    <row r="307" spans="1:71" s="30" customFormat="1" ht="17.100000000000001" customHeight="1">
      <c r="A307" s="10">
        <v>296</v>
      </c>
      <c r="B307" s="10" t="s">
        <v>3703</v>
      </c>
      <c r="C307" s="4" t="s">
        <v>3883</v>
      </c>
      <c r="D307" s="4" t="s">
        <v>3696</v>
      </c>
      <c r="E307" s="7" t="s">
        <v>3697</v>
      </c>
      <c r="F307" s="9" t="s">
        <v>5174</v>
      </c>
      <c r="G307" s="4" t="s">
        <v>3729</v>
      </c>
      <c r="H307" s="7" t="s">
        <v>3698</v>
      </c>
      <c r="I307" s="4" t="s">
        <v>3731</v>
      </c>
      <c r="J307" s="10" t="s">
        <v>4838</v>
      </c>
      <c r="K307" s="4" t="s">
        <v>5510</v>
      </c>
      <c r="L307" s="4" t="s">
        <v>3702</v>
      </c>
      <c r="M307" s="10">
        <v>2</v>
      </c>
      <c r="N307" s="95">
        <v>536.82169999999996</v>
      </c>
      <c r="O307" s="38" t="s">
        <v>4854</v>
      </c>
      <c r="P307" s="38" t="s">
        <v>4854</v>
      </c>
      <c r="Q307" s="38" t="s">
        <v>4854</v>
      </c>
      <c r="R307" s="38" t="s">
        <v>4854</v>
      </c>
      <c r="S307" s="38" t="s">
        <v>4854</v>
      </c>
      <c r="T307" s="38" t="s">
        <v>4854</v>
      </c>
      <c r="U307" s="37" t="str">
        <f>HYPERLINK("http://ms.phosphosite.org:5080/cgi-bin/plot-msms.cgi?MassType=1&amp;NumAxis=1&amp;Mod1=170&amp;Mod4=170&amp;Mod5=170&amp;Pep=KGSKKAISK&amp;Dta=/var/www/html/dta/S01/10564.2422.2.dta&amp;Global_Mod=CS57.0215", "2422")</f>
        <v>2422</v>
      </c>
      <c r="V307" s="37" t="str">
        <f>HYPERLINK("http://ms.phosphosite.org:5080/cgi-bin/plot-msms.cgi?MassType=1&amp;NumAxis=1&amp;Mod1=170&amp;Mod4=170&amp;Mod5=170&amp;Pep=KGSKKAISK&amp;Dta=/var/www/html/dta/S01/10565.2533.2.dta&amp;Global_Mod=CS57.0215", "2533")</f>
        <v>2533</v>
      </c>
      <c r="W307" s="4" t="s">
        <v>4854</v>
      </c>
      <c r="X307" s="4" t="s">
        <v>4854</v>
      </c>
      <c r="Y307" s="4" t="s">
        <v>4854</v>
      </c>
      <c r="Z307" s="4" t="s">
        <v>4854</v>
      </c>
      <c r="AA307" s="4" t="s">
        <v>4854</v>
      </c>
      <c r="AB307" s="4" t="s">
        <v>4854</v>
      </c>
      <c r="AC307" s="10">
        <v>2078</v>
      </c>
      <c r="AD307" s="10">
        <v>2125</v>
      </c>
      <c r="AE307" s="100" t="s">
        <v>4854</v>
      </c>
      <c r="AF307" s="100" t="s">
        <v>4854</v>
      </c>
      <c r="AG307" s="100" t="s">
        <v>4854</v>
      </c>
      <c r="AH307" s="100" t="s">
        <v>4854</v>
      </c>
      <c r="AI307" s="100" t="s">
        <v>4854</v>
      </c>
      <c r="AJ307" s="100" t="s">
        <v>4854</v>
      </c>
      <c r="AK307" s="91">
        <v>2.8380000000000001</v>
      </c>
      <c r="AL307" s="91">
        <v>2.4449999999999998</v>
      </c>
      <c r="AM307" s="103" t="s">
        <v>4854</v>
      </c>
      <c r="AN307" s="103" t="s">
        <v>4854</v>
      </c>
      <c r="AO307" s="103" t="s">
        <v>4854</v>
      </c>
      <c r="AP307" s="103" t="s">
        <v>4854</v>
      </c>
      <c r="AQ307" s="103" t="s">
        <v>4854</v>
      </c>
      <c r="AR307" s="103" t="s">
        <v>4854</v>
      </c>
      <c r="AS307" s="95">
        <v>-0.41349999999999998</v>
      </c>
      <c r="AT307" s="95">
        <v>-0.83589999999999998</v>
      </c>
      <c r="AU307" s="103" t="s">
        <v>4854</v>
      </c>
      <c r="AV307" s="103" t="s">
        <v>4854</v>
      </c>
      <c r="AW307" s="103" t="s">
        <v>4854</v>
      </c>
      <c r="AX307" s="103" t="s">
        <v>4854</v>
      </c>
      <c r="AY307" s="103" t="s">
        <v>4854</v>
      </c>
      <c r="AZ307" s="103" t="s">
        <v>4854</v>
      </c>
      <c r="BA307" s="95">
        <v>0.13500000000000001</v>
      </c>
      <c r="BB307" s="95">
        <v>9.7000000000000003E-2</v>
      </c>
      <c r="BC307" s="4" t="s">
        <v>4854</v>
      </c>
      <c r="BD307" s="4" t="s">
        <v>4854</v>
      </c>
      <c r="BE307" s="4" t="s">
        <v>4854</v>
      </c>
      <c r="BF307" s="4" t="s">
        <v>4854</v>
      </c>
      <c r="BG307" s="4" t="s">
        <v>4854</v>
      </c>
      <c r="BH307" s="4" t="s">
        <v>4854</v>
      </c>
      <c r="BI307" s="10">
        <v>1</v>
      </c>
      <c r="BJ307" s="10">
        <v>1</v>
      </c>
      <c r="BK307" s="100" t="s">
        <v>4854</v>
      </c>
      <c r="BL307" s="100" t="s">
        <v>4854</v>
      </c>
      <c r="BM307" s="100" t="s">
        <v>4854</v>
      </c>
      <c r="BN307" s="100" t="s">
        <v>4854</v>
      </c>
      <c r="BO307" s="100" t="s">
        <v>4854</v>
      </c>
      <c r="BP307" s="100" t="s">
        <v>4854</v>
      </c>
      <c r="BQ307" s="91">
        <v>0.998</v>
      </c>
      <c r="BR307" s="91">
        <v>0.98699999999999999</v>
      </c>
      <c r="BS307" s="10" t="s">
        <v>4857</v>
      </c>
    </row>
    <row r="308" spans="1:71" s="30" customFormat="1" ht="17.100000000000001" customHeight="1">
      <c r="A308" s="14">
        <v>297</v>
      </c>
      <c r="B308" s="5" t="s">
        <v>3704</v>
      </c>
      <c r="C308" s="3" t="s">
        <v>3883</v>
      </c>
      <c r="D308" s="3" t="s">
        <v>3696</v>
      </c>
      <c r="E308" s="6" t="s">
        <v>3697</v>
      </c>
      <c r="F308" s="8" t="s">
        <v>5142</v>
      </c>
      <c r="G308" s="3" t="s">
        <v>3729</v>
      </c>
      <c r="H308" s="6" t="s">
        <v>3698</v>
      </c>
      <c r="I308" s="3" t="s">
        <v>3731</v>
      </c>
      <c r="J308" s="5" t="s">
        <v>4838</v>
      </c>
      <c r="K308" s="3" t="s">
        <v>5511</v>
      </c>
      <c r="L308" s="3" t="s">
        <v>3705</v>
      </c>
      <c r="M308" s="5">
        <v>2</v>
      </c>
      <c r="N308" s="21">
        <v>721.42229999999995</v>
      </c>
      <c r="O308" s="36" t="str">
        <f>HYPERLINK("http://ms.phosphosite.org:5080/cgi-bin/plot-msms.cgi?MassType=1&amp;NumAxis=1&amp;Mod1=170&amp;Mod4=170&amp;Mod5=170&amp;Mod9=170&amp;Pep=KGSKKAISKAQK&amp;Dta=/var/www/html/dta/S01/10558.3298.2.dta&amp;Global_Mod=CS57.0215", "3298")</f>
        <v>3298</v>
      </c>
      <c r="P308" s="36" t="str">
        <f>HYPERLINK("http://ms.phosphosite.org:5080/cgi-bin/plot-msms.cgi?MassType=1&amp;NumAxis=1&amp;Mod1=170&amp;Mod4=170&amp;Mod5=170&amp;Mod9=170&amp;Pep=KGSKKAISKAQK&amp;Dta=/var/www/html/dta/S01/10559.3255.2.dta&amp;Global_Mod=CS57.0215", "3255")</f>
        <v>3255</v>
      </c>
      <c r="Q308" s="36" t="str">
        <f>HYPERLINK("http://ms.phosphosite.org:5080/cgi-bin/plot-msms.cgi?MassType=1&amp;NumAxis=1&amp;Mod1=170&amp;Mod4=170&amp;Mod5=170&amp;Mod9=170&amp;Pep=KGSKKAISKAQK&amp;Dta=/var/www/html/dta/S01/10560.3240.2.dta&amp;Global_Mod=CS57.0215", "3240")</f>
        <v>3240</v>
      </c>
      <c r="R308" s="36" t="str">
        <f>HYPERLINK("http://ms.phosphosite.org:5080/cgi-bin/plot-msms.cgi?MassType=1&amp;NumAxis=1&amp;Mod1=170&amp;Mod4=170&amp;Mod5=170&amp;Mod9=170&amp;Pep=KGSKKAISKAQK&amp;Dta=/var/www/html/dta/S01/10561.3259.2.dta&amp;Global_Mod=CS57.0215", "3259")</f>
        <v>3259</v>
      </c>
      <c r="S308" s="36" t="str">
        <f>HYPERLINK("http://ms.phosphosite.org:5080/cgi-bin/plot-msms.cgi?MassType=1&amp;NumAxis=1&amp;Mod1=170&amp;Mod4=170&amp;Mod5=170&amp;Mod9=170&amp;Pep=KGSKKAISKAQK&amp;Dta=/var/www/html/dta/S01/10562.3338.2.dta&amp;Global_Mod=CS57.0215", "3338")</f>
        <v>3338</v>
      </c>
      <c r="T308" s="36" t="str">
        <f>HYPERLINK("http://ms.phosphosite.org:5080/cgi-bin/plot-msms.cgi?MassType=1&amp;NumAxis=1&amp;Mod1=170&amp;Mod4=170&amp;Mod5=170&amp;Mod9=170&amp;Pep=KGSKKAISKAQK&amp;Dta=/var/www/html/dta/S01/10563.3279.2.dta&amp;Global_Mod=CS57.0215", "3279")</f>
        <v>3279</v>
      </c>
      <c r="U308" s="36" t="str">
        <f>HYPERLINK("http://ms.phosphosite.org:5080/cgi-bin/plot-msms.cgi?MassType=1&amp;NumAxis=1&amp;Mod1=170&amp;Mod4=170&amp;Mod5=170&amp;Mod9=170&amp;Pep=KGSKKAISKAQK&amp;Dta=/var/www/html/dta/S01/10564.3587.2.dta&amp;Global_Mod=CS57.0215", "3587")</f>
        <v>3587</v>
      </c>
      <c r="V308" s="36" t="str">
        <f>HYPERLINK("http://ms.phosphosite.org:5080/cgi-bin/plot-msms.cgi?MassType=1&amp;NumAxis=1&amp;Mod1=170&amp;Mod4=170&amp;Mod5=170&amp;Mod9=170&amp;Pep=KGSKKAISKAQK&amp;Dta=/var/www/html/dta/S01/10565.3659.2.dta&amp;Global_Mod=CS57.0215", "3659")</f>
        <v>3659</v>
      </c>
      <c r="W308" s="5">
        <v>2818</v>
      </c>
      <c r="X308" s="5">
        <v>2770</v>
      </c>
      <c r="Y308" s="5">
        <v>2757</v>
      </c>
      <c r="Z308" s="5">
        <v>2795</v>
      </c>
      <c r="AA308" s="5">
        <v>2866</v>
      </c>
      <c r="AB308" s="5">
        <v>2807</v>
      </c>
      <c r="AC308" s="5">
        <v>3083</v>
      </c>
      <c r="AD308" s="5">
        <v>3154</v>
      </c>
      <c r="AE308" s="90">
        <v>4.2380000000000004</v>
      </c>
      <c r="AF308" s="90">
        <v>4.2530000000000001</v>
      </c>
      <c r="AG308" s="90">
        <v>4.6159999999999997</v>
      </c>
      <c r="AH308" s="90">
        <v>4.0330000000000004</v>
      </c>
      <c r="AI308" s="90">
        <v>4.7229999999999999</v>
      </c>
      <c r="AJ308" s="90">
        <v>4.0880000000000001</v>
      </c>
      <c r="AK308" s="90">
        <v>4.3259999999999996</v>
      </c>
      <c r="AL308" s="90">
        <v>4.3040000000000003</v>
      </c>
      <c r="AM308" s="21">
        <v>0.24790000000000001</v>
      </c>
      <c r="AN308" s="21">
        <v>0.69869999999999999</v>
      </c>
      <c r="AO308" s="21">
        <v>0.84709999999999996</v>
      </c>
      <c r="AP308" s="21">
        <v>0.77639999999999998</v>
      </c>
      <c r="AQ308" s="21">
        <v>0.75490000000000002</v>
      </c>
      <c r="AR308" s="21">
        <v>0.80069999999999997</v>
      </c>
      <c r="AS308" s="21">
        <v>0.25409999999999999</v>
      </c>
      <c r="AT308" s="21">
        <v>-3.3700000000000001E-2</v>
      </c>
      <c r="AU308" s="21">
        <v>0.39400000000000002</v>
      </c>
      <c r="AV308" s="21">
        <v>0.36499999999999999</v>
      </c>
      <c r="AW308" s="21">
        <v>0.371</v>
      </c>
      <c r="AX308" s="21">
        <v>0.33700000000000002</v>
      </c>
      <c r="AY308" s="21">
        <v>0.372</v>
      </c>
      <c r="AZ308" s="21">
        <v>0.34599999999999997</v>
      </c>
      <c r="BA308" s="21">
        <v>0.36799999999999999</v>
      </c>
      <c r="BB308" s="21">
        <v>0.35499999999999998</v>
      </c>
      <c r="BC308" s="5">
        <v>1</v>
      </c>
      <c r="BD308" s="5">
        <v>1</v>
      </c>
      <c r="BE308" s="5">
        <v>1</v>
      </c>
      <c r="BF308" s="5">
        <v>1</v>
      </c>
      <c r="BG308" s="5">
        <v>1</v>
      </c>
      <c r="BH308" s="5">
        <v>1</v>
      </c>
      <c r="BI308" s="5">
        <v>1</v>
      </c>
      <c r="BJ308" s="5">
        <v>1</v>
      </c>
      <c r="BK308" s="90">
        <v>1</v>
      </c>
      <c r="BL308" s="90">
        <v>1</v>
      </c>
      <c r="BM308" s="90">
        <v>1</v>
      </c>
      <c r="BN308" s="90">
        <v>1</v>
      </c>
      <c r="BO308" s="90">
        <v>1</v>
      </c>
      <c r="BP308" s="90">
        <v>1</v>
      </c>
      <c r="BQ308" s="90">
        <v>1</v>
      </c>
      <c r="BR308" s="90">
        <v>1</v>
      </c>
      <c r="BS308" s="5" t="s">
        <v>4857</v>
      </c>
    </row>
    <row r="309" spans="1:71" s="30" customFormat="1" ht="17.100000000000001" customHeight="1">
      <c r="A309" s="14">
        <v>298</v>
      </c>
      <c r="B309" s="5" t="s">
        <v>3706</v>
      </c>
      <c r="C309" s="3" t="s">
        <v>3883</v>
      </c>
      <c r="D309" s="3" t="s">
        <v>3696</v>
      </c>
      <c r="E309" s="6" t="s">
        <v>3697</v>
      </c>
      <c r="F309" s="8" t="s">
        <v>5142</v>
      </c>
      <c r="G309" s="3" t="s">
        <v>3729</v>
      </c>
      <c r="H309" s="6" t="s">
        <v>3698</v>
      </c>
      <c r="I309" s="3" t="s">
        <v>3731</v>
      </c>
      <c r="J309" s="5" t="s">
        <v>4838</v>
      </c>
      <c r="K309" s="3" t="s">
        <v>5511</v>
      </c>
      <c r="L309" s="3" t="s">
        <v>3705</v>
      </c>
      <c r="M309" s="5">
        <v>3</v>
      </c>
      <c r="N309" s="21">
        <v>481.28399999999999</v>
      </c>
      <c r="O309" s="36" t="str">
        <f>HYPERLINK("http://ms.phosphosite.org:5080/cgi-bin/plot-msms.cgi?MassType=1&amp;NumAxis=1&amp;Mod1=170&amp;Mod4=170&amp;Mod5=170&amp;Mod9=170&amp;Pep=KGSKKAISKAQK&amp;Dta=/var/www/html/dta/S01/10558.3301.3.dta&amp;Global_Mod=CS57.0215", "3301")</f>
        <v>3301</v>
      </c>
      <c r="P309" s="36" t="str">
        <f>HYPERLINK("http://ms.phosphosite.org:5080/cgi-bin/plot-msms.cgi?MassType=1&amp;NumAxis=1&amp;Mod1=170&amp;Mod4=170&amp;Mod5=170&amp;Mod9=170&amp;Pep=KGSKKAISKAQK&amp;Dta=/var/www/html/dta/S01/10559.3256.3.dta&amp;Global_Mod=CS57.0215", "3256")</f>
        <v>3256</v>
      </c>
      <c r="Q309" s="36" t="str">
        <f>HYPERLINK("http://ms.phosphosite.org:5080/cgi-bin/plot-msms.cgi?MassType=1&amp;NumAxis=1&amp;Mod1=170&amp;Mod4=170&amp;Mod5=170&amp;Mod9=170&amp;Pep=KGSKKAISKAQK&amp;Dta=/var/www/html/dta/S01/10560.3246.3.dta&amp;Global_Mod=CS57.0215", "3246")</f>
        <v>3246</v>
      </c>
      <c r="R309" s="36" t="str">
        <f>HYPERLINK("http://ms.phosphosite.org:5080/cgi-bin/plot-msms.cgi?MassType=1&amp;NumAxis=1&amp;Mod1=170&amp;Mod4=170&amp;Mod5=170&amp;Mod9=170&amp;Pep=KGSKKAISKAQK&amp;Dta=/var/www/html/dta/S01/10561.3264.3.dta&amp;Global_Mod=CS57.0215", "3264")</f>
        <v>3264</v>
      </c>
      <c r="S309" s="35" t="s">
        <v>4854</v>
      </c>
      <c r="T309" s="36" t="str">
        <f>HYPERLINK("http://ms.phosphosite.org:5080/cgi-bin/plot-msms.cgi?MassType=1&amp;NumAxis=1&amp;Mod1=170&amp;Mod4=170&amp;Mod5=170&amp;Mod9=170&amp;Pep=KGSKKAISKAQK&amp;Dta=/var/www/html/dta/S01/10563.3285.3.dta&amp;Global_Mod=CS57.0215", "3285")</f>
        <v>3285</v>
      </c>
      <c r="U309" s="36" t="str">
        <f>HYPERLINK("http://ms.phosphosite.org:5080/cgi-bin/plot-msms.cgi?MassType=1&amp;NumAxis=1&amp;Mod1=170&amp;Mod4=170&amp;Mod5=170&amp;Mod9=170&amp;Pep=KGSKKAISKAQK&amp;Dta=/var/www/html/dta/S01/10564.3586.3.dta&amp;Global_Mod=CS57.0215", "3586")</f>
        <v>3586</v>
      </c>
      <c r="V309" s="36" t="str">
        <f>HYPERLINK("http://ms.phosphosite.org:5080/cgi-bin/plot-msms.cgi?MassType=1&amp;NumAxis=1&amp;Mod1=170&amp;Mod4=170&amp;Mod5=170&amp;Mod9=170&amp;Pep=KGSKKAISKAQK&amp;Dta=/var/www/html/dta/S01/10565.3657.3.dta&amp;Global_Mod=CS57.0215", "3657")</f>
        <v>3657</v>
      </c>
      <c r="W309" s="5">
        <v>2818</v>
      </c>
      <c r="X309" s="5">
        <v>2770</v>
      </c>
      <c r="Y309" s="5">
        <v>2757</v>
      </c>
      <c r="Z309" s="5">
        <v>2795</v>
      </c>
      <c r="AA309" s="3" t="s">
        <v>4854</v>
      </c>
      <c r="AB309" s="5">
        <v>2807</v>
      </c>
      <c r="AC309" s="5">
        <v>3083</v>
      </c>
      <c r="AD309" s="5">
        <v>3154</v>
      </c>
      <c r="AE309" s="90">
        <v>3.9260000000000002</v>
      </c>
      <c r="AF309" s="90">
        <v>3.6240000000000001</v>
      </c>
      <c r="AG309" s="90">
        <v>3.7280000000000002</v>
      </c>
      <c r="AH309" s="90">
        <v>4.016</v>
      </c>
      <c r="AI309" s="99" t="s">
        <v>4854</v>
      </c>
      <c r="AJ309" s="90">
        <v>3.8980000000000001</v>
      </c>
      <c r="AK309" s="90">
        <v>2.863</v>
      </c>
      <c r="AL309" s="90">
        <v>2.8570000000000002</v>
      </c>
      <c r="AM309" s="21">
        <v>0.30059999999999998</v>
      </c>
      <c r="AN309" s="21">
        <v>0.24030000000000001</v>
      </c>
      <c r="AO309" s="21">
        <v>-2.1829999999999998</v>
      </c>
      <c r="AP309" s="21">
        <v>0.41160000000000002</v>
      </c>
      <c r="AQ309" s="102" t="s">
        <v>4854</v>
      </c>
      <c r="AR309" s="21">
        <v>0.42130000000000001</v>
      </c>
      <c r="AS309" s="21">
        <v>0.29089999999999999</v>
      </c>
      <c r="AT309" s="21">
        <v>-9.2600000000000002E-2</v>
      </c>
      <c r="AU309" s="21">
        <v>0.318</v>
      </c>
      <c r="AV309" s="21">
        <v>0.19900000000000001</v>
      </c>
      <c r="AW309" s="21">
        <v>0.27200000000000002</v>
      </c>
      <c r="AX309" s="21">
        <v>0.248</v>
      </c>
      <c r="AY309" s="102" t="s">
        <v>4854</v>
      </c>
      <c r="AZ309" s="21">
        <v>0.27</v>
      </c>
      <c r="BA309" s="21">
        <v>2E-3</v>
      </c>
      <c r="BB309" s="21">
        <v>4.3999999999999997E-2</v>
      </c>
      <c r="BC309" s="5">
        <v>1</v>
      </c>
      <c r="BD309" s="5">
        <v>1</v>
      </c>
      <c r="BE309" s="5">
        <v>1</v>
      </c>
      <c r="BF309" s="5">
        <v>1</v>
      </c>
      <c r="BG309" s="3" t="s">
        <v>4854</v>
      </c>
      <c r="BH309" s="5">
        <v>1</v>
      </c>
      <c r="BI309" s="5">
        <v>1</v>
      </c>
      <c r="BJ309" s="5">
        <v>2</v>
      </c>
      <c r="BK309" s="90">
        <v>1</v>
      </c>
      <c r="BL309" s="90">
        <v>0.999</v>
      </c>
      <c r="BM309" s="90">
        <v>0.996</v>
      </c>
      <c r="BN309" s="90">
        <v>1</v>
      </c>
      <c r="BO309" s="99" t="s">
        <v>4854</v>
      </c>
      <c r="BP309" s="90">
        <v>1</v>
      </c>
      <c r="BQ309" s="90">
        <v>0.97699999999999998</v>
      </c>
      <c r="BR309" s="90">
        <v>0.98499999999999999</v>
      </c>
      <c r="BS309" s="5" t="s">
        <v>4857</v>
      </c>
    </row>
    <row r="310" spans="1:71" s="30" customFormat="1" ht="17.100000000000001" customHeight="1">
      <c r="A310" s="10">
        <v>299</v>
      </c>
      <c r="B310" s="10" t="s">
        <v>3707</v>
      </c>
      <c r="C310" s="4" t="s">
        <v>3883</v>
      </c>
      <c r="D310" s="4" t="s">
        <v>3696</v>
      </c>
      <c r="E310" s="7" t="s">
        <v>3697</v>
      </c>
      <c r="F310" s="10" t="s">
        <v>5131</v>
      </c>
      <c r="G310" s="4" t="s">
        <v>3729</v>
      </c>
      <c r="H310" s="7" t="s">
        <v>3698</v>
      </c>
      <c r="I310" s="4" t="s">
        <v>3731</v>
      </c>
      <c r="J310" s="10" t="s">
        <v>4838</v>
      </c>
      <c r="K310" s="4" t="s">
        <v>5512</v>
      </c>
      <c r="L310" s="4" t="s">
        <v>3708</v>
      </c>
      <c r="M310" s="10">
        <v>2</v>
      </c>
      <c r="N310" s="95">
        <v>479.29</v>
      </c>
      <c r="O310" s="37" t="str">
        <f>HYPERLINK("http://ms.phosphosite.org:5080/cgi-bin/plot-msms.cgi?MassType=1&amp;NumAxis=1&amp;Mod1=170&amp;Mod5=170&amp;Pep=KAISKAQK&amp;Dta=/var/www/html/dta/S01/10558.1940.2.dta&amp;Global_Mod=CS57.0215", "1940")</f>
        <v>1940</v>
      </c>
      <c r="P310" s="37" t="str">
        <f>HYPERLINK("http://ms.phosphosite.org:5080/cgi-bin/plot-msms.cgi?MassType=1&amp;NumAxis=1&amp;Mod1=170&amp;Mod5=170&amp;Pep=KAISKAQK&amp;Dta=/var/www/html/dta/S01/10559.1928.2.dta&amp;Global_Mod=CS57.0215", "1928")</f>
        <v>1928</v>
      </c>
      <c r="Q310" s="37" t="str">
        <f>HYPERLINK("http://ms.phosphosite.org:5080/cgi-bin/plot-msms.cgi?MassType=1&amp;NumAxis=1&amp;Mod1=170&amp;Mod5=170&amp;Pep=KAISKAQK&amp;Dta=/var/www/html/dta/S01/10560.1889.2.dta&amp;Global_Mod=CS57.0215", "1889")</f>
        <v>1889</v>
      </c>
      <c r="R310" s="37" t="str">
        <f>HYPERLINK("http://ms.phosphosite.org:5080/cgi-bin/plot-msms.cgi?MassType=1&amp;NumAxis=1&amp;Mod1=170&amp;Mod5=170&amp;Pep=KAISKAQK&amp;Dta=/var/www/html/dta/S01/10561.1917.2.dta&amp;Global_Mod=CS57.0215", "1917")</f>
        <v>1917</v>
      </c>
      <c r="S310" s="37" t="str">
        <f>HYPERLINK("http://ms.phosphosite.org:5080/cgi-bin/plot-msms.cgi?MassType=1&amp;NumAxis=1&amp;Mod1=170&amp;Mod5=170&amp;Pep=KAISKAQK&amp;Dta=/var/www/html/dta/S01/10562.1991.2.dta&amp;Global_Mod=CS57.0215", "1991")</f>
        <v>1991</v>
      </c>
      <c r="T310" s="37" t="str">
        <f>HYPERLINK("http://ms.phosphosite.org:5080/cgi-bin/plot-msms.cgi?MassType=1&amp;NumAxis=1&amp;Mod1=170&amp;Mod5=170&amp;Pep=KAISKAQK&amp;Dta=/var/www/html/dta/S01/10563.1907.2.dta&amp;Global_Mod=CS57.0215", "1907")</f>
        <v>1907</v>
      </c>
      <c r="U310" s="37" t="str">
        <f>HYPERLINK("http://ms.phosphosite.org:5080/cgi-bin/plot-msms.cgi?MassType=1&amp;NumAxis=1&amp;Mod1=170&amp;Mod5=170&amp;Pep=KAISKAQK&amp;Dta=/var/www/html/dta/S01/10564.2168.2.dta&amp;Global_Mod=CS57.0215", "2168")</f>
        <v>2168</v>
      </c>
      <c r="V310" s="37" t="str">
        <f>HYPERLINK("http://ms.phosphosite.org:5080/cgi-bin/plot-msms.cgi?MassType=1&amp;NumAxis=1&amp;Mod1=170&amp;Mod5=170&amp;Pep=KAISKAQK&amp;Dta=/var/www/html/dta/S01/10565.2210.2.dta&amp;Global_Mod=CS57.0215", "2210")</f>
        <v>2210</v>
      </c>
      <c r="W310" s="10">
        <v>1567</v>
      </c>
      <c r="X310" s="10">
        <v>1590</v>
      </c>
      <c r="Y310" s="10">
        <v>1572</v>
      </c>
      <c r="Z310" s="10">
        <v>1533</v>
      </c>
      <c r="AA310" s="10">
        <v>1600</v>
      </c>
      <c r="AB310" s="10">
        <v>1515</v>
      </c>
      <c r="AC310" s="10">
        <v>1793</v>
      </c>
      <c r="AD310" s="10">
        <v>1840</v>
      </c>
      <c r="AE310" s="91">
        <v>2.2280000000000002</v>
      </c>
      <c r="AF310" s="91">
        <v>2.9220000000000002</v>
      </c>
      <c r="AG310" s="91">
        <v>2.4769999999999999</v>
      </c>
      <c r="AH310" s="91">
        <v>2.1869999999999998</v>
      </c>
      <c r="AI310" s="91">
        <v>2.5329999999999999</v>
      </c>
      <c r="AJ310" s="91">
        <v>2.3559999999999999</v>
      </c>
      <c r="AK310" s="91">
        <v>2.3570000000000002</v>
      </c>
      <c r="AL310" s="91">
        <v>2.1800000000000002</v>
      </c>
      <c r="AM310" s="95">
        <v>-0.16189999999999999</v>
      </c>
      <c r="AN310" s="95">
        <v>0.1409</v>
      </c>
      <c r="AO310" s="95">
        <v>2.1899999999999999E-2</v>
      </c>
      <c r="AP310" s="95">
        <v>-6.2700000000000006E-2</v>
      </c>
      <c r="AQ310" s="95">
        <v>-3.4500000000000003E-2</v>
      </c>
      <c r="AR310" s="95">
        <v>0.4521</v>
      </c>
      <c r="AS310" s="95">
        <v>-0.31019999999999998</v>
      </c>
      <c r="AT310" s="95">
        <v>-0.61509999999999998</v>
      </c>
      <c r="AU310" s="95">
        <v>0.104</v>
      </c>
      <c r="AV310" s="95">
        <v>0.108</v>
      </c>
      <c r="AW310" s="95">
        <v>9.2999999999999999E-2</v>
      </c>
      <c r="AX310" s="95">
        <v>6.2E-2</v>
      </c>
      <c r="AY310" s="95">
        <v>0.112</v>
      </c>
      <c r="AZ310" s="95">
        <v>0.06</v>
      </c>
      <c r="BA310" s="95">
        <v>0.13800000000000001</v>
      </c>
      <c r="BB310" s="95">
        <v>2.9000000000000001E-2</v>
      </c>
      <c r="BC310" s="10">
        <v>1</v>
      </c>
      <c r="BD310" s="10">
        <v>2</v>
      </c>
      <c r="BE310" s="10">
        <v>1</v>
      </c>
      <c r="BF310" s="10">
        <v>1</v>
      </c>
      <c r="BG310" s="10">
        <v>1</v>
      </c>
      <c r="BH310" s="10">
        <v>1</v>
      </c>
      <c r="BI310" s="10">
        <v>2</v>
      </c>
      <c r="BJ310" s="10">
        <v>1</v>
      </c>
      <c r="BK310" s="91">
        <v>0.99199999999999999</v>
      </c>
      <c r="BL310" s="91">
        <v>0.998</v>
      </c>
      <c r="BM310" s="91">
        <v>0.995</v>
      </c>
      <c r="BN310" s="91">
        <v>0.98599999999999999</v>
      </c>
      <c r="BO310" s="91">
        <v>0.997</v>
      </c>
      <c r="BP310" s="91">
        <v>0.99099999999999999</v>
      </c>
      <c r="BQ310" s="91">
        <v>0.995</v>
      </c>
      <c r="BR310" s="91">
        <v>0.95599999999999996</v>
      </c>
      <c r="BS310" s="10" t="s">
        <v>4857</v>
      </c>
    </row>
    <row r="311" spans="1:71" s="30" customFormat="1" ht="17.100000000000001" customHeight="1">
      <c r="A311" s="10">
        <v>300</v>
      </c>
      <c r="B311" s="10" t="s">
        <v>4210</v>
      </c>
      <c r="C311" s="4" t="s">
        <v>3883</v>
      </c>
      <c r="D311" s="4" t="s">
        <v>3696</v>
      </c>
      <c r="E311" s="7" t="s">
        <v>3697</v>
      </c>
      <c r="F311" s="10" t="s">
        <v>5131</v>
      </c>
      <c r="G311" s="4" t="s">
        <v>3729</v>
      </c>
      <c r="H311" s="7" t="s">
        <v>3698</v>
      </c>
      <c r="I311" s="4" t="s">
        <v>3731</v>
      </c>
      <c r="J311" s="10" t="s">
        <v>4838</v>
      </c>
      <c r="K311" s="4" t="s">
        <v>5512</v>
      </c>
      <c r="L311" s="4" t="s">
        <v>3709</v>
      </c>
      <c r="M311" s="10">
        <v>2</v>
      </c>
      <c r="N311" s="95">
        <v>543.33749999999998</v>
      </c>
      <c r="O311" s="38" t="s">
        <v>4854</v>
      </c>
      <c r="P311" s="38" t="s">
        <v>4854</v>
      </c>
      <c r="Q311" s="38" t="s">
        <v>4854</v>
      </c>
      <c r="R311" s="38" t="s">
        <v>4854</v>
      </c>
      <c r="S311" s="38" t="s">
        <v>4854</v>
      </c>
      <c r="T311" s="38" t="s">
        <v>4854</v>
      </c>
      <c r="U311" s="37" t="str">
        <f>HYPERLINK("http://ms.phosphosite.org:5080/cgi-bin/plot-msms.cgi?MassType=1&amp;NumAxis=1&amp;Mod1=170&amp;Mod5=170&amp;Pep=KAISKAQKK&amp;Dta=/var/www/html/dta/S01/10564.1704.2.dta&amp;Global_Mod=CS57.0215", "1704")</f>
        <v>1704</v>
      </c>
      <c r="V311" s="38" t="s">
        <v>4854</v>
      </c>
      <c r="W311" s="4" t="s">
        <v>4854</v>
      </c>
      <c r="X311" s="4" t="s">
        <v>4854</v>
      </c>
      <c r="Y311" s="4" t="s">
        <v>4854</v>
      </c>
      <c r="Z311" s="4" t="s">
        <v>4854</v>
      </c>
      <c r="AA311" s="4" t="s">
        <v>4854</v>
      </c>
      <c r="AB311" s="4" t="s">
        <v>4854</v>
      </c>
      <c r="AC311" s="4" t="s">
        <v>4854</v>
      </c>
      <c r="AD311" s="4" t="s">
        <v>4854</v>
      </c>
      <c r="AE311" s="100" t="s">
        <v>4854</v>
      </c>
      <c r="AF311" s="100" t="s">
        <v>4854</v>
      </c>
      <c r="AG311" s="100" t="s">
        <v>4854</v>
      </c>
      <c r="AH311" s="100" t="s">
        <v>4854</v>
      </c>
      <c r="AI311" s="100" t="s">
        <v>4854</v>
      </c>
      <c r="AJ311" s="100" t="s">
        <v>4854</v>
      </c>
      <c r="AK311" s="91">
        <v>2.1509999999999998</v>
      </c>
      <c r="AL311" s="100" t="s">
        <v>4854</v>
      </c>
      <c r="AM311" s="103" t="s">
        <v>4854</v>
      </c>
      <c r="AN311" s="103" t="s">
        <v>4854</v>
      </c>
      <c r="AO311" s="103" t="s">
        <v>4854</v>
      </c>
      <c r="AP311" s="103" t="s">
        <v>4854</v>
      </c>
      <c r="AQ311" s="103" t="s">
        <v>4854</v>
      </c>
      <c r="AR311" s="103" t="s">
        <v>4854</v>
      </c>
      <c r="AS311" s="95">
        <v>3.8600000000000002E-2</v>
      </c>
      <c r="AT311" s="103" t="s">
        <v>4854</v>
      </c>
      <c r="AU311" s="103" t="s">
        <v>4854</v>
      </c>
      <c r="AV311" s="103" t="s">
        <v>4854</v>
      </c>
      <c r="AW311" s="103" t="s">
        <v>4854</v>
      </c>
      <c r="AX311" s="103" t="s">
        <v>4854</v>
      </c>
      <c r="AY311" s="103" t="s">
        <v>4854</v>
      </c>
      <c r="AZ311" s="103" t="s">
        <v>4854</v>
      </c>
      <c r="BA311" s="95">
        <v>2.3E-2</v>
      </c>
      <c r="BB311" s="103" t="s">
        <v>4854</v>
      </c>
      <c r="BC311" s="4" t="s">
        <v>4854</v>
      </c>
      <c r="BD311" s="4" t="s">
        <v>4854</v>
      </c>
      <c r="BE311" s="4" t="s">
        <v>4854</v>
      </c>
      <c r="BF311" s="4" t="s">
        <v>4854</v>
      </c>
      <c r="BG311" s="4" t="s">
        <v>4854</v>
      </c>
      <c r="BH311" s="4" t="s">
        <v>4854</v>
      </c>
      <c r="BI311" s="10">
        <v>10</v>
      </c>
      <c r="BJ311" s="4" t="s">
        <v>4854</v>
      </c>
      <c r="BK311" s="100" t="s">
        <v>4854</v>
      </c>
      <c r="BL311" s="100" t="s">
        <v>4854</v>
      </c>
      <c r="BM311" s="100" t="s">
        <v>4854</v>
      </c>
      <c r="BN311" s="100" t="s">
        <v>4854</v>
      </c>
      <c r="BO311" s="100" t="s">
        <v>4854</v>
      </c>
      <c r="BP311" s="100" t="s">
        <v>4854</v>
      </c>
      <c r="BQ311" s="91">
        <v>0.94099999999999995</v>
      </c>
      <c r="BR311" s="100" t="s">
        <v>4854</v>
      </c>
      <c r="BS311" s="10" t="s">
        <v>4857</v>
      </c>
    </row>
    <row r="312" spans="1:71" s="30" customFormat="1" ht="17.100000000000001" customHeight="1">
      <c r="A312" s="14">
        <v>301</v>
      </c>
      <c r="B312" s="5" t="s">
        <v>3710</v>
      </c>
      <c r="C312" s="3" t="s">
        <v>3883</v>
      </c>
      <c r="D312" s="3" t="s">
        <v>3711</v>
      </c>
      <c r="E312" s="6" t="s">
        <v>3712</v>
      </c>
      <c r="F312" s="5" t="s">
        <v>5308</v>
      </c>
      <c r="G312" s="3" t="s">
        <v>3729</v>
      </c>
      <c r="H312" s="6" t="s">
        <v>3713</v>
      </c>
      <c r="I312" s="3" t="s">
        <v>3731</v>
      </c>
      <c r="J312" s="5" t="s">
        <v>3714</v>
      </c>
      <c r="K312" s="3" t="s">
        <v>5513</v>
      </c>
      <c r="L312" s="3" t="s">
        <v>3715</v>
      </c>
      <c r="M312" s="5">
        <v>2</v>
      </c>
      <c r="N312" s="21">
        <v>654.32950000000005</v>
      </c>
      <c r="O312" s="35" t="s">
        <v>4854</v>
      </c>
      <c r="P312" s="36" t="str">
        <f>HYPERLINK("http://ms.phosphosite.org:5080/cgi-bin/plot-msms.cgi?MassType=1&amp;NumAxis=1&amp;Mod1=170&amp;Pep=KESYSVYVYK&amp;Dta=/var/www/html/dta/S01/10559.6073.2.dta&amp;Global_Mod=CS57.0215", "6073")</f>
        <v>6073</v>
      </c>
      <c r="Q312" s="35" t="s">
        <v>4854</v>
      </c>
      <c r="R312" s="35" t="s">
        <v>4854</v>
      </c>
      <c r="S312" s="35" t="s">
        <v>4854</v>
      </c>
      <c r="T312" s="35" t="s">
        <v>4854</v>
      </c>
      <c r="U312" s="35" t="s">
        <v>4854</v>
      </c>
      <c r="V312" s="35" t="s">
        <v>4854</v>
      </c>
      <c r="W312" s="3" t="s">
        <v>4854</v>
      </c>
      <c r="X312" s="5">
        <v>6074</v>
      </c>
      <c r="Y312" s="3" t="s">
        <v>4854</v>
      </c>
      <c r="Z312" s="3" t="s">
        <v>4854</v>
      </c>
      <c r="AA312" s="3" t="s">
        <v>4854</v>
      </c>
      <c r="AB312" s="3" t="s">
        <v>4854</v>
      </c>
      <c r="AC312" s="3" t="s">
        <v>4854</v>
      </c>
      <c r="AD312" s="3" t="s">
        <v>4854</v>
      </c>
      <c r="AE312" s="99" t="s">
        <v>4854</v>
      </c>
      <c r="AF312" s="90">
        <v>1.923</v>
      </c>
      <c r="AG312" s="99" t="s">
        <v>4854</v>
      </c>
      <c r="AH312" s="99" t="s">
        <v>4854</v>
      </c>
      <c r="AI312" s="99" t="s">
        <v>4854</v>
      </c>
      <c r="AJ312" s="99" t="s">
        <v>4854</v>
      </c>
      <c r="AK312" s="99" t="s">
        <v>4854</v>
      </c>
      <c r="AL312" s="99" t="s">
        <v>4854</v>
      </c>
      <c r="AM312" s="102" t="s">
        <v>4854</v>
      </c>
      <c r="AN312" s="21">
        <v>0.152</v>
      </c>
      <c r="AO312" s="102" t="s">
        <v>4854</v>
      </c>
      <c r="AP312" s="102" t="s">
        <v>4854</v>
      </c>
      <c r="AQ312" s="102" t="s">
        <v>4854</v>
      </c>
      <c r="AR312" s="102" t="s">
        <v>4854</v>
      </c>
      <c r="AS312" s="102" t="s">
        <v>4854</v>
      </c>
      <c r="AT312" s="102" t="s">
        <v>4854</v>
      </c>
      <c r="AU312" s="102" t="s">
        <v>4854</v>
      </c>
      <c r="AV312" s="21">
        <v>0.03</v>
      </c>
      <c r="AW312" s="102" t="s">
        <v>4854</v>
      </c>
      <c r="AX312" s="102" t="s">
        <v>4854</v>
      </c>
      <c r="AY312" s="102" t="s">
        <v>4854</v>
      </c>
      <c r="AZ312" s="102" t="s">
        <v>4854</v>
      </c>
      <c r="BA312" s="102" t="s">
        <v>4854</v>
      </c>
      <c r="BB312" s="102" t="s">
        <v>4854</v>
      </c>
      <c r="BC312" s="3" t="s">
        <v>4854</v>
      </c>
      <c r="BD312" s="5">
        <v>6</v>
      </c>
      <c r="BE312" s="3" t="s">
        <v>4854</v>
      </c>
      <c r="BF312" s="3" t="s">
        <v>4854</v>
      </c>
      <c r="BG312" s="3" t="s">
        <v>4854</v>
      </c>
      <c r="BH312" s="3" t="s">
        <v>4854</v>
      </c>
      <c r="BI312" s="3" t="s">
        <v>4854</v>
      </c>
      <c r="BJ312" s="3" t="s">
        <v>4854</v>
      </c>
      <c r="BK312" s="99" t="s">
        <v>4854</v>
      </c>
      <c r="BL312" s="90">
        <v>0.98299999999999998</v>
      </c>
      <c r="BM312" s="99" t="s">
        <v>4854</v>
      </c>
      <c r="BN312" s="99" t="s">
        <v>4854</v>
      </c>
      <c r="BO312" s="99" t="s">
        <v>4854</v>
      </c>
      <c r="BP312" s="99" t="s">
        <v>4854</v>
      </c>
      <c r="BQ312" s="99" t="s">
        <v>4854</v>
      </c>
      <c r="BR312" s="99" t="s">
        <v>4854</v>
      </c>
      <c r="BS312" s="5" t="s">
        <v>4857</v>
      </c>
    </row>
    <row r="313" spans="1:71" s="30" customFormat="1" ht="17.100000000000001" customHeight="1">
      <c r="A313" s="10">
        <v>302</v>
      </c>
      <c r="B313" s="10" t="s">
        <v>3716</v>
      </c>
      <c r="C313" s="4" t="s">
        <v>3883</v>
      </c>
      <c r="D313" s="4" t="s">
        <v>3717</v>
      </c>
      <c r="E313" s="7" t="s">
        <v>3718</v>
      </c>
      <c r="F313" s="9" t="s">
        <v>5014</v>
      </c>
      <c r="G313" s="4" t="s">
        <v>3719</v>
      </c>
      <c r="H313" s="7" t="s">
        <v>3720</v>
      </c>
      <c r="I313" s="4" t="s">
        <v>3678</v>
      </c>
      <c r="J313" s="10" t="s">
        <v>3679</v>
      </c>
      <c r="K313" s="4" t="s">
        <v>5514</v>
      </c>
      <c r="L313" s="4" t="s">
        <v>3680</v>
      </c>
      <c r="M313" s="10">
        <v>2</v>
      </c>
      <c r="N313" s="95">
        <v>833.48030000000006</v>
      </c>
      <c r="O313" s="37" t="str">
        <f>HYPERLINK("http://ms.phosphosite.org:5080/cgi-bin/plot-msms.cgi?MassType=1&amp;NumAxis=1&amp;Mod6=170&amp;Mod7=170&amp;Mod10=170&amp;Mod11=170&amp;Pep=SAPAPKKGSKKAVTK&amp;Dta=/var/www/html/dta/S01/10558.3492.2.dta&amp;Global_Mod=CS57.0215", "3492")</f>
        <v>3492</v>
      </c>
      <c r="P313" s="37" t="str">
        <f>HYPERLINK("http://ms.phosphosite.org:5080/cgi-bin/plot-msms.cgi?MassType=1&amp;NumAxis=1&amp;Mod6=170&amp;Mod7=170&amp;Mod10=170&amp;Mod11=170&amp;Pep=SAPAPKKGSKKAVTK&amp;Dta=/var/www/html/dta/S01/10559.3461.2.dta&amp;Global_Mod=CS57.0215", "3461")</f>
        <v>3461</v>
      </c>
      <c r="Q313" s="37" t="str">
        <f>HYPERLINK("http://ms.phosphosite.org:5080/cgi-bin/plot-msms.cgi?MassType=1&amp;NumAxis=1&amp;Mod6=170&amp;Mod7=170&amp;Mod10=170&amp;Mod11=170&amp;Pep=SAPAPKKGSKKAVTK&amp;Dta=/var/www/html/dta/S01/10560.3457.2.dta&amp;Global_Mod=CS57.0215", "3457")</f>
        <v>3457</v>
      </c>
      <c r="R313" s="38" t="s">
        <v>4854</v>
      </c>
      <c r="S313" s="38" t="s">
        <v>4854</v>
      </c>
      <c r="T313" s="38" t="s">
        <v>4854</v>
      </c>
      <c r="U313" s="38" t="s">
        <v>4854</v>
      </c>
      <c r="V313" s="37" t="str">
        <f>HYPERLINK("http://ms.phosphosite.org:5080/cgi-bin/plot-msms.cgi?MassType=1&amp;NumAxis=1&amp;Mod6=170&amp;Mod7=170&amp;Mod10=170&amp;Mod11=170&amp;Pep=SAPAPKKGSKKAVTK&amp;Dta=/var/www/html/dta/S01/10565.3849.2.dta&amp;Global_Mod=CS57.0215", "3849")</f>
        <v>3849</v>
      </c>
      <c r="W313" s="10">
        <v>3495</v>
      </c>
      <c r="X313" s="10">
        <v>3464</v>
      </c>
      <c r="Y313" s="10">
        <v>3459</v>
      </c>
      <c r="Z313" s="4" t="s">
        <v>4854</v>
      </c>
      <c r="AA313" s="4" t="s">
        <v>4854</v>
      </c>
      <c r="AB313" s="4" t="s">
        <v>4854</v>
      </c>
      <c r="AC313" s="4" t="s">
        <v>4854</v>
      </c>
      <c r="AD313" s="10">
        <v>3839</v>
      </c>
      <c r="AE313" s="91">
        <v>2.4550000000000001</v>
      </c>
      <c r="AF313" s="91">
        <v>3.0920000000000001</v>
      </c>
      <c r="AG313" s="91">
        <v>3.173</v>
      </c>
      <c r="AH313" s="100" t="s">
        <v>4854</v>
      </c>
      <c r="AI313" s="100" t="s">
        <v>4854</v>
      </c>
      <c r="AJ313" s="100" t="s">
        <v>4854</v>
      </c>
      <c r="AK313" s="100" t="s">
        <v>4854</v>
      </c>
      <c r="AL313" s="91">
        <v>3.1840000000000002</v>
      </c>
      <c r="AM313" s="95">
        <v>0.4778</v>
      </c>
      <c r="AN313" s="95">
        <v>1.0570999999999999</v>
      </c>
      <c r="AO313" s="95">
        <v>1.0186999999999999</v>
      </c>
      <c r="AP313" s="103" t="s">
        <v>4854</v>
      </c>
      <c r="AQ313" s="103" t="s">
        <v>4854</v>
      </c>
      <c r="AR313" s="103" t="s">
        <v>4854</v>
      </c>
      <c r="AS313" s="103" t="s">
        <v>4854</v>
      </c>
      <c r="AT313" s="95">
        <v>1.1855</v>
      </c>
      <c r="AU313" s="95">
        <v>0.29199999999999998</v>
      </c>
      <c r="AV313" s="95">
        <v>0.48099999999999998</v>
      </c>
      <c r="AW313" s="95">
        <v>0.48799999999999999</v>
      </c>
      <c r="AX313" s="103" t="s">
        <v>4854</v>
      </c>
      <c r="AY313" s="103" t="s">
        <v>4854</v>
      </c>
      <c r="AZ313" s="103" t="s">
        <v>4854</v>
      </c>
      <c r="BA313" s="103" t="s">
        <v>4854</v>
      </c>
      <c r="BB313" s="95">
        <v>0.442</v>
      </c>
      <c r="BC313" s="10">
        <v>1</v>
      </c>
      <c r="BD313" s="10">
        <v>1</v>
      </c>
      <c r="BE313" s="10">
        <v>1</v>
      </c>
      <c r="BF313" s="4" t="s">
        <v>4854</v>
      </c>
      <c r="BG313" s="4" t="s">
        <v>4854</v>
      </c>
      <c r="BH313" s="4" t="s">
        <v>4854</v>
      </c>
      <c r="BI313" s="4" t="s">
        <v>4854</v>
      </c>
      <c r="BJ313" s="10">
        <v>1</v>
      </c>
      <c r="BK313" s="91">
        <v>0.999</v>
      </c>
      <c r="BL313" s="91">
        <v>1</v>
      </c>
      <c r="BM313" s="91">
        <v>1</v>
      </c>
      <c r="BN313" s="100" t="s">
        <v>4854</v>
      </c>
      <c r="BO313" s="100" t="s">
        <v>4854</v>
      </c>
      <c r="BP313" s="100" t="s">
        <v>4854</v>
      </c>
      <c r="BQ313" s="100" t="s">
        <v>4854</v>
      </c>
      <c r="BR313" s="91">
        <v>1</v>
      </c>
      <c r="BS313" s="10" t="s">
        <v>4857</v>
      </c>
    </row>
    <row r="314" spans="1:71" s="30" customFormat="1" ht="17.100000000000001" customHeight="1">
      <c r="A314" s="10">
        <v>303</v>
      </c>
      <c r="B314" s="10" t="s">
        <v>4180</v>
      </c>
      <c r="C314" s="4" t="s">
        <v>3883</v>
      </c>
      <c r="D314" s="4" t="s">
        <v>3717</v>
      </c>
      <c r="E314" s="7" t="s">
        <v>3718</v>
      </c>
      <c r="F314" s="9" t="s">
        <v>5014</v>
      </c>
      <c r="G314" s="4" t="s">
        <v>3719</v>
      </c>
      <c r="H314" s="7" t="s">
        <v>3720</v>
      </c>
      <c r="I314" s="4" t="s">
        <v>3678</v>
      </c>
      <c r="J314" s="10" t="s">
        <v>3679</v>
      </c>
      <c r="K314" s="4" t="s">
        <v>5514</v>
      </c>
      <c r="L314" s="4" t="s">
        <v>3680</v>
      </c>
      <c r="M314" s="10">
        <v>3</v>
      </c>
      <c r="N314" s="95">
        <v>555.98929999999996</v>
      </c>
      <c r="O314" s="37" t="str">
        <f>HYPERLINK("http://ms.phosphosite.org:5080/cgi-bin/plot-msms.cgi?MassType=1&amp;NumAxis=1&amp;Mod6=170&amp;Mod7=170&amp;Mod10=170&amp;Mod11=170&amp;Pep=SAPAPKKGSKKAVTK&amp;Dta=/var/www/html/dta/S01/10558.3488.3.dta&amp;Global_Mod=CS57.0215", "3488")</f>
        <v>3488</v>
      </c>
      <c r="P314" s="38" t="s">
        <v>4854</v>
      </c>
      <c r="Q314" s="38" t="s">
        <v>4854</v>
      </c>
      <c r="R314" s="38" t="s">
        <v>4854</v>
      </c>
      <c r="S314" s="37" t="str">
        <f>HYPERLINK("http://ms.phosphosite.org:5080/cgi-bin/plot-msms.cgi?MassType=1&amp;NumAxis=1&amp;Mod6=170&amp;Mod7=170&amp;Mod10=170&amp;Mod11=170&amp;Pep=SAPAPKKGSKKAVTK&amp;Dta=/var/www/html/dta/S01/10562.3540.3.dta&amp;Global_Mod=CS57.0215", "3540")</f>
        <v>3540</v>
      </c>
      <c r="T314" s="37" t="str">
        <f>HYPERLINK("http://ms.phosphosite.org:5080/cgi-bin/plot-msms.cgi?MassType=1&amp;NumAxis=1&amp;Mod6=170&amp;Mod7=170&amp;Mod10=170&amp;Mod11=170&amp;Pep=SAPAPKKGSKKAVTK&amp;Dta=/var/www/html/dta/S01/10563.3478.3.dta&amp;Global_Mod=CS57.0215", "3478")</f>
        <v>3478</v>
      </c>
      <c r="U314" s="37" t="str">
        <f>HYPERLINK("http://ms.phosphosite.org:5080/cgi-bin/plot-msms.cgi?MassType=1&amp;NumAxis=1&amp;Mod6=170&amp;Mod7=170&amp;Mod10=170&amp;Mod11=170&amp;Pep=SAPAPKKGSKKAVTK&amp;Dta=/var/www/html/dta/S01/10564.3761.3.dta&amp;Global_Mod=CS57.0215", "3761")</f>
        <v>3761</v>
      </c>
      <c r="V314" s="37" t="str">
        <f>HYPERLINK("http://ms.phosphosite.org:5080/cgi-bin/plot-msms.cgi?MassType=1&amp;NumAxis=1&amp;Mod6=170&amp;Mod7=170&amp;Mod10=170&amp;Mod11=170&amp;Pep=SAPAPKKGSKKAVTK&amp;Dta=/var/www/html/dta/S01/10565.3834.3.dta&amp;Global_Mod=CS57.0215", "3834")</f>
        <v>3834</v>
      </c>
      <c r="W314" s="10">
        <v>3495</v>
      </c>
      <c r="X314" s="4" t="s">
        <v>4854</v>
      </c>
      <c r="Y314" s="4" t="s">
        <v>4854</v>
      </c>
      <c r="Z314" s="4" t="s">
        <v>4854</v>
      </c>
      <c r="AA314" s="10">
        <v>3554</v>
      </c>
      <c r="AB314" s="4" t="s">
        <v>4854</v>
      </c>
      <c r="AC314" s="10">
        <v>3769</v>
      </c>
      <c r="AD314" s="4" t="s">
        <v>4854</v>
      </c>
      <c r="AE314" s="91">
        <v>2.4969999999999999</v>
      </c>
      <c r="AF314" s="100" t="s">
        <v>4854</v>
      </c>
      <c r="AG314" s="100" t="s">
        <v>4854</v>
      </c>
      <c r="AH314" s="100" t="s">
        <v>4854</v>
      </c>
      <c r="AI314" s="91">
        <v>2.2240000000000002</v>
      </c>
      <c r="AJ314" s="91">
        <v>2.0289999999999999</v>
      </c>
      <c r="AK314" s="91">
        <v>1.879</v>
      </c>
      <c r="AL314" s="91">
        <v>1.978</v>
      </c>
      <c r="AM314" s="95">
        <v>-0.20230000000000001</v>
      </c>
      <c r="AN314" s="103" t="s">
        <v>4854</v>
      </c>
      <c r="AO314" s="103" t="s">
        <v>4854</v>
      </c>
      <c r="AP314" s="103" t="s">
        <v>4854</v>
      </c>
      <c r="AQ314" s="95">
        <v>0.26529999999999998</v>
      </c>
      <c r="AR314" s="95">
        <v>0.54630000000000001</v>
      </c>
      <c r="AS314" s="95">
        <v>0.34639999999999999</v>
      </c>
      <c r="AT314" s="95">
        <v>-0.1434</v>
      </c>
      <c r="AU314" s="95">
        <v>0.17899999999999999</v>
      </c>
      <c r="AV314" s="103" t="s">
        <v>4854</v>
      </c>
      <c r="AW314" s="103" t="s">
        <v>4854</v>
      </c>
      <c r="AX314" s="103" t="s">
        <v>4854</v>
      </c>
      <c r="AY314" s="95">
        <v>0.151</v>
      </c>
      <c r="AZ314" s="95">
        <v>5.0000000000000001E-3</v>
      </c>
      <c r="BA314" s="95">
        <v>0.106</v>
      </c>
      <c r="BB314" s="95">
        <v>6.2E-2</v>
      </c>
      <c r="BC314" s="10">
        <v>6</v>
      </c>
      <c r="BD314" s="4" t="s">
        <v>4854</v>
      </c>
      <c r="BE314" s="4" t="s">
        <v>4854</v>
      </c>
      <c r="BF314" s="4" t="s">
        <v>4854</v>
      </c>
      <c r="BG314" s="10">
        <v>1</v>
      </c>
      <c r="BH314" s="10">
        <v>396</v>
      </c>
      <c r="BI314" s="10">
        <v>1</v>
      </c>
      <c r="BJ314" s="10">
        <v>33</v>
      </c>
      <c r="BK314" s="91">
        <v>0.99399999999999999</v>
      </c>
      <c r="BL314" s="100" t="s">
        <v>4854</v>
      </c>
      <c r="BM314" s="100" t="s">
        <v>4854</v>
      </c>
      <c r="BN314" s="100" t="s">
        <v>4854</v>
      </c>
      <c r="BO314" s="91">
        <v>0.99199999999999999</v>
      </c>
      <c r="BP314" s="91">
        <v>0.73899999999999999</v>
      </c>
      <c r="BQ314" s="91">
        <v>0.97099999999999997</v>
      </c>
      <c r="BR314" s="91">
        <v>0.89700000000000002</v>
      </c>
      <c r="BS314" s="10" t="s">
        <v>4857</v>
      </c>
    </row>
    <row r="315" spans="1:71" s="30" customFormat="1" ht="17.100000000000001" customHeight="1">
      <c r="A315" s="14">
        <v>304</v>
      </c>
      <c r="B315" s="5" t="s">
        <v>3681</v>
      </c>
      <c r="C315" s="3" t="s">
        <v>3883</v>
      </c>
      <c r="D315" s="3" t="s">
        <v>3682</v>
      </c>
      <c r="E315" s="6" t="s">
        <v>3683</v>
      </c>
      <c r="F315" s="8" t="s">
        <v>5180</v>
      </c>
      <c r="G315" s="3" t="s">
        <v>3719</v>
      </c>
      <c r="H315" s="6" t="s">
        <v>3684</v>
      </c>
      <c r="I315" s="3" t="s">
        <v>3678</v>
      </c>
      <c r="J315" s="5" t="s">
        <v>3685</v>
      </c>
      <c r="K315" s="3" t="s">
        <v>5515</v>
      </c>
      <c r="L315" s="3" t="s">
        <v>3686</v>
      </c>
      <c r="M315" s="5">
        <v>2</v>
      </c>
      <c r="N315" s="21">
        <v>536.82169999999996</v>
      </c>
      <c r="O315" s="36" t="str">
        <f>HYPERLINK("http://ms.phosphosite.org:5080/cgi-bin/plot-msms.cgi?MassType=1&amp;NumAxis=1&amp;Mod1=170&amp;Mod4=170&amp;Mod5=170&amp;Pep=KGSKKAVTK&amp;Dta=/var/www/html/dta/S01/10558.1871.2.dta&amp;Global_Mod=CS57.0215", "1871")</f>
        <v>1871</v>
      </c>
      <c r="P315" s="36" t="str">
        <f>HYPERLINK("http://ms.phosphosite.org:5080/cgi-bin/plot-msms.cgi?MassType=1&amp;NumAxis=1&amp;Mod1=170&amp;Mod4=170&amp;Mod5=170&amp;Pep=KGSKKAVTK&amp;Dta=/var/www/html/dta/S01/10559.1827.2.dta&amp;Global_Mod=CS57.0215", "1827")</f>
        <v>1827</v>
      </c>
      <c r="Q315" s="36" t="str">
        <f>HYPERLINK("http://ms.phosphosite.org:5080/cgi-bin/plot-msms.cgi?MassType=1&amp;NumAxis=1&amp;Mod1=170&amp;Mod4=170&amp;Mod5=170&amp;Pep=KGSKKAVTK&amp;Dta=/var/www/html/dta/S01/10560.1785.2.dta&amp;Global_Mod=CS57.0215", "1785")</f>
        <v>1785</v>
      </c>
      <c r="R315" s="36" t="str">
        <f>HYPERLINK("http://ms.phosphosite.org:5080/cgi-bin/plot-msms.cgi?MassType=1&amp;NumAxis=1&amp;Mod1=170&amp;Mod4=170&amp;Mod5=170&amp;Pep=KGSKKAVTK&amp;Dta=/var/www/html/dta/S01/10561.1843.2.dta&amp;Global_Mod=CS57.0215", "1843")</f>
        <v>1843</v>
      </c>
      <c r="S315" s="36" t="str">
        <f>HYPERLINK("http://ms.phosphosite.org:5080/cgi-bin/plot-msms.cgi?MassType=1&amp;NumAxis=1&amp;Mod1=170&amp;Mod4=170&amp;Mod5=170&amp;Pep=KGSKKAVTK&amp;Dta=/var/www/html/dta/S01/10562.1890.2.dta&amp;Global_Mod=CS57.0215", "1890")</f>
        <v>1890</v>
      </c>
      <c r="T315" s="36" t="str">
        <f>HYPERLINK("http://ms.phosphosite.org:5080/cgi-bin/plot-msms.cgi?MassType=1&amp;NumAxis=1&amp;Mod1=170&amp;Mod4=170&amp;Mod5=170&amp;Pep=KGSKKAVTK&amp;Dta=/var/www/html/dta/S01/10563.1802.2.dta&amp;Global_Mod=CS57.0215", "1802")</f>
        <v>1802</v>
      </c>
      <c r="U315" s="36" t="str">
        <f>HYPERLINK("http://ms.phosphosite.org:5080/cgi-bin/plot-msms.cgi?MassType=1&amp;NumAxis=1&amp;Mod1=170&amp;Mod4=170&amp;Mod5=170&amp;Pep=KGSKKAVTK&amp;Dta=/var/www/html/dta/S01/10564.2081.2.dta&amp;Global_Mod=CS57.0215", "2081")</f>
        <v>2081</v>
      </c>
      <c r="V315" s="36" t="str">
        <f>HYPERLINK("http://ms.phosphosite.org:5080/cgi-bin/plot-msms.cgi?MassType=1&amp;NumAxis=1&amp;Mod1=170&amp;Mod4=170&amp;Mod5=170&amp;Pep=KGSKKAVTK&amp;Dta=/var/www/html/dta/S01/10565.2124.2.dta&amp;Global_Mod=CS57.0215", "2124")</f>
        <v>2124</v>
      </c>
      <c r="W315" s="5">
        <v>1862</v>
      </c>
      <c r="X315" s="5">
        <v>1854</v>
      </c>
      <c r="Y315" s="5">
        <v>1803</v>
      </c>
      <c r="Z315" s="5">
        <v>1852</v>
      </c>
      <c r="AA315" s="5">
        <v>1908</v>
      </c>
      <c r="AB315" s="5">
        <v>1823</v>
      </c>
      <c r="AC315" s="5">
        <v>2078</v>
      </c>
      <c r="AD315" s="5">
        <v>2125</v>
      </c>
      <c r="AE315" s="90">
        <v>1.97</v>
      </c>
      <c r="AF315" s="90">
        <v>3.08</v>
      </c>
      <c r="AG315" s="90">
        <v>3.504</v>
      </c>
      <c r="AH315" s="90">
        <v>2.4169999999999998</v>
      </c>
      <c r="AI315" s="90">
        <v>3.2410000000000001</v>
      </c>
      <c r="AJ315" s="90">
        <v>3.1890000000000001</v>
      </c>
      <c r="AK315" s="90">
        <v>2.6269999999999998</v>
      </c>
      <c r="AL315" s="90">
        <v>2.3519999999999999</v>
      </c>
      <c r="AM315" s="21">
        <v>-0.33900000000000002</v>
      </c>
      <c r="AN315" s="21">
        <v>-0.19450000000000001</v>
      </c>
      <c r="AO315" s="21">
        <v>-5.3699999999999998E-2</v>
      </c>
      <c r="AP315" s="21">
        <v>-0.12640000000000001</v>
      </c>
      <c r="AQ315" s="21">
        <v>-0.25879999999999997</v>
      </c>
      <c r="AR315" s="21">
        <v>4.7899999999999998E-2</v>
      </c>
      <c r="AS315" s="21">
        <v>-0.28120000000000001</v>
      </c>
      <c r="AT315" s="21">
        <v>-0.74360000000000004</v>
      </c>
      <c r="AU315" s="21">
        <v>0.113</v>
      </c>
      <c r="AV315" s="21">
        <v>0.185</v>
      </c>
      <c r="AW315" s="21">
        <v>0.193</v>
      </c>
      <c r="AX315" s="21">
        <v>0.2</v>
      </c>
      <c r="AY315" s="21">
        <v>0.191</v>
      </c>
      <c r="AZ315" s="21">
        <v>0.192</v>
      </c>
      <c r="BA315" s="21">
        <v>0.19500000000000001</v>
      </c>
      <c r="BB315" s="21">
        <v>0.18</v>
      </c>
      <c r="BC315" s="5">
        <v>1</v>
      </c>
      <c r="BD315" s="5">
        <v>1</v>
      </c>
      <c r="BE315" s="5">
        <v>1</v>
      </c>
      <c r="BF315" s="5">
        <v>1</v>
      </c>
      <c r="BG315" s="5">
        <v>1</v>
      </c>
      <c r="BH315" s="5">
        <v>1</v>
      </c>
      <c r="BI315" s="5">
        <v>1</v>
      </c>
      <c r="BJ315" s="5">
        <v>1</v>
      </c>
      <c r="BK315" s="90">
        <v>0.98399999999999999</v>
      </c>
      <c r="BL315" s="90">
        <v>0.999</v>
      </c>
      <c r="BM315" s="90">
        <v>1</v>
      </c>
      <c r="BN315" s="90">
        <v>0.998</v>
      </c>
      <c r="BO315" s="90">
        <v>1</v>
      </c>
      <c r="BP315" s="90">
        <v>0.999</v>
      </c>
      <c r="BQ315" s="90">
        <v>0.999</v>
      </c>
      <c r="BR315" s="90">
        <v>0.99399999999999999</v>
      </c>
      <c r="BS315" s="5" t="s">
        <v>4857</v>
      </c>
    </row>
    <row r="316" spans="1:71" s="30" customFormat="1" ht="17.100000000000001" customHeight="1">
      <c r="A316" s="14">
        <v>305</v>
      </c>
      <c r="B316" s="5" t="s">
        <v>3687</v>
      </c>
      <c r="C316" s="3" t="s">
        <v>3883</v>
      </c>
      <c r="D316" s="3" t="s">
        <v>3682</v>
      </c>
      <c r="E316" s="6" t="s">
        <v>3683</v>
      </c>
      <c r="F316" s="8" t="s">
        <v>5180</v>
      </c>
      <c r="G316" s="3" t="s">
        <v>3719</v>
      </c>
      <c r="H316" s="6" t="s">
        <v>3684</v>
      </c>
      <c r="I316" s="3" t="s">
        <v>3678</v>
      </c>
      <c r="J316" s="5" t="s">
        <v>3685</v>
      </c>
      <c r="K316" s="3" t="s">
        <v>5515</v>
      </c>
      <c r="L316" s="3" t="s">
        <v>3686</v>
      </c>
      <c r="M316" s="5">
        <v>2</v>
      </c>
      <c r="N316" s="21">
        <v>536.82169999999996</v>
      </c>
      <c r="O316" s="35" t="s">
        <v>4854</v>
      </c>
      <c r="P316" s="35" t="s">
        <v>4854</v>
      </c>
      <c r="Q316" s="35" t="s">
        <v>4854</v>
      </c>
      <c r="R316" s="35" t="s">
        <v>4854</v>
      </c>
      <c r="S316" s="36" t="str">
        <f>HYPERLINK("http://ms.phosphosite.org:5080/cgi-bin/plot-msms.cgi?MassType=1&amp;NumAxis=1&amp;Mod1=170&amp;Mod4=170&amp;Mod5=170&amp;Pep=KGSKKAVTK&amp;Dta=/var/www/html/dta/S01/10562.1932.2.dta&amp;Global_Mod=CS57.0215", "1932")</f>
        <v>1932</v>
      </c>
      <c r="T316" s="35" t="s">
        <v>4854</v>
      </c>
      <c r="U316" s="35" t="s">
        <v>4854</v>
      </c>
      <c r="V316" s="35" t="s">
        <v>4854</v>
      </c>
      <c r="W316" s="3" t="s">
        <v>4854</v>
      </c>
      <c r="X316" s="3" t="s">
        <v>4854</v>
      </c>
      <c r="Y316" s="3" t="s">
        <v>4854</v>
      </c>
      <c r="Z316" s="3" t="s">
        <v>4854</v>
      </c>
      <c r="AA316" s="5">
        <v>1908</v>
      </c>
      <c r="AB316" s="3" t="s">
        <v>4854</v>
      </c>
      <c r="AC316" s="3" t="s">
        <v>4854</v>
      </c>
      <c r="AD316" s="3" t="s">
        <v>4854</v>
      </c>
      <c r="AE316" s="99" t="s">
        <v>4854</v>
      </c>
      <c r="AF316" s="99" t="s">
        <v>4854</v>
      </c>
      <c r="AG316" s="99" t="s">
        <v>4854</v>
      </c>
      <c r="AH316" s="99" t="s">
        <v>4854</v>
      </c>
      <c r="AI316" s="90">
        <v>3.1989999999999998</v>
      </c>
      <c r="AJ316" s="99" t="s">
        <v>4854</v>
      </c>
      <c r="AK316" s="99" t="s">
        <v>4854</v>
      </c>
      <c r="AL316" s="99" t="s">
        <v>4854</v>
      </c>
      <c r="AM316" s="102" t="s">
        <v>4854</v>
      </c>
      <c r="AN316" s="102" t="s">
        <v>4854</v>
      </c>
      <c r="AO316" s="102" t="s">
        <v>4854</v>
      </c>
      <c r="AP316" s="102" t="s">
        <v>4854</v>
      </c>
      <c r="AQ316" s="21">
        <v>-0.25879999999999997</v>
      </c>
      <c r="AR316" s="102" t="s">
        <v>4854</v>
      </c>
      <c r="AS316" s="102" t="s">
        <v>4854</v>
      </c>
      <c r="AT316" s="102" t="s">
        <v>4854</v>
      </c>
      <c r="AU316" s="102" t="s">
        <v>4854</v>
      </c>
      <c r="AV316" s="102" t="s">
        <v>4854</v>
      </c>
      <c r="AW316" s="102" t="s">
        <v>4854</v>
      </c>
      <c r="AX316" s="102" t="s">
        <v>4854</v>
      </c>
      <c r="AY316" s="21">
        <v>0.20899999999999999</v>
      </c>
      <c r="AZ316" s="102" t="s">
        <v>4854</v>
      </c>
      <c r="BA316" s="102" t="s">
        <v>4854</v>
      </c>
      <c r="BB316" s="102" t="s">
        <v>4854</v>
      </c>
      <c r="BC316" s="3" t="s">
        <v>4854</v>
      </c>
      <c r="BD316" s="3" t="s">
        <v>4854</v>
      </c>
      <c r="BE316" s="3" t="s">
        <v>4854</v>
      </c>
      <c r="BF316" s="3" t="s">
        <v>4854</v>
      </c>
      <c r="BG316" s="5">
        <v>1</v>
      </c>
      <c r="BH316" s="3" t="s">
        <v>4854</v>
      </c>
      <c r="BI316" s="3" t="s">
        <v>4854</v>
      </c>
      <c r="BJ316" s="3" t="s">
        <v>4854</v>
      </c>
      <c r="BK316" s="99" t="s">
        <v>4854</v>
      </c>
      <c r="BL316" s="99" t="s">
        <v>4854</v>
      </c>
      <c r="BM316" s="99" t="s">
        <v>4854</v>
      </c>
      <c r="BN316" s="99" t="s">
        <v>4854</v>
      </c>
      <c r="BO316" s="90">
        <v>1</v>
      </c>
      <c r="BP316" s="99" t="s">
        <v>4854</v>
      </c>
      <c r="BQ316" s="99" t="s">
        <v>4854</v>
      </c>
      <c r="BR316" s="99" t="s">
        <v>4854</v>
      </c>
      <c r="BS316" s="5" t="s">
        <v>4857</v>
      </c>
    </row>
    <row r="317" spans="1:71" s="30" customFormat="1" ht="17.100000000000001" customHeight="1">
      <c r="A317" s="10">
        <v>306</v>
      </c>
      <c r="B317" s="10" t="s">
        <v>3688</v>
      </c>
      <c r="C317" s="4" t="s">
        <v>3883</v>
      </c>
      <c r="D317" s="4" t="s">
        <v>3689</v>
      </c>
      <c r="E317" s="7" t="s">
        <v>3690</v>
      </c>
      <c r="F317" s="9" t="s">
        <v>5145</v>
      </c>
      <c r="G317" s="4" t="s">
        <v>3719</v>
      </c>
      <c r="H317" s="7" t="s">
        <v>3691</v>
      </c>
      <c r="I317" s="4" t="s">
        <v>3678</v>
      </c>
      <c r="J317" s="10" t="s">
        <v>3679</v>
      </c>
      <c r="K317" s="4" t="s">
        <v>5516</v>
      </c>
      <c r="L317" s="4" t="s">
        <v>3666</v>
      </c>
      <c r="M317" s="10">
        <v>2</v>
      </c>
      <c r="N317" s="95">
        <v>721.42229999999995</v>
      </c>
      <c r="O317" s="37" t="str">
        <f>HYPERLINK("http://ms.phosphosite.org:5080/cgi-bin/plot-msms.cgi?MassType=1&amp;NumAxis=1&amp;Mod1=170&amp;Mod4=170&amp;Mod5=170&amp;Mod9=170&amp;Pep=KGSKKAVTKAQK&amp;Dta=/var/www/html/dta/S01/10558.2786.2.dta&amp;Global_Mod=CS57.0215", "2786")</f>
        <v>2786</v>
      </c>
      <c r="P317" s="37" t="str">
        <f>HYPERLINK("http://ms.phosphosite.org:5080/cgi-bin/plot-msms.cgi?MassType=1&amp;NumAxis=1&amp;Mod1=170&amp;Mod4=170&amp;Mod5=170&amp;Mod9=170&amp;Pep=KGSKKAVTKAQK&amp;Dta=/var/www/html/dta/S01/10559.2739.2.dta&amp;Global_Mod=CS57.0215", "2739")</f>
        <v>2739</v>
      </c>
      <c r="Q317" s="37" t="str">
        <f>HYPERLINK("http://ms.phosphosite.org:5080/cgi-bin/plot-msms.cgi?MassType=1&amp;NumAxis=1&amp;Mod1=170&amp;Mod4=170&amp;Mod5=170&amp;Mod9=170&amp;Pep=KGSKKAVTKAQK&amp;Dta=/var/www/html/dta/S01/10560.2725.2.dta&amp;Global_Mod=CS57.0215", "2725")</f>
        <v>2725</v>
      </c>
      <c r="R317" s="37" t="str">
        <f>HYPERLINK("http://ms.phosphosite.org:5080/cgi-bin/plot-msms.cgi?MassType=1&amp;NumAxis=1&amp;Mod1=170&amp;Mod4=170&amp;Mod5=170&amp;Mod9=170&amp;Pep=KGSKKAVTKAQK&amp;Dta=/var/www/html/dta/S01/10561.2830.2.dta&amp;Global_Mod=CS57.0215", "2830")</f>
        <v>2830</v>
      </c>
      <c r="S317" s="37" t="str">
        <f>HYPERLINK("http://ms.phosphosite.org:5080/cgi-bin/plot-msms.cgi?MassType=1&amp;NumAxis=1&amp;Mod1=170&amp;Mod4=170&amp;Mod5=170&amp;Mod9=170&amp;Pep=KGSKKAVTKAQK&amp;Dta=/var/www/html/dta/S01/10562.2835.2.dta&amp;Global_Mod=CS57.0215", "2835")</f>
        <v>2835</v>
      </c>
      <c r="T317" s="38" t="s">
        <v>4854</v>
      </c>
      <c r="U317" s="37" t="str">
        <f>HYPERLINK("http://ms.phosphosite.org:5080/cgi-bin/plot-msms.cgi?MassType=1&amp;NumAxis=1&amp;Mod1=170&amp;Mod4=170&amp;Mod5=170&amp;Mod9=170&amp;Pep=KGSKKAVTKAQK&amp;Dta=/var/www/html/dta/S01/10564.3052.2.dta&amp;Global_Mod=CS57.0215", "3052")</f>
        <v>3052</v>
      </c>
      <c r="V317" s="37" t="str">
        <f>HYPERLINK("http://ms.phosphosite.org:5080/cgi-bin/plot-msms.cgi?MassType=1&amp;NumAxis=1&amp;Mod1=170&amp;Mod4=170&amp;Mod5=170&amp;Mod9=170&amp;Pep=KGSKKAVTKAQK&amp;Dta=/var/www/html/dta/S01/10565.3124.2.dta&amp;Global_Mod=CS57.0215", "3124")</f>
        <v>3124</v>
      </c>
      <c r="W317" s="10">
        <v>2818</v>
      </c>
      <c r="X317" s="10">
        <v>2770</v>
      </c>
      <c r="Y317" s="10">
        <v>2757</v>
      </c>
      <c r="Z317" s="10">
        <v>2795</v>
      </c>
      <c r="AA317" s="10">
        <v>2866</v>
      </c>
      <c r="AB317" s="4" t="s">
        <v>4854</v>
      </c>
      <c r="AC317" s="10">
        <v>3083</v>
      </c>
      <c r="AD317" s="10">
        <v>3154</v>
      </c>
      <c r="AE317" s="91">
        <v>4.3710000000000004</v>
      </c>
      <c r="AF317" s="91">
        <v>4.1559999999999997</v>
      </c>
      <c r="AG317" s="91">
        <v>4.3550000000000004</v>
      </c>
      <c r="AH317" s="91">
        <v>4.5679999999999996</v>
      </c>
      <c r="AI317" s="91">
        <v>4.2850000000000001</v>
      </c>
      <c r="AJ317" s="100" t="s">
        <v>4854</v>
      </c>
      <c r="AK317" s="91">
        <v>4.5330000000000004</v>
      </c>
      <c r="AL317" s="91">
        <v>4.3540000000000001</v>
      </c>
      <c r="AM317" s="95">
        <v>0.32279999999999998</v>
      </c>
      <c r="AN317" s="95">
        <v>0.35820000000000002</v>
      </c>
      <c r="AO317" s="95">
        <v>0.53569999999999995</v>
      </c>
      <c r="AP317" s="95">
        <v>0.56140000000000001</v>
      </c>
      <c r="AQ317" s="95">
        <v>0.46839999999999998</v>
      </c>
      <c r="AR317" s="103" t="s">
        <v>4854</v>
      </c>
      <c r="AS317" s="95">
        <v>0.13</v>
      </c>
      <c r="AT317" s="95">
        <v>-0.2979</v>
      </c>
      <c r="AU317" s="95">
        <v>0.27300000000000002</v>
      </c>
      <c r="AV317" s="95">
        <v>0.29899999999999999</v>
      </c>
      <c r="AW317" s="95">
        <v>0.29599999999999999</v>
      </c>
      <c r="AX317" s="95">
        <v>0.28299999999999997</v>
      </c>
      <c r="AY317" s="95">
        <v>0.29499999999999998</v>
      </c>
      <c r="AZ317" s="103" t="s">
        <v>4854</v>
      </c>
      <c r="BA317" s="95">
        <v>0.29699999999999999</v>
      </c>
      <c r="BB317" s="95">
        <v>0.26800000000000002</v>
      </c>
      <c r="BC317" s="10">
        <v>1</v>
      </c>
      <c r="BD317" s="10">
        <v>1</v>
      </c>
      <c r="BE317" s="10">
        <v>1</v>
      </c>
      <c r="BF317" s="10">
        <v>1</v>
      </c>
      <c r="BG317" s="10">
        <v>1</v>
      </c>
      <c r="BH317" s="4" t="s">
        <v>4854</v>
      </c>
      <c r="BI317" s="10">
        <v>1</v>
      </c>
      <c r="BJ317" s="10">
        <v>1</v>
      </c>
      <c r="BK317" s="91">
        <v>1</v>
      </c>
      <c r="BL317" s="91">
        <v>1</v>
      </c>
      <c r="BM317" s="91">
        <v>1</v>
      </c>
      <c r="BN317" s="91">
        <v>1</v>
      </c>
      <c r="BO317" s="91">
        <v>1</v>
      </c>
      <c r="BP317" s="100" t="s">
        <v>4854</v>
      </c>
      <c r="BQ317" s="91">
        <v>1</v>
      </c>
      <c r="BR317" s="91">
        <v>1</v>
      </c>
      <c r="BS317" s="10" t="s">
        <v>4857</v>
      </c>
    </row>
    <row r="318" spans="1:71" s="30" customFormat="1" ht="17.100000000000001" customHeight="1">
      <c r="A318" s="10">
        <v>307</v>
      </c>
      <c r="B318" s="10" t="s">
        <v>4340</v>
      </c>
      <c r="C318" s="4" t="s">
        <v>3883</v>
      </c>
      <c r="D318" s="4" t="s">
        <v>3689</v>
      </c>
      <c r="E318" s="7" t="s">
        <v>3690</v>
      </c>
      <c r="F318" s="9" t="s">
        <v>5145</v>
      </c>
      <c r="G318" s="4" t="s">
        <v>3719</v>
      </c>
      <c r="H318" s="7" t="s">
        <v>3691</v>
      </c>
      <c r="I318" s="4" t="s">
        <v>3678</v>
      </c>
      <c r="J318" s="10" t="s">
        <v>3679</v>
      </c>
      <c r="K318" s="4" t="s">
        <v>5516</v>
      </c>
      <c r="L318" s="4" t="s">
        <v>3666</v>
      </c>
      <c r="M318" s="10">
        <v>2</v>
      </c>
      <c r="N318" s="95">
        <v>721.42229999999995</v>
      </c>
      <c r="O318" s="38" t="s">
        <v>4854</v>
      </c>
      <c r="P318" s="38" t="s">
        <v>4854</v>
      </c>
      <c r="Q318" s="38" t="s">
        <v>4854</v>
      </c>
      <c r="R318" s="37" t="str">
        <f>HYPERLINK("http://ms.phosphosite.org:5080/cgi-bin/plot-msms.cgi?MassType=1&amp;NumAxis=1&amp;Mod1=170&amp;Mod4=170&amp;Mod5=170&amp;Mod9=170&amp;Pep=KGSKKAVTKAQK&amp;Dta=/var/www/html/dta/S01/10561.2750.2.dta&amp;Global_Mod=CS57.0215", "2750")</f>
        <v>2750</v>
      </c>
      <c r="S318" s="38" t="s">
        <v>4854</v>
      </c>
      <c r="T318" s="38" t="s">
        <v>4854</v>
      </c>
      <c r="U318" s="38" t="s">
        <v>4854</v>
      </c>
      <c r="V318" s="38" t="s">
        <v>4854</v>
      </c>
      <c r="W318" s="4" t="s">
        <v>4854</v>
      </c>
      <c r="X318" s="4" t="s">
        <v>4854</v>
      </c>
      <c r="Y318" s="4" t="s">
        <v>4854</v>
      </c>
      <c r="Z318" s="10">
        <v>2795</v>
      </c>
      <c r="AA318" s="4" t="s">
        <v>4854</v>
      </c>
      <c r="AB318" s="4" t="s">
        <v>4854</v>
      </c>
      <c r="AC318" s="4" t="s">
        <v>4854</v>
      </c>
      <c r="AD318" s="4" t="s">
        <v>4854</v>
      </c>
      <c r="AE318" s="100" t="s">
        <v>4854</v>
      </c>
      <c r="AF318" s="100" t="s">
        <v>4854</v>
      </c>
      <c r="AG318" s="100" t="s">
        <v>4854</v>
      </c>
      <c r="AH318" s="91">
        <v>4.16</v>
      </c>
      <c r="AI318" s="100" t="s">
        <v>4854</v>
      </c>
      <c r="AJ318" s="100" t="s">
        <v>4854</v>
      </c>
      <c r="AK318" s="100" t="s">
        <v>4854</v>
      </c>
      <c r="AL318" s="100" t="s">
        <v>4854</v>
      </c>
      <c r="AM318" s="103" t="s">
        <v>4854</v>
      </c>
      <c r="AN318" s="103" t="s">
        <v>4854</v>
      </c>
      <c r="AO318" s="103" t="s">
        <v>4854</v>
      </c>
      <c r="AP318" s="95">
        <v>0.56140000000000001</v>
      </c>
      <c r="AQ318" s="103" t="s">
        <v>4854</v>
      </c>
      <c r="AR318" s="103" t="s">
        <v>4854</v>
      </c>
      <c r="AS318" s="103" t="s">
        <v>4854</v>
      </c>
      <c r="AT318" s="103" t="s">
        <v>4854</v>
      </c>
      <c r="AU318" s="103" t="s">
        <v>4854</v>
      </c>
      <c r="AV318" s="103" t="s">
        <v>4854</v>
      </c>
      <c r="AW318" s="103" t="s">
        <v>4854</v>
      </c>
      <c r="AX318" s="95">
        <v>0.23200000000000001</v>
      </c>
      <c r="AY318" s="103" t="s">
        <v>4854</v>
      </c>
      <c r="AZ318" s="103" t="s">
        <v>4854</v>
      </c>
      <c r="BA318" s="103" t="s">
        <v>4854</v>
      </c>
      <c r="BB318" s="103" t="s">
        <v>4854</v>
      </c>
      <c r="BC318" s="4" t="s">
        <v>4854</v>
      </c>
      <c r="BD318" s="4" t="s">
        <v>4854</v>
      </c>
      <c r="BE318" s="4" t="s">
        <v>4854</v>
      </c>
      <c r="BF318" s="10">
        <v>1</v>
      </c>
      <c r="BG318" s="4" t="s">
        <v>4854</v>
      </c>
      <c r="BH318" s="4" t="s">
        <v>4854</v>
      </c>
      <c r="BI318" s="4" t="s">
        <v>4854</v>
      </c>
      <c r="BJ318" s="4" t="s">
        <v>4854</v>
      </c>
      <c r="BK318" s="100" t="s">
        <v>4854</v>
      </c>
      <c r="BL318" s="100" t="s">
        <v>4854</v>
      </c>
      <c r="BM318" s="100" t="s">
        <v>4854</v>
      </c>
      <c r="BN318" s="91">
        <v>1</v>
      </c>
      <c r="BO318" s="100" t="s">
        <v>4854</v>
      </c>
      <c r="BP318" s="100" t="s">
        <v>4854</v>
      </c>
      <c r="BQ318" s="100" t="s">
        <v>4854</v>
      </c>
      <c r="BR318" s="100" t="s">
        <v>4854</v>
      </c>
      <c r="BS318" s="10" t="s">
        <v>4857</v>
      </c>
    </row>
    <row r="319" spans="1:71" s="30" customFormat="1" ht="17.100000000000001" customHeight="1">
      <c r="A319" s="10">
        <v>308</v>
      </c>
      <c r="B319" s="10" t="s">
        <v>3667</v>
      </c>
      <c r="C319" s="4" t="s">
        <v>3883</v>
      </c>
      <c r="D319" s="4" t="s">
        <v>3689</v>
      </c>
      <c r="E319" s="7" t="s">
        <v>3690</v>
      </c>
      <c r="F319" s="9" t="s">
        <v>5145</v>
      </c>
      <c r="G319" s="4" t="s">
        <v>3719</v>
      </c>
      <c r="H319" s="7" t="s">
        <v>3691</v>
      </c>
      <c r="I319" s="4" t="s">
        <v>3678</v>
      </c>
      <c r="J319" s="10" t="s">
        <v>3679</v>
      </c>
      <c r="K319" s="4" t="s">
        <v>5516</v>
      </c>
      <c r="L319" s="4" t="s">
        <v>3666</v>
      </c>
      <c r="M319" s="10">
        <v>3</v>
      </c>
      <c r="N319" s="95">
        <v>481.28399999999999</v>
      </c>
      <c r="O319" s="37" t="str">
        <f>HYPERLINK("http://ms.phosphosite.org:5080/cgi-bin/plot-msms.cgi?MassType=1&amp;NumAxis=1&amp;Mod1=170&amp;Mod4=170&amp;Mod5=170&amp;Mod9=170&amp;Pep=KGSKKAVTKAQK&amp;Dta=/var/www/html/dta/S01/10558.2819.3.dta&amp;Global_Mod=CS57.0215", "2819")</f>
        <v>2819</v>
      </c>
      <c r="P319" s="37" t="str">
        <f>HYPERLINK("http://ms.phosphosite.org:5080/cgi-bin/plot-msms.cgi?MassType=1&amp;NumAxis=1&amp;Mod1=170&amp;Mod4=170&amp;Mod5=170&amp;Mod9=170&amp;Pep=KGSKKAVTKAQK&amp;Dta=/var/www/html/dta/S01/10559.2749.3.dta&amp;Global_Mod=CS57.0215", "2749")</f>
        <v>2749</v>
      </c>
      <c r="Q319" s="37" t="str">
        <f>HYPERLINK("http://ms.phosphosite.org:5080/cgi-bin/plot-msms.cgi?MassType=1&amp;NumAxis=1&amp;Mod1=170&amp;Mod4=170&amp;Mod5=170&amp;Mod9=170&amp;Pep=KGSKKAVTKAQK&amp;Dta=/var/www/html/dta/S01/10560.2747.3.dta&amp;Global_Mod=CS57.0215", "2747")</f>
        <v>2747</v>
      </c>
      <c r="R319" s="37" t="str">
        <f>HYPERLINK("http://ms.phosphosite.org:5080/cgi-bin/plot-msms.cgi?MassType=1&amp;NumAxis=1&amp;Mod1=170&amp;Mod4=170&amp;Mod5=170&amp;Mod9=170&amp;Pep=KGSKKAVTKAQK&amp;Dta=/var/www/html/dta/S01/10561.2774.3.dta&amp;Global_Mod=CS57.0215", "2774")</f>
        <v>2774</v>
      </c>
      <c r="S319" s="37" t="str">
        <f>HYPERLINK("http://ms.phosphosite.org:5080/cgi-bin/plot-msms.cgi?MassType=1&amp;NumAxis=1&amp;Mod1=170&amp;Mod4=170&amp;Mod5=170&amp;Mod9=170&amp;Pep=KGSKKAVTKAQK&amp;Dta=/var/www/html/dta/S01/10562.2889.3.dta&amp;Global_Mod=CS57.0215", "2889")</f>
        <v>2889</v>
      </c>
      <c r="T319" s="37" t="str">
        <f>HYPERLINK("http://ms.phosphosite.org:5080/cgi-bin/plot-msms.cgi?MassType=1&amp;NumAxis=1&amp;Mod1=170&amp;Mod4=170&amp;Mod5=170&amp;Mod9=170&amp;Pep=KGSKKAVTKAQK&amp;Dta=/var/www/html/dta/S01/10563.2775.3.dta&amp;Global_Mod=CS57.0215", "2775")</f>
        <v>2775</v>
      </c>
      <c r="U319" s="38" t="s">
        <v>4854</v>
      </c>
      <c r="V319" s="37" t="str">
        <f>HYPERLINK("http://ms.phosphosite.org:5080/cgi-bin/plot-msms.cgi?MassType=1&amp;NumAxis=1&amp;Mod1=170&amp;Mod4=170&amp;Mod5=170&amp;Mod9=170&amp;Pep=KGSKKAVTKAQK&amp;Dta=/var/www/html/dta/S01/10565.3123.3.dta&amp;Global_Mod=CS57.0215", "3123")</f>
        <v>3123</v>
      </c>
      <c r="W319" s="10">
        <v>2818</v>
      </c>
      <c r="X319" s="10">
        <v>2770</v>
      </c>
      <c r="Y319" s="10">
        <v>2757</v>
      </c>
      <c r="Z319" s="10">
        <v>2795</v>
      </c>
      <c r="AA319" s="10">
        <v>2866</v>
      </c>
      <c r="AB319" s="10">
        <v>2807</v>
      </c>
      <c r="AC319" s="4" t="s">
        <v>4854</v>
      </c>
      <c r="AD319" s="10">
        <v>3154</v>
      </c>
      <c r="AE319" s="91">
        <v>3.734</v>
      </c>
      <c r="AF319" s="91">
        <v>3.948</v>
      </c>
      <c r="AG319" s="91">
        <v>4.03</v>
      </c>
      <c r="AH319" s="91">
        <v>3.9129999999999998</v>
      </c>
      <c r="AI319" s="91">
        <v>3.7050000000000001</v>
      </c>
      <c r="AJ319" s="91">
        <v>4.0060000000000002</v>
      </c>
      <c r="AK319" s="100" t="s">
        <v>4854</v>
      </c>
      <c r="AL319" s="91">
        <v>3.9329999999999998</v>
      </c>
      <c r="AM319" s="95">
        <v>0.12790000000000001</v>
      </c>
      <c r="AN319" s="95">
        <v>0.23469999999999999</v>
      </c>
      <c r="AO319" s="95">
        <v>0.35949999999999999</v>
      </c>
      <c r="AP319" s="95">
        <v>0.44280000000000003</v>
      </c>
      <c r="AQ319" s="95">
        <v>0.54259999999999997</v>
      </c>
      <c r="AR319" s="95">
        <v>0.45939999999999998</v>
      </c>
      <c r="AS319" s="103" t="s">
        <v>4854</v>
      </c>
      <c r="AT319" s="95">
        <v>-0.29310000000000003</v>
      </c>
      <c r="AU319" s="95">
        <v>0.129</v>
      </c>
      <c r="AV319" s="95">
        <v>0.17699999999999999</v>
      </c>
      <c r="AW319" s="95">
        <v>0.218</v>
      </c>
      <c r="AX319" s="95">
        <v>0.183</v>
      </c>
      <c r="AY319" s="95">
        <v>0.20300000000000001</v>
      </c>
      <c r="AZ319" s="95">
        <v>0.221</v>
      </c>
      <c r="BA319" s="103" t="s">
        <v>4854</v>
      </c>
      <c r="BB319" s="95">
        <v>0.18</v>
      </c>
      <c r="BC319" s="10">
        <v>1</v>
      </c>
      <c r="BD319" s="10">
        <v>1</v>
      </c>
      <c r="BE319" s="10">
        <v>3</v>
      </c>
      <c r="BF319" s="10">
        <v>1</v>
      </c>
      <c r="BG319" s="10">
        <v>1</v>
      </c>
      <c r="BH319" s="10">
        <v>1</v>
      </c>
      <c r="BI319" s="4" t="s">
        <v>4854</v>
      </c>
      <c r="BJ319" s="10">
        <v>1</v>
      </c>
      <c r="BK319" s="91">
        <v>0.999</v>
      </c>
      <c r="BL319" s="91">
        <v>0.999</v>
      </c>
      <c r="BM319" s="91">
        <v>1</v>
      </c>
      <c r="BN319" s="91">
        <v>1</v>
      </c>
      <c r="BO319" s="91">
        <v>1</v>
      </c>
      <c r="BP319" s="91">
        <v>1</v>
      </c>
      <c r="BQ319" s="100" t="s">
        <v>4854</v>
      </c>
      <c r="BR319" s="91">
        <v>1</v>
      </c>
      <c r="BS319" s="10" t="s">
        <v>4857</v>
      </c>
    </row>
    <row r="320" spans="1:71" s="30" customFormat="1" ht="17.100000000000001" customHeight="1">
      <c r="A320" s="14">
        <v>309</v>
      </c>
      <c r="B320" s="5" t="s">
        <v>3668</v>
      </c>
      <c r="C320" s="3" t="s">
        <v>3883</v>
      </c>
      <c r="D320" s="3" t="s">
        <v>3689</v>
      </c>
      <c r="E320" s="6" t="s">
        <v>3690</v>
      </c>
      <c r="F320" s="8" t="s">
        <v>5305</v>
      </c>
      <c r="G320" s="3" t="s">
        <v>3719</v>
      </c>
      <c r="H320" s="6" t="s">
        <v>3691</v>
      </c>
      <c r="I320" s="3" t="s">
        <v>3678</v>
      </c>
      <c r="J320" s="5" t="s">
        <v>3679</v>
      </c>
      <c r="K320" s="3" t="s">
        <v>5517</v>
      </c>
      <c r="L320" s="3" t="s">
        <v>3669</v>
      </c>
      <c r="M320" s="5">
        <v>3</v>
      </c>
      <c r="N320" s="21">
        <v>467.28039999999999</v>
      </c>
      <c r="O320" s="36" t="str">
        <f>HYPERLINK("http://ms.phosphosite.org:5080/cgi-bin/plot-msms.cgi?MassType=1&amp;NumAxis=1&amp;Mod1=170&amp;Mod4=170&amp;Mod9=170&amp;Pep=KGSKKAVTKAQK&amp;Dta=/var/www/html/dta/S01/10558.1747.3.dta&amp;Global_Mod=CS57.0215", "1747")</f>
        <v>1747</v>
      </c>
      <c r="P320" s="36" t="str">
        <f>HYPERLINK("http://ms.phosphosite.org:5080/cgi-bin/plot-msms.cgi?MassType=1&amp;NumAxis=1&amp;Mod1=170&amp;Mod4=170&amp;Mod9=170&amp;Pep=KGSKKAVTKAQK&amp;Dta=/var/www/html/dta/S01/10559.1761.3.dta&amp;Global_Mod=CS57.0215", "1761")</f>
        <v>1761</v>
      </c>
      <c r="Q320" s="35" t="s">
        <v>4854</v>
      </c>
      <c r="R320" s="35" t="s">
        <v>4854</v>
      </c>
      <c r="S320" s="35" t="s">
        <v>4854</v>
      </c>
      <c r="T320" s="35" t="s">
        <v>4854</v>
      </c>
      <c r="U320" s="35" t="s">
        <v>4854</v>
      </c>
      <c r="V320" s="36" t="str">
        <f>HYPERLINK("http://ms.phosphosite.org:5080/cgi-bin/plot-msms.cgi?MassType=1&amp;NumAxis=1&amp;Mod1=170&amp;Mod4=170&amp;Mod9=170&amp;Pep=KGSKKAVTKAQK&amp;Dta=/var/www/html/dta/S01/10565.2028.3.dta&amp;Global_Mod=CS57.0215", "2028")</f>
        <v>2028</v>
      </c>
      <c r="W320" s="5">
        <v>1763</v>
      </c>
      <c r="X320" s="5">
        <v>1722</v>
      </c>
      <c r="Y320" s="3" t="s">
        <v>4854</v>
      </c>
      <c r="Z320" s="3" t="s">
        <v>4854</v>
      </c>
      <c r="AA320" s="3" t="s">
        <v>4854</v>
      </c>
      <c r="AB320" s="3" t="s">
        <v>4854</v>
      </c>
      <c r="AC320" s="3" t="s">
        <v>4854</v>
      </c>
      <c r="AD320" s="5">
        <v>2018</v>
      </c>
      <c r="AE320" s="90">
        <v>3.4380000000000002</v>
      </c>
      <c r="AF320" s="90">
        <v>2.67</v>
      </c>
      <c r="AG320" s="99" t="s">
        <v>4854</v>
      </c>
      <c r="AH320" s="99" t="s">
        <v>4854</v>
      </c>
      <c r="AI320" s="99" t="s">
        <v>4854</v>
      </c>
      <c r="AJ320" s="99" t="s">
        <v>4854</v>
      </c>
      <c r="AK320" s="99" t="s">
        <v>4854</v>
      </c>
      <c r="AL320" s="90">
        <v>3.4670000000000001</v>
      </c>
      <c r="AM320" s="21">
        <v>-6.7799999999999999E-2</v>
      </c>
      <c r="AN320" s="21">
        <v>9.7199999999999995E-2</v>
      </c>
      <c r="AO320" s="102" t="s">
        <v>4854</v>
      </c>
      <c r="AP320" s="102" t="s">
        <v>4854</v>
      </c>
      <c r="AQ320" s="102" t="s">
        <v>4854</v>
      </c>
      <c r="AR320" s="102" t="s">
        <v>4854</v>
      </c>
      <c r="AS320" s="102" t="s">
        <v>4854</v>
      </c>
      <c r="AT320" s="21">
        <v>-0.52429999999999999</v>
      </c>
      <c r="AU320" s="21">
        <v>0.22</v>
      </c>
      <c r="AV320" s="21">
        <v>0.217</v>
      </c>
      <c r="AW320" s="102" t="s">
        <v>4854</v>
      </c>
      <c r="AX320" s="102" t="s">
        <v>4854</v>
      </c>
      <c r="AY320" s="102" t="s">
        <v>4854</v>
      </c>
      <c r="AZ320" s="102" t="s">
        <v>4854</v>
      </c>
      <c r="BA320" s="102" t="s">
        <v>4854</v>
      </c>
      <c r="BB320" s="21">
        <v>0.27300000000000002</v>
      </c>
      <c r="BC320" s="5">
        <v>2</v>
      </c>
      <c r="BD320" s="5">
        <v>1</v>
      </c>
      <c r="BE320" s="3" t="s">
        <v>4854</v>
      </c>
      <c r="BF320" s="3" t="s">
        <v>4854</v>
      </c>
      <c r="BG320" s="3" t="s">
        <v>4854</v>
      </c>
      <c r="BH320" s="3" t="s">
        <v>4854</v>
      </c>
      <c r="BI320" s="3" t="s">
        <v>4854</v>
      </c>
      <c r="BJ320" s="5">
        <v>3</v>
      </c>
      <c r="BK320" s="90">
        <v>0.999</v>
      </c>
      <c r="BL320" s="90">
        <v>0.999</v>
      </c>
      <c r="BM320" s="99" t="s">
        <v>4854</v>
      </c>
      <c r="BN320" s="99" t="s">
        <v>4854</v>
      </c>
      <c r="BO320" s="99" t="s">
        <v>4854</v>
      </c>
      <c r="BP320" s="99" t="s">
        <v>4854</v>
      </c>
      <c r="BQ320" s="99" t="s">
        <v>4854</v>
      </c>
      <c r="BR320" s="90">
        <v>0.999</v>
      </c>
      <c r="BS320" s="5" t="s">
        <v>4857</v>
      </c>
    </row>
    <row r="321" spans="1:71" s="30" customFormat="1" ht="17.100000000000001" customHeight="1">
      <c r="A321" s="10">
        <v>310</v>
      </c>
      <c r="B321" s="10" t="s">
        <v>3670</v>
      </c>
      <c r="C321" s="4" t="s">
        <v>3883</v>
      </c>
      <c r="D321" s="4" t="s">
        <v>3689</v>
      </c>
      <c r="E321" s="7" t="s">
        <v>3690</v>
      </c>
      <c r="F321" s="9" t="s">
        <v>5103</v>
      </c>
      <c r="G321" s="4" t="s">
        <v>3719</v>
      </c>
      <c r="H321" s="7" t="s">
        <v>3691</v>
      </c>
      <c r="I321" s="4" t="s">
        <v>3678</v>
      </c>
      <c r="J321" s="10" t="s">
        <v>3679</v>
      </c>
      <c r="K321" s="4" t="s">
        <v>5518</v>
      </c>
      <c r="L321" s="4" t="s">
        <v>3671</v>
      </c>
      <c r="M321" s="10">
        <v>2</v>
      </c>
      <c r="N321" s="95">
        <v>700.41700000000003</v>
      </c>
      <c r="O321" s="37" t="str">
        <f>HYPERLINK("http://ms.phosphosite.org:5080/cgi-bin/plot-msms.cgi?MassType=1&amp;NumAxis=1&amp;Mod4=170&amp;Mod5=170&amp;Mod9=170&amp;Pep=KGSKKAVTKAQK&amp;Dta=/var/www/html/dta/S01/10558.1756.2.dta&amp;Global_Mod=CS57.0215", "1756")</f>
        <v>1756</v>
      </c>
      <c r="P321" s="37" t="str">
        <f>HYPERLINK("http://ms.phosphosite.org:5080/cgi-bin/plot-msms.cgi?MassType=1&amp;NumAxis=1&amp;Mod4=170&amp;Mod5=170&amp;Mod9=170&amp;Pep=KGSKKAVTKAQK&amp;Dta=/var/www/html/dta/S01/10559.1717.2.dta&amp;Global_Mod=CS57.0215", "1717")</f>
        <v>1717</v>
      </c>
      <c r="Q321" s="37" t="str">
        <f>HYPERLINK("http://ms.phosphosite.org:5080/cgi-bin/plot-msms.cgi?MassType=1&amp;NumAxis=1&amp;Mod4=170&amp;Mod5=170&amp;Mod9=170&amp;Pep=KGSKKAVTKAQK&amp;Dta=/var/www/html/dta/S01/10560.1710.2.dta&amp;Global_Mod=CS57.0215", "1710")</f>
        <v>1710</v>
      </c>
      <c r="R321" s="37" t="str">
        <f>HYPERLINK("http://ms.phosphosite.org:5080/cgi-bin/plot-msms.cgi?MassType=1&amp;NumAxis=1&amp;Mod4=170&amp;Mod5=170&amp;Mod9=170&amp;Pep=KGSKKAVTKAQK&amp;Dta=/var/www/html/dta/S01/10561.1738.2.dta&amp;Global_Mod=CS57.0215", "1738")</f>
        <v>1738</v>
      </c>
      <c r="S321" s="38" t="s">
        <v>4854</v>
      </c>
      <c r="T321" s="37" t="str">
        <f>HYPERLINK("http://ms.phosphosite.org:5080/cgi-bin/plot-msms.cgi?MassType=1&amp;NumAxis=1&amp;Mod4=170&amp;Mod5=170&amp;Mod9=170&amp;Pep=KGSKKAVTKAQK&amp;Dta=/var/www/html/dta/S01/10563.1706.2.dta&amp;Global_Mod=CS57.0215", "1706")</f>
        <v>1706</v>
      </c>
      <c r="U321" s="37" t="str">
        <f>HYPERLINK("http://ms.phosphosite.org:5080/cgi-bin/plot-msms.cgi?MassType=1&amp;NumAxis=1&amp;Mod4=170&amp;Mod5=170&amp;Mod9=170&amp;Pep=KGSKKAVTKAQK&amp;Dta=/var/www/html/dta/S01/10564.1961.2.dta&amp;Global_Mod=CS57.0215", "1961")</f>
        <v>1961</v>
      </c>
      <c r="V321" s="37" t="str">
        <f>HYPERLINK("http://ms.phosphosite.org:5080/cgi-bin/plot-msms.cgi?MassType=1&amp;NumAxis=1&amp;Mod4=170&amp;Mod5=170&amp;Mod9=170&amp;Pep=KGSKKAVTKAQK&amp;Dta=/var/www/html/dta/S01/10565.1998.2.dta&amp;Global_Mod=CS57.0215", "1998")</f>
        <v>1998</v>
      </c>
      <c r="W321" s="10">
        <v>1763</v>
      </c>
      <c r="X321" s="10">
        <v>1733</v>
      </c>
      <c r="Y321" s="10">
        <v>1715</v>
      </c>
      <c r="Z321" s="10">
        <v>1753</v>
      </c>
      <c r="AA321" s="4" t="s">
        <v>4854</v>
      </c>
      <c r="AB321" s="10">
        <v>1713</v>
      </c>
      <c r="AC321" s="10">
        <v>1968</v>
      </c>
      <c r="AD321" s="10">
        <v>2010</v>
      </c>
      <c r="AE321" s="91">
        <v>3.5409999999999999</v>
      </c>
      <c r="AF321" s="91">
        <v>3.516</v>
      </c>
      <c r="AG321" s="91">
        <v>4.016</v>
      </c>
      <c r="AH321" s="91">
        <v>3.2480000000000002</v>
      </c>
      <c r="AI321" s="100" t="s">
        <v>4854</v>
      </c>
      <c r="AJ321" s="91">
        <v>3.855</v>
      </c>
      <c r="AK321" s="91">
        <v>3.6890000000000001</v>
      </c>
      <c r="AL321" s="91">
        <v>3.4390000000000001</v>
      </c>
      <c r="AM321" s="95">
        <v>0.71730000000000005</v>
      </c>
      <c r="AN321" s="95">
        <v>0.81799999999999995</v>
      </c>
      <c r="AO321" s="95">
        <v>0.76019999999999999</v>
      </c>
      <c r="AP321" s="95">
        <v>0.77300000000000002</v>
      </c>
      <c r="AQ321" s="103" t="s">
        <v>4854</v>
      </c>
      <c r="AR321" s="95">
        <v>0.75949999999999995</v>
      </c>
      <c r="AS321" s="95">
        <v>0.44009999999999999</v>
      </c>
      <c r="AT321" s="95">
        <v>0.35580000000000001</v>
      </c>
      <c r="AU321" s="95">
        <v>0.223</v>
      </c>
      <c r="AV321" s="95">
        <v>0.17899999999999999</v>
      </c>
      <c r="AW321" s="95">
        <v>0.29499999999999998</v>
      </c>
      <c r="AX321" s="95">
        <v>0.23</v>
      </c>
      <c r="AY321" s="103" t="s">
        <v>4854</v>
      </c>
      <c r="AZ321" s="95">
        <v>0.28799999999999998</v>
      </c>
      <c r="BA321" s="95">
        <v>0.253</v>
      </c>
      <c r="BB321" s="95">
        <v>0.26300000000000001</v>
      </c>
      <c r="BC321" s="10">
        <v>1</v>
      </c>
      <c r="BD321" s="10">
        <v>1</v>
      </c>
      <c r="BE321" s="10">
        <v>1</v>
      </c>
      <c r="BF321" s="10">
        <v>1</v>
      </c>
      <c r="BG321" s="4" t="s">
        <v>4854</v>
      </c>
      <c r="BH321" s="10">
        <v>1</v>
      </c>
      <c r="BI321" s="10">
        <v>1</v>
      </c>
      <c r="BJ321" s="10">
        <v>1</v>
      </c>
      <c r="BK321" s="91">
        <v>1</v>
      </c>
      <c r="BL321" s="91">
        <v>0.999</v>
      </c>
      <c r="BM321" s="91">
        <v>1</v>
      </c>
      <c r="BN321" s="91">
        <v>0.999</v>
      </c>
      <c r="BO321" s="100" t="s">
        <v>4854</v>
      </c>
      <c r="BP321" s="91">
        <v>1</v>
      </c>
      <c r="BQ321" s="91">
        <v>1</v>
      </c>
      <c r="BR321" s="91">
        <v>1</v>
      </c>
      <c r="BS321" s="10" t="s">
        <v>4857</v>
      </c>
    </row>
    <row r="322" spans="1:71" s="30" customFormat="1" ht="17.100000000000001" customHeight="1">
      <c r="A322" s="10">
        <v>311</v>
      </c>
      <c r="B322" s="10" t="s">
        <v>3672</v>
      </c>
      <c r="C322" s="4" t="s">
        <v>3883</v>
      </c>
      <c r="D322" s="4" t="s">
        <v>3689</v>
      </c>
      <c r="E322" s="7" t="s">
        <v>3690</v>
      </c>
      <c r="F322" s="9" t="s">
        <v>5103</v>
      </c>
      <c r="G322" s="4" t="s">
        <v>3719</v>
      </c>
      <c r="H322" s="7" t="s">
        <v>3691</v>
      </c>
      <c r="I322" s="4" t="s">
        <v>3678</v>
      </c>
      <c r="J322" s="10" t="s">
        <v>3679</v>
      </c>
      <c r="K322" s="4" t="s">
        <v>5518</v>
      </c>
      <c r="L322" s="4" t="s">
        <v>3671</v>
      </c>
      <c r="M322" s="10">
        <v>3</v>
      </c>
      <c r="N322" s="95">
        <v>467.28039999999999</v>
      </c>
      <c r="O322" s="38" t="s">
        <v>4854</v>
      </c>
      <c r="P322" s="38" t="s">
        <v>4854</v>
      </c>
      <c r="Q322" s="37" t="str">
        <f>HYPERLINK("http://ms.phosphosite.org:5080/cgi-bin/plot-msms.cgi?MassType=1&amp;NumAxis=1&amp;Mod4=170&amp;Mod5=170&amp;Mod9=170&amp;Pep=KGSKKAVTKAQK&amp;Dta=/var/www/html/dta/S01/10560.1706.3.dta&amp;Global_Mod=CS57.0215", "1706")</f>
        <v>1706</v>
      </c>
      <c r="R322" s="38" t="s">
        <v>4854</v>
      </c>
      <c r="S322" s="38" t="s">
        <v>4854</v>
      </c>
      <c r="T322" s="38" t="s">
        <v>4854</v>
      </c>
      <c r="U322" s="38" t="s">
        <v>4854</v>
      </c>
      <c r="V322" s="37" t="str">
        <f>HYPERLINK("http://ms.phosphosite.org:5080/cgi-bin/plot-msms.cgi?MassType=1&amp;NumAxis=1&amp;Mod4=170&amp;Mod5=170&amp;Mod9=170&amp;Pep=KGSKKAVTKAQK&amp;Dta=/var/www/html/dta/S01/10565.2015.3.dta&amp;Global_Mod=CS57.0215", "2015")</f>
        <v>2015</v>
      </c>
      <c r="W322" s="4" t="s">
        <v>4854</v>
      </c>
      <c r="X322" s="4" t="s">
        <v>4854</v>
      </c>
      <c r="Y322" s="10">
        <v>1715</v>
      </c>
      <c r="Z322" s="4" t="s">
        <v>4854</v>
      </c>
      <c r="AA322" s="4" t="s">
        <v>4854</v>
      </c>
      <c r="AB322" s="4" t="s">
        <v>4854</v>
      </c>
      <c r="AC322" s="4" t="s">
        <v>4854</v>
      </c>
      <c r="AD322" s="10">
        <v>2018</v>
      </c>
      <c r="AE322" s="100" t="s">
        <v>4854</v>
      </c>
      <c r="AF322" s="100" t="s">
        <v>4854</v>
      </c>
      <c r="AG322" s="91">
        <v>3.669</v>
      </c>
      <c r="AH322" s="100" t="s">
        <v>4854</v>
      </c>
      <c r="AI322" s="100" t="s">
        <v>4854</v>
      </c>
      <c r="AJ322" s="100" t="s">
        <v>4854</v>
      </c>
      <c r="AK322" s="100" t="s">
        <v>4854</v>
      </c>
      <c r="AL322" s="91">
        <v>3.121</v>
      </c>
      <c r="AM322" s="103" t="s">
        <v>4854</v>
      </c>
      <c r="AN322" s="103" t="s">
        <v>4854</v>
      </c>
      <c r="AO322" s="95">
        <v>0.3201</v>
      </c>
      <c r="AP322" s="103" t="s">
        <v>4854</v>
      </c>
      <c r="AQ322" s="103" t="s">
        <v>4854</v>
      </c>
      <c r="AR322" s="103" t="s">
        <v>4854</v>
      </c>
      <c r="AS322" s="103" t="s">
        <v>4854</v>
      </c>
      <c r="AT322" s="95">
        <v>-0.52429999999999999</v>
      </c>
      <c r="AU322" s="103" t="s">
        <v>4854</v>
      </c>
      <c r="AV322" s="103" t="s">
        <v>4854</v>
      </c>
      <c r="AW322" s="95">
        <v>0.18099999999999999</v>
      </c>
      <c r="AX322" s="103" t="s">
        <v>4854</v>
      </c>
      <c r="AY322" s="103" t="s">
        <v>4854</v>
      </c>
      <c r="AZ322" s="103" t="s">
        <v>4854</v>
      </c>
      <c r="BA322" s="103" t="s">
        <v>4854</v>
      </c>
      <c r="BB322" s="95">
        <v>1.7000000000000001E-2</v>
      </c>
      <c r="BC322" s="4" t="s">
        <v>4854</v>
      </c>
      <c r="BD322" s="4" t="s">
        <v>4854</v>
      </c>
      <c r="BE322" s="10">
        <v>1</v>
      </c>
      <c r="BF322" s="4" t="s">
        <v>4854</v>
      </c>
      <c r="BG322" s="4" t="s">
        <v>4854</v>
      </c>
      <c r="BH322" s="4" t="s">
        <v>4854</v>
      </c>
      <c r="BI322" s="4" t="s">
        <v>4854</v>
      </c>
      <c r="BJ322" s="10">
        <v>1</v>
      </c>
      <c r="BK322" s="100" t="s">
        <v>4854</v>
      </c>
      <c r="BL322" s="100" t="s">
        <v>4854</v>
      </c>
      <c r="BM322" s="91">
        <v>0.999</v>
      </c>
      <c r="BN322" s="100" t="s">
        <v>4854</v>
      </c>
      <c r="BO322" s="100" t="s">
        <v>4854</v>
      </c>
      <c r="BP322" s="100" t="s">
        <v>4854</v>
      </c>
      <c r="BQ322" s="100" t="s">
        <v>4854</v>
      </c>
      <c r="BR322" s="91">
        <v>0.97199999999999998</v>
      </c>
      <c r="BS322" s="10" t="s">
        <v>4857</v>
      </c>
    </row>
    <row r="323" spans="1:71" s="30" customFormat="1" ht="17.100000000000001" customHeight="1">
      <c r="A323" s="14">
        <v>312</v>
      </c>
      <c r="B323" s="5" t="s">
        <v>3673</v>
      </c>
      <c r="C323" s="3" t="s">
        <v>3883</v>
      </c>
      <c r="D323" s="3" t="s">
        <v>3689</v>
      </c>
      <c r="E323" s="6" t="s">
        <v>3690</v>
      </c>
      <c r="F323" s="8" t="s">
        <v>5071</v>
      </c>
      <c r="G323" s="3" t="s">
        <v>3719</v>
      </c>
      <c r="H323" s="6" t="s">
        <v>3691</v>
      </c>
      <c r="I323" s="3" t="s">
        <v>3678</v>
      </c>
      <c r="J323" s="5" t="s">
        <v>3679</v>
      </c>
      <c r="K323" s="3" t="s">
        <v>5519</v>
      </c>
      <c r="L323" s="3" t="s">
        <v>3674</v>
      </c>
      <c r="M323" s="5">
        <v>2</v>
      </c>
      <c r="N323" s="21">
        <v>479.29</v>
      </c>
      <c r="O323" s="35" t="s">
        <v>4854</v>
      </c>
      <c r="P323" s="35" t="s">
        <v>4854</v>
      </c>
      <c r="Q323" s="35" t="s">
        <v>4854</v>
      </c>
      <c r="R323" s="35" t="s">
        <v>4854</v>
      </c>
      <c r="S323" s="35" t="s">
        <v>4854</v>
      </c>
      <c r="T323" s="35" t="s">
        <v>4854</v>
      </c>
      <c r="U323" s="35" t="s">
        <v>4854</v>
      </c>
      <c r="V323" s="36" t="str">
        <f>HYPERLINK("http://ms.phosphosite.org:5080/cgi-bin/plot-msms.cgi?MassType=1&amp;NumAxis=1&amp;Mod1=170&amp;Mod5=170&amp;Pep=KAVTKAQK&amp;Dta=/var/www/html/dta/S01/10565.1837.2.dta&amp;Global_Mod=CS57.0215", "1837")</f>
        <v>1837</v>
      </c>
      <c r="W323" s="3" t="s">
        <v>4854</v>
      </c>
      <c r="X323" s="3" t="s">
        <v>4854</v>
      </c>
      <c r="Y323" s="3" t="s">
        <v>4854</v>
      </c>
      <c r="Z323" s="3" t="s">
        <v>4854</v>
      </c>
      <c r="AA323" s="3" t="s">
        <v>4854</v>
      </c>
      <c r="AB323" s="3" t="s">
        <v>4854</v>
      </c>
      <c r="AC323" s="3" t="s">
        <v>4854</v>
      </c>
      <c r="AD323" s="5">
        <v>1840</v>
      </c>
      <c r="AE323" s="99" t="s">
        <v>4854</v>
      </c>
      <c r="AF323" s="99" t="s">
        <v>4854</v>
      </c>
      <c r="AG323" s="99" t="s">
        <v>4854</v>
      </c>
      <c r="AH323" s="99" t="s">
        <v>4854</v>
      </c>
      <c r="AI323" s="99" t="s">
        <v>4854</v>
      </c>
      <c r="AJ323" s="99" t="s">
        <v>4854</v>
      </c>
      <c r="AK323" s="99" t="s">
        <v>4854</v>
      </c>
      <c r="AL323" s="90">
        <v>2.88</v>
      </c>
      <c r="AM323" s="102" t="s">
        <v>4854</v>
      </c>
      <c r="AN323" s="102" t="s">
        <v>4854</v>
      </c>
      <c r="AO323" s="102" t="s">
        <v>4854</v>
      </c>
      <c r="AP323" s="102" t="s">
        <v>4854</v>
      </c>
      <c r="AQ323" s="102" t="s">
        <v>4854</v>
      </c>
      <c r="AR323" s="102" t="s">
        <v>4854</v>
      </c>
      <c r="AS323" s="102" t="s">
        <v>4854</v>
      </c>
      <c r="AT323" s="21">
        <v>-0.39369999999999999</v>
      </c>
      <c r="AU323" s="102" t="s">
        <v>4854</v>
      </c>
      <c r="AV323" s="102" t="s">
        <v>4854</v>
      </c>
      <c r="AW323" s="102" t="s">
        <v>4854</v>
      </c>
      <c r="AX323" s="102" t="s">
        <v>4854</v>
      </c>
      <c r="AY323" s="102" t="s">
        <v>4854</v>
      </c>
      <c r="AZ323" s="102" t="s">
        <v>4854</v>
      </c>
      <c r="BA323" s="102" t="s">
        <v>4854</v>
      </c>
      <c r="BB323" s="21">
        <v>0.17299999999999999</v>
      </c>
      <c r="BC323" s="3" t="s">
        <v>4854</v>
      </c>
      <c r="BD323" s="3" t="s">
        <v>4854</v>
      </c>
      <c r="BE323" s="3" t="s">
        <v>4854</v>
      </c>
      <c r="BF323" s="3" t="s">
        <v>4854</v>
      </c>
      <c r="BG323" s="3" t="s">
        <v>4854</v>
      </c>
      <c r="BH323" s="3" t="s">
        <v>4854</v>
      </c>
      <c r="BI323" s="3" t="s">
        <v>4854</v>
      </c>
      <c r="BJ323" s="5">
        <v>1</v>
      </c>
      <c r="BK323" s="99" t="s">
        <v>4854</v>
      </c>
      <c r="BL323" s="99" t="s">
        <v>4854</v>
      </c>
      <c r="BM323" s="99" t="s">
        <v>4854</v>
      </c>
      <c r="BN323" s="99" t="s">
        <v>4854</v>
      </c>
      <c r="BO323" s="99" t="s">
        <v>4854</v>
      </c>
      <c r="BP323" s="99" t="s">
        <v>4854</v>
      </c>
      <c r="BQ323" s="99" t="s">
        <v>4854</v>
      </c>
      <c r="BR323" s="90">
        <v>0.999</v>
      </c>
      <c r="BS323" s="5" t="s">
        <v>4857</v>
      </c>
    </row>
    <row r="324" spans="1:71" s="30" customFormat="1" ht="17.100000000000001" customHeight="1">
      <c r="A324" s="14">
        <v>313</v>
      </c>
      <c r="B324" s="5" t="s">
        <v>3675</v>
      </c>
      <c r="C324" s="3" t="s">
        <v>3883</v>
      </c>
      <c r="D324" s="3" t="s">
        <v>3689</v>
      </c>
      <c r="E324" s="6" t="s">
        <v>3690</v>
      </c>
      <c r="F324" s="8" t="s">
        <v>5071</v>
      </c>
      <c r="G324" s="3" t="s">
        <v>3719</v>
      </c>
      <c r="H324" s="6" t="s">
        <v>3691</v>
      </c>
      <c r="I324" s="3" t="s">
        <v>3678</v>
      </c>
      <c r="J324" s="5" t="s">
        <v>3679</v>
      </c>
      <c r="K324" s="3" t="s">
        <v>5519</v>
      </c>
      <c r="L324" s="3" t="s">
        <v>3676</v>
      </c>
      <c r="M324" s="5">
        <v>2</v>
      </c>
      <c r="N324" s="21">
        <v>543.33749999999998</v>
      </c>
      <c r="O324" s="35" t="s">
        <v>4854</v>
      </c>
      <c r="P324" s="36" t="str">
        <f>HYPERLINK("http://ms.phosphosite.org:5080/cgi-bin/plot-msms.cgi?MassType=1&amp;NumAxis=1&amp;Mod1=170&amp;Mod5=170&amp;Pep=KAVTKAQKK&amp;Dta=/var/www/html/dta/S01/10559.1399.2.dta&amp;Global_Mod=CS57.0215", "1399")</f>
        <v>1399</v>
      </c>
      <c r="Q324" s="35" t="s">
        <v>4854</v>
      </c>
      <c r="R324" s="35" t="s">
        <v>4854</v>
      </c>
      <c r="S324" s="35" t="s">
        <v>4854</v>
      </c>
      <c r="T324" s="35" t="s">
        <v>4854</v>
      </c>
      <c r="U324" s="35" t="s">
        <v>4854</v>
      </c>
      <c r="V324" s="35" t="s">
        <v>4854</v>
      </c>
      <c r="W324" s="3" t="s">
        <v>4854</v>
      </c>
      <c r="X324" s="5">
        <v>1392</v>
      </c>
      <c r="Y324" s="3" t="s">
        <v>4854</v>
      </c>
      <c r="Z324" s="3" t="s">
        <v>4854</v>
      </c>
      <c r="AA324" s="3" t="s">
        <v>4854</v>
      </c>
      <c r="AB324" s="3" t="s">
        <v>4854</v>
      </c>
      <c r="AC324" s="3" t="s">
        <v>4854</v>
      </c>
      <c r="AD324" s="3" t="s">
        <v>4854</v>
      </c>
      <c r="AE324" s="99" t="s">
        <v>4854</v>
      </c>
      <c r="AF324" s="90">
        <v>2.9359999999999999</v>
      </c>
      <c r="AG324" s="99" t="s">
        <v>4854</v>
      </c>
      <c r="AH324" s="99" t="s">
        <v>4854</v>
      </c>
      <c r="AI324" s="99" t="s">
        <v>4854</v>
      </c>
      <c r="AJ324" s="99" t="s">
        <v>4854</v>
      </c>
      <c r="AK324" s="99" t="s">
        <v>4854</v>
      </c>
      <c r="AL324" s="99" t="s">
        <v>4854</v>
      </c>
      <c r="AM324" s="102" t="s">
        <v>4854</v>
      </c>
      <c r="AN324" s="21">
        <v>-0.36109999999999998</v>
      </c>
      <c r="AO324" s="102" t="s">
        <v>4854</v>
      </c>
      <c r="AP324" s="102" t="s">
        <v>4854</v>
      </c>
      <c r="AQ324" s="102" t="s">
        <v>4854</v>
      </c>
      <c r="AR324" s="102" t="s">
        <v>4854</v>
      </c>
      <c r="AS324" s="102" t="s">
        <v>4854</v>
      </c>
      <c r="AT324" s="102" t="s">
        <v>4854</v>
      </c>
      <c r="AU324" s="102" t="s">
        <v>4854</v>
      </c>
      <c r="AV324" s="21">
        <v>0.153</v>
      </c>
      <c r="AW324" s="102" t="s">
        <v>4854</v>
      </c>
      <c r="AX324" s="102" t="s">
        <v>4854</v>
      </c>
      <c r="AY324" s="102" t="s">
        <v>4854</v>
      </c>
      <c r="AZ324" s="102" t="s">
        <v>4854</v>
      </c>
      <c r="BA324" s="102" t="s">
        <v>4854</v>
      </c>
      <c r="BB324" s="102" t="s">
        <v>4854</v>
      </c>
      <c r="BC324" s="3" t="s">
        <v>4854</v>
      </c>
      <c r="BD324" s="5">
        <v>1</v>
      </c>
      <c r="BE324" s="3" t="s">
        <v>4854</v>
      </c>
      <c r="BF324" s="3" t="s">
        <v>4854</v>
      </c>
      <c r="BG324" s="3" t="s">
        <v>4854</v>
      </c>
      <c r="BH324" s="3" t="s">
        <v>4854</v>
      </c>
      <c r="BI324" s="3" t="s">
        <v>4854</v>
      </c>
      <c r="BJ324" s="3" t="s">
        <v>4854</v>
      </c>
      <c r="BK324" s="99" t="s">
        <v>4854</v>
      </c>
      <c r="BL324" s="90">
        <v>0.999</v>
      </c>
      <c r="BM324" s="99" t="s">
        <v>4854</v>
      </c>
      <c r="BN324" s="99" t="s">
        <v>4854</v>
      </c>
      <c r="BO324" s="99" t="s">
        <v>4854</v>
      </c>
      <c r="BP324" s="99" t="s">
        <v>4854</v>
      </c>
      <c r="BQ324" s="99" t="s">
        <v>4854</v>
      </c>
      <c r="BR324" s="99" t="s">
        <v>4854</v>
      </c>
      <c r="BS324" s="5" t="s">
        <v>4857</v>
      </c>
    </row>
    <row r="325" spans="1:71" s="30" customFormat="1" ht="17.100000000000001" customHeight="1">
      <c r="A325" s="10">
        <v>314</v>
      </c>
      <c r="B325" s="10" t="s">
        <v>3677</v>
      </c>
      <c r="C325" s="4" t="s">
        <v>3883</v>
      </c>
      <c r="D325" s="4" t="s">
        <v>3689</v>
      </c>
      <c r="E325" s="7" t="s">
        <v>3690</v>
      </c>
      <c r="F325" s="9" t="s">
        <v>5271</v>
      </c>
      <c r="G325" s="4" t="s">
        <v>3719</v>
      </c>
      <c r="H325" s="7" t="s">
        <v>3691</v>
      </c>
      <c r="I325" s="4" t="s">
        <v>3678</v>
      </c>
      <c r="J325" s="10" t="s">
        <v>3679</v>
      </c>
      <c r="K325" s="4" t="s">
        <v>5520</v>
      </c>
      <c r="L325" s="4" t="s">
        <v>3652</v>
      </c>
      <c r="M325" s="10">
        <v>2</v>
      </c>
      <c r="N325" s="95">
        <v>564.34280000000001</v>
      </c>
      <c r="O325" s="37" t="str">
        <f>HYPERLINK("http://ms.phosphosite.org:5080/cgi-bin/plot-msms.cgi?MassType=1&amp;NumAxis=1&amp;Mod1=170&amp;Mod5=170&amp;Mod8=170&amp;Pep=KAVTKAQKK&amp;Dta=/var/www/html/dta/S01/10558.2060.2.dta&amp;Global_Mod=CS57.0215", "2060")</f>
        <v>2060</v>
      </c>
      <c r="P325" s="37" t="str">
        <f>HYPERLINK("http://ms.phosphosite.org:5080/cgi-bin/plot-msms.cgi?MassType=1&amp;NumAxis=1&amp;Mod1=170&amp;Mod5=170&amp;Mod8=170&amp;Pep=KAVTKAQKK&amp;Dta=/var/www/html/dta/S01/10559.2022.2.dta&amp;Global_Mod=CS57.0215", "2022")</f>
        <v>2022</v>
      </c>
      <c r="Q325" s="37" t="str">
        <f>HYPERLINK("http://ms.phosphosite.org:5080/cgi-bin/plot-msms.cgi?MassType=1&amp;NumAxis=1&amp;Mod1=170&amp;Mod5=170&amp;Mod8=170&amp;Pep=KAVTKAQKK&amp;Dta=/var/www/html/dta/S01/10560.2005.2.dta&amp;Global_Mod=CS57.0215", "2005")</f>
        <v>2005</v>
      </c>
      <c r="R325" s="37" t="str">
        <f>HYPERLINK("http://ms.phosphosite.org:5080/cgi-bin/plot-msms.cgi?MassType=1&amp;NumAxis=1&amp;Mod1=170&amp;Mod5=170&amp;Mod8=170&amp;Pep=KAVTKAQKK&amp;Dta=/var/www/html/dta/S01/10561.2048.2.dta&amp;Global_Mod=CS57.0215", "2048")</f>
        <v>2048</v>
      </c>
      <c r="S325" s="37" t="str">
        <f>HYPERLINK("http://ms.phosphosite.org:5080/cgi-bin/plot-msms.cgi?MassType=1&amp;NumAxis=1&amp;Mod1=170&amp;Mod5=170&amp;Mod8=170&amp;Pep=KAVTKAQKK&amp;Dta=/var/www/html/dta/S01/10562.2106.2.dta&amp;Global_Mod=CS57.0215", "2106")</f>
        <v>2106</v>
      </c>
      <c r="T325" s="37" t="str">
        <f>HYPERLINK("http://ms.phosphosite.org:5080/cgi-bin/plot-msms.cgi?MassType=1&amp;NumAxis=1&amp;Mod1=170&amp;Mod5=170&amp;Mod8=170&amp;Pep=KAVTKAQKK&amp;Dta=/var/www/html/dta/S01/10563.2028.2.dta&amp;Global_Mod=CS57.0215", "2028")</f>
        <v>2028</v>
      </c>
      <c r="U325" s="38" t="s">
        <v>4854</v>
      </c>
      <c r="V325" s="37" t="str">
        <f>HYPERLINK("http://ms.phosphosite.org:5080/cgi-bin/plot-msms.cgi?MassType=1&amp;NumAxis=1&amp;Mod1=170&amp;Mod5=170&amp;Mod8=170&amp;Pep=KAVTKAQKK&amp;Dta=/var/www/html/dta/S01/10565.2351.2.dta&amp;Global_Mod=CS57.0215", "2351")</f>
        <v>2351</v>
      </c>
      <c r="W325" s="10">
        <v>2079</v>
      </c>
      <c r="X325" s="10">
        <v>2059</v>
      </c>
      <c r="Y325" s="10">
        <v>2022</v>
      </c>
      <c r="Z325" s="10">
        <v>2069</v>
      </c>
      <c r="AA325" s="10">
        <v>2116</v>
      </c>
      <c r="AB325" s="10">
        <v>2038</v>
      </c>
      <c r="AC325" s="4" t="s">
        <v>4854</v>
      </c>
      <c r="AD325" s="10">
        <v>2358</v>
      </c>
      <c r="AE325" s="91">
        <v>3.2010000000000001</v>
      </c>
      <c r="AF325" s="91">
        <v>3.0270000000000001</v>
      </c>
      <c r="AG325" s="91">
        <v>3.2080000000000002</v>
      </c>
      <c r="AH325" s="91">
        <v>3.1440000000000001</v>
      </c>
      <c r="AI325" s="91">
        <v>3.24</v>
      </c>
      <c r="AJ325" s="91">
        <v>3.2469999999999999</v>
      </c>
      <c r="AK325" s="100" t="s">
        <v>4854</v>
      </c>
      <c r="AL325" s="91">
        <v>3.2269999999999999</v>
      </c>
      <c r="AM325" s="95">
        <v>-0.1532</v>
      </c>
      <c r="AN325" s="95">
        <v>-0.1842</v>
      </c>
      <c r="AO325" s="95">
        <v>-4.2299999999999997E-2</v>
      </c>
      <c r="AP325" s="95">
        <v>-0.22409999999999999</v>
      </c>
      <c r="AQ325" s="95">
        <v>-8.8499999999999995E-2</v>
      </c>
      <c r="AR325" s="95">
        <v>-0.35449999999999998</v>
      </c>
      <c r="AS325" s="103" t="s">
        <v>4854</v>
      </c>
      <c r="AT325" s="95">
        <v>-0.52210000000000001</v>
      </c>
      <c r="AU325" s="95">
        <v>0.189</v>
      </c>
      <c r="AV325" s="95">
        <v>0.19600000000000001</v>
      </c>
      <c r="AW325" s="95">
        <v>0.187</v>
      </c>
      <c r="AX325" s="95">
        <v>0.183</v>
      </c>
      <c r="AY325" s="95">
        <v>0.185</v>
      </c>
      <c r="AZ325" s="95">
        <v>0.17899999999999999</v>
      </c>
      <c r="BA325" s="103" t="s">
        <v>4854</v>
      </c>
      <c r="BB325" s="95">
        <v>0.19400000000000001</v>
      </c>
      <c r="BC325" s="10">
        <v>2</v>
      </c>
      <c r="BD325" s="10">
        <v>2</v>
      </c>
      <c r="BE325" s="10">
        <v>2</v>
      </c>
      <c r="BF325" s="10">
        <v>2</v>
      </c>
      <c r="BG325" s="10">
        <v>2</v>
      </c>
      <c r="BH325" s="10">
        <v>2</v>
      </c>
      <c r="BI325" s="4" t="s">
        <v>4854</v>
      </c>
      <c r="BJ325" s="10">
        <v>2</v>
      </c>
      <c r="BK325" s="91">
        <v>0.999</v>
      </c>
      <c r="BL325" s="91">
        <v>0.999</v>
      </c>
      <c r="BM325" s="91">
        <v>0.999</v>
      </c>
      <c r="BN325" s="91">
        <v>0.999</v>
      </c>
      <c r="BO325" s="91">
        <v>0.999</v>
      </c>
      <c r="BP325" s="91">
        <v>0.999</v>
      </c>
      <c r="BQ325" s="100" t="s">
        <v>4854</v>
      </c>
      <c r="BR325" s="91">
        <v>0.999</v>
      </c>
      <c r="BS325" s="10" t="s">
        <v>4857</v>
      </c>
    </row>
    <row r="326" spans="1:71" s="30" customFormat="1" ht="17.100000000000001" customHeight="1">
      <c r="A326" s="14">
        <v>315</v>
      </c>
      <c r="B326" s="5" t="s">
        <v>4792</v>
      </c>
      <c r="C326" s="3" t="s">
        <v>3883</v>
      </c>
      <c r="D326" s="3" t="s">
        <v>3653</v>
      </c>
      <c r="E326" s="6" t="s">
        <v>3654</v>
      </c>
      <c r="F326" s="8" t="s">
        <v>5219</v>
      </c>
      <c r="G326" s="3" t="s">
        <v>3719</v>
      </c>
      <c r="H326" s="6" t="s">
        <v>3655</v>
      </c>
      <c r="I326" s="3" t="s">
        <v>3678</v>
      </c>
      <c r="J326" s="5" t="s">
        <v>3656</v>
      </c>
      <c r="K326" s="3" t="s">
        <v>5521</v>
      </c>
      <c r="L326" s="3" t="s">
        <v>3657</v>
      </c>
      <c r="M326" s="5">
        <v>2</v>
      </c>
      <c r="N326" s="21">
        <v>567.81129999999996</v>
      </c>
      <c r="O326" s="35" t="s">
        <v>4854</v>
      </c>
      <c r="P326" s="35" t="s">
        <v>4854</v>
      </c>
      <c r="Q326" s="36" t="str">
        <f>HYPERLINK("http://ms.phosphosite.org:5080/cgi-bin/plot-msms.cgi?MassType=1&amp;NumAxis=1&amp;Mod5=170&amp;Pep=PEPAKSAPAPK&amp;Dta=/var/www/html/dta/S01/10560.1971.2.dta&amp;Global_Mod=CS57.0215", "1971")</f>
        <v>1971</v>
      </c>
      <c r="R326" s="35" t="s">
        <v>4854</v>
      </c>
      <c r="S326" s="35" t="s">
        <v>4854</v>
      </c>
      <c r="T326" s="35" t="s">
        <v>4854</v>
      </c>
      <c r="U326" s="35" t="s">
        <v>4854</v>
      </c>
      <c r="V326" s="35" t="s">
        <v>4854</v>
      </c>
      <c r="W326" s="3" t="s">
        <v>4854</v>
      </c>
      <c r="X326" s="3" t="s">
        <v>4854</v>
      </c>
      <c r="Y326" s="3" t="s">
        <v>4854</v>
      </c>
      <c r="Z326" s="3" t="s">
        <v>4854</v>
      </c>
      <c r="AA326" s="3" t="s">
        <v>4854</v>
      </c>
      <c r="AB326" s="3" t="s">
        <v>4854</v>
      </c>
      <c r="AC326" s="3" t="s">
        <v>4854</v>
      </c>
      <c r="AD326" s="3" t="s">
        <v>4854</v>
      </c>
      <c r="AE326" s="99" t="s">
        <v>4854</v>
      </c>
      <c r="AF326" s="99" t="s">
        <v>4854</v>
      </c>
      <c r="AG326" s="90">
        <v>2.137</v>
      </c>
      <c r="AH326" s="99" t="s">
        <v>4854</v>
      </c>
      <c r="AI326" s="99" t="s">
        <v>4854</v>
      </c>
      <c r="AJ326" s="99" t="s">
        <v>4854</v>
      </c>
      <c r="AK326" s="99" t="s">
        <v>4854</v>
      </c>
      <c r="AL326" s="99" t="s">
        <v>4854</v>
      </c>
      <c r="AM326" s="102" t="s">
        <v>4854</v>
      </c>
      <c r="AN326" s="102" t="s">
        <v>4854</v>
      </c>
      <c r="AO326" s="21">
        <v>0.14710000000000001</v>
      </c>
      <c r="AP326" s="102" t="s">
        <v>4854</v>
      </c>
      <c r="AQ326" s="102" t="s">
        <v>4854</v>
      </c>
      <c r="AR326" s="102" t="s">
        <v>4854</v>
      </c>
      <c r="AS326" s="102" t="s">
        <v>4854</v>
      </c>
      <c r="AT326" s="102" t="s">
        <v>4854</v>
      </c>
      <c r="AU326" s="102" t="s">
        <v>4854</v>
      </c>
      <c r="AV326" s="102" t="s">
        <v>4854</v>
      </c>
      <c r="AW326" s="21">
        <v>7.5999999999999998E-2</v>
      </c>
      <c r="AX326" s="102" t="s">
        <v>4854</v>
      </c>
      <c r="AY326" s="102" t="s">
        <v>4854</v>
      </c>
      <c r="AZ326" s="102" t="s">
        <v>4854</v>
      </c>
      <c r="BA326" s="102" t="s">
        <v>4854</v>
      </c>
      <c r="BB326" s="102" t="s">
        <v>4854</v>
      </c>
      <c r="BC326" s="3" t="s">
        <v>4854</v>
      </c>
      <c r="BD326" s="3" t="s">
        <v>4854</v>
      </c>
      <c r="BE326" s="5">
        <v>1</v>
      </c>
      <c r="BF326" s="3" t="s">
        <v>4854</v>
      </c>
      <c r="BG326" s="3" t="s">
        <v>4854</v>
      </c>
      <c r="BH326" s="3" t="s">
        <v>4854</v>
      </c>
      <c r="BI326" s="3" t="s">
        <v>4854</v>
      </c>
      <c r="BJ326" s="3" t="s">
        <v>4854</v>
      </c>
      <c r="BK326" s="99" t="s">
        <v>4854</v>
      </c>
      <c r="BL326" s="99" t="s">
        <v>4854</v>
      </c>
      <c r="BM326" s="90">
        <v>0.28000000000000003</v>
      </c>
      <c r="BN326" s="99" t="s">
        <v>4854</v>
      </c>
      <c r="BO326" s="99" t="s">
        <v>4854</v>
      </c>
      <c r="BP326" s="99" t="s">
        <v>4854</v>
      </c>
      <c r="BQ326" s="99" t="s">
        <v>4854</v>
      </c>
      <c r="BR326" s="99" t="s">
        <v>4854</v>
      </c>
      <c r="BS326" s="5" t="s">
        <v>4857</v>
      </c>
    </row>
    <row r="327" spans="1:71" s="30" customFormat="1" ht="17.100000000000001" customHeight="1">
      <c r="A327" s="10">
        <v>316</v>
      </c>
      <c r="B327" s="10" t="s">
        <v>3658</v>
      </c>
      <c r="C327" s="4" t="s">
        <v>3883</v>
      </c>
      <c r="D327" s="4" t="s">
        <v>3653</v>
      </c>
      <c r="E327" s="7" t="s">
        <v>3654</v>
      </c>
      <c r="F327" s="9" t="s">
        <v>4985</v>
      </c>
      <c r="G327" s="4" t="s">
        <v>3719</v>
      </c>
      <c r="H327" s="7" t="s">
        <v>3655</v>
      </c>
      <c r="I327" s="4" t="s">
        <v>3678</v>
      </c>
      <c r="J327" s="10" t="s">
        <v>3656</v>
      </c>
      <c r="K327" s="4" t="s">
        <v>5522</v>
      </c>
      <c r="L327" s="4" t="s">
        <v>3659</v>
      </c>
      <c r="M327" s="10">
        <v>2</v>
      </c>
      <c r="N327" s="95">
        <v>809.94359999999995</v>
      </c>
      <c r="O327" s="38" t="s">
        <v>4854</v>
      </c>
      <c r="P327" s="37" t="str">
        <f>HYPERLINK("http://ms.phosphosite.org:5080/cgi-bin/plot-msms.cgi?MassType=1&amp;NumAxis=1&amp;Mod5=170&amp;Mod11=170&amp;Mod12=170&amp;Pep=PEPAKSAPAPKKGSK&amp;Dta=/var/www/html/dta/S01/10559.2914.2.dta&amp;Global_Mod=CS57.0215", "2914")</f>
        <v>2914</v>
      </c>
      <c r="Q327" s="38" t="s">
        <v>4854</v>
      </c>
      <c r="R327" s="38" t="s">
        <v>4854</v>
      </c>
      <c r="S327" s="38" t="s">
        <v>4854</v>
      </c>
      <c r="T327" s="38" t="s">
        <v>4854</v>
      </c>
      <c r="U327" s="38" t="s">
        <v>4854</v>
      </c>
      <c r="V327" s="38" t="s">
        <v>4854</v>
      </c>
      <c r="W327" s="4" t="s">
        <v>4854</v>
      </c>
      <c r="X327" s="4" t="s">
        <v>4854</v>
      </c>
      <c r="Y327" s="4" t="s">
        <v>4854</v>
      </c>
      <c r="Z327" s="4" t="s">
        <v>4854</v>
      </c>
      <c r="AA327" s="4" t="s">
        <v>4854</v>
      </c>
      <c r="AB327" s="4" t="s">
        <v>4854</v>
      </c>
      <c r="AC327" s="4" t="s">
        <v>4854</v>
      </c>
      <c r="AD327" s="4" t="s">
        <v>4854</v>
      </c>
      <c r="AE327" s="100" t="s">
        <v>4854</v>
      </c>
      <c r="AF327" s="91">
        <v>2.0499999999999998</v>
      </c>
      <c r="AG327" s="100" t="s">
        <v>4854</v>
      </c>
      <c r="AH327" s="100" t="s">
        <v>4854</v>
      </c>
      <c r="AI327" s="100" t="s">
        <v>4854</v>
      </c>
      <c r="AJ327" s="100" t="s">
        <v>4854</v>
      </c>
      <c r="AK327" s="100" t="s">
        <v>4854</v>
      </c>
      <c r="AL327" s="100" t="s">
        <v>4854</v>
      </c>
      <c r="AM327" s="103" t="s">
        <v>4854</v>
      </c>
      <c r="AN327" s="95">
        <v>0.2399</v>
      </c>
      <c r="AO327" s="103" t="s">
        <v>4854</v>
      </c>
      <c r="AP327" s="103" t="s">
        <v>4854</v>
      </c>
      <c r="AQ327" s="103" t="s">
        <v>4854</v>
      </c>
      <c r="AR327" s="103" t="s">
        <v>4854</v>
      </c>
      <c r="AS327" s="103" t="s">
        <v>4854</v>
      </c>
      <c r="AT327" s="103" t="s">
        <v>4854</v>
      </c>
      <c r="AU327" s="103" t="s">
        <v>4854</v>
      </c>
      <c r="AV327" s="95">
        <v>0.378</v>
      </c>
      <c r="AW327" s="103" t="s">
        <v>4854</v>
      </c>
      <c r="AX327" s="103" t="s">
        <v>4854</v>
      </c>
      <c r="AY327" s="103" t="s">
        <v>4854</v>
      </c>
      <c r="AZ327" s="103" t="s">
        <v>4854</v>
      </c>
      <c r="BA327" s="103" t="s">
        <v>4854</v>
      </c>
      <c r="BB327" s="103" t="s">
        <v>4854</v>
      </c>
      <c r="BC327" s="4" t="s">
        <v>4854</v>
      </c>
      <c r="BD327" s="10">
        <v>2</v>
      </c>
      <c r="BE327" s="4" t="s">
        <v>4854</v>
      </c>
      <c r="BF327" s="4" t="s">
        <v>4854</v>
      </c>
      <c r="BG327" s="4" t="s">
        <v>4854</v>
      </c>
      <c r="BH327" s="4" t="s">
        <v>4854</v>
      </c>
      <c r="BI327" s="4" t="s">
        <v>4854</v>
      </c>
      <c r="BJ327" s="4" t="s">
        <v>4854</v>
      </c>
      <c r="BK327" s="100" t="s">
        <v>4854</v>
      </c>
      <c r="BL327" s="91">
        <v>0.86399999999999999</v>
      </c>
      <c r="BM327" s="100" t="s">
        <v>4854</v>
      </c>
      <c r="BN327" s="100" t="s">
        <v>4854</v>
      </c>
      <c r="BO327" s="100" t="s">
        <v>4854</v>
      </c>
      <c r="BP327" s="100" t="s">
        <v>4854</v>
      </c>
      <c r="BQ327" s="100" t="s">
        <v>4854</v>
      </c>
      <c r="BR327" s="100" t="s">
        <v>4854</v>
      </c>
      <c r="BS327" s="10" t="s">
        <v>4857</v>
      </c>
    </row>
    <row r="328" spans="1:71" s="30" customFormat="1" ht="17.100000000000001" customHeight="1">
      <c r="A328" s="14">
        <v>317</v>
      </c>
      <c r="B328" s="5" t="s">
        <v>3660</v>
      </c>
      <c r="C328" s="3" t="s">
        <v>3883</v>
      </c>
      <c r="D328" s="3" t="s">
        <v>3653</v>
      </c>
      <c r="E328" s="6" t="s">
        <v>3654</v>
      </c>
      <c r="F328" s="8" t="s">
        <v>5258</v>
      </c>
      <c r="G328" s="3" t="s">
        <v>3719</v>
      </c>
      <c r="H328" s="6" t="s">
        <v>3655</v>
      </c>
      <c r="I328" s="3" t="s">
        <v>3678</v>
      </c>
      <c r="J328" s="5" t="s">
        <v>3656</v>
      </c>
      <c r="K328" s="3" t="s">
        <v>5523</v>
      </c>
      <c r="L328" s="3" t="s">
        <v>3661</v>
      </c>
      <c r="M328" s="5">
        <v>2</v>
      </c>
      <c r="N328" s="21">
        <v>894.99639999999999</v>
      </c>
      <c r="O328" s="35" t="s">
        <v>4854</v>
      </c>
      <c r="P328" s="35" t="s">
        <v>4854</v>
      </c>
      <c r="Q328" s="35" t="s">
        <v>4854</v>
      </c>
      <c r="R328" s="35" t="s">
        <v>4854</v>
      </c>
      <c r="S328" s="35" t="s">
        <v>4854</v>
      </c>
      <c r="T328" s="35" t="s">
        <v>4854</v>
      </c>
      <c r="U328" s="36" t="str">
        <f>HYPERLINK("http://ms.phosphosite.org:5080/cgi-bin/plot-msms.cgi?MassType=1&amp;NumAxis=1&amp;Mod5=170&amp;Mod11=170&amp;Mod12=170&amp;Mod15=170&amp;Pep=PEPAKSAPAPKKGSKK&amp;Dta=/var/www/html/dta/S01/10564.3637.2.dta&amp;Global_Mod=CS57.0215", "3637")</f>
        <v>3637</v>
      </c>
      <c r="V328" s="35" t="s">
        <v>4854</v>
      </c>
      <c r="W328" s="3" t="s">
        <v>4854</v>
      </c>
      <c r="X328" s="3" t="s">
        <v>4854</v>
      </c>
      <c r="Y328" s="3" t="s">
        <v>4854</v>
      </c>
      <c r="Z328" s="3" t="s">
        <v>4854</v>
      </c>
      <c r="AA328" s="3" t="s">
        <v>4854</v>
      </c>
      <c r="AB328" s="3" t="s">
        <v>4854</v>
      </c>
      <c r="AC328" s="5">
        <v>3627</v>
      </c>
      <c r="AD328" s="3" t="s">
        <v>4854</v>
      </c>
      <c r="AE328" s="99" t="s">
        <v>4854</v>
      </c>
      <c r="AF328" s="99" t="s">
        <v>4854</v>
      </c>
      <c r="AG328" s="99" t="s">
        <v>4854</v>
      </c>
      <c r="AH328" s="99" t="s">
        <v>4854</v>
      </c>
      <c r="AI328" s="99" t="s">
        <v>4854</v>
      </c>
      <c r="AJ328" s="99" t="s">
        <v>4854</v>
      </c>
      <c r="AK328" s="90">
        <v>2.7930000000000001</v>
      </c>
      <c r="AL328" s="99" t="s">
        <v>4854</v>
      </c>
      <c r="AM328" s="102" t="s">
        <v>4854</v>
      </c>
      <c r="AN328" s="102" t="s">
        <v>4854</v>
      </c>
      <c r="AO328" s="102" t="s">
        <v>4854</v>
      </c>
      <c r="AP328" s="102" t="s">
        <v>4854</v>
      </c>
      <c r="AQ328" s="102" t="s">
        <v>4854</v>
      </c>
      <c r="AR328" s="102" t="s">
        <v>4854</v>
      </c>
      <c r="AS328" s="21">
        <v>0.21609999999999999</v>
      </c>
      <c r="AT328" s="102" t="s">
        <v>4854</v>
      </c>
      <c r="AU328" s="102" t="s">
        <v>4854</v>
      </c>
      <c r="AV328" s="102" t="s">
        <v>4854</v>
      </c>
      <c r="AW328" s="102" t="s">
        <v>4854</v>
      </c>
      <c r="AX328" s="102" t="s">
        <v>4854</v>
      </c>
      <c r="AY328" s="102" t="s">
        <v>4854</v>
      </c>
      <c r="AZ328" s="102" t="s">
        <v>4854</v>
      </c>
      <c r="BA328" s="21">
        <v>0.44500000000000001</v>
      </c>
      <c r="BB328" s="102" t="s">
        <v>4854</v>
      </c>
      <c r="BC328" s="3" t="s">
        <v>4854</v>
      </c>
      <c r="BD328" s="3" t="s">
        <v>4854</v>
      </c>
      <c r="BE328" s="3" t="s">
        <v>4854</v>
      </c>
      <c r="BF328" s="3" t="s">
        <v>4854</v>
      </c>
      <c r="BG328" s="3" t="s">
        <v>4854</v>
      </c>
      <c r="BH328" s="3" t="s">
        <v>4854</v>
      </c>
      <c r="BI328" s="5">
        <v>1</v>
      </c>
      <c r="BJ328" s="3" t="s">
        <v>4854</v>
      </c>
      <c r="BK328" s="99" t="s">
        <v>4854</v>
      </c>
      <c r="BL328" s="99" t="s">
        <v>4854</v>
      </c>
      <c r="BM328" s="99" t="s">
        <v>4854</v>
      </c>
      <c r="BN328" s="99" t="s">
        <v>4854</v>
      </c>
      <c r="BO328" s="99" t="s">
        <v>4854</v>
      </c>
      <c r="BP328" s="99" t="s">
        <v>4854</v>
      </c>
      <c r="BQ328" s="90">
        <v>0.98</v>
      </c>
      <c r="BR328" s="99" t="s">
        <v>4854</v>
      </c>
      <c r="BS328" s="5" t="s">
        <v>4857</v>
      </c>
    </row>
    <row r="329" spans="1:71" s="30" customFormat="1" ht="17.100000000000001" customHeight="1">
      <c r="A329" s="14">
        <v>318</v>
      </c>
      <c r="B329" s="5" t="s">
        <v>3662</v>
      </c>
      <c r="C329" s="3" t="s">
        <v>3883</v>
      </c>
      <c r="D329" s="3" t="s">
        <v>3653</v>
      </c>
      <c r="E329" s="6" t="s">
        <v>3654</v>
      </c>
      <c r="F329" s="8" t="s">
        <v>5258</v>
      </c>
      <c r="G329" s="3" t="s">
        <v>3719</v>
      </c>
      <c r="H329" s="6" t="s">
        <v>3655</v>
      </c>
      <c r="I329" s="3" t="s">
        <v>3678</v>
      </c>
      <c r="J329" s="5" t="s">
        <v>3656</v>
      </c>
      <c r="K329" s="3" t="s">
        <v>5523</v>
      </c>
      <c r="L329" s="3" t="s">
        <v>3661</v>
      </c>
      <c r="M329" s="5">
        <v>3</v>
      </c>
      <c r="N329" s="21">
        <v>597</v>
      </c>
      <c r="O329" s="36" t="str">
        <f>HYPERLINK("http://ms.phosphosite.org:5080/cgi-bin/plot-msms.cgi?MassType=1&amp;NumAxis=1&amp;Mod5=170&amp;Mod11=170&amp;Mod12=170&amp;Mod15=170&amp;Pep=PEPAKSAPAPKKGSKK&amp;Dta=/var/www/html/dta/S01/10558.3352.3.dta&amp;Global_Mod=CS57.0215", "3352")</f>
        <v>3352</v>
      </c>
      <c r="P329" s="36" t="str">
        <f>HYPERLINK("http://ms.phosphosite.org:5080/cgi-bin/plot-msms.cgi?MassType=1&amp;NumAxis=1&amp;Mod5=170&amp;Mod11=170&amp;Mod12=170&amp;Mod15=170&amp;Pep=PEPAKSAPAPKKGSKK&amp;Dta=/var/www/html/dta/S01/10559.3311.3.dta&amp;Global_Mod=CS57.0215", "3311")</f>
        <v>3311</v>
      </c>
      <c r="Q329" s="36" t="str">
        <f>HYPERLINK("http://ms.phosphosite.org:5080/cgi-bin/plot-msms.cgi?MassType=1&amp;NumAxis=1&amp;Mod5=170&amp;Mod11=170&amp;Mod12=170&amp;Mod15=170&amp;Pep=PEPAKSAPAPKKGSKK&amp;Dta=/var/www/html/dta/S01/10560.3293.3.dta&amp;Global_Mod=CS57.0215", "3293")</f>
        <v>3293</v>
      </c>
      <c r="R329" s="36" t="str">
        <f>HYPERLINK("http://ms.phosphosite.org:5080/cgi-bin/plot-msms.cgi?MassType=1&amp;NumAxis=1&amp;Mod5=170&amp;Mod11=170&amp;Mod12=170&amp;Mod15=170&amp;Pep=PEPAKSAPAPKKGSKK&amp;Dta=/var/www/html/dta/S01/10561.3310.3.dta&amp;Global_Mod=CS57.0215", "3310")</f>
        <v>3310</v>
      </c>
      <c r="S329" s="36" t="str">
        <f>HYPERLINK("http://ms.phosphosite.org:5080/cgi-bin/plot-msms.cgi?MassType=1&amp;NumAxis=1&amp;Mod5=170&amp;Mod11=170&amp;Mod12=170&amp;Mod15=170&amp;Pep=PEPAKSAPAPKKGSKK&amp;Dta=/var/www/html/dta/S01/10562.3388.3.dta&amp;Global_Mod=CS57.0215", "3388")</f>
        <v>3388</v>
      </c>
      <c r="T329" s="36" t="str">
        <f>HYPERLINK("http://ms.phosphosite.org:5080/cgi-bin/plot-msms.cgi?MassType=1&amp;NumAxis=1&amp;Mod5=170&amp;Mod11=170&amp;Mod12=170&amp;Mod15=170&amp;Pep=PEPAKSAPAPKKGSKK&amp;Dta=/var/www/html/dta/S01/10563.3314.3.dta&amp;Global_Mod=CS57.0215", "3314")</f>
        <v>3314</v>
      </c>
      <c r="U329" s="35" t="s">
        <v>4854</v>
      </c>
      <c r="V329" s="36" t="str">
        <f>HYPERLINK("http://ms.phosphosite.org:5080/cgi-bin/plot-msms.cgi?MassType=1&amp;NumAxis=1&amp;Mod5=170&amp;Mod11=170&amp;Mod12=170&amp;Mod15=170&amp;Pep=PEPAKSAPAPKKGSKK&amp;Dta=/var/www/html/dta/S01/10565.3678.3.dta&amp;Global_Mod=CS57.0215", "3678")</f>
        <v>3678</v>
      </c>
      <c r="W329" s="5">
        <v>3338</v>
      </c>
      <c r="X329" s="5">
        <v>3297</v>
      </c>
      <c r="Y329" s="5">
        <v>3289</v>
      </c>
      <c r="Z329" s="5">
        <v>3317</v>
      </c>
      <c r="AA329" s="5">
        <v>3394</v>
      </c>
      <c r="AB329" s="3" t="s">
        <v>4854</v>
      </c>
      <c r="AC329" s="3" t="s">
        <v>4854</v>
      </c>
      <c r="AD329" s="3" t="s">
        <v>4854</v>
      </c>
      <c r="AE329" s="90">
        <v>4.3019999999999996</v>
      </c>
      <c r="AF329" s="90">
        <v>3.35</v>
      </c>
      <c r="AG329" s="90">
        <v>3.625</v>
      </c>
      <c r="AH329" s="90">
        <v>3.4849999999999999</v>
      </c>
      <c r="AI329" s="90">
        <v>3.8660000000000001</v>
      </c>
      <c r="AJ329" s="90">
        <v>3.4060000000000001</v>
      </c>
      <c r="AK329" s="99" t="s">
        <v>4854</v>
      </c>
      <c r="AL329" s="90">
        <v>2.72</v>
      </c>
      <c r="AM329" s="21">
        <v>0.1351</v>
      </c>
      <c r="AN329" s="21">
        <v>0.1966</v>
      </c>
      <c r="AO329" s="21">
        <v>7.3599999999999999E-2</v>
      </c>
      <c r="AP329" s="21">
        <v>0.44529999999999997</v>
      </c>
      <c r="AQ329" s="21">
        <v>0.4017</v>
      </c>
      <c r="AR329" s="21">
        <v>0.11940000000000001</v>
      </c>
      <c r="AS329" s="102" t="s">
        <v>4854</v>
      </c>
      <c r="AT329" s="21">
        <v>8.3099999999999993E-2</v>
      </c>
      <c r="AU329" s="21">
        <v>0.39900000000000002</v>
      </c>
      <c r="AV329" s="21">
        <v>0.36099999999999999</v>
      </c>
      <c r="AW329" s="21">
        <v>0.41899999999999998</v>
      </c>
      <c r="AX329" s="21">
        <v>0.38600000000000001</v>
      </c>
      <c r="AY329" s="21">
        <v>0.35799999999999998</v>
      </c>
      <c r="AZ329" s="21">
        <v>0.246</v>
      </c>
      <c r="BA329" s="102" t="s">
        <v>4854</v>
      </c>
      <c r="BB329" s="21">
        <v>0.21099999999999999</v>
      </c>
      <c r="BC329" s="5">
        <v>1</v>
      </c>
      <c r="BD329" s="5">
        <v>1</v>
      </c>
      <c r="BE329" s="5">
        <v>1</v>
      </c>
      <c r="BF329" s="5">
        <v>1</v>
      </c>
      <c r="BG329" s="5">
        <v>1</v>
      </c>
      <c r="BH329" s="5">
        <v>1</v>
      </c>
      <c r="BI329" s="3" t="s">
        <v>4854</v>
      </c>
      <c r="BJ329" s="5">
        <v>1</v>
      </c>
      <c r="BK329" s="90">
        <v>1</v>
      </c>
      <c r="BL329" s="90">
        <v>0.97299999999999998</v>
      </c>
      <c r="BM329" s="90">
        <v>1</v>
      </c>
      <c r="BN329" s="90">
        <v>0.98199999999999998</v>
      </c>
      <c r="BO329" s="90">
        <v>0.98199999999999998</v>
      </c>
      <c r="BP329" s="90">
        <v>0.89700000000000002</v>
      </c>
      <c r="BQ329" s="99" t="s">
        <v>4854</v>
      </c>
      <c r="BR329" s="90">
        <v>0.71299999999999997</v>
      </c>
      <c r="BS329" s="5" t="s">
        <v>4857</v>
      </c>
    </row>
    <row r="330" spans="1:71" s="30" customFormat="1" ht="17.100000000000001" customHeight="1">
      <c r="A330" s="10">
        <v>319</v>
      </c>
      <c r="B330" s="10" t="s">
        <v>3663</v>
      </c>
      <c r="C330" s="4" t="s">
        <v>3883</v>
      </c>
      <c r="D330" s="4" t="s">
        <v>3653</v>
      </c>
      <c r="E330" s="7" t="s">
        <v>3654</v>
      </c>
      <c r="F330" s="9" t="s">
        <v>5259</v>
      </c>
      <c r="G330" s="4" t="s">
        <v>3719</v>
      </c>
      <c r="H330" s="7" t="s">
        <v>3655</v>
      </c>
      <c r="I330" s="4" t="s">
        <v>3678</v>
      </c>
      <c r="J330" s="10" t="s">
        <v>3656</v>
      </c>
      <c r="K330" s="4" t="s">
        <v>5524</v>
      </c>
      <c r="L330" s="4" t="s">
        <v>3664</v>
      </c>
      <c r="M330" s="10">
        <v>3</v>
      </c>
      <c r="N330" s="95">
        <v>597</v>
      </c>
      <c r="O330" s="38" t="s">
        <v>4854</v>
      </c>
      <c r="P330" s="38" t="s">
        <v>4854</v>
      </c>
      <c r="Q330" s="38" t="s">
        <v>4854</v>
      </c>
      <c r="R330" s="38" t="s">
        <v>4854</v>
      </c>
      <c r="S330" s="38" t="s">
        <v>4854</v>
      </c>
      <c r="T330" s="38" t="s">
        <v>4854</v>
      </c>
      <c r="U330" s="37" t="str">
        <f>HYPERLINK("http://ms.phosphosite.org:5080/cgi-bin/plot-msms.cgi?MassType=1&amp;NumAxis=1&amp;Mod5=170&amp;Mod11=170&amp;Mod12=170&amp;Mod16=170&amp;Pep=PEPAKSAPAPKKGSKK&amp;Dta=/var/www/html/dta/S01/10564.3652.3.dta&amp;Global_Mod=CS57.0215", "3652")</f>
        <v>3652</v>
      </c>
      <c r="V330" s="38" t="s">
        <v>4854</v>
      </c>
      <c r="W330" s="4" t="s">
        <v>4854</v>
      </c>
      <c r="X330" s="4" t="s">
        <v>4854</v>
      </c>
      <c r="Y330" s="4" t="s">
        <v>4854</v>
      </c>
      <c r="Z330" s="4" t="s">
        <v>4854</v>
      </c>
      <c r="AA330" s="4" t="s">
        <v>4854</v>
      </c>
      <c r="AB330" s="4" t="s">
        <v>4854</v>
      </c>
      <c r="AC330" s="4" t="s">
        <v>4854</v>
      </c>
      <c r="AD330" s="4" t="s">
        <v>4854</v>
      </c>
      <c r="AE330" s="100" t="s">
        <v>4854</v>
      </c>
      <c r="AF330" s="100" t="s">
        <v>4854</v>
      </c>
      <c r="AG330" s="100" t="s">
        <v>4854</v>
      </c>
      <c r="AH330" s="100" t="s">
        <v>4854</v>
      </c>
      <c r="AI330" s="100" t="s">
        <v>4854</v>
      </c>
      <c r="AJ330" s="100" t="s">
        <v>4854</v>
      </c>
      <c r="AK330" s="91">
        <v>3.3740000000000001</v>
      </c>
      <c r="AL330" s="100" t="s">
        <v>4854</v>
      </c>
      <c r="AM330" s="103" t="s">
        <v>4854</v>
      </c>
      <c r="AN330" s="103" t="s">
        <v>4854</v>
      </c>
      <c r="AO330" s="103" t="s">
        <v>4854</v>
      </c>
      <c r="AP330" s="103" t="s">
        <v>4854</v>
      </c>
      <c r="AQ330" s="103" t="s">
        <v>4854</v>
      </c>
      <c r="AR330" s="103" t="s">
        <v>4854</v>
      </c>
      <c r="AS330" s="95">
        <v>-1.4200000000000001E-2</v>
      </c>
      <c r="AT330" s="103" t="s">
        <v>4854</v>
      </c>
      <c r="AU330" s="103" t="s">
        <v>4854</v>
      </c>
      <c r="AV330" s="103" t="s">
        <v>4854</v>
      </c>
      <c r="AW330" s="103" t="s">
        <v>4854</v>
      </c>
      <c r="AX330" s="103" t="s">
        <v>4854</v>
      </c>
      <c r="AY330" s="103" t="s">
        <v>4854</v>
      </c>
      <c r="AZ330" s="103" t="s">
        <v>4854</v>
      </c>
      <c r="BA330" s="95">
        <v>0.26700000000000002</v>
      </c>
      <c r="BB330" s="103" t="s">
        <v>4854</v>
      </c>
      <c r="BC330" s="4" t="s">
        <v>4854</v>
      </c>
      <c r="BD330" s="4" t="s">
        <v>4854</v>
      </c>
      <c r="BE330" s="4" t="s">
        <v>4854</v>
      </c>
      <c r="BF330" s="4" t="s">
        <v>4854</v>
      </c>
      <c r="BG330" s="4" t="s">
        <v>4854</v>
      </c>
      <c r="BH330" s="4" t="s">
        <v>4854</v>
      </c>
      <c r="BI330" s="10">
        <v>3</v>
      </c>
      <c r="BJ330" s="4" t="s">
        <v>4854</v>
      </c>
      <c r="BK330" s="100" t="s">
        <v>4854</v>
      </c>
      <c r="BL330" s="100" t="s">
        <v>4854</v>
      </c>
      <c r="BM330" s="100" t="s">
        <v>4854</v>
      </c>
      <c r="BN330" s="100" t="s">
        <v>4854</v>
      </c>
      <c r="BO330" s="100" t="s">
        <v>4854</v>
      </c>
      <c r="BP330" s="100" t="s">
        <v>4854</v>
      </c>
      <c r="BQ330" s="91">
        <v>0.89500000000000002</v>
      </c>
      <c r="BR330" s="100" t="s">
        <v>4854</v>
      </c>
      <c r="BS330" s="10" t="s">
        <v>4857</v>
      </c>
    </row>
    <row r="331" spans="1:71" s="30" customFormat="1" ht="17.100000000000001" customHeight="1">
      <c r="A331" s="14">
        <v>320</v>
      </c>
      <c r="B331" s="5" t="s">
        <v>3665</v>
      </c>
      <c r="C331" s="3" t="s">
        <v>3883</v>
      </c>
      <c r="D331" s="3" t="s">
        <v>3653</v>
      </c>
      <c r="E331" s="6" t="s">
        <v>3654</v>
      </c>
      <c r="F331" s="8" t="s">
        <v>5132</v>
      </c>
      <c r="G331" s="3" t="s">
        <v>3719</v>
      </c>
      <c r="H331" s="6" t="s">
        <v>3655</v>
      </c>
      <c r="I331" s="3" t="s">
        <v>3678</v>
      </c>
      <c r="J331" s="5" t="s">
        <v>3656</v>
      </c>
      <c r="K331" s="3" t="s">
        <v>5525</v>
      </c>
      <c r="L331" s="3" t="s">
        <v>3593</v>
      </c>
      <c r="M331" s="5">
        <v>3</v>
      </c>
      <c r="N331" s="21">
        <v>540.29809999999998</v>
      </c>
      <c r="O331" s="35" t="s">
        <v>4854</v>
      </c>
      <c r="P331" s="36" t="str">
        <f>HYPERLINK("http://ms.phosphosite.org:5080/cgi-bin/plot-msms.cgi?MassType=1&amp;NumAxis=1&amp;Mod5=170&amp;Mod12=170&amp;Mod15=170&amp;Pep=PEPAKSAPAPKKGSK&amp;Dta=/var/www/html/dta/S01/10559.2851.3.dta&amp;Global_Mod=CS57.0215", "2851")</f>
        <v>2851</v>
      </c>
      <c r="Q331" s="35" t="s">
        <v>4854</v>
      </c>
      <c r="R331" s="35" t="s">
        <v>4854</v>
      </c>
      <c r="S331" s="36" t="str">
        <f>HYPERLINK("http://ms.phosphosite.org:5080/cgi-bin/plot-msms.cgi?MassType=1&amp;NumAxis=1&amp;Mod5=170&amp;Mod12=170&amp;Mod15=170&amp;Pep=PEPAKSAPAPKKGSK&amp;Dta=/var/www/html/dta/S01/10562.2951.3.dta&amp;Global_Mod=CS57.0215", "2951")</f>
        <v>2951</v>
      </c>
      <c r="T331" s="35" t="s">
        <v>4854</v>
      </c>
      <c r="U331" s="35" t="s">
        <v>4854</v>
      </c>
      <c r="V331" s="35" t="s">
        <v>4854</v>
      </c>
      <c r="W331" s="3" t="s">
        <v>4854</v>
      </c>
      <c r="X331" s="3" t="s">
        <v>4854</v>
      </c>
      <c r="Y331" s="3" t="s">
        <v>4854</v>
      </c>
      <c r="Z331" s="3" t="s">
        <v>4854</v>
      </c>
      <c r="AA331" s="3" t="s">
        <v>4854</v>
      </c>
      <c r="AB331" s="3" t="s">
        <v>4854</v>
      </c>
      <c r="AC331" s="3" t="s">
        <v>4854</v>
      </c>
      <c r="AD331" s="3" t="s">
        <v>4854</v>
      </c>
      <c r="AE331" s="99" t="s">
        <v>4854</v>
      </c>
      <c r="AF331" s="90">
        <v>2.2749999999999999</v>
      </c>
      <c r="AG331" s="99" t="s">
        <v>4854</v>
      </c>
      <c r="AH331" s="99" t="s">
        <v>4854</v>
      </c>
      <c r="AI331" s="90">
        <v>2.3149999999999999</v>
      </c>
      <c r="AJ331" s="99" t="s">
        <v>4854</v>
      </c>
      <c r="AK331" s="99" t="s">
        <v>4854</v>
      </c>
      <c r="AL331" s="99" t="s">
        <v>4854</v>
      </c>
      <c r="AM331" s="102" t="s">
        <v>4854</v>
      </c>
      <c r="AN331" s="21">
        <v>-7.8899999999999998E-2</v>
      </c>
      <c r="AO331" s="102" t="s">
        <v>4854</v>
      </c>
      <c r="AP331" s="102" t="s">
        <v>4854</v>
      </c>
      <c r="AQ331" s="21">
        <v>0.25469999999999998</v>
      </c>
      <c r="AR331" s="102" t="s">
        <v>4854</v>
      </c>
      <c r="AS331" s="102" t="s">
        <v>4854</v>
      </c>
      <c r="AT331" s="102" t="s">
        <v>4854</v>
      </c>
      <c r="AU331" s="102" t="s">
        <v>4854</v>
      </c>
      <c r="AV331" s="21">
        <v>0.14899999999999999</v>
      </c>
      <c r="AW331" s="102" t="s">
        <v>4854</v>
      </c>
      <c r="AX331" s="102" t="s">
        <v>4854</v>
      </c>
      <c r="AY331" s="21">
        <v>0.11600000000000001</v>
      </c>
      <c r="AZ331" s="102" t="s">
        <v>4854</v>
      </c>
      <c r="BA331" s="102" t="s">
        <v>4854</v>
      </c>
      <c r="BB331" s="102" t="s">
        <v>4854</v>
      </c>
      <c r="BC331" s="3" t="s">
        <v>4854</v>
      </c>
      <c r="BD331" s="5">
        <v>5</v>
      </c>
      <c r="BE331" s="3" t="s">
        <v>4854</v>
      </c>
      <c r="BF331" s="3" t="s">
        <v>4854</v>
      </c>
      <c r="BG331" s="5">
        <v>74</v>
      </c>
      <c r="BH331" s="3" t="s">
        <v>4854</v>
      </c>
      <c r="BI331" s="3" t="s">
        <v>4854</v>
      </c>
      <c r="BJ331" s="3" t="s">
        <v>4854</v>
      </c>
      <c r="BK331" s="99" t="s">
        <v>4854</v>
      </c>
      <c r="BL331" s="90">
        <v>0.26500000000000001</v>
      </c>
      <c r="BM331" s="99" t="s">
        <v>4854</v>
      </c>
      <c r="BN331" s="99" t="s">
        <v>4854</v>
      </c>
      <c r="BO331" s="90">
        <v>0.10299999999999999</v>
      </c>
      <c r="BP331" s="99" t="s">
        <v>4854</v>
      </c>
      <c r="BQ331" s="99" t="s">
        <v>4854</v>
      </c>
      <c r="BR331" s="99" t="s">
        <v>4854</v>
      </c>
      <c r="BS331" s="5" t="s">
        <v>4857</v>
      </c>
    </row>
    <row r="332" spans="1:71" s="30" customFormat="1" ht="17.100000000000001" customHeight="1">
      <c r="A332" s="10">
        <v>321</v>
      </c>
      <c r="B332" s="10" t="s">
        <v>3594</v>
      </c>
      <c r="C332" s="4" t="s">
        <v>3883</v>
      </c>
      <c r="D332" s="4" t="s">
        <v>3595</v>
      </c>
      <c r="E332" s="7" t="s">
        <v>3596</v>
      </c>
      <c r="F332" s="9" t="s">
        <v>5012</v>
      </c>
      <c r="G332" s="4" t="s">
        <v>3597</v>
      </c>
      <c r="H332" s="7" t="s">
        <v>3598</v>
      </c>
      <c r="I332" s="4" t="s">
        <v>3599</v>
      </c>
      <c r="J332" s="10" t="s">
        <v>4838</v>
      </c>
      <c r="K332" s="4" t="s">
        <v>5526</v>
      </c>
      <c r="L332" s="4" t="s">
        <v>3600</v>
      </c>
      <c r="M332" s="10">
        <v>2</v>
      </c>
      <c r="N332" s="95">
        <v>840.48820000000001</v>
      </c>
      <c r="O332" s="38" t="s">
        <v>4854</v>
      </c>
      <c r="P332" s="38" t="s">
        <v>4854</v>
      </c>
      <c r="Q332" s="38" t="s">
        <v>4854</v>
      </c>
      <c r="R332" s="37" t="str">
        <f>HYPERLINK("http://ms.phosphosite.org:5080/cgi-bin/plot-msms.cgi?MassType=1&amp;NumAxis=1&amp;Mod6=170&amp;Mod7=170&amp;Mod10=170&amp;Mod11=170&amp;Pep=SAPAPKKGSKKALTK&amp;Dta=/var/www/html/dta/S01/10561.4487.2.dta&amp;Global_Mod=CS57.0215", "4487")</f>
        <v>4487</v>
      </c>
      <c r="S332" s="38" t="s">
        <v>4854</v>
      </c>
      <c r="T332" s="38" t="s">
        <v>4854</v>
      </c>
      <c r="U332" s="38" t="s">
        <v>4854</v>
      </c>
      <c r="V332" s="38" t="s">
        <v>4854</v>
      </c>
      <c r="W332" s="4" t="s">
        <v>4854</v>
      </c>
      <c r="X332" s="4" t="s">
        <v>4854</v>
      </c>
      <c r="Y332" s="4" t="s">
        <v>4854</v>
      </c>
      <c r="Z332" s="10">
        <v>4479</v>
      </c>
      <c r="AA332" s="4" t="s">
        <v>4854</v>
      </c>
      <c r="AB332" s="4" t="s">
        <v>4854</v>
      </c>
      <c r="AC332" s="4" t="s">
        <v>4854</v>
      </c>
      <c r="AD332" s="4" t="s">
        <v>4854</v>
      </c>
      <c r="AE332" s="100" t="s">
        <v>4854</v>
      </c>
      <c r="AF332" s="100" t="s">
        <v>4854</v>
      </c>
      <c r="AG332" s="100" t="s">
        <v>4854</v>
      </c>
      <c r="AH332" s="91">
        <v>2.782</v>
      </c>
      <c r="AI332" s="100" t="s">
        <v>4854</v>
      </c>
      <c r="AJ332" s="100" t="s">
        <v>4854</v>
      </c>
      <c r="AK332" s="100" t="s">
        <v>4854</v>
      </c>
      <c r="AL332" s="100" t="s">
        <v>4854</v>
      </c>
      <c r="AM332" s="103" t="s">
        <v>4854</v>
      </c>
      <c r="AN332" s="103" t="s">
        <v>4854</v>
      </c>
      <c r="AO332" s="103" t="s">
        <v>4854</v>
      </c>
      <c r="AP332" s="95">
        <v>0.98809999999999998</v>
      </c>
      <c r="AQ332" s="103" t="s">
        <v>4854</v>
      </c>
      <c r="AR332" s="103" t="s">
        <v>4854</v>
      </c>
      <c r="AS332" s="103" t="s">
        <v>4854</v>
      </c>
      <c r="AT332" s="103" t="s">
        <v>4854</v>
      </c>
      <c r="AU332" s="103" t="s">
        <v>4854</v>
      </c>
      <c r="AV332" s="103" t="s">
        <v>4854</v>
      </c>
      <c r="AW332" s="103" t="s">
        <v>4854</v>
      </c>
      <c r="AX332" s="95">
        <v>0.26200000000000001</v>
      </c>
      <c r="AY332" s="103" t="s">
        <v>4854</v>
      </c>
      <c r="AZ332" s="103" t="s">
        <v>4854</v>
      </c>
      <c r="BA332" s="103" t="s">
        <v>4854</v>
      </c>
      <c r="BB332" s="103" t="s">
        <v>4854</v>
      </c>
      <c r="BC332" s="4" t="s">
        <v>4854</v>
      </c>
      <c r="BD332" s="4" t="s">
        <v>4854</v>
      </c>
      <c r="BE332" s="4" t="s">
        <v>4854</v>
      </c>
      <c r="BF332" s="10">
        <v>1</v>
      </c>
      <c r="BG332" s="4" t="s">
        <v>4854</v>
      </c>
      <c r="BH332" s="4" t="s">
        <v>4854</v>
      </c>
      <c r="BI332" s="4" t="s">
        <v>4854</v>
      </c>
      <c r="BJ332" s="4" t="s">
        <v>4854</v>
      </c>
      <c r="BK332" s="100" t="s">
        <v>4854</v>
      </c>
      <c r="BL332" s="100" t="s">
        <v>4854</v>
      </c>
      <c r="BM332" s="100" t="s">
        <v>4854</v>
      </c>
      <c r="BN332" s="91">
        <v>0.999</v>
      </c>
      <c r="BO332" s="100" t="s">
        <v>4854</v>
      </c>
      <c r="BP332" s="100" t="s">
        <v>4854</v>
      </c>
      <c r="BQ332" s="100" t="s">
        <v>4854</v>
      </c>
      <c r="BR332" s="100" t="s">
        <v>4854</v>
      </c>
      <c r="BS332" s="10" t="s">
        <v>4857</v>
      </c>
    </row>
    <row r="333" spans="1:71" s="30" customFormat="1" ht="17.100000000000001" customHeight="1">
      <c r="A333" s="14">
        <v>322</v>
      </c>
      <c r="B333" s="5" t="s">
        <v>3601</v>
      </c>
      <c r="C333" s="3" t="s">
        <v>3883</v>
      </c>
      <c r="D333" s="3" t="s">
        <v>3602</v>
      </c>
      <c r="E333" s="6" t="s">
        <v>3603</v>
      </c>
      <c r="F333" s="5" t="s">
        <v>5036</v>
      </c>
      <c r="G333" s="3" t="s">
        <v>3604</v>
      </c>
      <c r="H333" s="6" t="s">
        <v>3605</v>
      </c>
      <c r="I333" s="3" t="s">
        <v>3606</v>
      </c>
      <c r="J333" s="5" t="s">
        <v>4838</v>
      </c>
      <c r="K333" s="3" t="s">
        <v>5527</v>
      </c>
      <c r="L333" s="3" t="s">
        <v>3607</v>
      </c>
      <c r="M333" s="5">
        <v>2</v>
      </c>
      <c r="N333" s="21">
        <v>582.81659999999999</v>
      </c>
      <c r="O333" s="35" t="s">
        <v>4854</v>
      </c>
      <c r="P333" s="35" t="s">
        <v>4854</v>
      </c>
      <c r="Q333" s="35" t="s">
        <v>4854</v>
      </c>
      <c r="R333" s="35" t="s">
        <v>4854</v>
      </c>
      <c r="S333" s="35" t="s">
        <v>4854</v>
      </c>
      <c r="T333" s="35" t="s">
        <v>4854</v>
      </c>
      <c r="U333" s="36" t="str">
        <f>HYPERLINK("http://ms.phosphosite.org:5080/cgi-bin/plot-msms.cgi?MassType=1&amp;NumAxis=1&amp;Mod5=170&amp;Pep=PEPTKSAPAPK&amp;Dta=/var/www/html/dta/S01/10564.2288.2.dta&amp;Global_Mod=CS57.0215", "2288")</f>
        <v>2288</v>
      </c>
      <c r="V333" s="36" t="str">
        <f>HYPERLINK("http://ms.phosphosite.org:5080/cgi-bin/plot-msms.cgi?MassType=1&amp;NumAxis=1&amp;Mod5=170&amp;Pep=PEPTKSAPAPK&amp;Dta=/var/www/html/dta/S01/10565.2311.2.dta&amp;Global_Mod=CS57.0215", "2311")</f>
        <v>2311</v>
      </c>
      <c r="W333" s="3" t="s">
        <v>4854</v>
      </c>
      <c r="X333" s="3" t="s">
        <v>4854</v>
      </c>
      <c r="Y333" s="3" t="s">
        <v>4854</v>
      </c>
      <c r="Z333" s="3" t="s">
        <v>4854</v>
      </c>
      <c r="AA333" s="3" t="s">
        <v>4854</v>
      </c>
      <c r="AB333" s="3" t="s">
        <v>4854</v>
      </c>
      <c r="AC333" s="3" t="s">
        <v>4854</v>
      </c>
      <c r="AD333" s="3" t="s">
        <v>4854</v>
      </c>
      <c r="AE333" s="99" t="s">
        <v>4854</v>
      </c>
      <c r="AF333" s="99" t="s">
        <v>4854</v>
      </c>
      <c r="AG333" s="99" t="s">
        <v>4854</v>
      </c>
      <c r="AH333" s="99" t="s">
        <v>4854</v>
      </c>
      <c r="AI333" s="99" t="s">
        <v>4854</v>
      </c>
      <c r="AJ333" s="99" t="s">
        <v>4854</v>
      </c>
      <c r="AK333" s="90">
        <v>2.4510000000000001</v>
      </c>
      <c r="AL333" s="90">
        <v>1.85</v>
      </c>
      <c r="AM333" s="102" t="s">
        <v>4854</v>
      </c>
      <c r="AN333" s="102" t="s">
        <v>4854</v>
      </c>
      <c r="AO333" s="102" t="s">
        <v>4854</v>
      </c>
      <c r="AP333" s="102" t="s">
        <v>4854</v>
      </c>
      <c r="AQ333" s="102" t="s">
        <v>4854</v>
      </c>
      <c r="AR333" s="102" t="s">
        <v>4854</v>
      </c>
      <c r="AS333" s="21">
        <v>-0.4541</v>
      </c>
      <c r="AT333" s="21">
        <v>-0.27460000000000001</v>
      </c>
      <c r="AU333" s="102" t="s">
        <v>4854</v>
      </c>
      <c r="AV333" s="102" t="s">
        <v>4854</v>
      </c>
      <c r="AW333" s="102" t="s">
        <v>4854</v>
      </c>
      <c r="AX333" s="102" t="s">
        <v>4854</v>
      </c>
      <c r="AY333" s="102" t="s">
        <v>4854</v>
      </c>
      <c r="AZ333" s="102" t="s">
        <v>4854</v>
      </c>
      <c r="BA333" s="21">
        <v>0.20599999999999999</v>
      </c>
      <c r="BB333" s="21">
        <v>0.23300000000000001</v>
      </c>
      <c r="BC333" s="3" t="s">
        <v>4854</v>
      </c>
      <c r="BD333" s="3" t="s">
        <v>4854</v>
      </c>
      <c r="BE333" s="3" t="s">
        <v>4854</v>
      </c>
      <c r="BF333" s="3" t="s">
        <v>4854</v>
      </c>
      <c r="BG333" s="3" t="s">
        <v>4854</v>
      </c>
      <c r="BH333" s="3" t="s">
        <v>4854</v>
      </c>
      <c r="BI333" s="5">
        <v>3</v>
      </c>
      <c r="BJ333" s="5">
        <v>2</v>
      </c>
      <c r="BK333" s="99" t="s">
        <v>4854</v>
      </c>
      <c r="BL333" s="99" t="s">
        <v>4854</v>
      </c>
      <c r="BM333" s="99" t="s">
        <v>4854</v>
      </c>
      <c r="BN333" s="99" t="s">
        <v>4854</v>
      </c>
      <c r="BO333" s="99" t="s">
        <v>4854</v>
      </c>
      <c r="BP333" s="99" t="s">
        <v>4854</v>
      </c>
      <c r="BQ333" s="90">
        <v>0.53800000000000003</v>
      </c>
      <c r="BR333" s="90">
        <v>0.501</v>
      </c>
      <c r="BS333" s="5" t="s">
        <v>4857</v>
      </c>
    </row>
    <row r="334" spans="1:71" s="30" customFormat="1" ht="17.100000000000001" customHeight="1">
      <c r="A334" s="10">
        <v>323</v>
      </c>
      <c r="B334" s="10" t="s">
        <v>3608</v>
      </c>
      <c r="C334" s="4" t="s">
        <v>3883</v>
      </c>
      <c r="D334" s="4" t="s">
        <v>3609</v>
      </c>
      <c r="E334" s="7" t="s">
        <v>3610</v>
      </c>
      <c r="F334" s="9" t="s">
        <v>5068</v>
      </c>
      <c r="G334" s="4" t="s">
        <v>3611</v>
      </c>
      <c r="H334" s="7" t="s">
        <v>3612</v>
      </c>
      <c r="I334" s="4" t="s">
        <v>3613</v>
      </c>
      <c r="J334" s="10" t="s">
        <v>3614</v>
      </c>
      <c r="K334" s="4" t="s">
        <v>5528</v>
      </c>
      <c r="L334" s="4" t="s">
        <v>3615</v>
      </c>
      <c r="M334" s="10">
        <v>2</v>
      </c>
      <c r="N334" s="95">
        <v>379.21940000000001</v>
      </c>
      <c r="O334" s="37" t="str">
        <f>HYPERLINK("http://ms.phosphosite.org:5080/cgi-bin/plot-msms.cgi?MassType=1&amp;NumAxis=1&amp;Mod2=170&amp;Mod6=170&amp;Pep=GKGGAKR&amp;Dta=/var/www/html/dta/S01/10558.3376.2.dta&amp;Global_Mod=CS57.0215", "3376")</f>
        <v>3376</v>
      </c>
      <c r="P334" s="37" t="str">
        <f>HYPERLINK("http://ms.phosphosite.org:5080/cgi-bin/plot-msms.cgi?MassType=1&amp;NumAxis=1&amp;Mod2=170&amp;Mod6=170&amp;Pep=GKGGAKR&amp;Dta=/var/www/html/dta/S01/10559.3324.2.dta&amp;Global_Mod=CS57.0215", "3324")</f>
        <v>3324</v>
      </c>
      <c r="Q334" s="38" t="s">
        <v>4854</v>
      </c>
      <c r="R334" s="38" t="s">
        <v>4854</v>
      </c>
      <c r="S334" s="38" t="s">
        <v>4854</v>
      </c>
      <c r="T334" s="38" t="s">
        <v>4854</v>
      </c>
      <c r="U334" s="38" t="s">
        <v>4854</v>
      </c>
      <c r="V334" s="38" t="s">
        <v>4854</v>
      </c>
      <c r="W334" s="4" t="s">
        <v>4854</v>
      </c>
      <c r="X334" s="4" t="s">
        <v>4854</v>
      </c>
      <c r="Y334" s="4" t="s">
        <v>4854</v>
      </c>
      <c r="Z334" s="4" t="s">
        <v>4854</v>
      </c>
      <c r="AA334" s="4" t="s">
        <v>4854</v>
      </c>
      <c r="AB334" s="4" t="s">
        <v>4854</v>
      </c>
      <c r="AC334" s="4" t="s">
        <v>4854</v>
      </c>
      <c r="AD334" s="4" t="s">
        <v>4854</v>
      </c>
      <c r="AE334" s="91">
        <v>1.798</v>
      </c>
      <c r="AF334" s="91">
        <v>1.7070000000000001</v>
      </c>
      <c r="AG334" s="100" t="s">
        <v>4854</v>
      </c>
      <c r="AH334" s="100" t="s">
        <v>4854</v>
      </c>
      <c r="AI334" s="100" t="s">
        <v>4854</v>
      </c>
      <c r="AJ334" s="100" t="s">
        <v>4854</v>
      </c>
      <c r="AK334" s="100" t="s">
        <v>4854</v>
      </c>
      <c r="AL334" s="100" t="s">
        <v>4854</v>
      </c>
      <c r="AM334" s="95">
        <v>-7.1999999999999995E-2</v>
      </c>
      <c r="AN334" s="95">
        <v>7.3200000000000001E-2</v>
      </c>
      <c r="AO334" s="103" t="s">
        <v>4854</v>
      </c>
      <c r="AP334" s="103" t="s">
        <v>4854</v>
      </c>
      <c r="AQ334" s="103" t="s">
        <v>4854</v>
      </c>
      <c r="AR334" s="103" t="s">
        <v>4854</v>
      </c>
      <c r="AS334" s="103" t="s">
        <v>4854</v>
      </c>
      <c r="AT334" s="103" t="s">
        <v>4854</v>
      </c>
      <c r="AU334" s="95">
        <v>1.0999999999999999E-2</v>
      </c>
      <c r="AV334" s="95">
        <v>1.9E-2</v>
      </c>
      <c r="AW334" s="103" t="s">
        <v>4854</v>
      </c>
      <c r="AX334" s="103" t="s">
        <v>4854</v>
      </c>
      <c r="AY334" s="103" t="s">
        <v>4854</v>
      </c>
      <c r="AZ334" s="103" t="s">
        <v>4854</v>
      </c>
      <c r="BA334" s="103" t="s">
        <v>4854</v>
      </c>
      <c r="BB334" s="103" t="s">
        <v>4854</v>
      </c>
      <c r="BC334" s="10">
        <v>3</v>
      </c>
      <c r="BD334" s="10">
        <v>2</v>
      </c>
      <c r="BE334" s="4" t="s">
        <v>4854</v>
      </c>
      <c r="BF334" s="4" t="s">
        <v>4854</v>
      </c>
      <c r="BG334" s="4" t="s">
        <v>4854</v>
      </c>
      <c r="BH334" s="4" t="s">
        <v>4854</v>
      </c>
      <c r="BI334" s="4" t="s">
        <v>4854</v>
      </c>
      <c r="BJ334" s="4" t="s">
        <v>4854</v>
      </c>
      <c r="BK334" s="91">
        <v>7.9000000000000001E-2</v>
      </c>
      <c r="BL334" s="91">
        <v>7.3999999999999996E-2</v>
      </c>
      <c r="BM334" s="100" t="s">
        <v>4854</v>
      </c>
      <c r="BN334" s="100" t="s">
        <v>4854</v>
      </c>
      <c r="BO334" s="100" t="s">
        <v>4854</v>
      </c>
      <c r="BP334" s="100" t="s">
        <v>4854</v>
      </c>
      <c r="BQ334" s="100" t="s">
        <v>4854</v>
      </c>
      <c r="BR334" s="100" t="s">
        <v>4854</v>
      </c>
      <c r="BS334" s="10" t="s">
        <v>4857</v>
      </c>
    </row>
    <row r="335" spans="1:71" s="30" customFormat="1" ht="17.100000000000001" customHeight="1">
      <c r="A335" s="10">
        <v>324</v>
      </c>
      <c r="B335" s="10" t="s">
        <v>3616</v>
      </c>
      <c r="C335" s="4" t="s">
        <v>3883</v>
      </c>
      <c r="D335" s="4" t="s">
        <v>3609</v>
      </c>
      <c r="E335" s="7" t="s">
        <v>3610</v>
      </c>
      <c r="F335" s="9" t="s">
        <v>5068</v>
      </c>
      <c r="G335" s="4" t="s">
        <v>3611</v>
      </c>
      <c r="H335" s="7" t="s">
        <v>3612</v>
      </c>
      <c r="I335" s="4" t="s">
        <v>3613</v>
      </c>
      <c r="J335" s="10" t="s">
        <v>3614</v>
      </c>
      <c r="K335" s="4" t="s">
        <v>5528</v>
      </c>
      <c r="L335" s="4" t="s">
        <v>3617</v>
      </c>
      <c r="M335" s="10">
        <v>2</v>
      </c>
      <c r="N335" s="95">
        <v>464.2722</v>
      </c>
      <c r="O335" s="37" t="str">
        <f>HYPERLINK("http://ms.phosphosite.org:5080/cgi-bin/plot-msms.cgi?MassType=1&amp;NumAxis=1&amp;Mod4=170&amp;Mod8=170&amp;Pep=GLGKGGAKR&amp;Dta=/var/www/html/dta/S01/10558.2080.2.dta&amp;Global_Mod=CS57.0215", "2080")</f>
        <v>2080</v>
      </c>
      <c r="P335" s="37" t="str">
        <f>HYPERLINK("http://ms.phosphosite.org:5080/cgi-bin/plot-msms.cgi?MassType=1&amp;NumAxis=1&amp;Mod4=170&amp;Mod8=170&amp;Pep=GLGKGGAKR&amp;Dta=/var/www/html/dta/S01/10559.2035.2.dta&amp;Global_Mod=CS57.0215", "2035")</f>
        <v>2035</v>
      </c>
      <c r="Q335" s="37" t="str">
        <f>HYPERLINK("http://ms.phosphosite.org:5080/cgi-bin/plot-msms.cgi?MassType=1&amp;NumAxis=1&amp;Mod4=170&amp;Mod8=170&amp;Pep=GLGKGGAKR&amp;Dta=/var/www/html/dta/S01/10560.2023.2.dta&amp;Global_Mod=CS57.0215", "2023")</f>
        <v>2023</v>
      </c>
      <c r="R335" s="37" t="str">
        <f>HYPERLINK("http://ms.phosphosite.org:5080/cgi-bin/plot-msms.cgi?MassType=1&amp;NumAxis=1&amp;Mod4=170&amp;Mod8=170&amp;Pep=GLGKGGAKR&amp;Dta=/var/www/html/dta/S01/10561.2056.2.dta&amp;Global_Mod=CS57.0215", "2056")</f>
        <v>2056</v>
      </c>
      <c r="S335" s="37" t="str">
        <f>HYPERLINK("http://ms.phosphosite.org:5080/cgi-bin/plot-msms.cgi?MassType=1&amp;NumAxis=1&amp;Mod4=170&amp;Mod8=170&amp;Pep=GLGKGGAKR&amp;Dta=/var/www/html/dta/S01/10562.2117.2.dta&amp;Global_Mod=CS57.0215", "2117")</f>
        <v>2117</v>
      </c>
      <c r="T335" s="37" t="str">
        <f>HYPERLINK("http://ms.phosphosite.org:5080/cgi-bin/plot-msms.cgi?MassType=1&amp;NumAxis=1&amp;Mod4=170&amp;Mod8=170&amp;Pep=GLGKGGAKR&amp;Dta=/var/www/html/dta/S01/10563.2039.2.dta&amp;Global_Mod=CS57.0215", "2039")</f>
        <v>2039</v>
      </c>
      <c r="U335" s="37" t="str">
        <f>HYPERLINK("http://ms.phosphosite.org:5080/cgi-bin/plot-msms.cgi?MassType=1&amp;NumAxis=1&amp;Mod4=170&amp;Mod8=170&amp;Pep=GLGKGGAKR&amp;Dta=/var/www/html/dta/S01/10564.2308.2.dta&amp;Global_Mod=CS57.0215", "2308")</f>
        <v>2308</v>
      </c>
      <c r="V335" s="37" t="str">
        <f>HYPERLINK("http://ms.phosphosite.org:5080/cgi-bin/plot-msms.cgi?MassType=1&amp;NumAxis=1&amp;Mod4=170&amp;Mod8=170&amp;Pep=GLGKGGAKR&amp;Dta=/var/www/html/dta/S01/10565.2370.2.dta&amp;Global_Mod=CS57.0215", "2370")</f>
        <v>2370</v>
      </c>
      <c r="W335" s="10">
        <v>2099</v>
      </c>
      <c r="X335" s="10">
        <v>2068</v>
      </c>
      <c r="Y335" s="10">
        <v>2053</v>
      </c>
      <c r="Z335" s="10">
        <v>2088</v>
      </c>
      <c r="AA335" s="10">
        <v>2140</v>
      </c>
      <c r="AB335" s="10">
        <v>2057</v>
      </c>
      <c r="AC335" s="10">
        <v>2331</v>
      </c>
      <c r="AD335" s="10">
        <v>2400</v>
      </c>
      <c r="AE335" s="91">
        <v>2.58</v>
      </c>
      <c r="AF335" s="91">
        <v>2.383</v>
      </c>
      <c r="AG335" s="91">
        <v>2.6840000000000002</v>
      </c>
      <c r="AH335" s="91">
        <v>2.4750000000000001</v>
      </c>
      <c r="AI335" s="91">
        <v>2.4220000000000002</v>
      </c>
      <c r="AJ335" s="91">
        <v>2.1179999999999999</v>
      </c>
      <c r="AK335" s="91">
        <v>2.2989999999999999</v>
      </c>
      <c r="AL335" s="91">
        <v>2.7879999999999998</v>
      </c>
      <c r="AM335" s="95">
        <v>1.9403999999999999</v>
      </c>
      <c r="AN335" s="95">
        <v>1.8304</v>
      </c>
      <c r="AO335" s="95">
        <v>2.2012999999999998</v>
      </c>
      <c r="AP335" s="95">
        <v>1.9521999999999999</v>
      </c>
      <c r="AQ335" s="95">
        <v>1.3668</v>
      </c>
      <c r="AR335" s="95">
        <v>1.2461</v>
      </c>
      <c r="AS335" s="95">
        <v>1.1295999999999999</v>
      </c>
      <c r="AT335" s="95">
        <v>0.87519999999999998</v>
      </c>
      <c r="AU335" s="95">
        <v>1.2999999999999999E-2</v>
      </c>
      <c r="AV335" s="95">
        <v>4.5999999999999999E-2</v>
      </c>
      <c r="AW335" s="95">
        <v>2.1999999999999999E-2</v>
      </c>
      <c r="AX335" s="95">
        <v>2.5000000000000001E-2</v>
      </c>
      <c r="AY335" s="95">
        <v>3.6999999999999998E-2</v>
      </c>
      <c r="AZ335" s="95">
        <v>4.2999999999999997E-2</v>
      </c>
      <c r="BA335" s="95">
        <v>0.05</v>
      </c>
      <c r="BB335" s="95">
        <v>3.1E-2</v>
      </c>
      <c r="BC335" s="10">
        <v>2</v>
      </c>
      <c r="BD335" s="10">
        <v>1</v>
      </c>
      <c r="BE335" s="10">
        <v>1</v>
      </c>
      <c r="BF335" s="10">
        <v>1</v>
      </c>
      <c r="BG335" s="10">
        <v>1</v>
      </c>
      <c r="BH335" s="10">
        <v>1</v>
      </c>
      <c r="BI335" s="10">
        <v>1</v>
      </c>
      <c r="BJ335" s="10">
        <v>1</v>
      </c>
      <c r="BK335" s="91">
        <v>0.98399999999999999</v>
      </c>
      <c r="BL335" s="91">
        <v>0.98699999999999999</v>
      </c>
      <c r="BM335" s="91">
        <v>0.99099999999999999</v>
      </c>
      <c r="BN335" s="91">
        <v>0.98699999999999999</v>
      </c>
      <c r="BO335" s="91">
        <v>0.98699999999999999</v>
      </c>
      <c r="BP335" s="91">
        <v>0.97599999999999998</v>
      </c>
      <c r="BQ335" s="91">
        <v>0.98499999999999999</v>
      </c>
      <c r="BR335" s="91">
        <v>0.99299999999999999</v>
      </c>
      <c r="BS335" s="10" t="s">
        <v>4857</v>
      </c>
    </row>
    <row r="336" spans="1:71" s="30" customFormat="1" ht="17.100000000000001" customHeight="1">
      <c r="A336" s="10">
        <v>325</v>
      </c>
      <c r="B336" s="10" t="s">
        <v>3618</v>
      </c>
      <c r="C336" s="4" t="s">
        <v>3883</v>
      </c>
      <c r="D336" s="4" t="s">
        <v>3609</v>
      </c>
      <c r="E336" s="7" t="s">
        <v>3610</v>
      </c>
      <c r="F336" s="9" t="s">
        <v>5068</v>
      </c>
      <c r="G336" s="4" t="s">
        <v>3611</v>
      </c>
      <c r="H336" s="7" t="s">
        <v>3612</v>
      </c>
      <c r="I336" s="4" t="s">
        <v>3613</v>
      </c>
      <c r="J336" s="10" t="s">
        <v>3614</v>
      </c>
      <c r="K336" s="4" t="s">
        <v>5528</v>
      </c>
      <c r="L336" s="4" t="s">
        <v>3619</v>
      </c>
      <c r="M336" s="10">
        <v>2</v>
      </c>
      <c r="N336" s="95">
        <v>435.76139999999998</v>
      </c>
      <c r="O336" s="38" t="s">
        <v>4854</v>
      </c>
      <c r="P336" s="37" t="str">
        <f>HYPERLINK("http://ms.phosphosite.org:5080/cgi-bin/plot-msms.cgi?MassType=1&amp;NumAxis=1&amp;Mod3=170&amp;Mod7=170&amp;Pep=LGKGGAKR&amp;Dta=/var/www/html/dta/S01/10559.1769.2.dta&amp;Global_Mod=CS57.0215", "1769")</f>
        <v>1769</v>
      </c>
      <c r="Q336" s="37" t="str">
        <f>HYPERLINK("http://ms.phosphosite.org:5080/cgi-bin/plot-msms.cgi?MassType=1&amp;NumAxis=1&amp;Mod3=170&amp;Mod7=170&amp;Pep=LGKGGAKR&amp;Dta=/var/www/html/dta/S01/10560.1751.2.dta&amp;Global_Mod=CS57.0215", "1751")</f>
        <v>1751</v>
      </c>
      <c r="R336" s="37" t="str">
        <f>HYPERLINK("http://ms.phosphosite.org:5080/cgi-bin/plot-msms.cgi?MassType=1&amp;NumAxis=1&amp;Mod3=170&amp;Mod7=170&amp;Pep=LGKGGAKR&amp;Dta=/var/www/html/dta/S01/10561.1800.2.dta&amp;Global_Mod=CS57.0215", "1800")</f>
        <v>1800</v>
      </c>
      <c r="S336" s="38" t="s">
        <v>4854</v>
      </c>
      <c r="T336" s="38" t="s">
        <v>4854</v>
      </c>
      <c r="U336" s="38" t="s">
        <v>4854</v>
      </c>
      <c r="V336" s="38" t="s">
        <v>4854</v>
      </c>
      <c r="W336" s="4" t="s">
        <v>4854</v>
      </c>
      <c r="X336" s="4" t="s">
        <v>4854</v>
      </c>
      <c r="Y336" s="4" t="s">
        <v>4854</v>
      </c>
      <c r="Z336" s="4" t="s">
        <v>4854</v>
      </c>
      <c r="AA336" s="4" t="s">
        <v>4854</v>
      </c>
      <c r="AB336" s="4" t="s">
        <v>4854</v>
      </c>
      <c r="AC336" s="4" t="s">
        <v>4854</v>
      </c>
      <c r="AD336" s="4" t="s">
        <v>4854</v>
      </c>
      <c r="AE336" s="100" t="s">
        <v>4854</v>
      </c>
      <c r="AF336" s="91">
        <v>1.867</v>
      </c>
      <c r="AG336" s="91">
        <v>1.99</v>
      </c>
      <c r="AH336" s="91">
        <v>2.0920000000000001</v>
      </c>
      <c r="AI336" s="100" t="s">
        <v>4854</v>
      </c>
      <c r="AJ336" s="100" t="s">
        <v>4854</v>
      </c>
      <c r="AK336" s="100" t="s">
        <v>4854</v>
      </c>
      <c r="AL336" s="100" t="s">
        <v>4854</v>
      </c>
      <c r="AM336" s="103" t="s">
        <v>4854</v>
      </c>
      <c r="AN336" s="95">
        <v>0.35320000000000001</v>
      </c>
      <c r="AO336" s="95">
        <v>0.44740000000000002</v>
      </c>
      <c r="AP336" s="95">
        <v>0.42330000000000001</v>
      </c>
      <c r="AQ336" s="103" t="s">
        <v>4854</v>
      </c>
      <c r="AR336" s="103" t="s">
        <v>4854</v>
      </c>
      <c r="AS336" s="103" t="s">
        <v>4854</v>
      </c>
      <c r="AT336" s="103" t="s">
        <v>4854</v>
      </c>
      <c r="AU336" s="103" t="s">
        <v>4854</v>
      </c>
      <c r="AV336" s="95">
        <v>2.9000000000000001E-2</v>
      </c>
      <c r="AW336" s="95">
        <v>0.14499999999999999</v>
      </c>
      <c r="AX336" s="95">
        <v>0.08</v>
      </c>
      <c r="AY336" s="103" t="s">
        <v>4854</v>
      </c>
      <c r="AZ336" s="103" t="s">
        <v>4854</v>
      </c>
      <c r="BA336" s="103" t="s">
        <v>4854</v>
      </c>
      <c r="BB336" s="103" t="s">
        <v>4854</v>
      </c>
      <c r="BC336" s="4" t="s">
        <v>4854</v>
      </c>
      <c r="BD336" s="10">
        <v>3</v>
      </c>
      <c r="BE336" s="10">
        <v>1</v>
      </c>
      <c r="BF336" s="10">
        <v>1</v>
      </c>
      <c r="BG336" s="4" t="s">
        <v>4854</v>
      </c>
      <c r="BH336" s="4" t="s">
        <v>4854</v>
      </c>
      <c r="BI336" s="4" t="s">
        <v>4854</v>
      </c>
      <c r="BJ336" s="4" t="s">
        <v>4854</v>
      </c>
      <c r="BK336" s="100" t="s">
        <v>4854</v>
      </c>
      <c r="BL336" s="91">
        <v>0.1</v>
      </c>
      <c r="BM336" s="91">
        <v>0.48099999999999998</v>
      </c>
      <c r="BN336" s="91">
        <v>0.35899999999999999</v>
      </c>
      <c r="BO336" s="100" t="s">
        <v>4854</v>
      </c>
      <c r="BP336" s="100" t="s">
        <v>4854</v>
      </c>
      <c r="BQ336" s="100" t="s">
        <v>4854</v>
      </c>
      <c r="BR336" s="100" t="s">
        <v>4854</v>
      </c>
      <c r="BS336" s="10" t="s">
        <v>4857</v>
      </c>
    </row>
    <row r="337" spans="1:71" s="30" customFormat="1" ht="17.100000000000001" customHeight="1">
      <c r="A337" s="14">
        <v>326</v>
      </c>
      <c r="B337" s="5" t="s">
        <v>3620</v>
      </c>
      <c r="C337" s="3" t="s">
        <v>3883</v>
      </c>
      <c r="D337" s="3" t="s">
        <v>3609</v>
      </c>
      <c r="E337" s="6" t="s">
        <v>3610</v>
      </c>
      <c r="F337" s="5" t="s">
        <v>5048</v>
      </c>
      <c r="G337" s="3" t="s">
        <v>3611</v>
      </c>
      <c r="H337" s="6" t="s">
        <v>3612</v>
      </c>
      <c r="I337" s="3" t="s">
        <v>3613</v>
      </c>
      <c r="J337" s="5" t="s">
        <v>3614</v>
      </c>
      <c r="K337" s="3" t="s">
        <v>5529</v>
      </c>
      <c r="L337" s="3" t="s">
        <v>3621</v>
      </c>
      <c r="M337" s="5">
        <v>2</v>
      </c>
      <c r="N337" s="21">
        <v>684.38570000000004</v>
      </c>
      <c r="O337" s="35" t="s">
        <v>4854</v>
      </c>
      <c r="P337" s="35" t="s">
        <v>4854</v>
      </c>
      <c r="Q337" s="35" t="s">
        <v>4854</v>
      </c>
      <c r="R337" s="36" t="str">
        <f>HYPERLINK("http://ms.phosphosite.org:5080/cgi-bin/plot-msms.cgi?MassType=1&amp;NumAxis=1&amp;Mod8=170&amp;Pep=DNIQGITKPAIR&amp;Dta=/var/www/html/dta/S01/10561.6870.2.dta&amp;Global_Mod=CS57.0215", "6870")</f>
        <v>6870</v>
      </c>
      <c r="S337" s="35" t="s">
        <v>4854</v>
      </c>
      <c r="T337" s="35" t="s">
        <v>4854</v>
      </c>
      <c r="U337" s="35" t="s">
        <v>4854</v>
      </c>
      <c r="V337" s="35" t="s">
        <v>4854</v>
      </c>
      <c r="W337" s="3" t="s">
        <v>4854</v>
      </c>
      <c r="X337" s="3" t="s">
        <v>4854</v>
      </c>
      <c r="Y337" s="3" t="s">
        <v>4854</v>
      </c>
      <c r="Z337" s="5">
        <v>6184</v>
      </c>
      <c r="AA337" s="3" t="s">
        <v>4854</v>
      </c>
      <c r="AB337" s="3" t="s">
        <v>4854</v>
      </c>
      <c r="AC337" s="3" t="s">
        <v>4854</v>
      </c>
      <c r="AD337" s="3" t="s">
        <v>4854</v>
      </c>
      <c r="AE337" s="99" t="s">
        <v>4854</v>
      </c>
      <c r="AF337" s="99" t="s">
        <v>4854</v>
      </c>
      <c r="AG337" s="99" t="s">
        <v>4854</v>
      </c>
      <c r="AH337" s="90">
        <v>2.5219999999999998</v>
      </c>
      <c r="AI337" s="99" t="s">
        <v>4854</v>
      </c>
      <c r="AJ337" s="99" t="s">
        <v>4854</v>
      </c>
      <c r="AK337" s="99" t="s">
        <v>4854</v>
      </c>
      <c r="AL337" s="99" t="s">
        <v>4854</v>
      </c>
      <c r="AM337" s="102" t="s">
        <v>4854</v>
      </c>
      <c r="AN337" s="102" t="s">
        <v>4854</v>
      </c>
      <c r="AO337" s="102" t="s">
        <v>4854</v>
      </c>
      <c r="AP337" s="21">
        <v>0.56469999999999998</v>
      </c>
      <c r="AQ337" s="102" t="s">
        <v>4854</v>
      </c>
      <c r="AR337" s="102" t="s">
        <v>4854</v>
      </c>
      <c r="AS337" s="102" t="s">
        <v>4854</v>
      </c>
      <c r="AT337" s="102" t="s">
        <v>4854</v>
      </c>
      <c r="AU337" s="102" t="s">
        <v>4854</v>
      </c>
      <c r="AV337" s="102" t="s">
        <v>4854</v>
      </c>
      <c r="AW337" s="102" t="s">
        <v>4854</v>
      </c>
      <c r="AX337" s="21">
        <v>0.218</v>
      </c>
      <c r="AY337" s="102" t="s">
        <v>4854</v>
      </c>
      <c r="AZ337" s="102" t="s">
        <v>4854</v>
      </c>
      <c r="BA337" s="102" t="s">
        <v>4854</v>
      </c>
      <c r="BB337" s="102" t="s">
        <v>4854</v>
      </c>
      <c r="BC337" s="3" t="s">
        <v>4854</v>
      </c>
      <c r="BD337" s="3" t="s">
        <v>4854</v>
      </c>
      <c r="BE337" s="3" t="s">
        <v>4854</v>
      </c>
      <c r="BF337" s="5">
        <v>1</v>
      </c>
      <c r="BG337" s="3" t="s">
        <v>4854</v>
      </c>
      <c r="BH337" s="3" t="s">
        <v>4854</v>
      </c>
      <c r="BI337" s="3" t="s">
        <v>4854</v>
      </c>
      <c r="BJ337" s="3" t="s">
        <v>4854</v>
      </c>
      <c r="BK337" s="99" t="s">
        <v>4854</v>
      </c>
      <c r="BL337" s="99" t="s">
        <v>4854</v>
      </c>
      <c r="BM337" s="99" t="s">
        <v>4854</v>
      </c>
      <c r="BN337" s="90">
        <v>1</v>
      </c>
      <c r="BO337" s="99" t="s">
        <v>4854</v>
      </c>
      <c r="BP337" s="99" t="s">
        <v>4854</v>
      </c>
      <c r="BQ337" s="99" t="s">
        <v>4854</v>
      </c>
      <c r="BR337" s="99" t="s">
        <v>4854</v>
      </c>
      <c r="BS337" s="5" t="s">
        <v>4857</v>
      </c>
    </row>
    <row r="338" spans="1:71" s="30" customFormat="1" ht="17.100000000000001" customHeight="1">
      <c r="A338" s="10">
        <v>327</v>
      </c>
      <c r="B338" s="10" t="s">
        <v>3622</v>
      </c>
      <c r="C338" s="4" t="s">
        <v>3883</v>
      </c>
      <c r="D338" s="4" t="s">
        <v>3609</v>
      </c>
      <c r="E338" s="7" t="s">
        <v>3610</v>
      </c>
      <c r="F338" s="9" t="s">
        <v>5171</v>
      </c>
      <c r="G338" s="4" t="s">
        <v>3611</v>
      </c>
      <c r="H338" s="7" t="s">
        <v>3612</v>
      </c>
      <c r="I338" s="4" t="s">
        <v>3613</v>
      </c>
      <c r="J338" s="10" t="s">
        <v>3614</v>
      </c>
      <c r="K338" s="4" t="s">
        <v>5530</v>
      </c>
      <c r="L338" s="4" t="s">
        <v>3623</v>
      </c>
      <c r="M338" s="10">
        <v>2</v>
      </c>
      <c r="N338" s="95">
        <v>698.90459999999996</v>
      </c>
      <c r="O338" s="37" t="str">
        <f>HYPERLINK("http://ms.phosphosite.org:5080/cgi-bin/plot-msms.cgi?MassType=1&amp;NumAxis=1&amp;Mod2=170&amp;Mod9=170&amp;Mod13=170&amp;Pep=GKGGKGLGKGGAKR&amp;Dta=/var/www/html/dta/S01/10558.2081.2.dta&amp;Global_Mod=CS57.0215", "2081")</f>
        <v>2081</v>
      </c>
      <c r="P338" s="38" t="s">
        <v>4854</v>
      </c>
      <c r="Q338" s="38" t="s">
        <v>4854</v>
      </c>
      <c r="R338" s="38" t="s">
        <v>4854</v>
      </c>
      <c r="S338" s="37" t="str">
        <f>HYPERLINK("http://ms.phosphosite.org:5080/cgi-bin/plot-msms.cgi?MassType=1&amp;NumAxis=1&amp;Mod2=170&amp;Mod9=170&amp;Mod13=170&amp;Pep=GKGGKGLGKGGAKR&amp;Dta=/var/www/html/dta/S01/10562.2131.2.dta&amp;Global_Mod=CS57.0215", "2131")</f>
        <v>2131</v>
      </c>
      <c r="T338" s="38" t="s">
        <v>4854</v>
      </c>
      <c r="U338" s="38" t="s">
        <v>4854</v>
      </c>
      <c r="V338" s="38" t="s">
        <v>4854</v>
      </c>
      <c r="W338" s="10">
        <v>2046</v>
      </c>
      <c r="X338" s="4" t="s">
        <v>4854</v>
      </c>
      <c r="Y338" s="4" t="s">
        <v>4854</v>
      </c>
      <c r="Z338" s="4" t="s">
        <v>4854</v>
      </c>
      <c r="AA338" s="10">
        <v>2072</v>
      </c>
      <c r="AB338" s="4" t="s">
        <v>4854</v>
      </c>
      <c r="AC338" s="4" t="s">
        <v>4854</v>
      </c>
      <c r="AD338" s="4" t="s">
        <v>4854</v>
      </c>
      <c r="AE338" s="91">
        <v>4.048</v>
      </c>
      <c r="AF338" s="100" t="s">
        <v>4854</v>
      </c>
      <c r="AG338" s="100" t="s">
        <v>4854</v>
      </c>
      <c r="AH338" s="100" t="s">
        <v>4854</v>
      </c>
      <c r="AI338" s="91">
        <v>3.7320000000000002</v>
      </c>
      <c r="AJ338" s="100" t="s">
        <v>4854</v>
      </c>
      <c r="AK338" s="100" t="s">
        <v>4854</v>
      </c>
      <c r="AL338" s="100" t="s">
        <v>4854</v>
      </c>
      <c r="AM338" s="95">
        <v>0.16389999999999999</v>
      </c>
      <c r="AN338" s="103" t="s">
        <v>4854</v>
      </c>
      <c r="AO338" s="103" t="s">
        <v>4854</v>
      </c>
      <c r="AP338" s="103" t="s">
        <v>4854</v>
      </c>
      <c r="AQ338" s="95">
        <v>0.17319999999999999</v>
      </c>
      <c r="AR338" s="103" t="s">
        <v>4854</v>
      </c>
      <c r="AS338" s="103" t="s">
        <v>4854</v>
      </c>
      <c r="AT338" s="103" t="s">
        <v>4854</v>
      </c>
      <c r="AU338" s="95">
        <v>0.378</v>
      </c>
      <c r="AV338" s="103" t="s">
        <v>4854</v>
      </c>
      <c r="AW338" s="103" t="s">
        <v>4854</v>
      </c>
      <c r="AX338" s="103" t="s">
        <v>4854</v>
      </c>
      <c r="AY338" s="95">
        <v>0.222</v>
      </c>
      <c r="AZ338" s="103" t="s">
        <v>4854</v>
      </c>
      <c r="BA338" s="103" t="s">
        <v>4854</v>
      </c>
      <c r="BB338" s="103" t="s">
        <v>4854</v>
      </c>
      <c r="BC338" s="10">
        <v>1</v>
      </c>
      <c r="BD338" s="4" t="s">
        <v>4854</v>
      </c>
      <c r="BE338" s="4" t="s">
        <v>4854</v>
      </c>
      <c r="BF338" s="4" t="s">
        <v>4854</v>
      </c>
      <c r="BG338" s="10">
        <v>2</v>
      </c>
      <c r="BH338" s="4" t="s">
        <v>4854</v>
      </c>
      <c r="BI338" s="4" t="s">
        <v>4854</v>
      </c>
      <c r="BJ338" s="4" t="s">
        <v>4854</v>
      </c>
      <c r="BK338" s="91">
        <v>1</v>
      </c>
      <c r="BL338" s="100" t="s">
        <v>4854</v>
      </c>
      <c r="BM338" s="100" t="s">
        <v>4854</v>
      </c>
      <c r="BN338" s="100" t="s">
        <v>4854</v>
      </c>
      <c r="BO338" s="91">
        <v>0.997</v>
      </c>
      <c r="BP338" s="100" t="s">
        <v>4854</v>
      </c>
      <c r="BQ338" s="100" t="s">
        <v>4854</v>
      </c>
      <c r="BR338" s="100" t="s">
        <v>4854</v>
      </c>
      <c r="BS338" s="10" t="s">
        <v>4857</v>
      </c>
    </row>
    <row r="339" spans="1:71" s="30" customFormat="1" ht="17.100000000000001" customHeight="1">
      <c r="A339" s="10">
        <v>328</v>
      </c>
      <c r="B339" s="10" t="s">
        <v>4768</v>
      </c>
      <c r="C339" s="4" t="s">
        <v>3883</v>
      </c>
      <c r="D339" s="4" t="s">
        <v>3609</v>
      </c>
      <c r="E339" s="7" t="s">
        <v>3610</v>
      </c>
      <c r="F339" s="9" t="s">
        <v>5171</v>
      </c>
      <c r="G339" s="4" t="s">
        <v>3611</v>
      </c>
      <c r="H339" s="7" t="s">
        <v>3612</v>
      </c>
      <c r="I339" s="4" t="s">
        <v>3613</v>
      </c>
      <c r="J339" s="10" t="s">
        <v>3614</v>
      </c>
      <c r="K339" s="4" t="s">
        <v>5530</v>
      </c>
      <c r="L339" s="4" t="s">
        <v>3623</v>
      </c>
      <c r="M339" s="10">
        <v>3</v>
      </c>
      <c r="N339" s="95">
        <v>466.2722</v>
      </c>
      <c r="O339" s="38" t="s">
        <v>4854</v>
      </c>
      <c r="P339" s="37" t="str">
        <f>HYPERLINK("http://ms.phosphosite.org:5080/cgi-bin/plot-msms.cgi?MassType=1&amp;NumAxis=1&amp;Mod2=170&amp;Mod9=170&amp;Mod13=170&amp;Pep=GKGGKGLGKGGAKR&amp;Dta=/var/www/html/dta/S01/10559.1975.3.dta&amp;Global_Mod=CS57.0215", "1975")</f>
        <v>1975</v>
      </c>
      <c r="Q339" s="37" t="str">
        <f>HYPERLINK("http://ms.phosphosite.org:5080/cgi-bin/plot-msms.cgi?MassType=1&amp;NumAxis=1&amp;Mod2=170&amp;Mod9=170&amp;Mod13=170&amp;Pep=GKGGKGLGKGGAKR&amp;Dta=/var/www/html/dta/S01/10560.1937.3.dta&amp;Global_Mod=CS57.0215", "1937")</f>
        <v>1937</v>
      </c>
      <c r="R339" s="37" t="str">
        <f>HYPERLINK("http://ms.phosphosite.org:5080/cgi-bin/plot-msms.cgi?MassType=1&amp;NumAxis=1&amp;Mod2=170&amp;Mod9=170&amp;Mod13=170&amp;Pep=GKGGKGLGKGGAKR&amp;Dta=/var/www/html/dta/S01/10561.1993.3.dta&amp;Global_Mod=CS57.0215", "1993")</f>
        <v>1993</v>
      </c>
      <c r="S339" s="37" t="str">
        <f>HYPERLINK("http://ms.phosphosite.org:5080/cgi-bin/plot-msms.cgi?MassType=1&amp;NumAxis=1&amp;Mod2=170&amp;Mod9=170&amp;Mod13=170&amp;Pep=GKGGKGLGKGGAKR&amp;Dta=/var/www/html/dta/S01/10562.2051.3.dta&amp;Global_Mod=CS57.0215", "2051")</f>
        <v>2051</v>
      </c>
      <c r="T339" s="38" t="s">
        <v>4854</v>
      </c>
      <c r="U339" s="38" t="s">
        <v>4854</v>
      </c>
      <c r="V339" s="37" t="str">
        <f>HYPERLINK("http://ms.phosphosite.org:5080/cgi-bin/plot-msms.cgi?MassType=1&amp;NumAxis=1&amp;Mod2=170&amp;Mod9=170&amp;Mod13=170&amp;Pep=GKGGKGLGKGGAKR&amp;Dta=/var/www/html/dta/S01/10565.2350.3.dta&amp;Global_Mod=CS57.0215", "2350")</f>
        <v>2350</v>
      </c>
      <c r="W339" s="4" t="s">
        <v>4854</v>
      </c>
      <c r="X339" s="10">
        <v>2007</v>
      </c>
      <c r="Y339" s="4" t="s">
        <v>4854</v>
      </c>
      <c r="Z339" s="4" t="s">
        <v>4854</v>
      </c>
      <c r="AA339" s="10">
        <v>2072</v>
      </c>
      <c r="AB339" s="4" t="s">
        <v>4854</v>
      </c>
      <c r="AC339" s="4" t="s">
        <v>4854</v>
      </c>
      <c r="AD339" s="10">
        <v>2336</v>
      </c>
      <c r="AE339" s="100" t="s">
        <v>4854</v>
      </c>
      <c r="AF339" s="91">
        <v>4.3840000000000003</v>
      </c>
      <c r="AG339" s="91">
        <v>3.2229999999999999</v>
      </c>
      <c r="AH339" s="91">
        <v>3.5489999999999999</v>
      </c>
      <c r="AI339" s="91">
        <v>3.9620000000000002</v>
      </c>
      <c r="AJ339" s="100" t="s">
        <v>4854</v>
      </c>
      <c r="AK339" s="100" t="s">
        <v>4854</v>
      </c>
      <c r="AL339" s="91">
        <v>3.7280000000000002</v>
      </c>
      <c r="AM339" s="103" t="s">
        <v>4854</v>
      </c>
      <c r="AN339" s="95">
        <v>1.0960000000000001</v>
      </c>
      <c r="AO339" s="95">
        <v>1.7231000000000001</v>
      </c>
      <c r="AP339" s="95">
        <v>1.6966000000000001</v>
      </c>
      <c r="AQ339" s="95">
        <v>1.2299</v>
      </c>
      <c r="AR339" s="103" t="s">
        <v>4854</v>
      </c>
      <c r="AS339" s="103" t="s">
        <v>4854</v>
      </c>
      <c r="AT339" s="95">
        <v>0.25409999999999999</v>
      </c>
      <c r="AU339" s="103" t="s">
        <v>4854</v>
      </c>
      <c r="AV339" s="95">
        <v>0.159</v>
      </c>
      <c r="AW339" s="95">
        <v>0</v>
      </c>
      <c r="AX339" s="95">
        <v>7.0000000000000007E-2</v>
      </c>
      <c r="AY339" s="95">
        <v>0.11799999999999999</v>
      </c>
      <c r="AZ339" s="103" t="s">
        <v>4854</v>
      </c>
      <c r="BA339" s="103" t="s">
        <v>4854</v>
      </c>
      <c r="BB339" s="95">
        <v>0.1</v>
      </c>
      <c r="BC339" s="4" t="s">
        <v>4854</v>
      </c>
      <c r="BD339" s="10">
        <v>1</v>
      </c>
      <c r="BE339" s="10">
        <v>1</v>
      </c>
      <c r="BF339" s="10">
        <v>1</v>
      </c>
      <c r="BG339" s="10">
        <v>1</v>
      </c>
      <c r="BH339" s="4" t="s">
        <v>4854</v>
      </c>
      <c r="BI339" s="4" t="s">
        <v>4854</v>
      </c>
      <c r="BJ339" s="10">
        <v>1</v>
      </c>
      <c r="BK339" s="100" t="s">
        <v>4854</v>
      </c>
      <c r="BL339" s="91">
        <v>0.99199999999999999</v>
      </c>
      <c r="BM339" s="91">
        <v>0.79900000000000004</v>
      </c>
      <c r="BN339" s="91">
        <v>0.94099999999999995</v>
      </c>
      <c r="BO339" s="91">
        <v>0.98</v>
      </c>
      <c r="BP339" s="100" t="s">
        <v>4854</v>
      </c>
      <c r="BQ339" s="100" t="s">
        <v>4854</v>
      </c>
      <c r="BR339" s="91">
        <v>0.96699999999999997</v>
      </c>
      <c r="BS339" s="10" t="s">
        <v>4857</v>
      </c>
    </row>
    <row r="340" spans="1:71" s="30" customFormat="1" ht="17.100000000000001" customHeight="1">
      <c r="A340" s="14">
        <v>329</v>
      </c>
      <c r="B340" s="5" t="s">
        <v>3624</v>
      </c>
      <c r="C340" s="3" t="s">
        <v>3883</v>
      </c>
      <c r="D340" s="3" t="s">
        <v>3609</v>
      </c>
      <c r="E340" s="6" t="s">
        <v>3610</v>
      </c>
      <c r="F340" s="8" t="s">
        <v>5220</v>
      </c>
      <c r="G340" s="3" t="s">
        <v>3611</v>
      </c>
      <c r="H340" s="6" t="s">
        <v>3612</v>
      </c>
      <c r="I340" s="3" t="s">
        <v>3613</v>
      </c>
      <c r="J340" s="5" t="s">
        <v>3614</v>
      </c>
      <c r="K340" s="3" t="s">
        <v>5531</v>
      </c>
      <c r="L340" s="3" t="s">
        <v>3625</v>
      </c>
      <c r="M340" s="5">
        <v>2</v>
      </c>
      <c r="N340" s="21">
        <v>443.26130000000001</v>
      </c>
      <c r="O340" s="36" t="str">
        <f>HYPERLINK("http://ms.phosphosite.org:5080/cgi-bin/plot-msms.cgi?MassType=1&amp;NumAxis=1&amp;Mod2=170&amp;Mod5=170&amp;Pep=GKGGKGLGK&amp;Dta=/var/www/html/dta/S01/10558.1919.2.dta&amp;Global_Mod=CS57.0215", "1919")</f>
        <v>1919</v>
      </c>
      <c r="P340" s="36" t="str">
        <f>HYPERLINK("http://ms.phosphosite.org:5080/cgi-bin/plot-msms.cgi?MassType=1&amp;NumAxis=1&amp;Mod2=170&amp;Mod5=170&amp;Pep=GKGGKGLGK&amp;Dta=/var/www/html/dta/S01/10559.1899.2.dta&amp;Global_Mod=CS57.0215", "1899")</f>
        <v>1899</v>
      </c>
      <c r="Q340" s="36" t="str">
        <f>HYPERLINK("http://ms.phosphosite.org:5080/cgi-bin/plot-msms.cgi?MassType=1&amp;NumAxis=1&amp;Mod2=170&amp;Mod5=170&amp;Pep=GKGGKGLGK&amp;Dta=/var/www/html/dta/S01/10560.1859.2.dta&amp;Global_Mod=CS57.0215", "1859")</f>
        <v>1859</v>
      </c>
      <c r="R340" s="36" t="str">
        <f>HYPERLINK("http://ms.phosphosite.org:5080/cgi-bin/plot-msms.cgi?MassType=1&amp;NumAxis=1&amp;Mod2=170&amp;Mod5=170&amp;Pep=GKGGKGLGK&amp;Dta=/var/www/html/dta/S01/10561.1897.2.dta&amp;Global_Mod=CS57.0215", "1897")</f>
        <v>1897</v>
      </c>
      <c r="S340" s="35" t="s">
        <v>4854</v>
      </c>
      <c r="T340" s="36" t="str">
        <f>HYPERLINK("http://ms.phosphosite.org:5080/cgi-bin/plot-msms.cgi?MassType=1&amp;NumAxis=1&amp;Mod2=170&amp;Mod5=170&amp;Pep=GKGGKGLGK&amp;Dta=/var/www/html/dta/S01/10563.1877.2.dta&amp;Global_Mod=CS57.0215", "1877")</f>
        <v>1877</v>
      </c>
      <c r="U340" s="36" t="str">
        <f>HYPERLINK("http://ms.phosphosite.org:5080/cgi-bin/plot-msms.cgi?MassType=1&amp;NumAxis=1&amp;Mod2=170&amp;Mod5=170&amp;Pep=GKGGKGLGK&amp;Dta=/var/www/html/dta/S01/10564.2172.2.dta&amp;Global_Mod=CS57.0215", "2172")</f>
        <v>2172</v>
      </c>
      <c r="V340" s="36" t="str">
        <f>HYPERLINK("http://ms.phosphosite.org:5080/cgi-bin/plot-msms.cgi?MassType=1&amp;NumAxis=1&amp;Mod2=170&amp;Mod5=170&amp;Pep=GKGGKGLGK&amp;Dta=/var/www/html/dta/S01/10565.2213.2.dta&amp;Global_Mod=CS57.0215", "2213")</f>
        <v>2213</v>
      </c>
      <c r="W340" s="5">
        <v>1938</v>
      </c>
      <c r="X340" s="5">
        <v>1919</v>
      </c>
      <c r="Y340" s="5">
        <v>1888</v>
      </c>
      <c r="Z340" s="5">
        <v>1918</v>
      </c>
      <c r="AA340" s="3" t="s">
        <v>4854</v>
      </c>
      <c r="AB340" s="3" t="s">
        <v>4854</v>
      </c>
      <c r="AC340" s="5">
        <v>2177</v>
      </c>
      <c r="AD340" s="5">
        <v>2223</v>
      </c>
      <c r="AE340" s="90">
        <v>2.8839999999999999</v>
      </c>
      <c r="AF340" s="90">
        <v>2.915</v>
      </c>
      <c r="AG340" s="90">
        <v>2.7639999999999998</v>
      </c>
      <c r="AH340" s="90">
        <v>2.544</v>
      </c>
      <c r="AI340" s="99" t="s">
        <v>4854</v>
      </c>
      <c r="AJ340" s="90">
        <v>1.825</v>
      </c>
      <c r="AK340" s="90">
        <v>2.343</v>
      </c>
      <c r="AL340" s="90">
        <v>2.9750000000000001</v>
      </c>
      <c r="AM340" s="21">
        <v>-0.1933</v>
      </c>
      <c r="AN340" s="21">
        <v>-0.20680000000000001</v>
      </c>
      <c r="AO340" s="21">
        <v>-1.49E-2</v>
      </c>
      <c r="AP340" s="21">
        <v>3.2599999999999997E-2</v>
      </c>
      <c r="AQ340" s="102" t="s">
        <v>4854</v>
      </c>
      <c r="AR340" s="21">
        <v>0.1037</v>
      </c>
      <c r="AS340" s="21">
        <v>-0.22489999999999999</v>
      </c>
      <c r="AT340" s="21">
        <v>-0.59299999999999997</v>
      </c>
      <c r="AU340" s="21">
        <v>5.5E-2</v>
      </c>
      <c r="AV340" s="21">
        <v>3.6999999999999998E-2</v>
      </c>
      <c r="AW340" s="21">
        <v>7.0000000000000001E-3</v>
      </c>
      <c r="AX340" s="21">
        <v>0.06</v>
      </c>
      <c r="AY340" s="102" t="s">
        <v>4854</v>
      </c>
      <c r="AZ340" s="21">
        <v>2.3E-2</v>
      </c>
      <c r="BA340" s="21">
        <v>7.8E-2</v>
      </c>
      <c r="BB340" s="21">
        <v>0.153</v>
      </c>
      <c r="BC340" s="5">
        <v>1</v>
      </c>
      <c r="BD340" s="5">
        <v>1</v>
      </c>
      <c r="BE340" s="5">
        <v>1</v>
      </c>
      <c r="BF340" s="5">
        <v>1</v>
      </c>
      <c r="BG340" s="3" t="s">
        <v>4854</v>
      </c>
      <c r="BH340" s="5">
        <v>3</v>
      </c>
      <c r="BI340" s="5">
        <v>1</v>
      </c>
      <c r="BJ340" s="5">
        <v>1</v>
      </c>
      <c r="BK340" s="90">
        <v>0.996</v>
      </c>
      <c r="BL340" s="90">
        <v>0.995</v>
      </c>
      <c r="BM340" s="90">
        <v>0.99099999999999999</v>
      </c>
      <c r="BN340" s="90">
        <v>0.99199999999999999</v>
      </c>
      <c r="BO340" s="99" t="s">
        <v>4854</v>
      </c>
      <c r="BP340" s="90">
        <v>0.90800000000000003</v>
      </c>
      <c r="BQ340" s="90">
        <v>0.99099999999999999</v>
      </c>
      <c r="BR340" s="90">
        <v>0.997</v>
      </c>
      <c r="BS340" s="5" t="s">
        <v>4857</v>
      </c>
    </row>
    <row r="341" spans="1:71" s="30" customFormat="1" ht="17.100000000000001" customHeight="1">
      <c r="A341" s="10">
        <v>330</v>
      </c>
      <c r="B341" s="10" t="s">
        <v>3626</v>
      </c>
      <c r="C341" s="4" t="s">
        <v>3883</v>
      </c>
      <c r="D341" s="4" t="s">
        <v>3609</v>
      </c>
      <c r="E341" s="7" t="s">
        <v>3610</v>
      </c>
      <c r="F341" s="9" t="s">
        <v>5262</v>
      </c>
      <c r="G341" s="4" t="s">
        <v>3611</v>
      </c>
      <c r="H341" s="7" t="s">
        <v>3612</v>
      </c>
      <c r="I341" s="4" t="s">
        <v>3613</v>
      </c>
      <c r="J341" s="10" t="s">
        <v>3614</v>
      </c>
      <c r="K341" s="4" t="s">
        <v>5532</v>
      </c>
      <c r="L341" s="4" t="s">
        <v>3627</v>
      </c>
      <c r="M341" s="10">
        <v>2</v>
      </c>
      <c r="N341" s="95">
        <v>620.85400000000004</v>
      </c>
      <c r="O341" s="37" t="str">
        <f>HYPERLINK("http://ms.phosphosite.org:5080/cgi-bin/plot-msms.cgi?MassType=1&amp;NumAxis=1&amp;Mod2=170&amp;Mod5=170&amp;Mod9=170&amp;Pep=GKGGKGLGKGGAK&amp;Dta=/var/www/html/dta/S01/10558.2690.2.dta&amp;Global_Mod=CS57.0215", "2690")</f>
        <v>2690</v>
      </c>
      <c r="P341" s="37" t="str">
        <f>HYPERLINK("http://ms.phosphosite.org:5080/cgi-bin/plot-msms.cgi?MassType=1&amp;NumAxis=1&amp;Mod2=170&amp;Mod5=170&amp;Mod9=170&amp;Pep=GKGGKGLGKGGAK&amp;Dta=/var/www/html/dta/S01/10559.2645.2.dta&amp;Global_Mod=CS57.0215", "2645")</f>
        <v>2645</v>
      </c>
      <c r="Q341" s="37" t="str">
        <f>HYPERLINK("http://ms.phosphosite.org:5080/cgi-bin/plot-msms.cgi?MassType=1&amp;NumAxis=1&amp;Mod2=170&amp;Mod5=170&amp;Mod9=170&amp;Pep=GKGGKGLGKGGAK&amp;Dta=/var/www/html/dta/S01/10560.2622.2.dta&amp;Global_Mod=CS57.0215", "2622")</f>
        <v>2622</v>
      </c>
      <c r="R341" s="37" t="str">
        <f>HYPERLINK("http://ms.phosphosite.org:5080/cgi-bin/plot-msms.cgi?MassType=1&amp;NumAxis=1&amp;Mod2=170&amp;Mod5=170&amp;Mod9=170&amp;Pep=GKGGKGLGKGGAK&amp;Dta=/var/www/html/dta/S01/10561.2662.2.dta&amp;Global_Mod=CS57.0215", "2662")</f>
        <v>2662</v>
      </c>
      <c r="S341" s="37" t="str">
        <f>HYPERLINK("http://ms.phosphosite.org:5080/cgi-bin/plot-msms.cgi?MassType=1&amp;NumAxis=1&amp;Mod2=170&amp;Mod5=170&amp;Mod9=170&amp;Pep=GKGGKGLGKGGAK&amp;Dta=/var/www/html/dta/S01/10562.2741.2.dta&amp;Global_Mod=CS57.0215", "2741")</f>
        <v>2741</v>
      </c>
      <c r="T341" s="37" t="str">
        <f>HYPERLINK("http://ms.phosphosite.org:5080/cgi-bin/plot-msms.cgi?MassType=1&amp;NumAxis=1&amp;Mod2=170&amp;Mod5=170&amp;Mod9=170&amp;Pep=GKGGKGLGKGGAK&amp;Dta=/var/www/html/dta/S01/10563.2661.2.dta&amp;Global_Mod=CS57.0215", "2661")</f>
        <v>2661</v>
      </c>
      <c r="U341" s="37" t="str">
        <f>HYPERLINK("http://ms.phosphosite.org:5080/cgi-bin/plot-msms.cgi?MassType=1&amp;NumAxis=1&amp;Mod2=170&amp;Mod5=170&amp;Mod9=170&amp;Pep=GKGGKGLGKGGAK&amp;Dta=/var/www/html/dta/S01/10564.2970.2.dta&amp;Global_Mod=CS57.0215", "2970")</f>
        <v>2970</v>
      </c>
      <c r="V341" s="37" t="str">
        <f>HYPERLINK("http://ms.phosphosite.org:5080/cgi-bin/plot-msms.cgi?MassType=1&amp;NumAxis=1&amp;Mod2=170&amp;Mod5=170&amp;Mod9=170&amp;Pep=GKGGKGLGKGGAK&amp;Dta=/var/www/html/dta/S01/10565.3038.2.dta&amp;Global_Mod=CS57.0215", "3038")</f>
        <v>3038</v>
      </c>
      <c r="W341" s="10">
        <v>2730</v>
      </c>
      <c r="X341" s="10">
        <v>2693</v>
      </c>
      <c r="Y341" s="10">
        <v>2669</v>
      </c>
      <c r="Z341" s="10">
        <v>2696</v>
      </c>
      <c r="AA341" s="10">
        <v>2778</v>
      </c>
      <c r="AB341" s="10">
        <v>2697</v>
      </c>
      <c r="AC341" s="10">
        <v>3006</v>
      </c>
      <c r="AD341" s="10">
        <v>3077</v>
      </c>
      <c r="AE341" s="91">
        <v>3.7229999999999999</v>
      </c>
      <c r="AF341" s="91">
        <v>3.6659999999999999</v>
      </c>
      <c r="AG341" s="91">
        <v>3.7370000000000001</v>
      </c>
      <c r="AH341" s="91">
        <v>3.3490000000000002</v>
      </c>
      <c r="AI341" s="91">
        <v>3.2309999999999999</v>
      </c>
      <c r="AJ341" s="91">
        <v>3.5710000000000002</v>
      </c>
      <c r="AK341" s="91">
        <v>3.306</v>
      </c>
      <c r="AL341" s="91">
        <v>3.585</v>
      </c>
      <c r="AM341" s="95">
        <v>6.9199999999999998E-2</v>
      </c>
      <c r="AN341" s="95">
        <v>9.9900000000000003E-2</v>
      </c>
      <c r="AO341" s="95">
        <v>0.15629999999999999</v>
      </c>
      <c r="AP341" s="95">
        <v>0.19339999999999999</v>
      </c>
      <c r="AQ341" s="95">
        <v>0.1426</v>
      </c>
      <c r="AR341" s="95">
        <v>0.28360000000000002</v>
      </c>
      <c r="AS341" s="95">
        <v>-9.9199999999999997E-2</v>
      </c>
      <c r="AT341" s="95">
        <v>-0.44259999999999999</v>
      </c>
      <c r="AU341" s="95">
        <v>0.34399999999999997</v>
      </c>
      <c r="AV341" s="95">
        <v>0.40400000000000003</v>
      </c>
      <c r="AW341" s="95">
        <v>0.39</v>
      </c>
      <c r="AX341" s="95">
        <v>0.378</v>
      </c>
      <c r="AY341" s="95">
        <v>0.32</v>
      </c>
      <c r="AZ341" s="95">
        <v>0.36199999999999999</v>
      </c>
      <c r="BA341" s="95">
        <v>0.3</v>
      </c>
      <c r="BB341" s="95">
        <v>0.34899999999999998</v>
      </c>
      <c r="BC341" s="10">
        <v>1</v>
      </c>
      <c r="BD341" s="10">
        <v>1</v>
      </c>
      <c r="BE341" s="10">
        <v>1</v>
      </c>
      <c r="BF341" s="10">
        <v>1</v>
      </c>
      <c r="BG341" s="10">
        <v>1</v>
      </c>
      <c r="BH341" s="10">
        <v>1</v>
      </c>
      <c r="BI341" s="10">
        <v>1</v>
      </c>
      <c r="BJ341" s="10">
        <v>1</v>
      </c>
      <c r="BK341" s="91">
        <v>0.999</v>
      </c>
      <c r="BL341" s="91">
        <v>1</v>
      </c>
      <c r="BM341" s="91">
        <v>1</v>
      </c>
      <c r="BN341" s="91">
        <v>0.999</v>
      </c>
      <c r="BO341" s="91">
        <v>0.998</v>
      </c>
      <c r="BP341" s="91">
        <v>0.999</v>
      </c>
      <c r="BQ341" s="91">
        <v>0.998</v>
      </c>
      <c r="BR341" s="91">
        <v>0.998</v>
      </c>
      <c r="BS341" s="10" t="s">
        <v>4857</v>
      </c>
    </row>
    <row r="342" spans="1:71" s="30" customFormat="1" ht="17.100000000000001" customHeight="1">
      <c r="A342" s="10">
        <v>331</v>
      </c>
      <c r="B342" s="10" t="s">
        <v>4244</v>
      </c>
      <c r="C342" s="4" t="s">
        <v>3883</v>
      </c>
      <c r="D342" s="4" t="s">
        <v>3609</v>
      </c>
      <c r="E342" s="7" t="s">
        <v>3610</v>
      </c>
      <c r="F342" s="9" t="s">
        <v>5262</v>
      </c>
      <c r="G342" s="4" t="s">
        <v>3611</v>
      </c>
      <c r="H342" s="7" t="s">
        <v>3612</v>
      </c>
      <c r="I342" s="4" t="s">
        <v>3613</v>
      </c>
      <c r="J342" s="10" t="s">
        <v>3614</v>
      </c>
      <c r="K342" s="4" t="s">
        <v>5532</v>
      </c>
      <c r="L342" s="4" t="s">
        <v>3627</v>
      </c>
      <c r="M342" s="10">
        <v>2</v>
      </c>
      <c r="N342" s="95">
        <v>620.85400000000004</v>
      </c>
      <c r="O342" s="37" t="str">
        <f>HYPERLINK("http://ms.phosphosite.org:5080/cgi-bin/plot-msms.cgi?MassType=1&amp;NumAxis=1&amp;Mod2=170&amp;Mod5=170&amp;Mod9=170&amp;Pep=GKGGKGLGKGGAK&amp;Dta=/var/www/html/dta/S01/10558.2776.2.dta&amp;Global_Mod=CS57.0215", "2776")</f>
        <v>2776</v>
      </c>
      <c r="P342" s="37" t="str">
        <f>HYPERLINK("http://ms.phosphosite.org:5080/cgi-bin/plot-msms.cgi?MassType=1&amp;NumAxis=1&amp;Mod2=170&amp;Mod5=170&amp;Mod9=170&amp;Pep=GKGGKGLGKGGAK&amp;Dta=/var/www/html/dta/S01/10559.2729.2.dta&amp;Global_Mod=CS57.0215", "2729")</f>
        <v>2729</v>
      </c>
      <c r="Q342" s="37" t="str">
        <f>HYPERLINK("http://ms.phosphosite.org:5080/cgi-bin/plot-msms.cgi?MassType=1&amp;NumAxis=1&amp;Mod2=170&amp;Mod5=170&amp;Mod9=170&amp;Pep=GKGGKGLGKGGAK&amp;Dta=/var/www/html/dta/S01/10560.2704.2.dta&amp;Global_Mod=CS57.0215", "2704")</f>
        <v>2704</v>
      </c>
      <c r="R342" s="38" t="s">
        <v>4854</v>
      </c>
      <c r="S342" s="38" t="s">
        <v>4854</v>
      </c>
      <c r="T342" s="37" t="str">
        <f>HYPERLINK("http://ms.phosphosite.org:5080/cgi-bin/plot-msms.cgi?MassType=1&amp;NumAxis=1&amp;Mod2=170&amp;Mod5=170&amp;Mod9=170&amp;Pep=GKGGKGLGKGGAK&amp;Dta=/var/www/html/dta/S01/10563.2744.2.dta&amp;Global_Mod=CS57.0215", "2744")</f>
        <v>2744</v>
      </c>
      <c r="U342" s="38" t="s">
        <v>4854</v>
      </c>
      <c r="V342" s="38" t="s">
        <v>4854</v>
      </c>
      <c r="W342" s="10">
        <v>2730</v>
      </c>
      <c r="X342" s="10">
        <v>2693</v>
      </c>
      <c r="Y342" s="10">
        <v>2669</v>
      </c>
      <c r="Z342" s="4" t="s">
        <v>4854</v>
      </c>
      <c r="AA342" s="4" t="s">
        <v>4854</v>
      </c>
      <c r="AB342" s="10">
        <v>2697</v>
      </c>
      <c r="AC342" s="4" t="s">
        <v>4854</v>
      </c>
      <c r="AD342" s="4" t="s">
        <v>4854</v>
      </c>
      <c r="AE342" s="91">
        <v>3.012</v>
      </c>
      <c r="AF342" s="91">
        <v>3.1070000000000002</v>
      </c>
      <c r="AG342" s="91">
        <v>3.2389999999999999</v>
      </c>
      <c r="AH342" s="100" t="s">
        <v>4854</v>
      </c>
      <c r="AI342" s="100" t="s">
        <v>4854</v>
      </c>
      <c r="AJ342" s="91">
        <v>3.4470000000000001</v>
      </c>
      <c r="AK342" s="100" t="s">
        <v>4854</v>
      </c>
      <c r="AL342" s="100" t="s">
        <v>4854</v>
      </c>
      <c r="AM342" s="95">
        <v>6.9199999999999998E-2</v>
      </c>
      <c r="AN342" s="95">
        <v>9.9900000000000003E-2</v>
      </c>
      <c r="AO342" s="95">
        <v>0.15229999999999999</v>
      </c>
      <c r="AP342" s="103" t="s">
        <v>4854</v>
      </c>
      <c r="AQ342" s="103" t="s">
        <v>4854</v>
      </c>
      <c r="AR342" s="95">
        <v>0.28360000000000002</v>
      </c>
      <c r="AS342" s="103" t="s">
        <v>4854</v>
      </c>
      <c r="AT342" s="103" t="s">
        <v>4854</v>
      </c>
      <c r="AU342" s="95">
        <v>0.35</v>
      </c>
      <c r="AV342" s="95">
        <v>0.35</v>
      </c>
      <c r="AW342" s="95">
        <v>0.29699999999999999</v>
      </c>
      <c r="AX342" s="103" t="s">
        <v>4854</v>
      </c>
      <c r="AY342" s="103" t="s">
        <v>4854</v>
      </c>
      <c r="AZ342" s="95">
        <v>0.34499999999999997</v>
      </c>
      <c r="BA342" s="103" t="s">
        <v>4854</v>
      </c>
      <c r="BB342" s="103" t="s">
        <v>4854</v>
      </c>
      <c r="BC342" s="10">
        <v>1</v>
      </c>
      <c r="BD342" s="10">
        <v>1</v>
      </c>
      <c r="BE342" s="10">
        <v>1</v>
      </c>
      <c r="BF342" s="4" t="s">
        <v>4854</v>
      </c>
      <c r="BG342" s="4" t="s">
        <v>4854</v>
      </c>
      <c r="BH342" s="10">
        <v>1</v>
      </c>
      <c r="BI342" s="4" t="s">
        <v>4854</v>
      </c>
      <c r="BJ342" s="4" t="s">
        <v>4854</v>
      </c>
      <c r="BK342" s="91">
        <v>0.998</v>
      </c>
      <c r="BL342" s="91">
        <v>0.999</v>
      </c>
      <c r="BM342" s="91">
        <v>0.998</v>
      </c>
      <c r="BN342" s="100" t="s">
        <v>4854</v>
      </c>
      <c r="BO342" s="100" t="s">
        <v>4854</v>
      </c>
      <c r="BP342" s="91">
        <v>0.999</v>
      </c>
      <c r="BQ342" s="100" t="s">
        <v>4854</v>
      </c>
      <c r="BR342" s="100" t="s">
        <v>4854</v>
      </c>
      <c r="BS342" s="10" t="s">
        <v>4857</v>
      </c>
    </row>
    <row r="343" spans="1:71" s="30" customFormat="1" ht="17.100000000000001" customHeight="1">
      <c r="A343" s="10">
        <v>332</v>
      </c>
      <c r="B343" s="10" t="s">
        <v>3628</v>
      </c>
      <c r="C343" s="4" t="s">
        <v>3883</v>
      </c>
      <c r="D343" s="4" t="s">
        <v>3609</v>
      </c>
      <c r="E343" s="7" t="s">
        <v>3610</v>
      </c>
      <c r="F343" s="9" t="s">
        <v>5262</v>
      </c>
      <c r="G343" s="4" t="s">
        <v>3611</v>
      </c>
      <c r="H343" s="7" t="s">
        <v>3612</v>
      </c>
      <c r="I343" s="4" t="s">
        <v>3613</v>
      </c>
      <c r="J343" s="10" t="s">
        <v>3614</v>
      </c>
      <c r="K343" s="4" t="s">
        <v>5532</v>
      </c>
      <c r="L343" s="4" t="s">
        <v>3627</v>
      </c>
      <c r="M343" s="10">
        <v>3</v>
      </c>
      <c r="N343" s="95">
        <v>414.23849999999999</v>
      </c>
      <c r="O343" s="37" t="str">
        <f>HYPERLINK("http://ms.phosphosite.org:5080/cgi-bin/plot-msms.cgi?MassType=1&amp;NumAxis=1&amp;Mod2=170&amp;Mod5=170&amp;Mod9=170&amp;Pep=GKGGKGLGKGGAK&amp;Dta=/var/www/html/dta/S01/10558.2712.3.dta&amp;Global_Mod=CS57.0215", "2712")</f>
        <v>2712</v>
      </c>
      <c r="P343" s="38" t="s">
        <v>4854</v>
      </c>
      <c r="Q343" s="38" t="s">
        <v>4854</v>
      </c>
      <c r="R343" s="38" t="s">
        <v>4854</v>
      </c>
      <c r="S343" s="38" t="s">
        <v>4854</v>
      </c>
      <c r="T343" s="38" t="s">
        <v>4854</v>
      </c>
      <c r="U343" s="37" t="str">
        <f>HYPERLINK("http://ms.phosphosite.org:5080/cgi-bin/plot-msms.cgi?MassType=1&amp;NumAxis=1&amp;Mod2=170&amp;Mod5=170&amp;Mod9=170&amp;Pep=GKGGKGLGKGGAK&amp;Dta=/var/www/html/dta/S01/10564.2987.3.dta&amp;Global_Mod=CS57.0215", "2987")</f>
        <v>2987</v>
      </c>
      <c r="V343" s="37" t="str">
        <f>HYPERLINK("http://ms.phosphosite.org:5080/cgi-bin/plot-msms.cgi?MassType=1&amp;NumAxis=1&amp;Mod2=170&amp;Mod5=170&amp;Mod9=170&amp;Pep=GKGGKGLGKGGAK&amp;Dta=/var/www/html/dta/S01/10565.3067.3.dta&amp;Global_Mod=CS57.0215", "3067")</f>
        <v>3067</v>
      </c>
      <c r="W343" s="4" t="s">
        <v>4854</v>
      </c>
      <c r="X343" s="4" t="s">
        <v>4854</v>
      </c>
      <c r="Y343" s="4" t="s">
        <v>4854</v>
      </c>
      <c r="Z343" s="4" t="s">
        <v>4854</v>
      </c>
      <c r="AA343" s="4" t="s">
        <v>4854</v>
      </c>
      <c r="AB343" s="4" t="s">
        <v>4854</v>
      </c>
      <c r="AC343" s="10">
        <v>3006</v>
      </c>
      <c r="AD343" s="10">
        <v>3077</v>
      </c>
      <c r="AE343" s="91">
        <v>3.0579999999999998</v>
      </c>
      <c r="AF343" s="100" t="s">
        <v>4854</v>
      </c>
      <c r="AG343" s="100" t="s">
        <v>4854</v>
      </c>
      <c r="AH343" s="100" t="s">
        <v>4854</v>
      </c>
      <c r="AI343" s="100" t="s">
        <v>4854</v>
      </c>
      <c r="AJ343" s="100" t="s">
        <v>4854</v>
      </c>
      <c r="AK343" s="91">
        <v>2.8940000000000001</v>
      </c>
      <c r="AL343" s="91">
        <v>3.1139999999999999</v>
      </c>
      <c r="AM343" s="95">
        <v>0.3594</v>
      </c>
      <c r="AN343" s="103" t="s">
        <v>4854</v>
      </c>
      <c r="AO343" s="103" t="s">
        <v>4854</v>
      </c>
      <c r="AP343" s="103" t="s">
        <v>4854</v>
      </c>
      <c r="AQ343" s="103" t="s">
        <v>4854</v>
      </c>
      <c r="AR343" s="103" t="s">
        <v>4854</v>
      </c>
      <c r="AS343" s="95">
        <v>0.31669999999999998</v>
      </c>
      <c r="AT343" s="95">
        <v>-0.14349999999999999</v>
      </c>
      <c r="AU343" s="95">
        <v>6.5000000000000002E-2</v>
      </c>
      <c r="AV343" s="103" t="s">
        <v>4854</v>
      </c>
      <c r="AW343" s="103" t="s">
        <v>4854</v>
      </c>
      <c r="AX343" s="103" t="s">
        <v>4854</v>
      </c>
      <c r="AY343" s="103" t="s">
        <v>4854</v>
      </c>
      <c r="AZ343" s="103" t="s">
        <v>4854</v>
      </c>
      <c r="BA343" s="95">
        <v>0.20899999999999999</v>
      </c>
      <c r="BB343" s="95">
        <v>0.17899999999999999</v>
      </c>
      <c r="BC343" s="10">
        <v>1</v>
      </c>
      <c r="BD343" s="4" t="s">
        <v>4854</v>
      </c>
      <c r="BE343" s="4" t="s">
        <v>4854</v>
      </c>
      <c r="BF343" s="4" t="s">
        <v>4854</v>
      </c>
      <c r="BG343" s="4" t="s">
        <v>4854</v>
      </c>
      <c r="BH343" s="4" t="s">
        <v>4854</v>
      </c>
      <c r="BI343" s="10">
        <v>1</v>
      </c>
      <c r="BJ343" s="10">
        <v>1</v>
      </c>
      <c r="BK343" s="91">
        <v>0.90200000000000002</v>
      </c>
      <c r="BL343" s="100" t="s">
        <v>4854</v>
      </c>
      <c r="BM343" s="100" t="s">
        <v>4854</v>
      </c>
      <c r="BN343" s="100" t="s">
        <v>4854</v>
      </c>
      <c r="BO343" s="100" t="s">
        <v>4854</v>
      </c>
      <c r="BP343" s="100" t="s">
        <v>4854</v>
      </c>
      <c r="BQ343" s="91">
        <v>0.98399999999999999</v>
      </c>
      <c r="BR343" s="91">
        <v>0.98099999999999998</v>
      </c>
      <c r="BS343" s="10" t="s">
        <v>4857</v>
      </c>
    </row>
    <row r="344" spans="1:71" s="30" customFormat="1" ht="17.100000000000001" customHeight="1">
      <c r="A344" s="10">
        <v>333</v>
      </c>
      <c r="B344" s="10" t="s">
        <v>3629</v>
      </c>
      <c r="C344" s="4" t="s">
        <v>3883</v>
      </c>
      <c r="D344" s="4" t="s">
        <v>3609</v>
      </c>
      <c r="E344" s="7" t="s">
        <v>3610</v>
      </c>
      <c r="F344" s="9" t="s">
        <v>5262</v>
      </c>
      <c r="G344" s="4" t="s">
        <v>3611</v>
      </c>
      <c r="H344" s="7" t="s">
        <v>3612</v>
      </c>
      <c r="I344" s="4" t="s">
        <v>3613</v>
      </c>
      <c r="J344" s="10" t="s">
        <v>3614</v>
      </c>
      <c r="K344" s="4" t="s">
        <v>5532</v>
      </c>
      <c r="L344" s="4" t="s">
        <v>3627</v>
      </c>
      <c r="M344" s="10">
        <v>3</v>
      </c>
      <c r="N344" s="95">
        <v>414.23849999999999</v>
      </c>
      <c r="O344" s="37" t="str">
        <f>HYPERLINK("http://ms.phosphosite.org:5080/cgi-bin/plot-msms.cgi?MassType=1&amp;NumAxis=1&amp;Mod2=170&amp;Mod5=170&amp;Mod9=170&amp;Pep=GKGGKGLGKGGAK&amp;Dta=/var/www/html/dta/S01/10558.2705.3.dta&amp;Global_Mod=CS57.0215", "2705")</f>
        <v>2705</v>
      </c>
      <c r="P344" s="38" t="s">
        <v>4854</v>
      </c>
      <c r="Q344" s="38" t="s">
        <v>4854</v>
      </c>
      <c r="R344" s="38" t="s">
        <v>4854</v>
      </c>
      <c r="S344" s="38" t="s">
        <v>4854</v>
      </c>
      <c r="T344" s="38" t="s">
        <v>4854</v>
      </c>
      <c r="U344" s="38" t="s">
        <v>4854</v>
      </c>
      <c r="V344" s="38" t="s">
        <v>4854</v>
      </c>
      <c r="W344" s="4" t="s">
        <v>4854</v>
      </c>
      <c r="X344" s="4" t="s">
        <v>4854</v>
      </c>
      <c r="Y344" s="4" t="s">
        <v>4854</v>
      </c>
      <c r="Z344" s="4" t="s">
        <v>4854</v>
      </c>
      <c r="AA344" s="4" t="s">
        <v>4854</v>
      </c>
      <c r="AB344" s="4" t="s">
        <v>4854</v>
      </c>
      <c r="AC344" s="4" t="s">
        <v>4854</v>
      </c>
      <c r="AD344" s="4" t="s">
        <v>4854</v>
      </c>
      <c r="AE344" s="91">
        <v>2.8130000000000002</v>
      </c>
      <c r="AF344" s="100" t="s">
        <v>4854</v>
      </c>
      <c r="AG344" s="100" t="s">
        <v>4854</v>
      </c>
      <c r="AH344" s="100" t="s">
        <v>4854</v>
      </c>
      <c r="AI344" s="100" t="s">
        <v>4854</v>
      </c>
      <c r="AJ344" s="100" t="s">
        <v>4854</v>
      </c>
      <c r="AK344" s="100" t="s">
        <v>4854</v>
      </c>
      <c r="AL344" s="100" t="s">
        <v>4854</v>
      </c>
      <c r="AM344" s="95">
        <v>0.37630000000000002</v>
      </c>
      <c r="AN344" s="103" t="s">
        <v>4854</v>
      </c>
      <c r="AO344" s="103" t="s">
        <v>4854</v>
      </c>
      <c r="AP344" s="103" t="s">
        <v>4854</v>
      </c>
      <c r="AQ344" s="103" t="s">
        <v>4854</v>
      </c>
      <c r="AR344" s="103" t="s">
        <v>4854</v>
      </c>
      <c r="AS344" s="103" t="s">
        <v>4854</v>
      </c>
      <c r="AT344" s="103" t="s">
        <v>4854</v>
      </c>
      <c r="AU344" s="95">
        <v>0.113</v>
      </c>
      <c r="AV344" s="103" t="s">
        <v>4854</v>
      </c>
      <c r="AW344" s="103" t="s">
        <v>4854</v>
      </c>
      <c r="AX344" s="103" t="s">
        <v>4854</v>
      </c>
      <c r="AY344" s="103" t="s">
        <v>4854</v>
      </c>
      <c r="AZ344" s="103" t="s">
        <v>4854</v>
      </c>
      <c r="BA344" s="103" t="s">
        <v>4854</v>
      </c>
      <c r="BB344" s="103" t="s">
        <v>4854</v>
      </c>
      <c r="BC344" s="10">
        <v>1</v>
      </c>
      <c r="BD344" s="4" t="s">
        <v>4854</v>
      </c>
      <c r="BE344" s="4" t="s">
        <v>4854</v>
      </c>
      <c r="BF344" s="4" t="s">
        <v>4854</v>
      </c>
      <c r="BG344" s="4" t="s">
        <v>4854</v>
      </c>
      <c r="BH344" s="4" t="s">
        <v>4854</v>
      </c>
      <c r="BI344" s="4" t="s">
        <v>4854</v>
      </c>
      <c r="BJ344" s="4" t="s">
        <v>4854</v>
      </c>
      <c r="BK344" s="91">
        <v>0.93200000000000005</v>
      </c>
      <c r="BL344" s="100" t="s">
        <v>4854</v>
      </c>
      <c r="BM344" s="100" t="s">
        <v>4854</v>
      </c>
      <c r="BN344" s="100" t="s">
        <v>4854</v>
      </c>
      <c r="BO344" s="100" t="s">
        <v>4854</v>
      </c>
      <c r="BP344" s="100" t="s">
        <v>4854</v>
      </c>
      <c r="BQ344" s="100" t="s">
        <v>4854</v>
      </c>
      <c r="BR344" s="100" t="s">
        <v>4854</v>
      </c>
      <c r="BS344" s="10" t="s">
        <v>4857</v>
      </c>
    </row>
    <row r="345" spans="1:71" s="30" customFormat="1" ht="17.100000000000001" customHeight="1">
      <c r="A345" s="14">
        <v>334</v>
      </c>
      <c r="B345" s="5" t="s">
        <v>3630</v>
      </c>
      <c r="C345" s="3" t="s">
        <v>3883</v>
      </c>
      <c r="D345" s="3" t="s">
        <v>3609</v>
      </c>
      <c r="E345" s="6" t="s">
        <v>3610</v>
      </c>
      <c r="F345" s="8" t="s">
        <v>5025</v>
      </c>
      <c r="G345" s="3" t="s">
        <v>3611</v>
      </c>
      <c r="H345" s="6" t="s">
        <v>3612</v>
      </c>
      <c r="I345" s="3" t="s">
        <v>3613</v>
      </c>
      <c r="J345" s="5" t="s">
        <v>3614</v>
      </c>
      <c r="K345" s="3" t="s">
        <v>5533</v>
      </c>
      <c r="L345" s="3" t="s">
        <v>3631</v>
      </c>
      <c r="M345" s="5">
        <v>2</v>
      </c>
      <c r="N345" s="21">
        <v>641.85929999999996</v>
      </c>
      <c r="O345" s="35" t="s">
        <v>4854</v>
      </c>
      <c r="P345" s="35" t="s">
        <v>4854</v>
      </c>
      <c r="Q345" s="36" t="str">
        <f>HYPERLINK("http://ms.phosphosite.org:5080/cgi-bin/plot-msms.cgi?MassType=1&amp;NumAxis=1&amp;Mod2=170&amp;Mod5=170&amp;Mod9=170&amp;Mod13=170&amp;Pep=GKGGKGLGKGGAK&amp;Dta=/var/www/html/dta/S01/10560.4691.2.dta&amp;Global_Mod=CS57.0215", "4691")</f>
        <v>4691</v>
      </c>
      <c r="R345" s="35" t="s">
        <v>4854</v>
      </c>
      <c r="S345" s="35" t="s">
        <v>4854</v>
      </c>
      <c r="T345" s="35" t="s">
        <v>4854</v>
      </c>
      <c r="U345" s="35" t="s">
        <v>4854</v>
      </c>
      <c r="V345" s="35" t="s">
        <v>4854</v>
      </c>
      <c r="W345" s="3" t="s">
        <v>4854</v>
      </c>
      <c r="X345" s="3" t="s">
        <v>4854</v>
      </c>
      <c r="Y345" s="3" t="s">
        <v>4854</v>
      </c>
      <c r="Z345" s="3" t="s">
        <v>4854</v>
      </c>
      <c r="AA345" s="3" t="s">
        <v>4854</v>
      </c>
      <c r="AB345" s="3" t="s">
        <v>4854</v>
      </c>
      <c r="AC345" s="3" t="s">
        <v>4854</v>
      </c>
      <c r="AD345" s="3" t="s">
        <v>4854</v>
      </c>
      <c r="AE345" s="99" t="s">
        <v>4854</v>
      </c>
      <c r="AF345" s="99" t="s">
        <v>4854</v>
      </c>
      <c r="AG345" s="90">
        <v>2.827</v>
      </c>
      <c r="AH345" s="99" t="s">
        <v>4854</v>
      </c>
      <c r="AI345" s="99" t="s">
        <v>4854</v>
      </c>
      <c r="AJ345" s="99" t="s">
        <v>4854</v>
      </c>
      <c r="AK345" s="99" t="s">
        <v>4854</v>
      </c>
      <c r="AL345" s="99" t="s">
        <v>4854</v>
      </c>
      <c r="AM345" s="102" t="s">
        <v>4854</v>
      </c>
      <c r="AN345" s="102" t="s">
        <v>4854</v>
      </c>
      <c r="AO345" s="21">
        <v>0.3876</v>
      </c>
      <c r="AP345" s="102" t="s">
        <v>4854</v>
      </c>
      <c r="AQ345" s="102" t="s">
        <v>4854</v>
      </c>
      <c r="AR345" s="102" t="s">
        <v>4854</v>
      </c>
      <c r="AS345" s="102" t="s">
        <v>4854</v>
      </c>
      <c r="AT345" s="102" t="s">
        <v>4854</v>
      </c>
      <c r="AU345" s="102" t="s">
        <v>4854</v>
      </c>
      <c r="AV345" s="102" t="s">
        <v>4854</v>
      </c>
      <c r="AW345" s="21">
        <v>6.6000000000000003E-2</v>
      </c>
      <c r="AX345" s="102" t="s">
        <v>4854</v>
      </c>
      <c r="AY345" s="102" t="s">
        <v>4854</v>
      </c>
      <c r="AZ345" s="102" t="s">
        <v>4854</v>
      </c>
      <c r="BA345" s="102" t="s">
        <v>4854</v>
      </c>
      <c r="BB345" s="102" t="s">
        <v>4854</v>
      </c>
      <c r="BC345" s="3" t="s">
        <v>4854</v>
      </c>
      <c r="BD345" s="3" t="s">
        <v>4854</v>
      </c>
      <c r="BE345" s="5">
        <v>14</v>
      </c>
      <c r="BF345" s="3" t="s">
        <v>4854</v>
      </c>
      <c r="BG345" s="3" t="s">
        <v>4854</v>
      </c>
      <c r="BH345" s="3" t="s">
        <v>4854</v>
      </c>
      <c r="BI345" s="3" t="s">
        <v>4854</v>
      </c>
      <c r="BJ345" s="3" t="s">
        <v>4854</v>
      </c>
      <c r="BK345" s="99" t="s">
        <v>4854</v>
      </c>
      <c r="BL345" s="99" t="s">
        <v>4854</v>
      </c>
      <c r="BM345" s="90">
        <v>0.89600000000000002</v>
      </c>
      <c r="BN345" s="99" t="s">
        <v>4854</v>
      </c>
      <c r="BO345" s="99" t="s">
        <v>4854</v>
      </c>
      <c r="BP345" s="99" t="s">
        <v>4854</v>
      </c>
      <c r="BQ345" s="99" t="s">
        <v>4854</v>
      </c>
      <c r="BR345" s="99" t="s">
        <v>4854</v>
      </c>
      <c r="BS345" s="5" t="s">
        <v>4857</v>
      </c>
    </row>
    <row r="346" spans="1:71" s="30" customFormat="1" ht="17.100000000000001" customHeight="1">
      <c r="A346" s="14">
        <v>335</v>
      </c>
      <c r="B346" s="5" t="s">
        <v>3632</v>
      </c>
      <c r="C346" s="3" t="s">
        <v>3883</v>
      </c>
      <c r="D346" s="3" t="s">
        <v>3609</v>
      </c>
      <c r="E346" s="6" t="s">
        <v>3610</v>
      </c>
      <c r="F346" s="8" t="s">
        <v>5025</v>
      </c>
      <c r="G346" s="3" t="s">
        <v>3611</v>
      </c>
      <c r="H346" s="6" t="s">
        <v>3612</v>
      </c>
      <c r="I346" s="3" t="s">
        <v>3613</v>
      </c>
      <c r="J346" s="5" t="s">
        <v>3614</v>
      </c>
      <c r="K346" s="3" t="s">
        <v>5533</v>
      </c>
      <c r="L346" s="3" t="s">
        <v>3633</v>
      </c>
      <c r="M346" s="5">
        <v>2</v>
      </c>
      <c r="N346" s="21">
        <v>719.90989999999999</v>
      </c>
      <c r="O346" s="36" t="str">
        <f>HYPERLINK("http://ms.phosphosite.org:5080/cgi-bin/plot-msms.cgi?MassType=1&amp;NumAxis=1&amp;Mod2=170&amp;Mod5=170&amp;Mod9=170&amp;Mod13=170&amp;Pep=GKGGKGLGKGGAKR&amp;Dta=/var/www/html/dta/S01/10558.3340.2.dta&amp;Global_Mod=CS57.0215", "3340")</f>
        <v>3340</v>
      </c>
      <c r="P346" s="36" t="str">
        <f>HYPERLINK("http://ms.phosphosite.org:5080/cgi-bin/plot-msms.cgi?MassType=1&amp;NumAxis=1&amp;Mod2=170&amp;Mod5=170&amp;Mod9=170&amp;Mod13=170&amp;Pep=GKGGKGLGKGGAKR&amp;Dta=/var/www/html/dta/S01/10559.3287.2.dta&amp;Global_Mod=CS57.0215", "3287")</f>
        <v>3287</v>
      </c>
      <c r="Q346" s="36" t="str">
        <f>HYPERLINK("http://ms.phosphosite.org:5080/cgi-bin/plot-msms.cgi?MassType=1&amp;NumAxis=1&amp;Mod2=170&amp;Mod5=170&amp;Mod9=170&amp;Mod13=170&amp;Pep=GKGGKGLGKGGAKR&amp;Dta=/var/www/html/dta/S01/10560.3280.2.dta&amp;Global_Mod=CS57.0215", "3280")</f>
        <v>3280</v>
      </c>
      <c r="R346" s="36" t="str">
        <f>HYPERLINK("http://ms.phosphosite.org:5080/cgi-bin/plot-msms.cgi?MassType=1&amp;NumAxis=1&amp;Mod2=170&amp;Mod5=170&amp;Mod9=170&amp;Mod13=170&amp;Pep=GKGGKGLGKGGAKR&amp;Dta=/var/www/html/dta/S01/10561.3297.2.dta&amp;Global_Mod=CS57.0215", "3297")</f>
        <v>3297</v>
      </c>
      <c r="S346" s="36" t="str">
        <f>HYPERLINK("http://ms.phosphosite.org:5080/cgi-bin/plot-msms.cgi?MassType=1&amp;NumAxis=1&amp;Mod2=170&amp;Mod5=170&amp;Mod9=170&amp;Mod13=170&amp;Pep=GKGGKGLGKGGAKR&amp;Dta=/var/www/html/dta/S01/10562.3385.2.dta&amp;Global_Mod=CS57.0215", "3385")</f>
        <v>3385</v>
      </c>
      <c r="T346" s="36" t="str">
        <f>HYPERLINK("http://ms.phosphosite.org:5080/cgi-bin/plot-msms.cgi?MassType=1&amp;NumAxis=1&amp;Mod2=170&amp;Mod5=170&amp;Mod9=170&amp;Mod13=170&amp;Pep=GKGGKGLGKGGAKR&amp;Dta=/var/www/html/dta/S01/10563.3408.2.dta&amp;Global_Mod=CS57.0215", "3408")</f>
        <v>3408</v>
      </c>
      <c r="U346" s="36" t="str">
        <f>HYPERLINK("http://ms.phosphosite.org:5080/cgi-bin/plot-msms.cgi?MassType=1&amp;NumAxis=1&amp;Mod2=170&amp;Mod5=170&amp;Mod9=170&amp;Mod13=170&amp;Pep=GKGGKGLGKGGAKR&amp;Dta=/var/www/html/dta/S01/10564.3726.2.dta&amp;Global_Mod=CS57.0215", "3726")</f>
        <v>3726</v>
      </c>
      <c r="V346" s="36" t="str">
        <f>HYPERLINK("http://ms.phosphosite.org:5080/cgi-bin/plot-msms.cgi?MassType=1&amp;NumAxis=1&amp;Mod2=170&amp;Mod5=170&amp;Mod9=170&amp;Mod13=170&amp;Pep=GKGGKGLGKGGAKR&amp;Dta=/var/www/html/dta/S01/10565.3796.2.dta&amp;Global_Mod=CS57.0215", "3796")</f>
        <v>3796</v>
      </c>
      <c r="W346" s="5">
        <v>3380</v>
      </c>
      <c r="X346" s="5">
        <v>3330</v>
      </c>
      <c r="Y346" s="5">
        <v>3311</v>
      </c>
      <c r="Z346" s="5">
        <v>3339</v>
      </c>
      <c r="AA346" s="5">
        <v>3435</v>
      </c>
      <c r="AB346" s="5">
        <v>3360</v>
      </c>
      <c r="AC346" s="5">
        <v>3671</v>
      </c>
      <c r="AD346" s="5">
        <v>3729</v>
      </c>
      <c r="AE346" s="90">
        <v>4.7309999999999999</v>
      </c>
      <c r="AF346" s="90">
        <v>5.0599999999999996</v>
      </c>
      <c r="AG346" s="90">
        <v>4.9980000000000002</v>
      </c>
      <c r="AH346" s="90">
        <v>4.8129999999999997</v>
      </c>
      <c r="AI346" s="90">
        <v>4.9450000000000003</v>
      </c>
      <c r="AJ346" s="90">
        <v>4.8239999999999998</v>
      </c>
      <c r="AK346" s="90">
        <v>4.7290000000000001</v>
      </c>
      <c r="AL346" s="90">
        <v>4.9219999999999997</v>
      </c>
      <c r="AM346" s="21">
        <v>1.3116000000000001</v>
      </c>
      <c r="AN346" s="21">
        <v>1.2011000000000001</v>
      </c>
      <c r="AO346" s="21">
        <v>1.0328999999999999</v>
      </c>
      <c r="AP346" s="21">
        <v>1.0225</v>
      </c>
      <c r="AQ346" s="21">
        <v>0.78620000000000001</v>
      </c>
      <c r="AR346" s="21">
        <v>0.64510000000000001</v>
      </c>
      <c r="AS346" s="21">
        <v>0.73270000000000002</v>
      </c>
      <c r="AT346" s="21">
        <v>0.58530000000000004</v>
      </c>
      <c r="AU346" s="21">
        <v>0.438</v>
      </c>
      <c r="AV346" s="21">
        <v>0.443</v>
      </c>
      <c r="AW346" s="21">
        <v>0.45700000000000002</v>
      </c>
      <c r="AX346" s="21">
        <v>0.45</v>
      </c>
      <c r="AY346" s="21">
        <v>0.47</v>
      </c>
      <c r="AZ346" s="21">
        <v>0.46700000000000003</v>
      </c>
      <c r="BA346" s="21">
        <v>0.495</v>
      </c>
      <c r="BB346" s="21">
        <v>0.45400000000000001</v>
      </c>
      <c r="BC346" s="5">
        <v>1</v>
      </c>
      <c r="BD346" s="5">
        <v>1</v>
      </c>
      <c r="BE346" s="5">
        <v>1</v>
      </c>
      <c r="BF346" s="5">
        <v>1</v>
      </c>
      <c r="BG346" s="5">
        <v>1</v>
      </c>
      <c r="BH346" s="5">
        <v>1</v>
      </c>
      <c r="BI346" s="5">
        <v>1</v>
      </c>
      <c r="BJ346" s="5">
        <v>1</v>
      </c>
      <c r="BK346" s="90">
        <v>1</v>
      </c>
      <c r="BL346" s="90">
        <v>1</v>
      </c>
      <c r="BM346" s="90">
        <v>1</v>
      </c>
      <c r="BN346" s="90">
        <v>1</v>
      </c>
      <c r="BO346" s="90">
        <v>1</v>
      </c>
      <c r="BP346" s="90">
        <v>1</v>
      </c>
      <c r="BQ346" s="90">
        <v>1</v>
      </c>
      <c r="BR346" s="90">
        <v>1</v>
      </c>
      <c r="BS346" s="5" t="s">
        <v>4857</v>
      </c>
    </row>
    <row r="347" spans="1:71" s="30" customFormat="1" ht="17.100000000000001" customHeight="1">
      <c r="A347" s="14">
        <v>336</v>
      </c>
      <c r="B347" s="5" t="s">
        <v>3634</v>
      </c>
      <c r="C347" s="3" t="s">
        <v>3883</v>
      </c>
      <c r="D347" s="3" t="s">
        <v>3609</v>
      </c>
      <c r="E347" s="6" t="s">
        <v>3610</v>
      </c>
      <c r="F347" s="8" t="s">
        <v>5025</v>
      </c>
      <c r="G347" s="3" t="s">
        <v>3611</v>
      </c>
      <c r="H347" s="6" t="s">
        <v>3612</v>
      </c>
      <c r="I347" s="3" t="s">
        <v>3613</v>
      </c>
      <c r="J347" s="5" t="s">
        <v>3614</v>
      </c>
      <c r="K347" s="3" t="s">
        <v>5533</v>
      </c>
      <c r="L347" s="3" t="s">
        <v>3633</v>
      </c>
      <c r="M347" s="5">
        <v>2</v>
      </c>
      <c r="N347" s="21">
        <v>719.90989999999999</v>
      </c>
      <c r="O347" s="36" t="str">
        <f>HYPERLINK("http://ms.phosphosite.org:5080/cgi-bin/plot-msms.cgi?MassType=1&amp;NumAxis=1&amp;Mod2=170&amp;Mod5=170&amp;Mod9=170&amp;Mod13=170&amp;Pep=GKGGKGLGKGGAKR&amp;Dta=/var/www/html/dta/S01/10558.3431.2.dta&amp;Global_Mod=CS57.0215", "3431")</f>
        <v>3431</v>
      </c>
      <c r="P347" s="36" t="str">
        <f>HYPERLINK("http://ms.phosphosite.org:5080/cgi-bin/plot-msms.cgi?MassType=1&amp;NumAxis=1&amp;Mod2=170&amp;Mod5=170&amp;Mod9=170&amp;Mod13=170&amp;Pep=GKGGKGLGKGGAKR&amp;Dta=/var/www/html/dta/S01/10559.3377.2.dta&amp;Global_Mod=CS57.0215", "3377")</f>
        <v>3377</v>
      </c>
      <c r="Q347" s="36" t="str">
        <f>HYPERLINK("http://ms.phosphosite.org:5080/cgi-bin/plot-msms.cgi?MassType=1&amp;NumAxis=1&amp;Mod2=170&amp;Mod5=170&amp;Mod9=170&amp;Mod13=170&amp;Pep=GKGGKGLGKGGAKR&amp;Dta=/var/www/html/dta/S01/10560.3373.2.dta&amp;Global_Mod=CS57.0215", "3373")</f>
        <v>3373</v>
      </c>
      <c r="R347" s="36" t="str">
        <f>HYPERLINK("http://ms.phosphosite.org:5080/cgi-bin/plot-msms.cgi?MassType=1&amp;NumAxis=1&amp;Mod2=170&amp;Mod5=170&amp;Mod9=170&amp;Mod13=170&amp;Pep=GKGGKGLGKGGAKR&amp;Dta=/var/www/html/dta/S01/10561.3392.2.dta&amp;Global_Mod=CS57.0215", "3392")</f>
        <v>3392</v>
      </c>
      <c r="S347" s="36" t="str">
        <f>HYPERLINK("http://ms.phosphosite.org:5080/cgi-bin/plot-msms.cgi?MassType=1&amp;NumAxis=1&amp;Mod2=170&amp;Mod5=170&amp;Mod9=170&amp;Mod13=170&amp;Pep=GKGGKGLGKGGAKR&amp;Dta=/var/www/html/dta/S01/10562.3479.2.dta&amp;Global_Mod=CS57.0215", "3479")</f>
        <v>3479</v>
      </c>
      <c r="T347" s="36" t="str">
        <f>HYPERLINK("http://ms.phosphosite.org:5080/cgi-bin/plot-msms.cgi?MassType=1&amp;NumAxis=1&amp;Mod2=170&amp;Mod5=170&amp;Mod9=170&amp;Mod13=170&amp;Pep=GKGGKGLGKGGAKR&amp;Dta=/var/www/html/dta/S01/10563.3319.2.dta&amp;Global_Mod=CS57.0215", "3319")</f>
        <v>3319</v>
      </c>
      <c r="U347" s="36" t="str">
        <f>HYPERLINK("http://ms.phosphosite.org:5080/cgi-bin/plot-msms.cgi?MassType=1&amp;NumAxis=1&amp;Mod2=170&amp;Mod5=170&amp;Mod9=170&amp;Mod13=170&amp;Pep=GKGGKGLGKGGAKR&amp;Dta=/var/www/html/dta/S01/10564.3629.2.dta&amp;Global_Mod=CS57.0215", "3629")</f>
        <v>3629</v>
      </c>
      <c r="V347" s="36" t="str">
        <f>HYPERLINK("http://ms.phosphosite.org:5080/cgi-bin/plot-msms.cgi?MassType=1&amp;NumAxis=1&amp;Mod2=170&amp;Mod5=170&amp;Mod9=170&amp;Mod13=170&amp;Pep=GKGGKGLGKGGAKR&amp;Dta=/var/www/html/dta/S01/10565.3697.2.dta&amp;Global_Mod=CS57.0215", "3697")</f>
        <v>3697</v>
      </c>
      <c r="W347" s="5">
        <v>3380</v>
      </c>
      <c r="X347" s="5">
        <v>3330</v>
      </c>
      <c r="Y347" s="5">
        <v>3311</v>
      </c>
      <c r="Z347" s="5">
        <v>3339</v>
      </c>
      <c r="AA347" s="5">
        <v>3435</v>
      </c>
      <c r="AB347" s="5">
        <v>3360</v>
      </c>
      <c r="AC347" s="5">
        <v>3671</v>
      </c>
      <c r="AD347" s="5">
        <v>3729</v>
      </c>
      <c r="AE347" s="90">
        <v>4.593</v>
      </c>
      <c r="AF347" s="90">
        <v>4.7850000000000001</v>
      </c>
      <c r="AG347" s="90">
        <v>4.7370000000000001</v>
      </c>
      <c r="AH347" s="90">
        <v>4.718</v>
      </c>
      <c r="AI347" s="90">
        <v>4.7240000000000002</v>
      </c>
      <c r="AJ347" s="90">
        <v>4.657</v>
      </c>
      <c r="AK347" s="90">
        <v>4.641</v>
      </c>
      <c r="AL347" s="90">
        <v>4.7850000000000001</v>
      </c>
      <c r="AM347" s="21">
        <v>1.3109</v>
      </c>
      <c r="AN347" s="21">
        <v>1.2003999999999999</v>
      </c>
      <c r="AO347" s="21">
        <v>1.0322</v>
      </c>
      <c r="AP347" s="21">
        <v>1.0218</v>
      </c>
      <c r="AQ347" s="21">
        <v>0.78620000000000001</v>
      </c>
      <c r="AR347" s="21">
        <v>0.64510000000000001</v>
      </c>
      <c r="AS347" s="21">
        <v>0.73270000000000002</v>
      </c>
      <c r="AT347" s="21">
        <v>0.58599999999999997</v>
      </c>
      <c r="AU347" s="21">
        <v>0.47599999999999998</v>
      </c>
      <c r="AV347" s="21">
        <v>0.441</v>
      </c>
      <c r="AW347" s="21">
        <v>0.47399999999999998</v>
      </c>
      <c r="AX347" s="21">
        <v>0.46</v>
      </c>
      <c r="AY347" s="21">
        <v>0.47399999999999998</v>
      </c>
      <c r="AZ347" s="21">
        <v>0.496</v>
      </c>
      <c r="BA347" s="21">
        <v>0.48</v>
      </c>
      <c r="BB347" s="21">
        <v>0.45300000000000001</v>
      </c>
      <c r="BC347" s="5">
        <v>1</v>
      </c>
      <c r="BD347" s="5">
        <v>1</v>
      </c>
      <c r="BE347" s="5">
        <v>1</v>
      </c>
      <c r="BF347" s="5">
        <v>1</v>
      </c>
      <c r="BG347" s="5">
        <v>1</v>
      </c>
      <c r="BH347" s="5">
        <v>1</v>
      </c>
      <c r="BI347" s="5">
        <v>1</v>
      </c>
      <c r="BJ347" s="5">
        <v>1</v>
      </c>
      <c r="BK347" s="90">
        <v>1</v>
      </c>
      <c r="BL347" s="90">
        <v>1</v>
      </c>
      <c r="BM347" s="90">
        <v>1</v>
      </c>
      <c r="BN347" s="90">
        <v>1</v>
      </c>
      <c r="BO347" s="90">
        <v>1</v>
      </c>
      <c r="BP347" s="90">
        <v>1</v>
      </c>
      <c r="BQ347" s="90">
        <v>1</v>
      </c>
      <c r="BR347" s="90">
        <v>1</v>
      </c>
      <c r="BS347" s="5" t="s">
        <v>4857</v>
      </c>
    </row>
    <row r="348" spans="1:71" s="30" customFormat="1" ht="17.100000000000001" customHeight="1">
      <c r="A348" s="14">
        <v>337</v>
      </c>
      <c r="B348" s="5" t="s">
        <v>3635</v>
      </c>
      <c r="C348" s="3" t="s">
        <v>3883</v>
      </c>
      <c r="D348" s="3" t="s">
        <v>3609</v>
      </c>
      <c r="E348" s="6" t="s">
        <v>3610</v>
      </c>
      <c r="F348" s="8" t="s">
        <v>5025</v>
      </c>
      <c r="G348" s="3" t="s">
        <v>3611</v>
      </c>
      <c r="H348" s="6" t="s">
        <v>3612</v>
      </c>
      <c r="I348" s="3" t="s">
        <v>3613</v>
      </c>
      <c r="J348" s="5" t="s">
        <v>3614</v>
      </c>
      <c r="K348" s="3" t="s">
        <v>5533</v>
      </c>
      <c r="L348" s="3" t="s">
        <v>3633</v>
      </c>
      <c r="M348" s="5">
        <v>2</v>
      </c>
      <c r="N348" s="21">
        <v>719.90989999999999</v>
      </c>
      <c r="O348" s="36" t="str">
        <f>HYPERLINK("http://ms.phosphosite.org:5080/cgi-bin/plot-msms.cgi?MassType=1&amp;NumAxis=1&amp;Mod2=170&amp;Mod5=170&amp;Mod9=170&amp;Mod13=170&amp;Pep=GKGGKGLGKGGAKR&amp;Dta=/var/www/html/dta/S01/10558.3521.2.dta&amp;Global_Mod=CS57.0215", "3521")</f>
        <v>3521</v>
      </c>
      <c r="P348" s="36" t="str">
        <f>HYPERLINK("http://ms.phosphosite.org:5080/cgi-bin/plot-msms.cgi?MassType=1&amp;NumAxis=1&amp;Mod2=170&amp;Mod5=170&amp;Mod9=170&amp;Mod13=170&amp;Pep=GKGGKGLGKGGAKR&amp;Dta=/var/www/html/dta/S01/10559.3482.2.dta&amp;Global_Mod=CS57.0215", "3482")</f>
        <v>3482</v>
      </c>
      <c r="Q348" s="36" t="str">
        <f>HYPERLINK("http://ms.phosphosite.org:5080/cgi-bin/plot-msms.cgi?MassType=1&amp;NumAxis=1&amp;Mod2=170&amp;Mod5=170&amp;Mod9=170&amp;Mod13=170&amp;Pep=GKGGKGLGKGGAKR&amp;Dta=/var/www/html/dta/S01/10560.3511.2.dta&amp;Global_Mod=CS57.0215", "3511")</f>
        <v>3511</v>
      </c>
      <c r="R348" s="36" t="str">
        <f>HYPERLINK("http://ms.phosphosite.org:5080/cgi-bin/plot-msms.cgi?MassType=1&amp;NumAxis=1&amp;Mod2=170&amp;Mod5=170&amp;Mod9=170&amp;Mod13=170&amp;Pep=GKGGKGLGKGGAKR&amp;Dta=/var/www/html/dta/S01/10561.3520.2.dta&amp;Global_Mod=CS57.0215", "3520")</f>
        <v>3520</v>
      </c>
      <c r="S348" s="35" t="s">
        <v>4854</v>
      </c>
      <c r="T348" s="35" t="s">
        <v>4854</v>
      </c>
      <c r="U348" s="35" t="s">
        <v>4854</v>
      </c>
      <c r="V348" s="35" t="s">
        <v>4854</v>
      </c>
      <c r="W348" s="5">
        <v>3380</v>
      </c>
      <c r="X348" s="5">
        <v>3330</v>
      </c>
      <c r="Y348" s="5">
        <v>3311</v>
      </c>
      <c r="Z348" s="5">
        <v>3339</v>
      </c>
      <c r="AA348" s="3" t="s">
        <v>4854</v>
      </c>
      <c r="AB348" s="3" t="s">
        <v>4854</v>
      </c>
      <c r="AC348" s="3" t="s">
        <v>4854</v>
      </c>
      <c r="AD348" s="3" t="s">
        <v>4854</v>
      </c>
      <c r="AE348" s="90">
        <v>4.49</v>
      </c>
      <c r="AF348" s="90">
        <v>3.92</v>
      </c>
      <c r="AG348" s="90">
        <v>3.2370000000000001</v>
      </c>
      <c r="AH348" s="90">
        <v>3.1629999999999998</v>
      </c>
      <c r="AI348" s="99" t="s">
        <v>4854</v>
      </c>
      <c r="AJ348" s="99" t="s">
        <v>4854</v>
      </c>
      <c r="AK348" s="99" t="s">
        <v>4854</v>
      </c>
      <c r="AL348" s="99" t="s">
        <v>4854</v>
      </c>
      <c r="AM348" s="21">
        <v>0.60550000000000004</v>
      </c>
      <c r="AN348" s="21">
        <v>0.57350000000000001</v>
      </c>
      <c r="AO348" s="21">
        <v>0.60129999999999995</v>
      </c>
      <c r="AP348" s="21">
        <v>0.61040000000000005</v>
      </c>
      <c r="AQ348" s="102" t="s">
        <v>4854</v>
      </c>
      <c r="AR348" s="102" t="s">
        <v>4854</v>
      </c>
      <c r="AS348" s="102" t="s">
        <v>4854</v>
      </c>
      <c r="AT348" s="102" t="s">
        <v>4854</v>
      </c>
      <c r="AU348" s="21">
        <v>0.39</v>
      </c>
      <c r="AV348" s="21">
        <v>0.42799999999999999</v>
      </c>
      <c r="AW348" s="21">
        <v>0.44</v>
      </c>
      <c r="AX348" s="21">
        <v>0.375</v>
      </c>
      <c r="AY348" s="102" t="s">
        <v>4854</v>
      </c>
      <c r="AZ348" s="102" t="s">
        <v>4854</v>
      </c>
      <c r="BA348" s="102" t="s">
        <v>4854</v>
      </c>
      <c r="BB348" s="102" t="s">
        <v>4854</v>
      </c>
      <c r="BC348" s="5">
        <v>1</v>
      </c>
      <c r="BD348" s="5">
        <v>1</v>
      </c>
      <c r="BE348" s="5">
        <v>1</v>
      </c>
      <c r="BF348" s="5">
        <v>1</v>
      </c>
      <c r="BG348" s="3" t="s">
        <v>4854</v>
      </c>
      <c r="BH348" s="3" t="s">
        <v>4854</v>
      </c>
      <c r="BI348" s="3" t="s">
        <v>4854</v>
      </c>
      <c r="BJ348" s="3" t="s">
        <v>4854</v>
      </c>
      <c r="BK348" s="90">
        <v>1</v>
      </c>
      <c r="BL348" s="90">
        <v>1</v>
      </c>
      <c r="BM348" s="90">
        <v>0.999</v>
      </c>
      <c r="BN348" s="90">
        <v>0.999</v>
      </c>
      <c r="BO348" s="99" t="s">
        <v>4854</v>
      </c>
      <c r="BP348" s="99" t="s">
        <v>4854</v>
      </c>
      <c r="BQ348" s="99" t="s">
        <v>4854</v>
      </c>
      <c r="BR348" s="99" t="s">
        <v>4854</v>
      </c>
      <c r="BS348" s="5" t="s">
        <v>4857</v>
      </c>
    </row>
    <row r="349" spans="1:71" s="30" customFormat="1" ht="17.100000000000001" customHeight="1">
      <c r="A349" s="14">
        <v>338</v>
      </c>
      <c r="B349" s="5" t="s">
        <v>3636</v>
      </c>
      <c r="C349" s="3" t="s">
        <v>3883</v>
      </c>
      <c r="D349" s="3" t="s">
        <v>3609</v>
      </c>
      <c r="E349" s="6" t="s">
        <v>3610</v>
      </c>
      <c r="F349" s="8" t="s">
        <v>5025</v>
      </c>
      <c r="G349" s="3" t="s">
        <v>3611</v>
      </c>
      <c r="H349" s="6" t="s">
        <v>3612</v>
      </c>
      <c r="I349" s="3" t="s">
        <v>3613</v>
      </c>
      <c r="J349" s="5" t="s">
        <v>3614</v>
      </c>
      <c r="K349" s="3" t="s">
        <v>5533</v>
      </c>
      <c r="L349" s="3" t="s">
        <v>3633</v>
      </c>
      <c r="M349" s="5">
        <v>2</v>
      </c>
      <c r="N349" s="21">
        <v>719.90989999999999</v>
      </c>
      <c r="O349" s="36" t="str">
        <f>HYPERLINK("http://ms.phosphosite.org:5080/cgi-bin/plot-msms.cgi?MassType=1&amp;NumAxis=1&amp;Mod2=170&amp;Mod5=170&amp;Mod9=170&amp;Mod13=170&amp;Pep=GKGGKGLGKGGAKR&amp;Dta=/var/www/html/dta/S01/10558.3645.2.dta&amp;Global_Mod=CS57.0215", "3645")</f>
        <v>3645</v>
      </c>
      <c r="P349" s="35" t="s">
        <v>4854</v>
      </c>
      <c r="Q349" s="35" t="s">
        <v>4854</v>
      </c>
      <c r="R349" s="35" t="s">
        <v>4854</v>
      </c>
      <c r="S349" s="35" t="s">
        <v>4854</v>
      </c>
      <c r="T349" s="35" t="s">
        <v>4854</v>
      </c>
      <c r="U349" s="35" t="s">
        <v>4854</v>
      </c>
      <c r="V349" s="35" t="s">
        <v>4854</v>
      </c>
      <c r="W349" s="5">
        <v>3380</v>
      </c>
      <c r="X349" s="3" t="s">
        <v>4854</v>
      </c>
      <c r="Y349" s="3" t="s">
        <v>4854</v>
      </c>
      <c r="Z349" s="3" t="s">
        <v>4854</v>
      </c>
      <c r="AA349" s="3" t="s">
        <v>4854</v>
      </c>
      <c r="AB349" s="3" t="s">
        <v>4854</v>
      </c>
      <c r="AC349" s="3" t="s">
        <v>4854</v>
      </c>
      <c r="AD349" s="3" t="s">
        <v>4854</v>
      </c>
      <c r="AE349" s="90">
        <v>4.4379999999999997</v>
      </c>
      <c r="AF349" s="99" t="s">
        <v>4854</v>
      </c>
      <c r="AG349" s="99" t="s">
        <v>4854</v>
      </c>
      <c r="AH349" s="99" t="s">
        <v>4854</v>
      </c>
      <c r="AI349" s="99" t="s">
        <v>4854</v>
      </c>
      <c r="AJ349" s="99" t="s">
        <v>4854</v>
      </c>
      <c r="AK349" s="99" t="s">
        <v>4854</v>
      </c>
      <c r="AL349" s="99" t="s">
        <v>4854</v>
      </c>
      <c r="AM349" s="21">
        <v>0.37130000000000002</v>
      </c>
      <c r="AN349" s="102" t="s">
        <v>4854</v>
      </c>
      <c r="AO349" s="102" t="s">
        <v>4854</v>
      </c>
      <c r="AP349" s="102" t="s">
        <v>4854</v>
      </c>
      <c r="AQ349" s="102" t="s">
        <v>4854</v>
      </c>
      <c r="AR349" s="102" t="s">
        <v>4854</v>
      </c>
      <c r="AS349" s="102" t="s">
        <v>4854</v>
      </c>
      <c r="AT349" s="102" t="s">
        <v>4854</v>
      </c>
      <c r="AU349" s="21">
        <v>0.45</v>
      </c>
      <c r="AV349" s="102" t="s">
        <v>4854</v>
      </c>
      <c r="AW349" s="102" t="s">
        <v>4854</v>
      </c>
      <c r="AX349" s="102" t="s">
        <v>4854</v>
      </c>
      <c r="AY349" s="102" t="s">
        <v>4854</v>
      </c>
      <c r="AZ349" s="102" t="s">
        <v>4854</v>
      </c>
      <c r="BA349" s="102" t="s">
        <v>4854</v>
      </c>
      <c r="BB349" s="102" t="s">
        <v>4854</v>
      </c>
      <c r="BC349" s="5">
        <v>1</v>
      </c>
      <c r="BD349" s="3" t="s">
        <v>4854</v>
      </c>
      <c r="BE349" s="3" t="s">
        <v>4854</v>
      </c>
      <c r="BF349" s="3" t="s">
        <v>4854</v>
      </c>
      <c r="BG349" s="3" t="s">
        <v>4854</v>
      </c>
      <c r="BH349" s="3" t="s">
        <v>4854</v>
      </c>
      <c r="BI349" s="3" t="s">
        <v>4854</v>
      </c>
      <c r="BJ349" s="3" t="s">
        <v>4854</v>
      </c>
      <c r="BK349" s="90">
        <v>1</v>
      </c>
      <c r="BL349" s="99" t="s">
        <v>4854</v>
      </c>
      <c r="BM349" s="99" t="s">
        <v>4854</v>
      </c>
      <c r="BN349" s="99" t="s">
        <v>4854</v>
      </c>
      <c r="BO349" s="99" t="s">
        <v>4854</v>
      </c>
      <c r="BP349" s="99" t="s">
        <v>4854</v>
      </c>
      <c r="BQ349" s="99" t="s">
        <v>4854</v>
      </c>
      <c r="BR349" s="99" t="s">
        <v>4854</v>
      </c>
      <c r="BS349" s="5" t="s">
        <v>4857</v>
      </c>
    </row>
    <row r="350" spans="1:71" s="30" customFormat="1" ht="17.100000000000001" customHeight="1">
      <c r="A350" s="14">
        <v>339</v>
      </c>
      <c r="B350" s="5" t="s">
        <v>3637</v>
      </c>
      <c r="C350" s="3" t="s">
        <v>3883</v>
      </c>
      <c r="D350" s="3" t="s">
        <v>3609</v>
      </c>
      <c r="E350" s="6" t="s">
        <v>3610</v>
      </c>
      <c r="F350" s="8" t="s">
        <v>5025</v>
      </c>
      <c r="G350" s="3" t="s">
        <v>3611</v>
      </c>
      <c r="H350" s="6" t="s">
        <v>3612</v>
      </c>
      <c r="I350" s="3" t="s">
        <v>3613</v>
      </c>
      <c r="J350" s="5" t="s">
        <v>3614</v>
      </c>
      <c r="K350" s="3" t="s">
        <v>5533</v>
      </c>
      <c r="L350" s="3" t="s">
        <v>3633</v>
      </c>
      <c r="M350" s="5">
        <v>3</v>
      </c>
      <c r="N350" s="21">
        <v>480.27569999999997</v>
      </c>
      <c r="O350" s="36" t="str">
        <f>HYPERLINK("http://ms.phosphosite.org:5080/cgi-bin/plot-msms.cgi?MassType=1&amp;NumAxis=1&amp;Mod2=170&amp;Mod5=170&amp;Mod9=170&amp;Mod13=170&amp;Pep=GKGGKGLGKGGAKR&amp;Dta=/var/www/html/dta/S01/10558.3430.3.dta&amp;Global_Mod=CS57.0215", "3430")</f>
        <v>3430</v>
      </c>
      <c r="P350" s="36" t="str">
        <f>HYPERLINK("http://ms.phosphosite.org:5080/cgi-bin/plot-msms.cgi?MassType=1&amp;NumAxis=1&amp;Mod2=170&amp;Mod5=170&amp;Mod9=170&amp;Mod13=170&amp;Pep=GKGGKGLGKGGAKR&amp;Dta=/var/www/html/dta/S01/10559.3345.3.dta&amp;Global_Mod=CS57.0215", "3345")</f>
        <v>3345</v>
      </c>
      <c r="Q350" s="36" t="str">
        <f>HYPERLINK("http://ms.phosphosite.org:5080/cgi-bin/plot-msms.cgi?MassType=1&amp;NumAxis=1&amp;Mod2=170&amp;Mod5=170&amp;Mod9=170&amp;Mod13=170&amp;Pep=GKGGKGLGKGGAKR&amp;Dta=/var/www/html/dta/S01/10560.3372.3.dta&amp;Global_Mod=CS57.0215", "3372")</f>
        <v>3372</v>
      </c>
      <c r="R350" s="36" t="str">
        <f>HYPERLINK("http://ms.phosphosite.org:5080/cgi-bin/plot-msms.cgi?MassType=1&amp;NumAxis=1&amp;Mod2=170&amp;Mod5=170&amp;Mod9=170&amp;Mod13=170&amp;Pep=GKGGKGLGKGGAKR&amp;Dta=/var/www/html/dta/S01/10561.3296.3.dta&amp;Global_Mod=CS57.0215", "3296")</f>
        <v>3296</v>
      </c>
      <c r="S350" s="36" t="str">
        <f>HYPERLINK("http://ms.phosphosite.org:5080/cgi-bin/plot-msms.cgi?MassType=1&amp;NumAxis=1&amp;Mod2=170&amp;Mod5=170&amp;Mod9=170&amp;Mod13=170&amp;Pep=GKGGKGLGKGGAKR&amp;Dta=/var/www/html/dta/S01/10562.3384.3.dta&amp;Global_Mod=CS57.0215", "3384")</f>
        <v>3384</v>
      </c>
      <c r="T350" s="36" t="str">
        <f>HYPERLINK("http://ms.phosphosite.org:5080/cgi-bin/plot-msms.cgi?MassType=1&amp;NumAxis=1&amp;Mod2=170&amp;Mod5=170&amp;Mod9=170&amp;Mod13=170&amp;Pep=GKGGKGLGKGGAKR&amp;Dta=/var/www/html/dta/S01/10563.3318.3.dta&amp;Global_Mod=CS57.0215", "3318")</f>
        <v>3318</v>
      </c>
      <c r="U350" s="36" t="str">
        <f>HYPERLINK("http://ms.phosphosite.org:5080/cgi-bin/plot-msms.cgi?MassType=1&amp;NumAxis=1&amp;Mod2=170&amp;Mod5=170&amp;Mod9=170&amp;Mod13=170&amp;Pep=GKGGKGLGKGGAKR&amp;Dta=/var/www/html/dta/S01/10564.3693.3.dta&amp;Global_Mod=CS57.0215", "3693")</f>
        <v>3693</v>
      </c>
      <c r="V350" s="36" t="str">
        <f>HYPERLINK("http://ms.phosphosite.org:5080/cgi-bin/plot-msms.cgi?MassType=1&amp;NumAxis=1&amp;Mod2=170&amp;Mod5=170&amp;Mod9=170&amp;Mod13=170&amp;Pep=GKGGKGLGKGGAKR&amp;Dta=/var/www/html/dta/S01/10565.3774.3.dta&amp;Global_Mod=CS57.0215", "3774")</f>
        <v>3774</v>
      </c>
      <c r="W350" s="5">
        <v>3380</v>
      </c>
      <c r="X350" s="5">
        <v>3330</v>
      </c>
      <c r="Y350" s="5">
        <v>3311</v>
      </c>
      <c r="Z350" s="5">
        <v>3339</v>
      </c>
      <c r="AA350" s="5">
        <v>3435</v>
      </c>
      <c r="AB350" s="5">
        <v>3360</v>
      </c>
      <c r="AC350" s="5">
        <v>3671</v>
      </c>
      <c r="AD350" s="5">
        <v>3729</v>
      </c>
      <c r="AE350" s="90">
        <v>5.1890000000000001</v>
      </c>
      <c r="AF350" s="90">
        <v>5.0730000000000004</v>
      </c>
      <c r="AG350" s="90">
        <v>4.8109999999999999</v>
      </c>
      <c r="AH350" s="90">
        <v>4.8970000000000002</v>
      </c>
      <c r="AI350" s="90">
        <v>4.83</v>
      </c>
      <c r="AJ350" s="90">
        <v>4.5919999999999996</v>
      </c>
      <c r="AK350" s="90">
        <v>5.048</v>
      </c>
      <c r="AL350" s="90">
        <v>4.5270000000000001</v>
      </c>
      <c r="AM350" s="21">
        <v>2.4556</v>
      </c>
      <c r="AN350" s="21">
        <v>2.2381000000000002</v>
      </c>
      <c r="AO350" s="21">
        <v>2.6419000000000001</v>
      </c>
      <c r="AP350" s="21">
        <v>2.8142999999999998</v>
      </c>
      <c r="AQ350" s="21">
        <v>2.1436000000000002</v>
      </c>
      <c r="AR350" s="21">
        <v>2.0733999999999999</v>
      </c>
      <c r="AS350" s="21">
        <v>1.6751</v>
      </c>
      <c r="AT350" s="21">
        <v>1.6515</v>
      </c>
      <c r="AU350" s="21">
        <v>0.318</v>
      </c>
      <c r="AV350" s="21">
        <v>0.25900000000000001</v>
      </c>
      <c r="AW350" s="21">
        <v>0.34100000000000003</v>
      </c>
      <c r="AX350" s="21">
        <v>0.27300000000000002</v>
      </c>
      <c r="AY350" s="21">
        <v>0.36299999999999999</v>
      </c>
      <c r="AZ350" s="21">
        <v>0.32300000000000001</v>
      </c>
      <c r="BA350" s="21">
        <v>0.38</v>
      </c>
      <c r="BB350" s="21">
        <v>0.28100000000000003</v>
      </c>
      <c r="BC350" s="5">
        <v>1</v>
      </c>
      <c r="BD350" s="5">
        <v>1</v>
      </c>
      <c r="BE350" s="5">
        <v>1</v>
      </c>
      <c r="BF350" s="5">
        <v>1</v>
      </c>
      <c r="BG350" s="5">
        <v>1</v>
      </c>
      <c r="BH350" s="5">
        <v>1</v>
      </c>
      <c r="BI350" s="5">
        <v>1</v>
      </c>
      <c r="BJ350" s="5">
        <v>1</v>
      </c>
      <c r="BK350" s="90">
        <v>1</v>
      </c>
      <c r="BL350" s="90">
        <v>0.999</v>
      </c>
      <c r="BM350" s="90">
        <v>1</v>
      </c>
      <c r="BN350" s="90">
        <v>0.998</v>
      </c>
      <c r="BO350" s="90">
        <v>1</v>
      </c>
      <c r="BP350" s="90">
        <v>0.999</v>
      </c>
      <c r="BQ350" s="90">
        <v>1</v>
      </c>
      <c r="BR350" s="90">
        <v>0.999</v>
      </c>
      <c r="BS350" s="5" t="s">
        <v>4857</v>
      </c>
    </row>
    <row r="351" spans="1:71" s="30" customFormat="1" ht="17.100000000000001" customHeight="1">
      <c r="A351" s="14">
        <v>340</v>
      </c>
      <c r="B351" s="5" t="s">
        <v>3638</v>
      </c>
      <c r="C351" s="3" t="s">
        <v>3883</v>
      </c>
      <c r="D351" s="3" t="s">
        <v>3609</v>
      </c>
      <c r="E351" s="6" t="s">
        <v>3610</v>
      </c>
      <c r="F351" s="8" t="s">
        <v>5025</v>
      </c>
      <c r="G351" s="3" t="s">
        <v>3611</v>
      </c>
      <c r="H351" s="6" t="s">
        <v>3612</v>
      </c>
      <c r="I351" s="3" t="s">
        <v>3613</v>
      </c>
      <c r="J351" s="5" t="s">
        <v>3614</v>
      </c>
      <c r="K351" s="3" t="s">
        <v>5533</v>
      </c>
      <c r="L351" s="3" t="s">
        <v>3633</v>
      </c>
      <c r="M351" s="5">
        <v>3</v>
      </c>
      <c r="N351" s="21">
        <v>480.27569999999997</v>
      </c>
      <c r="O351" s="36" t="str">
        <f>HYPERLINK("http://ms.phosphosite.org:5080/cgi-bin/plot-msms.cgi?MassType=1&amp;NumAxis=1&amp;Mod2=170&amp;Mod5=170&amp;Mod9=170&amp;Mod13=170&amp;Pep=GKGGKGLGKGGAKR&amp;Dta=/var/www/html/dta/S01/10558.3339.3.dta&amp;Global_Mod=CS57.0215", "3339")</f>
        <v>3339</v>
      </c>
      <c r="P351" s="36" t="str">
        <f>HYPERLINK("http://ms.phosphosite.org:5080/cgi-bin/plot-msms.cgi?MassType=1&amp;NumAxis=1&amp;Mod2=170&amp;Mod5=170&amp;Mod9=170&amp;Mod13=170&amp;Pep=GKGGKGLGKGGAKR&amp;Dta=/var/www/html/dta/S01/10559.3366.3.dta&amp;Global_Mod=CS57.0215", "3366")</f>
        <v>3366</v>
      </c>
      <c r="Q351" s="36" t="str">
        <f>HYPERLINK("http://ms.phosphosite.org:5080/cgi-bin/plot-msms.cgi?MassType=1&amp;NumAxis=1&amp;Mod2=170&amp;Mod5=170&amp;Mod9=170&amp;Mod13=170&amp;Pep=GKGGKGLGKGGAKR&amp;Dta=/var/www/html/dta/S01/10560.3279.3.dta&amp;Global_Mod=CS57.0215", "3279")</f>
        <v>3279</v>
      </c>
      <c r="R351" s="36" t="str">
        <f>HYPERLINK("http://ms.phosphosite.org:5080/cgi-bin/plot-msms.cgi?MassType=1&amp;NumAxis=1&amp;Mod2=170&amp;Mod5=170&amp;Mod9=170&amp;Mod13=170&amp;Pep=GKGGKGLGKGGAKR&amp;Dta=/var/www/html/dta/S01/10561.3391.3.dta&amp;Global_Mod=CS57.0215", "3391")</f>
        <v>3391</v>
      </c>
      <c r="S351" s="36" t="str">
        <f>HYPERLINK("http://ms.phosphosite.org:5080/cgi-bin/plot-msms.cgi?MassType=1&amp;NumAxis=1&amp;Mod2=170&amp;Mod5=170&amp;Mod9=170&amp;Mod13=170&amp;Pep=GKGGKGLGKGGAKR&amp;Dta=/var/www/html/dta/S01/10562.3478.3.dta&amp;Global_Mod=CS57.0215", "3478")</f>
        <v>3478</v>
      </c>
      <c r="T351" s="36" t="str">
        <f>HYPERLINK("http://ms.phosphosite.org:5080/cgi-bin/plot-msms.cgi?MassType=1&amp;NumAxis=1&amp;Mod2=170&amp;Mod5=170&amp;Mod9=170&amp;Mod13=170&amp;Pep=GKGGKGLGKGGAKR&amp;Dta=/var/www/html/dta/S01/10563.3407.3.dta&amp;Global_Mod=CS57.0215", "3407")</f>
        <v>3407</v>
      </c>
      <c r="U351" s="36" t="str">
        <f>HYPERLINK("http://ms.phosphosite.org:5080/cgi-bin/plot-msms.cgi?MassType=1&amp;NumAxis=1&amp;Mod2=170&amp;Mod5=170&amp;Mod9=170&amp;Mod13=170&amp;Pep=GKGGKGLGKGGAKR&amp;Dta=/var/www/html/dta/S01/10564.3682.3.dta&amp;Global_Mod=CS57.0215", "3682")</f>
        <v>3682</v>
      </c>
      <c r="V351" s="36" t="str">
        <f>HYPERLINK("http://ms.phosphosite.org:5080/cgi-bin/plot-msms.cgi?MassType=1&amp;NumAxis=1&amp;Mod2=170&amp;Mod5=170&amp;Mod9=170&amp;Mod13=170&amp;Pep=GKGGKGLGKGGAKR&amp;Dta=/var/www/html/dta/S01/10565.3752.3.dta&amp;Global_Mod=CS57.0215", "3752")</f>
        <v>3752</v>
      </c>
      <c r="W351" s="5">
        <v>3380</v>
      </c>
      <c r="X351" s="5">
        <v>3330</v>
      </c>
      <c r="Y351" s="5">
        <v>3311</v>
      </c>
      <c r="Z351" s="5">
        <v>3339</v>
      </c>
      <c r="AA351" s="5">
        <v>3435</v>
      </c>
      <c r="AB351" s="5">
        <v>3360</v>
      </c>
      <c r="AC351" s="5">
        <v>3671</v>
      </c>
      <c r="AD351" s="5">
        <v>3729</v>
      </c>
      <c r="AE351" s="90">
        <v>4.915</v>
      </c>
      <c r="AF351" s="90">
        <v>5.0019999999999998</v>
      </c>
      <c r="AG351" s="90">
        <v>4.8049999999999997</v>
      </c>
      <c r="AH351" s="90">
        <v>4.8529999999999998</v>
      </c>
      <c r="AI351" s="90">
        <v>4.7439999999999998</v>
      </c>
      <c r="AJ351" s="90">
        <v>4.5419999999999998</v>
      </c>
      <c r="AK351" s="90">
        <v>4.2190000000000003</v>
      </c>
      <c r="AL351" s="90">
        <v>4.0339999999999998</v>
      </c>
      <c r="AM351" s="21">
        <v>2.4590999999999998</v>
      </c>
      <c r="AN351" s="21">
        <v>2.2381000000000002</v>
      </c>
      <c r="AO351" s="21">
        <v>2.6461000000000001</v>
      </c>
      <c r="AP351" s="21">
        <v>2.8121999999999998</v>
      </c>
      <c r="AQ351" s="21">
        <v>2.1511999999999998</v>
      </c>
      <c r="AR351" s="21">
        <v>2.0691999999999999</v>
      </c>
      <c r="AS351" s="21">
        <v>1.6751</v>
      </c>
      <c r="AT351" s="21">
        <v>1.6515</v>
      </c>
      <c r="AU351" s="21">
        <v>0.308</v>
      </c>
      <c r="AV351" s="21">
        <v>0.372</v>
      </c>
      <c r="AW351" s="21">
        <v>0.29399999999999998</v>
      </c>
      <c r="AX351" s="21">
        <v>0.36399999999999999</v>
      </c>
      <c r="AY351" s="21">
        <v>0.34799999999999998</v>
      </c>
      <c r="AZ351" s="21">
        <v>0.29899999999999999</v>
      </c>
      <c r="BA351" s="21">
        <v>0.21099999999999999</v>
      </c>
      <c r="BB351" s="21">
        <v>0.19600000000000001</v>
      </c>
      <c r="BC351" s="5">
        <v>1</v>
      </c>
      <c r="BD351" s="5">
        <v>1</v>
      </c>
      <c r="BE351" s="5">
        <v>1</v>
      </c>
      <c r="BF351" s="5">
        <v>1</v>
      </c>
      <c r="BG351" s="5">
        <v>1</v>
      </c>
      <c r="BH351" s="5">
        <v>1</v>
      </c>
      <c r="BI351" s="5">
        <v>1</v>
      </c>
      <c r="BJ351" s="5">
        <v>1</v>
      </c>
      <c r="BK351" s="90">
        <v>0.999</v>
      </c>
      <c r="BL351" s="90">
        <v>1</v>
      </c>
      <c r="BM351" s="90">
        <v>0.999</v>
      </c>
      <c r="BN351" s="90">
        <v>1</v>
      </c>
      <c r="BO351" s="90">
        <v>1</v>
      </c>
      <c r="BP351" s="90">
        <v>0.999</v>
      </c>
      <c r="BQ351" s="90">
        <v>0.995</v>
      </c>
      <c r="BR351" s="90">
        <v>0.99299999999999999</v>
      </c>
      <c r="BS351" s="5" t="s">
        <v>4857</v>
      </c>
    </row>
    <row r="352" spans="1:71" s="30" customFormat="1" ht="17.100000000000001" customHeight="1">
      <c r="A352" s="14">
        <v>341</v>
      </c>
      <c r="B352" s="5" t="s">
        <v>3639</v>
      </c>
      <c r="C352" s="3" t="s">
        <v>3883</v>
      </c>
      <c r="D352" s="3" t="s">
        <v>3609</v>
      </c>
      <c r="E352" s="6" t="s">
        <v>3610</v>
      </c>
      <c r="F352" s="8" t="s">
        <v>5025</v>
      </c>
      <c r="G352" s="3" t="s">
        <v>3611</v>
      </c>
      <c r="H352" s="6" t="s">
        <v>3612</v>
      </c>
      <c r="I352" s="3" t="s">
        <v>3613</v>
      </c>
      <c r="J352" s="5" t="s">
        <v>3614</v>
      </c>
      <c r="K352" s="3" t="s">
        <v>5533</v>
      </c>
      <c r="L352" s="3" t="s">
        <v>3633</v>
      </c>
      <c r="M352" s="5">
        <v>3</v>
      </c>
      <c r="N352" s="21">
        <v>480.27569999999997</v>
      </c>
      <c r="O352" s="35" t="s">
        <v>4854</v>
      </c>
      <c r="P352" s="36" t="str">
        <f>HYPERLINK("http://ms.phosphosite.org:5080/cgi-bin/plot-msms.cgi?MassType=1&amp;NumAxis=1&amp;Mod2=170&amp;Mod5=170&amp;Mod9=170&amp;Mod13=170&amp;Pep=GKGGKGLGKGGAKR&amp;Dta=/var/www/html/dta/S01/10559.3528.3.dta&amp;Global_Mod=CS57.0215", "3528")</f>
        <v>3528</v>
      </c>
      <c r="Q352" s="36" t="str">
        <f>HYPERLINK("http://ms.phosphosite.org:5080/cgi-bin/plot-msms.cgi?MassType=1&amp;NumAxis=1&amp;Mod2=170&amp;Mod5=170&amp;Mod9=170&amp;Mod13=170&amp;Pep=GKGGKGLGKGGAKR&amp;Dta=/var/www/html/dta/S01/10560.3509.3.dta&amp;Global_Mod=CS57.0215", "3509")</f>
        <v>3509</v>
      </c>
      <c r="R352" s="36" t="str">
        <f>HYPERLINK("http://ms.phosphosite.org:5080/cgi-bin/plot-msms.cgi?MassType=1&amp;NumAxis=1&amp;Mod2=170&amp;Mod5=170&amp;Mod9=170&amp;Mod13=170&amp;Pep=GKGGKGLGKGGAKR&amp;Dta=/var/www/html/dta/S01/10561.3518.3.dta&amp;Global_Mod=CS57.0215", "3518")</f>
        <v>3518</v>
      </c>
      <c r="S352" s="36" t="str">
        <f>HYPERLINK("http://ms.phosphosite.org:5080/cgi-bin/plot-msms.cgi?MassType=1&amp;NumAxis=1&amp;Mod2=170&amp;Mod5=170&amp;Mod9=170&amp;Mod13=170&amp;Pep=GKGGKGLGKGGAKR&amp;Dta=/var/www/html/dta/S01/10562.3641.3.dta&amp;Global_Mod=CS57.0215", "3641")</f>
        <v>3641</v>
      </c>
      <c r="T352" s="36" t="str">
        <f>HYPERLINK("http://ms.phosphosite.org:5080/cgi-bin/plot-msms.cgi?MassType=1&amp;NumAxis=1&amp;Mod2=170&amp;Mod5=170&amp;Mod9=170&amp;Mod13=170&amp;Pep=GKGGKGLGKGGAKR&amp;Dta=/var/www/html/dta/S01/10563.3568.3.dta&amp;Global_Mod=CS57.0215", "3568")</f>
        <v>3568</v>
      </c>
      <c r="U352" s="35" t="s">
        <v>4854</v>
      </c>
      <c r="V352" s="36" t="str">
        <f>HYPERLINK("http://ms.phosphosite.org:5080/cgi-bin/plot-msms.cgi?MassType=1&amp;NumAxis=1&amp;Mod2=170&amp;Mod5=170&amp;Mod9=170&amp;Mod13=170&amp;Pep=GKGGKGLGKGGAKR&amp;Dta=/var/www/html/dta/S01/10565.3978.3.dta&amp;Global_Mod=CS57.0215", "3978")</f>
        <v>3978</v>
      </c>
      <c r="W352" s="3" t="s">
        <v>4854</v>
      </c>
      <c r="X352" s="3" t="s">
        <v>4854</v>
      </c>
      <c r="Y352" s="5">
        <v>3311</v>
      </c>
      <c r="Z352" s="3" t="s">
        <v>4854</v>
      </c>
      <c r="AA352" s="3" t="s">
        <v>4854</v>
      </c>
      <c r="AB352" s="3" t="s">
        <v>4854</v>
      </c>
      <c r="AC352" s="3" t="s">
        <v>4854</v>
      </c>
      <c r="AD352" s="3" t="s">
        <v>4854</v>
      </c>
      <c r="AE352" s="99" t="s">
        <v>4854</v>
      </c>
      <c r="AF352" s="90">
        <v>2.8730000000000002</v>
      </c>
      <c r="AG352" s="90">
        <v>3.6320000000000001</v>
      </c>
      <c r="AH352" s="90">
        <v>2.246</v>
      </c>
      <c r="AI352" s="90">
        <v>3.254</v>
      </c>
      <c r="AJ352" s="90">
        <v>1.851</v>
      </c>
      <c r="AK352" s="99" t="s">
        <v>4854</v>
      </c>
      <c r="AL352" s="90">
        <v>2.2010000000000001</v>
      </c>
      <c r="AM352" s="102" t="s">
        <v>4854</v>
      </c>
      <c r="AN352" s="21">
        <v>0.27610000000000001</v>
      </c>
      <c r="AO352" s="21">
        <v>0.48180000000000001</v>
      </c>
      <c r="AP352" s="21">
        <v>0.7278</v>
      </c>
      <c r="AQ352" s="21">
        <v>0.78200000000000003</v>
      </c>
      <c r="AR352" s="21">
        <v>0.48320000000000002</v>
      </c>
      <c r="AS352" s="102" t="s">
        <v>4854</v>
      </c>
      <c r="AT352" s="21">
        <v>2.3800000000000002E-2</v>
      </c>
      <c r="AU352" s="102" t="s">
        <v>4854</v>
      </c>
      <c r="AV352" s="21">
        <v>0.104</v>
      </c>
      <c r="AW352" s="21">
        <v>0.254</v>
      </c>
      <c r="AX352" s="21">
        <v>1.2999999999999999E-2</v>
      </c>
      <c r="AY352" s="21">
        <v>0.152</v>
      </c>
      <c r="AZ352" s="21">
        <v>4.2000000000000003E-2</v>
      </c>
      <c r="BA352" s="102" t="s">
        <v>4854</v>
      </c>
      <c r="BB352" s="21">
        <v>5.6000000000000001E-2</v>
      </c>
      <c r="BC352" s="3" t="s">
        <v>4854</v>
      </c>
      <c r="BD352" s="5">
        <v>1</v>
      </c>
      <c r="BE352" s="5">
        <v>1</v>
      </c>
      <c r="BF352" s="5">
        <v>1</v>
      </c>
      <c r="BG352" s="5">
        <v>15</v>
      </c>
      <c r="BH352" s="5">
        <v>25</v>
      </c>
      <c r="BI352" s="3" t="s">
        <v>4854</v>
      </c>
      <c r="BJ352" s="5">
        <v>1</v>
      </c>
      <c r="BK352" s="99" t="s">
        <v>4854</v>
      </c>
      <c r="BL352" s="90">
        <v>0.92300000000000004</v>
      </c>
      <c r="BM352" s="90">
        <v>0.996</v>
      </c>
      <c r="BN352" s="90">
        <v>0.56100000000000005</v>
      </c>
      <c r="BO352" s="90">
        <v>0.94899999999999995</v>
      </c>
      <c r="BP352" s="90">
        <v>0.307</v>
      </c>
      <c r="BQ352" s="99" t="s">
        <v>4854</v>
      </c>
      <c r="BR352" s="90">
        <v>0.68600000000000005</v>
      </c>
      <c r="BS352" s="5" t="s">
        <v>4857</v>
      </c>
    </row>
    <row r="353" spans="1:71" s="30" customFormat="1" ht="17.100000000000001" customHeight="1">
      <c r="A353" s="14">
        <v>342</v>
      </c>
      <c r="B353" s="5" t="s">
        <v>3640</v>
      </c>
      <c r="C353" s="3" t="s">
        <v>3883</v>
      </c>
      <c r="D353" s="3" t="s">
        <v>3609</v>
      </c>
      <c r="E353" s="6" t="s">
        <v>3610</v>
      </c>
      <c r="F353" s="8" t="s">
        <v>5025</v>
      </c>
      <c r="G353" s="3" t="s">
        <v>3611</v>
      </c>
      <c r="H353" s="6" t="s">
        <v>3612</v>
      </c>
      <c r="I353" s="3" t="s">
        <v>3613</v>
      </c>
      <c r="J353" s="5" t="s">
        <v>3614</v>
      </c>
      <c r="K353" s="3" t="s">
        <v>5533</v>
      </c>
      <c r="L353" s="3" t="s">
        <v>3633</v>
      </c>
      <c r="M353" s="5">
        <v>3</v>
      </c>
      <c r="N353" s="21">
        <v>480.27569999999997</v>
      </c>
      <c r="O353" s="35" t="s">
        <v>4854</v>
      </c>
      <c r="P353" s="35" t="s">
        <v>4854</v>
      </c>
      <c r="Q353" s="36" t="str">
        <f>HYPERLINK("http://ms.phosphosite.org:5080/cgi-bin/plot-msms.cgi?MassType=1&amp;NumAxis=1&amp;Mod2=170&amp;Mod5=170&amp;Mod9=170&amp;Mod13=170&amp;Pep=GKGGKGLGKGGAKR&amp;Dta=/var/www/html/dta/S01/10560.2292.3.dta&amp;Global_Mod=CS57.0215", "2292")</f>
        <v>2292</v>
      </c>
      <c r="R353" s="35" t="s">
        <v>4854</v>
      </c>
      <c r="S353" s="35" t="s">
        <v>4854</v>
      </c>
      <c r="T353" s="35" t="s">
        <v>4854</v>
      </c>
      <c r="U353" s="35" t="s">
        <v>4854</v>
      </c>
      <c r="V353" s="35" t="s">
        <v>4854</v>
      </c>
      <c r="W353" s="3" t="s">
        <v>4854</v>
      </c>
      <c r="X353" s="3" t="s">
        <v>4854</v>
      </c>
      <c r="Y353" s="5">
        <v>2285</v>
      </c>
      <c r="Z353" s="3" t="s">
        <v>4854</v>
      </c>
      <c r="AA353" s="3" t="s">
        <v>4854</v>
      </c>
      <c r="AB353" s="3" t="s">
        <v>4854</v>
      </c>
      <c r="AC353" s="3" t="s">
        <v>4854</v>
      </c>
      <c r="AD353" s="3" t="s">
        <v>4854</v>
      </c>
      <c r="AE353" s="99" t="s">
        <v>4854</v>
      </c>
      <c r="AF353" s="99" t="s">
        <v>4854</v>
      </c>
      <c r="AG353" s="90">
        <v>2.8580000000000001</v>
      </c>
      <c r="AH353" s="99" t="s">
        <v>4854</v>
      </c>
      <c r="AI353" s="99" t="s">
        <v>4854</v>
      </c>
      <c r="AJ353" s="99" t="s">
        <v>4854</v>
      </c>
      <c r="AK353" s="99" t="s">
        <v>4854</v>
      </c>
      <c r="AL353" s="99" t="s">
        <v>4854</v>
      </c>
      <c r="AM353" s="102" t="s">
        <v>4854</v>
      </c>
      <c r="AN353" s="102" t="s">
        <v>4854</v>
      </c>
      <c r="AO353" s="21">
        <v>1.5278</v>
      </c>
      <c r="AP353" s="102" t="s">
        <v>4854</v>
      </c>
      <c r="AQ353" s="102" t="s">
        <v>4854</v>
      </c>
      <c r="AR353" s="102" t="s">
        <v>4854</v>
      </c>
      <c r="AS353" s="102" t="s">
        <v>4854</v>
      </c>
      <c r="AT353" s="102" t="s">
        <v>4854</v>
      </c>
      <c r="AU353" s="102" t="s">
        <v>4854</v>
      </c>
      <c r="AV353" s="102" t="s">
        <v>4854</v>
      </c>
      <c r="AW353" s="21">
        <v>0.20499999999999999</v>
      </c>
      <c r="AX353" s="102" t="s">
        <v>4854</v>
      </c>
      <c r="AY353" s="102" t="s">
        <v>4854</v>
      </c>
      <c r="AZ353" s="102" t="s">
        <v>4854</v>
      </c>
      <c r="BA353" s="102" t="s">
        <v>4854</v>
      </c>
      <c r="BB353" s="102" t="s">
        <v>4854</v>
      </c>
      <c r="BC353" s="3" t="s">
        <v>4854</v>
      </c>
      <c r="BD353" s="3" t="s">
        <v>4854</v>
      </c>
      <c r="BE353" s="5">
        <v>3</v>
      </c>
      <c r="BF353" s="3" t="s">
        <v>4854</v>
      </c>
      <c r="BG353" s="3" t="s">
        <v>4854</v>
      </c>
      <c r="BH353" s="3" t="s">
        <v>4854</v>
      </c>
      <c r="BI353" s="3" t="s">
        <v>4854</v>
      </c>
      <c r="BJ353" s="3" t="s">
        <v>4854</v>
      </c>
      <c r="BK353" s="99" t="s">
        <v>4854</v>
      </c>
      <c r="BL353" s="99" t="s">
        <v>4854</v>
      </c>
      <c r="BM353" s="90">
        <v>0.97399999999999998</v>
      </c>
      <c r="BN353" s="99" t="s">
        <v>4854</v>
      </c>
      <c r="BO353" s="99" t="s">
        <v>4854</v>
      </c>
      <c r="BP353" s="99" t="s">
        <v>4854</v>
      </c>
      <c r="BQ353" s="99" t="s">
        <v>4854</v>
      </c>
      <c r="BR353" s="99" t="s">
        <v>4854</v>
      </c>
      <c r="BS353" s="5" t="s">
        <v>4857</v>
      </c>
    </row>
    <row r="354" spans="1:71" s="30" customFormat="1" ht="17.100000000000001" customHeight="1">
      <c r="A354" s="14">
        <v>343</v>
      </c>
      <c r="B354" s="5" t="s">
        <v>3641</v>
      </c>
      <c r="C354" s="3" t="s">
        <v>3883</v>
      </c>
      <c r="D354" s="3" t="s">
        <v>3609</v>
      </c>
      <c r="E354" s="6" t="s">
        <v>3610</v>
      </c>
      <c r="F354" s="8" t="s">
        <v>5025</v>
      </c>
      <c r="G354" s="3" t="s">
        <v>3611</v>
      </c>
      <c r="H354" s="6" t="s">
        <v>3612</v>
      </c>
      <c r="I354" s="3" t="s">
        <v>3613</v>
      </c>
      <c r="J354" s="5" t="s">
        <v>3614</v>
      </c>
      <c r="K354" s="3" t="s">
        <v>5533</v>
      </c>
      <c r="L354" s="3" t="s">
        <v>3633</v>
      </c>
      <c r="M354" s="5">
        <v>3</v>
      </c>
      <c r="N354" s="21">
        <v>480.27569999999997</v>
      </c>
      <c r="O354" s="35" t="s">
        <v>4854</v>
      </c>
      <c r="P354" s="35" t="s">
        <v>4854</v>
      </c>
      <c r="Q354" s="36" t="str">
        <f>HYPERLINK("http://ms.phosphosite.org:5080/cgi-bin/plot-msms.cgi?MassType=1&amp;NumAxis=1&amp;Mod2=170&amp;Mod5=170&amp;Mod9=170&amp;Mod13=170&amp;Pep=GKGGKGLGKGGAKR&amp;Dta=/var/www/html/dta/S01/10560.3600.3.dta&amp;Global_Mod=CS57.0215", "3600")</f>
        <v>3600</v>
      </c>
      <c r="R354" s="35" t="s">
        <v>4854</v>
      </c>
      <c r="S354" s="35" t="s">
        <v>4854</v>
      </c>
      <c r="T354" s="35" t="s">
        <v>4854</v>
      </c>
      <c r="U354" s="35" t="s">
        <v>4854</v>
      </c>
      <c r="V354" s="35" t="s">
        <v>4854</v>
      </c>
      <c r="W354" s="3" t="s">
        <v>4854</v>
      </c>
      <c r="X354" s="3" t="s">
        <v>4854</v>
      </c>
      <c r="Y354" s="3" t="s">
        <v>4854</v>
      </c>
      <c r="Z354" s="3" t="s">
        <v>4854</v>
      </c>
      <c r="AA354" s="3" t="s">
        <v>4854</v>
      </c>
      <c r="AB354" s="3" t="s">
        <v>4854</v>
      </c>
      <c r="AC354" s="3" t="s">
        <v>4854</v>
      </c>
      <c r="AD354" s="3" t="s">
        <v>4854</v>
      </c>
      <c r="AE354" s="99" t="s">
        <v>4854</v>
      </c>
      <c r="AF354" s="99" t="s">
        <v>4854</v>
      </c>
      <c r="AG354" s="90">
        <v>2.7770000000000001</v>
      </c>
      <c r="AH354" s="99" t="s">
        <v>4854</v>
      </c>
      <c r="AI354" s="99" t="s">
        <v>4854</v>
      </c>
      <c r="AJ354" s="99" t="s">
        <v>4854</v>
      </c>
      <c r="AK354" s="99" t="s">
        <v>4854</v>
      </c>
      <c r="AL354" s="99" t="s">
        <v>4854</v>
      </c>
      <c r="AM354" s="102" t="s">
        <v>4854</v>
      </c>
      <c r="AN354" s="102" t="s">
        <v>4854</v>
      </c>
      <c r="AO354" s="21">
        <v>0.16070000000000001</v>
      </c>
      <c r="AP354" s="102" t="s">
        <v>4854</v>
      </c>
      <c r="AQ354" s="102" t="s">
        <v>4854</v>
      </c>
      <c r="AR354" s="102" t="s">
        <v>4854</v>
      </c>
      <c r="AS354" s="102" t="s">
        <v>4854</v>
      </c>
      <c r="AT354" s="102" t="s">
        <v>4854</v>
      </c>
      <c r="AU354" s="102" t="s">
        <v>4854</v>
      </c>
      <c r="AV354" s="102" t="s">
        <v>4854</v>
      </c>
      <c r="AW354" s="21">
        <v>0.105</v>
      </c>
      <c r="AX354" s="102" t="s">
        <v>4854</v>
      </c>
      <c r="AY354" s="102" t="s">
        <v>4854</v>
      </c>
      <c r="AZ354" s="102" t="s">
        <v>4854</v>
      </c>
      <c r="BA354" s="102" t="s">
        <v>4854</v>
      </c>
      <c r="BB354" s="102" t="s">
        <v>4854</v>
      </c>
      <c r="BC354" s="3" t="s">
        <v>4854</v>
      </c>
      <c r="BD354" s="3" t="s">
        <v>4854</v>
      </c>
      <c r="BE354" s="5">
        <v>1</v>
      </c>
      <c r="BF354" s="3" t="s">
        <v>4854</v>
      </c>
      <c r="BG354" s="3" t="s">
        <v>4854</v>
      </c>
      <c r="BH354" s="3" t="s">
        <v>4854</v>
      </c>
      <c r="BI354" s="3" t="s">
        <v>4854</v>
      </c>
      <c r="BJ354" s="3" t="s">
        <v>4854</v>
      </c>
      <c r="BK354" s="99" t="s">
        <v>4854</v>
      </c>
      <c r="BL354" s="99" t="s">
        <v>4854</v>
      </c>
      <c r="BM354" s="90">
        <v>0.91400000000000003</v>
      </c>
      <c r="BN354" s="99" t="s">
        <v>4854</v>
      </c>
      <c r="BO354" s="99" t="s">
        <v>4854</v>
      </c>
      <c r="BP354" s="99" t="s">
        <v>4854</v>
      </c>
      <c r="BQ354" s="99" t="s">
        <v>4854</v>
      </c>
      <c r="BR354" s="99" t="s">
        <v>4854</v>
      </c>
      <c r="BS354" s="5" t="s">
        <v>4857</v>
      </c>
    </row>
    <row r="355" spans="1:71" s="30" customFormat="1" ht="17.100000000000001" customHeight="1">
      <c r="A355" s="10">
        <v>344</v>
      </c>
      <c r="B355" s="10" t="s">
        <v>4411</v>
      </c>
      <c r="C355" s="4" t="s">
        <v>3883</v>
      </c>
      <c r="D355" s="4" t="s">
        <v>3609</v>
      </c>
      <c r="E355" s="7" t="s">
        <v>3610</v>
      </c>
      <c r="F355" s="10" t="s">
        <v>4968</v>
      </c>
      <c r="G355" s="4" t="s">
        <v>3611</v>
      </c>
      <c r="H355" s="7" t="s">
        <v>3612</v>
      </c>
      <c r="I355" s="4" t="s">
        <v>3613</v>
      </c>
      <c r="J355" s="10" t="s">
        <v>3614</v>
      </c>
      <c r="K355" s="4" t="s">
        <v>5534</v>
      </c>
      <c r="L355" s="4" t="s">
        <v>3642</v>
      </c>
      <c r="M355" s="10">
        <v>2</v>
      </c>
      <c r="N355" s="95">
        <v>588.78020000000004</v>
      </c>
      <c r="O355" s="37" t="str">
        <f>HYPERLINK("http://ms.phosphosite.org:5080/cgi-bin/plot-msms.cgi?MassType=1&amp;NumAxis=1&amp;Mod10=170&amp;Pep=DAVTYTEHAK&amp;Dta=/var/www/html/dta/S01/10558.3729.2.dta&amp;Global_Mod=CS57.0215", "3729")</f>
        <v>3729</v>
      </c>
      <c r="P355" s="37" t="str">
        <f>HYPERLINK("http://ms.phosphosite.org:5080/cgi-bin/plot-msms.cgi?MassType=1&amp;NumAxis=1&amp;Mod10=170&amp;Pep=DAVTYTEHAK&amp;Dta=/var/www/html/dta/S01/10559.3632.2.dta&amp;Global_Mod=CS57.0215", "3632")</f>
        <v>3632</v>
      </c>
      <c r="Q355" s="37" t="str">
        <f>HYPERLINK("http://ms.phosphosite.org:5080/cgi-bin/plot-msms.cgi?MassType=1&amp;NumAxis=1&amp;Mod10=170&amp;Pep=DAVTYTEHAK&amp;Dta=/var/www/html/dta/S01/10560.3631.2.dta&amp;Global_Mod=CS57.0215", "3631")</f>
        <v>3631</v>
      </c>
      <c r="R355" s="37" t="str">
        <f>HYPERLINK("http://ms.phosphosite.org:5080/cgi-bin/plot-msms.cgi?MassType=1&amp;NumAxis=1&amp;Mod10=170&amp;Pep=DAVTYTEHAK&amp;Dta=/var/www/html/dta/S01/10561.3647.2.dta&amp;Global_Mod=CS57.0215", "3647")</f>
        <v>3647</v>
      </c>
      <c r="S355" s="37" t="str">
        <f>HYPERLINK("http://ms.phosphosite.org:5080/cgi-bin/plot-msms.cgi?MassType=1&amp;NumAxis=1&amp;Mod10=170&amp;Pep=DAVTYTEHAK&amp;Dta=/var/www/html/dta/S01/10562.3758.2.dta&amp;Global_Mod=CS57.0215", "3758")</f>
        <v>3758</v>
      </c>
      <c r="T355" s="38" t="s">
        <v>4854</v>
      </c>
      <c r="U355" s="37" t="str">
        <f>HYPERLINK("http://ms.phosphosite.org:5080/cgi-bin/plot-msms.cgi?MassType=1&amp;NumAxis=1&amp;Mod10=170&amp;Pep=DAVTYTEHAK&amp;Dta=/var/www/html/dta/S01/10564.4017.2.dta&amp;Global_Mod=CS57.0215", "4017")</f>
        <v>4017</v>
      </c>
      <c r="V355" s="37" t="str">
        <f>HYPERLINK("http://ms.phosphosite.org:5080/cgi-bin/plot-msms.cgi?MassType=1&amp;NumAxis=1&amp;Mod10=170&amp;Pep=DAVTYTEHAK&amp;Dta=/var/www/html/dta/S01/10565.4100.2.dta&amp;Global_Mod=CS57.0215", "4100")</f>
        <v>4100</v>
      </c>
      <c r="W355" s="10">
        <v>3726</v>
      </c>
      <c r="X355" s="10">
        <v>3640</v>
      </c>
      <c r="Y355" s="10">
        <v>3646</v>
      </c>
      <c r="Z355" s="10">
        <v>3665</v>
      </c>
      <c r="AA355" s="10">
        <v>3763</v>
      </c>
      <c r="AB355" s="4" t="s">
        <v>4854</v>
      </c>
      <c r="AC355" s="10">
        <v>4021</v>
      </c>
      <c r="AD355" s="10">
        <v>4113</v>
      </c>
      <c r="AE355" s="91">
        <v>2.0619999999999998</v>
      </c>
      <c r="AF355" s="91">
        <v>2.4020000000000001</v>
      </c>
      <c r="AG355" s="91">
        <v>2.282</v>
      </c>
      <c r="AH355" s="91">
        <v>2.641</v>
      </c>
      <c r="AI355" s="91">
        <v>2.3929999999999998</v>
      </c>
      <c r="AJ355" s="100" t="s">
        <v>4854</v>
      </c>
      <c r="AK355" s="91">
        <v>2.2589999999999999</v>
      </c>
      <c r="AL355" s="91">
        <v>2.3039999999999998</v>
      </c>
      <c r="AM355" s="95">
        <v>-4.1500000000000002E-2</v>
      </c>
      <c r="AN355" s="95">
        <v>0.3367</v>
      </c>
      <c r="AO355" s="95">
        <v>-0.32790000000000002</v>
      </c>
      <c r="AP355" s="95">
        <v>-0.186</v>
      </c>
      <c r="AQ355" s="95">
        <v>-0.27779999999999999</v>
      </c>
      <c r="AR355" s="103" t="s">
        <v>4854</v>
      </c>
      <c r="AS355" s="95">
        <v>-0.15110000000000001</v>
      </c>
      <c r="AT355" s="95">
        <v>-6.7799999999999999E-2</v>
      </c>
      <c r="AU355" s="95">
        <v>0.215</v>
      </c>
      <c r="AV355" s="95">
        <v>0.20200000000000001</v>
      </c>
      <c r="AW355" s="95">
        <v>0.188</v>
      </c>
      <c r="AX355" s="95">
        <v>0.29399999999999998</v>
      </c>
      <c r="AY355" s="95">
        <v>0.2</v>
      </c>
      <c r="AZ355" s="103" t="s">
        <v>4854</v>
      </c>
      <c r="BA355" s="95">
        <v>0.24399999999999999</v>
      </c>
      <c r="BB355" s="95">
        <v>9.2999999999999999E-2</v>
      </c>
      <c r="BC355" s="10">
        <v>2</v>
      </c>
      <c r="BD355" s="10">
        <v>1</v>
      </c>
      <c r="BE355" s="10">
        <v>6</v>
      </c>
      <c r="BF355" s="10">
        <v>1</v>
      </c>
      <c r="BG355" s="10">
        <v>1</v>
      </c>
      <c r="BH355" s="4" t="s">
        <v>4854</v>
      </c>
      <c r="BI355" s="10">
        <v>2</v>
      </c>
      <c r="BJ355" s="10">
        <v>2</v>
      </c>
      <c r="BK355" s="91">
        <v>0.999</v>
      </c>
      <c r="BL355" s="91">
        <v>1</v>
      </c>
      <c r="BM355" s="91">
        <v>0.999</v>
      </c>
      <c r="BN355" s="91">
        <v>1</v>
      </c>
      <c r="BO355" s="91">
        <v>1</v>
      </c>
      <c r="BP355" s="100" t="s">
        <v>4854</v>
      </c>
      <c r="BQ355" s="91">
        <v>1</v>
      </c>
      <c r="BR355" s="91">
        <v>0.998</v>
      </c>
      <c r="BS355" s="10" t="s">
        <v>4857</v>
      </c>
    </row>
    <row r="356" spans="1:71" s="30" customFormat="1" ht="17.100000000000001" customHeight="1">
      <c r="A356" s="10">
        <v>345</v>
      </c>
      <c r="B356" s="10" t="s">
        <v>3643</v>
      </c>
      <c r="C356" s="4" t="s">
        <v>3883</v>
      </c>
      <c r="D356" s="4" t="s">
        <v>3609</v>
      </c>
      <c r="E356" s="7" t="s">
        <v>3610</v>
      </c>
      <c r="F356" s="10" t="s">
        <v>4968</v>
      </c>
      <c r="G356" s="4" t="s">
        <v>3611</v>
      </c>
      <c r="H356" s="7" t="s">
        <v>3612</v>
      </c>
      <c r="I356" s="4" t="s">
        <v>3613</v>
      </c>
      <c r="J356" s="10" t="s">
        <v>3614</v>
      </c>
      <c r="K356" s="4" t="s">
        <v>5534</v>
      </c>
      <c r="L356" s="4" t="s">
        <v>3644</v>
      </c>
      <c r="M356" s="10">
        <v>2</v>
      </c>
      <c r="N356" s="95">
        <v>666.83079999999995</v>
      </c>
      <c r="O356" s="37" t="str">
        <f>HYPERLINK("http://ms.phosphosite.org:5080/cgi-bin/plot-msms.cgi?MassType=1&amp;NumAxis=1&amp;Mod10=170&amp;Pep=DAVTYTEHAKR&amp;Dta=/var/www/html/dta/S01/10558.2837.2.dta&amp;Global_Mod=CS57.0215", "2837")</f>
        <v>2837</v>
      </c>
      <c r="P356" s="37" t="str">
        <f>HYPERLINK("http://ms.phosphosite.org:5080/cgi-bin/plot-msms.cgi?MassType=1&amp;NumAxis=1&amp;Mod10=170&amp;Pep=DAVTYTEHAKR&amp;Dta=/var/www/html/dta/S01/10559.2777.2.dta&amp;Global_Mod=CS57.0215", "2777")</f>
        <v>2777</v>
      </c>
      <c r="Q356" s="37" t="str">
        <f>HYPERLINK("http://ms.phosphosite.org:5080/cgi-bin/plot-msms.cgi?MassType=1&amp;NumAxis=1&amp;Mod10=170&amp;Pep=DAVTYTEHAKR&amp;Dta=/var/www/html/dta/S01/10560.2762.2.dta&amp;Global_Mod=CS57.0215", "2762")</f>
        <v>2762</v>
      </c>
      <c r="R356" s="37" t="str">
        <f>HYPERLINK("http://ms.phosphosite.org:5080/cgi-bin/plot-msms.cgi?MassType=1&amp;NumAxis=1&amp;Mod10=170&amp;Pep=DAVTYTEHAKR&amp;Dta=/var/www/html/dta/S01/10561.2779.2.dta&amp;Global_Mod=CS57.0215", "2779")</f>
        <v>2779</v>
      </c>
      <c r="S356" s="37" t="str">
        <f>HYPERLINK("http://ms.phosphosite.org:5080/cgi-bin/plot-msms.cgi?MassType=1&amp;NumAxis=1&amp;Mod10=170&amp;Pep=DAVTYTEHAKR&amp;Dta=/var/www/html/dta/S01/10562.2876.2.dta&amp;Global_Mod=CS57.0215", "2876")</f>
        <v>2876</v>
      </c>
      <c r="T356" s="37" t="str">
        <f>HYPERLINK("http://ms.phosphosite.org:5080/cgi-bin/plot-msms.cgi?MassType=1&amp;NumAxis=1&amp;Mod10=170&amp;Pep=DAVTYTEHAKR&amp;Dta=/var/www/html/dta/S01/10563.2803.2.dta&amp;Global_Mod=CS57.0215", "2803")</f>
        <v>2803</v>
      </c>
      <c r="U356" s="38" t="s">
        <v>4854</v>
      </c>
      <c r="V356" s="37" t="str">
        <f>HYPERLINK("http://ms.phosphosite.org:5080/cgi-bin/plot-msms.cgi?MassType=1&amp;NumAxis=1&amp;Mod10=170&amp;Pep=DAVTYTEHAKR&amp;Dta=/var/www/html/dta/S01/10565.3182.2.dta&amp;Global_Mod=CS57.0215", "3182")</f>
        <v>3182</v>
      </c>
      <c r="W356" s="10">
        <v>2840</v>
      </c>
      <c r="X356" s="10">
        <v>2770</v>
      </c>
      <c r="Y356" s="10">
        <v>2757</v>
      </c>
      <c r="Z356" s="10">
        <v>2784</v>
      </c>
      <c r="AA356" s="10">
        <v>2877</v>
      </c>
      <c r="AB356" s="10">
        <v>2807</v>
      </c>
      <c r="AC356" s="4" t="s">
        <v>4854</v>
      </c>
      <c r="AD356" s="10">
        <v>3187</v>
      </c>
      <c r="AE356" s="91">
        <v>2.706</v>
      </c>
      <c r="AF356" s="91">
        <v>2.8079999999999998</v>
      </c>
      <c r="AG356" s="91">
        <v>2.8959999999999999</v>
      </c>
      <c r="AH356" s="91">
        <v>3.117</v>
      </c>
      <c r="AI356" s="91">
        <v>2.63</v>
      </c>
      <c r="AJ356" s="91">
        <v>2.8220000000000001</v>
      </c>
      <c r="AK356" s="100" t="s">
        <v>4854</v>
      </c>
      <c r="AL356" s="91">
        <v>2.9630000000000001</v>
      </c>
      <c r="AM356" s="95">
        <v>0.31530000000000002</v>
      </c>
      <c r="AN356" s="95">
        <v>0.3851</v>
      </c>
      <c r="AO356" s="95">
        <v>0.58540000000000003</v>
      </c>
      <c r="AP356" s="95">
        <v>0.82250000000000001</v>
      </c>
      <c r="AQ356" s="95">
        <v>0.46760000000000002</v>
      </c>
      <c r="AR356" s="95">
        <v>0.74</v>
      </c>
      <c r="AS356" s="103" t="s">
        <v>4854</v>
      </c>
      <c r="AT356" s="95">
        <v>-0.33829999999999999</v>
      </c>
      <c r="AU356" s="95">
        <v>0.32300000000000001</v>
      </c>
      <c r="AV356" s="95">
        <v>0.41799999999999998</v>
      </c>
      <c r="AW356" s="95">
        <v>0.41099999999999998</v>
      </c>
      <c r="AX356" s="95">
        <v>0.45100000000000001</v>
      </c>
      <c r="AY356" s="95">
        <v>0.4</v>
      </c>
      <c r="AZ356" s="95">
        <v>0.45200000000000001</v>
      </c>
      <c r="BA356" s="103" t="s">
        <v>4854</v>
      </c>
      <c r="BB356" s="95">
        <v>0.35199999999999998</v>
      </c>
      <c r="BC356" s="10">
        <v>1</v>
      </c>
      <c r="BD356" s="10">
        <v>1</v>
      </c>
      <c r="BE356" s="10">
        <v>1</v>
      </c>
      <c r="BF356" s="10">
        <v>1</v>
      </c>
      <c r="BG356" s="10">
        <v>1</v>
      </c>
      <c r="BH356" s="10">
        <v>1</v>
      </c>
      <c r="BI356" s="4" t="s">
        <v>4854</v>
      </c>
      <c r="BJ356" s="10">
        <v>1</v>
      </c>
      <c r="BK356" s="91">
        <v>1</v>
      </c>
      <c r="BL356" s="91">
        <v>1</v>
      </c>
      <c r="BM356" s="91">
        <v>1</v>
      </c>
      <c r="BN356" s="91">
        <v>1</v>
      </c>
      <c r="BO356" s="91">
        <v>1</v>
      </c>
      <c r="BP356" s="91">
        <v>1</v>
      </c>
      <c r="BQ356" s="100" t="s">
        <v>4854</v>
      </c>
      <c r="BR356" s="91">
        <v>1</v>
      </c>
      <c r="BS356" s="10" t="s">
        <v>4857</v>
      </c>
    </row>
    <row r="357" spans="1:71" s="30" customFormat="1" ht="17.100000000000001" customHeight="1">
      <c r="A357" s="14">
        <v>346</v>
      </c>
      <c r="B357" s="5" t="s">
        <v>3645</v>
      </c>
      <c r="C357" s="3" t="s">
        <v>3883</v>
      </c>
      <c r="D357" s="3" t="s">
        <v>3609</v>
      </c>
      <c r="E357" s="6" t="s">
        <v>3610</v>
      </c>
      <c r="F357" s="8" t="s">
        <v>5196</v>
      </c>
      <c r="G357" s="3" t="s">
        <v>3611</v>
      </c>
      <c r="H357" s="6" t="s">
        <v>3612</v>
      </c>
      <c r="I357" s="3" t="s">
        <v>3613</v>
      </c>
      <c r="J357" s="5" t="s">
        <v>3614</v>
      </c>
      <c r="K357" s="3" t="s">
        <v>5535</v>
      </c>
      <c r="L357" s="3" t="s">
        <v>3646</v>
      </c>
      <c r="M357" s="5">
        <v>2</v>
      </c>
      <c r="N357" s="21">
        <v>507.29050000000001</v>
      </c>
      <c r="O357" s="36" t="str">
        <f>HYPERLINK("http://ms.phosphosite.org:5080/cgi-bin/plot-msms.cgi?MassType=1&amp;NumAxis=1&amp;Mod3=170&amp;Mod7=170&amp;Pep=GGKGLGKGGAK&amp;Dta=/var/www/html/dta/S01/10558.2146.2.dta&amp;Global_Mod=CS57.0215", "2146")</f>
        <v>2146</v>
      </c>
      <c r="P357" s="36" t="str">
        <f>HYPERLINK("http://ms.phosphosite.org:5080/cgi-bin/plot-msms.cgi?MassType=1&amp;NumAxis=1&amp;Mod3=170&amp;Mod7=170&amp;Pep=GGKGLGKGGAK&amp;Dta=/var/www/html/dta/S01/10559.2119.2.dta&amp;Global_Mod=CS57.0215", "2119")</f>
        <v>2119</v>
      </c>
      <c r="Q357" s="36" t="str">
        <f>HYPERLINK("http://ms.phosphosite.org:5080/cgi-bin/plot-msms.cgi?MassType=1&amp;NumAxis=1&amp;Mod3=170&amp;Mod7=170&amp;Pep=GGKGLGKGGAK&amp;Dta=/var/www/html/dta/S01/10560.2095.2.dta&amp;Global_Mod=CS57.0215", "2095")</f>
        <v>2095</v>
      </c>
      <c r="R357" s="35" t="s">
        <v>4854</v>
      </c>
      <c r="S357" s="36" t="str">
        <f>HYPERLINK("http://ms.phosphosite.org:5080/cgi-bin/plot-msms.cgi?MassType=1&amp;NumAxis=1&amp;Mod3=170&amp;Mod7=170&amp;Pep=GGKGLGKGGAK&amp;Dta=/var/www/html/dta/S01/10562.2202.2.dta&amp;Global_Mod=CS57.0215", "2202")</f>
        <v>2202</v>
      </c>
      <c r="T357" s="36" t="str">
        <f>HYPERLINK("http://ms.phosphosite.org:5080/cgi-bin/plot-msms.cgi?MassType=1&amp;NumAxis=1&amp;Mod3=170&amp;Mod7=170&amp;Pep=GGKGLGKGGAK&amp;Dta=/var/www/html/dta/S01/10563.2113.2.dta&amp;Global_Mod=CS57.0215", "2113")</f>
        <v>2113</v>
      </c>
      <c r="U357" s="36" t="str">
        <f>HYPERLINK("http://ms.phosphosite.org:5080/cgi-bin/plot-msms.cgi?MassType=1&amp;NumAxis=1&amp;Mod3=170&amp;Mod7=170&amp;Pep=GGKGLGKGGAK&amp;Dta=/var/www/html/dta/S01/10564.2392.2.dta&amp;Global_Mod=CS57.0215", "2392")</f>
        <v>2392</v>
      </c>
      <c r="V357" s="36" t="str">
        <f>HYPERLINK("http://ms.phosphosite.org:5080/cgi-bin/plot-msms.cgi?MassType=1&amp;NumAxis=1&amp;Mod3=170&amp;Mod7=170&amp;Pep=GGKGLGKGGAK&amp;Dta=/var/www/html/dta/S01/10565.2467.2.dta&amp;Global_Mod=CS57.0215", "2467")</f>
        <v>2467</v>
      </c>
      <c r="W357" s="5">
        <v>2171</v>
      </c>
      <c r="X357" s="5">
        <v>2145</v>
      </c>
      <c r="Y357" s="5">
        <v>2122</v>
      </c>
      <c r="Z357" s="3" t="s">
        <v>4854</v>
      </c>
      <c r="AA357" s="5">
        <v>2217</v>
      </c>
      <c r="AB357" s="5">
        <v>2137</v>
      </c>
      <c r="AC357" s="5">
        <v>2428</v>
      </c>
      <c r="AD357" s="5">
        <v>2487</v>
      </c>
      <c r="AE357" s="90">
        <v>2.5859999999999999</v>
      </c>
      <c r="AF357" s="90">
        <v>2.6349999999999998</v>
      </c>
      <c r="AG357" s="90">
        <v>2.4340000000000002</v>
      </c>
      <c r="AH357" s="99" t="s">
        <v>4854</v>
      </c>
      <c r="AI357" s="90">
        <v>2.7360000000000002</v>
      </c>
      <c r="AJ357" s="90">
        <v>2.266</v>
      </c>
      <c r="AK357" s="90">
        <v>2.9009999999999998</v>
      </c>
      <c r="AL357" s="90">
        <v>2.7530000000000001</v>
      </c>
      <c r="AM357" s="21">
        <v>-0.38940000000000002</v>
      </c>
      <c r="AN357" s="21">
        <v>-0.35289999999999999</v>
      </c>
      <c r="AO357" s="21">
        <v>-0.24440000000000001</v>
      </c>
      <c r="AP357" s="102" t="s">
        <v>4854</v>
      </c>
      <c r="AQ357" s="21">
        <v>-0.1615</v>
      </c>
      <c r="AR357" s="21">
        <v>3.5799999999999998E-2</v>
      </c>
      <c r="AS357" s="21">
        <v>-0.4723</v>
      </c>
      <c r="AT357" s="21">
        <v>-0.73170000000000002</v>
      </c>
      <c r="AU357" s="21">
        <v>0.02</v>
      </c>
      <c r="AV357" s="21">
        <v>4.7E-2</v>
      </c>
      <c r="AW357" s="21">
        <v>7.4999999999999997E-2</v>
      </c>
      <c r="AX357" s="102" t="s">
        <v>4854</v>
      </c>
      <c r="AY357" s="21">
        <v>8.1000000000000003E-2</v>
      </c>
      <c r="AZ357" s="21">
        <v>8.9999999999999993E-3</v>
      </c>
      <c r="BA357" s="21">
        <v>4.2000000000000003E-2</v>
      </c>
      <c r="BB357" s="21">
        <v>7.2999999999999995E-2</v>
      </c>
      <c r="BC357" s="5">
        <v>2</v>
      </c>
      <c r="BD357" s="5">
        <v>2</v>
      </c>
      <c r="BE357" s="5">
        <v>1</v>
      </c>
      <c r="BF357" s="3" t="s">
        <v>4854</v>
      </c>
      <c r="BG357" s="5">
        <v>1</v>
      </c>
      <c r="BH357" s="5">
        <v>1</v>
      </c>
      <c r="BI357" s="5">
        <v>1</v>
      </c>
      <c r="BJ357" s="5">
        <v>1</v>
      </c>
      <c r="BK357" s="90">
        <v>0.98</v>
      </c>
      <c r="BL357" s="90">
        <v>0.98699999999999999</v>
      </c>
      <c r="BM357" s="90">
        <v>0.98899999999999999</v>
      </c>
      <c r="BN357" s="99" t="s">
        <v>4854</v>
      </c>
      <c r="BO357" s="90">
        <v>0.99399999999999999</v>
      </c>
      <c r="BP357" s="90">
        <v>0.96599999999999997</v>
      </c>
      <c r="BQ357" s="90">
        <v>0.99299999999999999</v>
      </c>
      <c r="BR357" s="90">
        <v>0.98699999999999999</v>
      </c>
      <c r="BS357" s="5" t="s">
        <v>4857</v>
      </c>
    </row>
    <row r="358" spans="1:71" s="30" customFormat="1" ht="17.100000000000001" customHeight="1">
      <c r="A358" s="14">
        <v>347</v>
      </c>
      <c r="B358" s="5" t="s">
        <v>3647</v>
      </c>
      <c r="C358" s="3" t="s">
        <v>3883</v>
      </c>
      <c r="D358" s="3" t="s">
        <v>3609</v>
      </c>
      <c r="E358" s="6" t="s">
        <v>3610</v>
      </c>
      <c r="F358" s="8" t="s">
        <v>5196</v>
      </c>
      <c r="G358" s="3" t="s">
        <v>3611</v>
      </c>
      <c r="H358" s="6" t="s">
        <v>3612</v>
      </c>
      <c r="I358" s="3" t="s">
        <v>3613</v>
      </c>
      <c r="J358" s="5" t="s">
        <v>3614</v>
      </c>
      <c r="K358" s="3" t="s">
        <v>5535</v>
      </c>
      <c r="L358" s="3" t="s">
        <v>3648</v>
      </c>
      <c r="M358" s="5">
        <v>2</v>
      </c>
      <c r="N358" s="21">
        <v>585.34109999999998</v>
      </c>
      <c r="O358" s="35" t="s">
        <v>4854</v>
      </c>
      <c r="P358" s="36" t="str">
        <f>HYPERLINK("http://ms.phosphosite.org:5080/cgi-bin/plot-msms.cgi?MassType=1&amp;NumAxis=1&amp;Mod3=170&amp;Mod7=170&amp;Pep=GGKGLGKGGAKR&amp;Dta=/var/www/html/dta/S01/10559.1653.2.dta&amp;Global_Mod=CS57.0215", "1653")</f>
        <v>1653</v>
      </c>
      <c r="Q358" s="36" t="str">
        <f>HYPERLINK("http://ms.phosphosite.org:5080/cgi-bin/plot-msms.cgi?MassType=1&amp;NumAxis=1&amp;Mod3=170&amp;Mod7=170&amp;Pep=GGKGLGKGGAKR&amp;Dta=/var/www/html/dta/S01/10560.1645.2.dta&amp;Global_Mod=CS57.0215", "1645")</f>
        <v>1645</v>
      </c>
      <c r="R358" s="36" t="str">
        <f>HYPERLINK("http://ms.phosphosite.org:5080/cgi-bin/plot-msms.cgi?MassType=1&amp;NumAxis=1&amp;Mod3=170&amp;Mod7=170&amp;Pep=GGKGLGKGGAKR&amp;Dta=/var/www/html/dta/S01/10561.1650.2.dta&amp;Global_Mod=CS57.0215", "1650")</f>
        <v>1650</v>
      </c>
      <c r="S358" s="35" t="s">
        <v>4854</v>
      </c>
      <c r="T358" s="36" t="str">
        <f>HYPERLINK("http://ms.phosphosite.org:5080/cgi-bin/plot-msms.cgi?MassType=1&amp;NumAxis=1&amp;Mod3=170&amp;Mod7=170&amp;Pep=GGKGLGKGGAKR&amp;Dta=/var/www/html/dta/S01/10563.1635.2.dta&amp;Global_Mod=CS57.0215", "1635")</f>
        <v>1635</v>
      </c>
      <c r="U358" s="35" t="s">
        <v>4854</v>
      </c>
      <c r="V358" s="35" t="s">
        <v>4854</v>
      </c>
      <c r="W358" s="3" t="s">
        <v>4854</v>
      </c>
      <c r="X358" s="5">
        <v>1645</v>
      </c>
      <c r="Y358" s="5">
        <v>1638</v>
      </c>
      <c r="Z358" s="5">
        <v>1643</v>
      </c>
      <c r="AA358" s="3" t="s">
        <v>4854</v>
      </c>
      <c r="AB358" s="5">
        <v>1636</v>
      </c>
      <c r="AC358" s="3" t="s">
        <v>4854</v>
      </c>
      <c r="AD358" s="3" t="s">
        <v>4854</v>
      </c>
      <c r="AE358" s="99" t="s">
        <v>4854</v>
      </c>
      <c r="AF358" s="90">
        <v>3.28</v>
      </c>
      <c r="AG358" s="90">
        <v>3.044</v>
      </c>
      <c r="AH358" s="90">
        <v>2.8279999999999998</v>
      </c>
      <c r="AI358" s="99" t="s">
        <v>4854</v>
      </c>
      <c r="AJ358" s="90">
        <v>3.516</v>
      </c>
      <c r="AK358" s="99" t="s">
        <v>4854</v>
      </c>
      <c r="AL358" s="99" t="s">
        <v>4854</v>
      </c>
      <c r="AM358" s="102" t="s">
        <v>4854</v>
      </c>
      <c r="AN358" s="21">
        <v>0.37990000000000002</v>
      </c>
      <c r="AO358" s="21">
        <v>0.5141</v>
      </c>
      <c r="AP358" s="21">
        <v>0.55249999999999999</v>
      </c>
      <c r="AQ358" s="102" t="s">
        <v>4854</v>
      </c>
      <c r="AR358" s="21">
        <v>0.42259999999999998</v>
      </c>
      <c r="AS358" s="102" t="s">
        <v>4854</v>
      </c>
      <c r="AT358" s="102" t="s">
        <v>4854</v>
      </c>
      <c r="AU358" s="102" t="s">
        <v>4854</v>
      </c>
      <c r="AV358" s="21">
        <v>0.24199999999999999</v>
      </c>
      <c r="AW358" s="21">
        <v>0.27400000000000002</v>
      </c>
      <c r="AX358" s="21">
        <v>0.20300000000000001</v>
      </c>
      <c r="AY358" s="102" t="s">
        <v>4854</v>
      </c>
      <c r="AZ358" s="21">
        <v>0.29499999999999998</v>
      </c>
      <c r="BA358" s="102" t="s">
        <v>4854</v>
      </c>
      <c r="BB358" s="102" t="s">
        <v>4854</v>
      </c>
      <c r="BC358" s="3" t="s">
        <v>4854</v>
      </c>
      <c r="BD358" s="5">
        <v>1</v>
      </c>
      <c r="BE358" s="5">
        <v>1</v>
      </c>
      <c r="BF358" s="5">
        <v>2</v>
      </c>
      <c r="BG358" s="3" t="s">
        <v>4854</v>
      </c>
      <c r="BH358" s="5">
        <v>1</v>
      </c>
      <c r="BI358" s="3" t="s">
        <v>4854</v>
      </c>
      <c r="BJ358" s="3" t="s">
        <v>4854</v>
      </c>
      <c r="BK358" s="99" t="s">
        <v>4854</v>
      </c>
      <c r="BL358" s="90">
        <v>1</v>
      </c>
      <c r="BM358" s="90">
        <v>1</v>
      </c>
      <c r="BN358" s="90">
        <v>0.998</v>
      </c>
      <c r="BO358" s="99" t="s">
        <v>4854</v>
      </c>
      <c r="BP358" s="90">
        <v>1</v>
      </c>
      <c r="BQ358" s="99" t="s">
        <v>4854</v>
      </c>
      <c r="BR358" s="99" t="s">
        <v>4854</v>
      </c>
      <c r="BS358" s="5" t="s">
        <v>4857</v>
      </c>
    </row>
    <row r="359" spans="1:71" s="30" customFormat="1" ht="17.100000000000001" customHeight="1">
      <c r="A359" s="14">
        <v>348</v>
      </c>
      <c r="B359" s="5" t="s">
        <v>4075</v>
      </c>
      <c r="C359" s="3" t="s">
        <v>3883</v>
      </c>
      <c r="D359" s="3" t="s">
        <v>3609</v>
      </c>
      <c r="E359" s="6" t="s">
        <v>3610</v>
      </c>
      <c r="F359" s="8" t="s">
        <v>5196</v>
      </c>
      <c r="G359" s="3" t="s">
        <v>3611</v>
      </c>
      <c r="H359" s="6" t="s">
        <v>3612</v>
      </c>
      <c r="I359" s="3" t="s">
        <v>3613</v>
      </c>
      <c r="J359" s="5" t="s">
        <v>3614</v>
      </c>
      <c r="K359" s="3" t="s">
        <v>5535</v>
      </c>
      <c r="L359" s="3" t="s">
        <v>3648</v>
      </c>
      <c r="M359" s="5">
        <v>3</v>
      </c>
      <c r="N359" s="21">
        <v>390.56319999999999</v>
      </c>
      <c r="O359" s="35" t="s">
        <v>4854</v>
      </c>
      <c r="P359" s="35" t="s">
        <v>4854</v>
      </c>
      <c r="Q359" s="35" t="s">
        <v>4854</v>
      </c>
      <c r="R359" s="35" t="s">
        <v>4854</v>
      </c>
      <c r="S359" s="35" t="s">
        <v>4854</v>
      </c>
      <c r="T359" s="36" t="str">
        <f>HYPERLINK("http://ms.phosphosite.org:5080/cgi-bin/plot-msms.cgi?MassType=1&amp;NumAxis=1&amp;Mod3=170&amp;Mod7=170&amp;Pep=GGKGLGKGGAKR&amp;Dta=/var/www/html/dta/S01/10563.1627.3.dta&amp;Global_Mod=CS57.0215", "1627")</f>
        <v>1627</v>
      </c>
      <c r="U359" s="35" t="s">
        <v>4854</v>
      </c>
      <c r="V359" s="35" t="s">
        <v>4854</v>
      </c>
      <c r="W359" s="3" t="s">
        <v>4854</v>
      </c>
      <c r="X359" s="3" t="s">
        <v>4854</v>
      </c>
      <c r="Y359" s="3" t="s">
        <v>4854</v>
      </c>
      <c r="Z359" s="3" t="s">
        <v>4854</v>
      </c>
      <c r="AA359" s="3" t="s">
        <v>4854</v>
      </c>
      <c r="AB359" s="5">
        <v>1636</v>
      </c>
      <c r="AC359" s="3" t="s">
        <v>4854</v>
      </c>
      <c r="AD359" s="3" t="s">
        <v>4854</v>
      </c>
      <c r="AE359" s="99" t="s">
        <v>4854</v>
      </c>
      <c r="AF359" s="99" t="s">
        <v>4854</v>
      </c>
      <c r="AG359" s="99" t="s">
        <v>4854</v>
      </c>
      <c r="AH359" s="99" t="s">
        <v>4854</v>
      </c>
      <c r="AI359" s="99" t="s">
        <v>4854</v>
      </c>
      <c r="AJ359" s="90">
        <v>2.1970000000000001</v>
      </c>
      <c r="AK359" s="99" t="s">
        <v>4854</v>
      </c>
      <c r="AL359" s="99" t="s">
        <v>4854</v>
      </c>
      <c r="AM359" s="102" t="s">
        <v>4854</v>
      </c>
      <c r="AN359" s="102" t="s">
        <v>4854</v>
      </c>
      <c r="AO359" s="102" t="s">
        <v>4854</v>
      </c>
      <c r="AP359" s="102" t="s">
        <v>4854</v>
      </c>
      <c r="AQ359" s="102" t="s">
        <v>4854</v>
      </c>
      <c r="AR359" s="21">
        <v>0.57899999999999996</v>
      </c>
      <c r="AS359" s="102" t="s">
        <v>4854</v>
      </c>
      <c r="AT359" s="102" t="s">
        <v>4854</v>
      </c>
      <c r="AU359" s="102" t="s">
        <v>4854</v>
      </c>
      <c r="AV359" s="102" t="s">
        <v>4854</v>
      </c>
      <c r="AW359" s="102" t="s">
        <v>4854</v>
      </c>
      <c r="AX359" s="102" t="s">
        <v>4854</v>
      </c>
      <c r="AY359" s="102" t="s">
        <v>4854</v>
      </c>
      <c r="AZ359" s="21">
        <v>0.151</v>
      </c>
      <c r="BA359" s="102" t="s">
        <v>4854</v>
      </c>
      <c r="BB359" s="102" t="s">
        <v>4854</v>
      </c>
      <c r="BC359" s="3" t="s">
        <v>4854</v>
      </c>
      <c r="BD359" s="3" t="s">
        <v>4854</v>
      </c>
      <c r="BE359" s="3" t="s">
        <v>4854</v>
      </c>
      <c r="BF359" s="3" t="s">
        <v>4854</v>
      </c>
      <c r="BG359" s="3" t="s">
        <v>4854</v>
      </c>
      <c r="BH359" s="5">
        <v>318</v>
      </c>
      <c r="BI359" s="3" t="s">
        <v>4854</v>
      </c>
      <c r="BJ359" s="3" t="s">
        <v>4854</v>
      </c>
      <c r="BK359" s="99" t="s">
        <v>4854</v>
      </c>
      <c r="BL359" s="99" t="s">
        <v>4854</v>
      </c>
      <c r="BM359" s="99" t="s">
        <v>4854</v>
      </c>
      <c r="BN359" s="99" t="s">
        <v>4854</v>
      </c>
      <c r="BO359" s="99" t="s">
        <v>4854</v>
      </c>
      <c r="BP359" s="90">
        <v>0.96599999999999997</v>
      </c>
      <c r="BQ359" s="99" t="s">
        <v>4854</v>
      </c>
      <c r="BR359" s="99" t="s">
        <v>4854</v>
      </c>
      <c r="BS359" s="5" t="s">
        <v>4857</v>
      </c>
    </row>
    <row r="360" spans="1:71" s="30" customFormat="1" ht="17.100000000000001" customHeight="1">
      <c r="A360" s="14">
        <v>349</v>
      </c>
      <c r="B360" s="5" t="s">
        <v>3649</v>
      </c>
      <c r="C360" s="3" t="s">
        <v>3883</v>
      </c>
      <c r="D360" s="3" t="s">
        <v>3609</v>
      </c>
      <c r="E360" s="6" t="s">
        <v>3610</v>
      </c>
      <c r="F360" s="8" t="s">
        <v>5196</v>
      </c>
      <c r="G360" s="3" t="s">
        <v>3611</v>
      </c>
      <c r="H360" s="6" t="s">
        <v>3612</v>
      </c>
      <c r="I360" s="3" t="s">
        <v>3613</v>
      </c>
      <c r="J360" s="5" t="s">
        <v>3614</v>
      </c>
      <c r="K360" s="3" t="s">
        <v>5535</v>
      </c>
      <c r="L360" s="3" t="s">
        <v>3650</v>
      </c>
      <c r="M360" s="5">
        <v>3</v>
      </c>
      <c r="N360" s="21">
        <v>400.23489999999998</v>
      </c>
      <c r="O360" s="35" t="s">
        <v>4854</v>
      </c>
      <c r="P360" s="35" t="s">
        <v>4854</v>
      </c>
      <c r="Q360" s="35" t="s">
        <v>4854</v>
      </c>
      <c r="R360" s="35" t="s">
        <v>4854</v>
      </c>
      <c r="S360" s="35" t="s">
        <v>4854</v>
      </c>
      <c r="T360" s="35" t="s">
        <v>4854</v>
      </c>
      <c r="U360" s="36" t="str">
        <f>HYPERLINK("http://ms.phosphosite.org:5080/cgi-bin/plot-msms.cgi?MassType=1&amp;NumAxis=1&amp;Mod5=170&amp;Mod9=170&amp;Pep=GKGGKGLGKGGAK&amp;Dta=/var/www/html/dta/S01/10564.1780.3.dta&amp;Global_Mod=CS57.0215", "1780")</f>
        <v>1780</v>
      </c>
      <c r="V360" s="36" t="str">
        <f>HYPERLINK("http://ms.phosphosite.org:5080/cgi-bin/plot-msms.cgi?MassType=1&amp;NumAxis=1&amp;Mod5=170&amp;Mod9=170&amp;Pep=GKGGKGLGKGGAK&amp;Dta=/var/www/html/dta/S01/10565.1831.3.dta&amp;Global_Mod=CS57.0215", "1831")</f>
        <v>1831</v>
      </c>
      <c r="W360" s="3" t="s">
        <v>4854</v>
      </c>
      <c r="X360" s="3" t="s">
        <v>4854</v>
      </c>
      <c r="Y360" s="3" t="s">
        <v>4854</v>
      </c>
      <c r="Z360" s="3" t="s">
        <v>4854</v>
      </c>
      <c r="AA360" s="3" t="s">
        <v>4854</v>
      </c>
      <c r="AB360" s="3" t="s">
        <v>4854</v>
      </c>
      <c r="AC360" s="5">
        <v>1782</v>
      </c>
      <c r="AD360" s="3" t="s">
        <v>4854</v>
      </c>
      <c r="AE360" s="99" t="s">
        <v>4854</v>
      </c>
      <c r="AF360" s="99" t="s">
        <v>4854</v>
      </c>
      <c r="AG360" s="99" t="s">
        <v>4854</v>
      </c>
      <c r="AH360" s="99" t="s">
        <v>4854</v>
      </c>
      <c r="AI360" s="99" t="s">
        <v>4854</v>
      </c>
      <c r="AJ360" s="99" t="s">
        <v>4854</v>
      </c>
      <c r="AK360" s="90">
        <v>3.3740000000000001</v>
      </c>
      <c r="AL360" s="90">
        <v>2.8370000000000002</v>
      </c>
      <c r="AM360" s="102" t="s">
        <v>4854</v>
      </c>
      <c r="AN360" s="102" t="s">
        <v>4854</v>
      </c>
      <c r="AO360" s="102" t="s">
        <v>4854</v>
      </c>
      <c r="AP360" s="102" t="s">
        <v>4854</v>
      </c>
      <c r="AQ360" s="102" t="s">
        <v>4854</v>
      </c>
      <c r="AR360" s="102" t="s">
        <v>4854</v>
      </c>
      <c r="AS360" s="21">
        <v>2.5390999999999999</v>
      </c>
      <c r="AT360" s="21">
        <v>2.4565000000000001</v>
      </c>
      <c r="AU360" s="102" t="s">
        <v>4854</v>
      </c>
      <c r="AV360" s="102" t="s">
        <v>4854</v>
      </c>
      <c r="AW360" s="102" t="s">
        <v>4854</v>
      </c>
      <c r="AX360" s="102" t="s">
        <v>4854</v>
      </c>
      <c r="AY360" s="102" t="s">
        <v>4854</v>
      </c>
      <c r="AZ360" s="102" t="s">
        <v>4854</v>
      </c>
      <c r="BA360" s="21">
        <v>0.23100000000000001</v>
      </c>
      <c r="BB360" s="21">
        <v>0.123</v>
      </c>
      <c r="BC360" s="3" t="s">
        <v>4854</v>
      </c>
      <c r="BD360" s="3" t="s">
        <v>4854</v>
      </c>
      <c r="BE360" s="3" t="s">
        <v>4854</v>
      </c>
      <c r="BF360" s="3" t="s">
        <v>4854</v>
      </c>
      <c r="BG360" s="3" t="s">
        <v>4854</v>
      </c>
      <c r="BH360" s="3" t="s">
        <v>4854</v>
      </c>
      <c r="BI360" s="5">
        <v>1</v>
      </c>
      <c r="BJ360" s="5">
        <v>97</v>
      </c>
      <c r="BK360" s="99" t="s">
        <v>4854</v>
      </c>
      <c r="BL360" s="99" t="s">
        <v>4854</v>
      </c>
      <c r="BM360" s="99" t="s">
        <v>4854</v>
      </c>
      <c r="BN360" s="99" t="s">
        <v>4854</v>
      </c>
      <c r="BO360" s="99" t="s">
        <v>4854</v>
      </c>
      <c r="BP360" s="99" t="s">
        <v>4854</v>
      </c>
      <c r="BQ360" s="90">
        <v>0.99299999999999999</v>
      </c>
      <c r="BR360" s="90">
        <v>0.82499999999999996</v>
      </c>
      <c r="BS360" s="5" t="s">
        <v>4857</v>
      </c>
    </row>
    <row r="361" spans="1:71" s="30" customFormat="1" ht="17.100000000000001" customHeight="1">
      <c r="A361" s="10">
        <v>350</v>
      </c>
      <c r="B361" s="10" t="s">
        <v>3651</v>
      </c>
      <c r="C361" s="4" t="s">
        <v>3883</v>
      </c>
      <c r="D361" s="4" t="s">
        <v>3609</v>
      </c>
      <c r="E361" s="7" t="s">
        <v>3610</v>
      </c>
      <c r="F361" s="9" t="s">
        <v>5159</v>
      </c>
      <c r="G361" s="4" t="s">
        <v>3611</v>
      </c>
      <c r="H361" s="7" t="s">
        <v>3612</v>
      </c>
      <c r="I361" s="4" t="s">
        <v>3613</v>
      </c>
      <c r="J361" s="10" t="s">
        <v>3614</v>
      </c>
      <c r="K361" s="4" t="s">
        <v>5536</v>
      </c>
      <c r="L361" s="4" t="s">
        <v>3531</v>
      </c>
      <c r="M361" s="10">
        <v>2</v>
      </c>
      <c r="N361" s="95">
        <v>606.34640000000002</v>
      </c>
      <c r="O361" s="37" t="str">
        <f>HYPERLINK("http://ms.phosphosite.org:5080/cgi-bin/plot-msms.cgi?MassType=1&amp;NumAxis=1&amp;Mod3=170&amp;Mod7=170&amp;Mod11=170&amp;Pep=GGKGLGKGGAKR&amp;Dta=/var/www/html/dta/S01/10558.2841.2.dta&amp;Global_Mod=CS57.0215", "2841")</f>
        <v>2841</v>
      </c>
      <c r="P361" s="37" t="str">
        <f>HYPERLINK("http://ms.phosphosite.org:5080/cgi-bin/plot-msms.cgi?MassType=1&amp;NumAxis=1&amp;Mod3=170&amp;Mod7=170&amp;Mod11=170&amp;Pep=GGKGLGKGGAKR&amp;Dta=/var/www/html/dta/S01/10559.2854.2.dta&amp;Global_Mod=CS57.0215", "2854")</f>
        <v>2854</v>
      </c>
      <c r="Q361" s="37" t="str">
        <f>HYPERLINK("http://ms.phosphosite.org:5080/cgi-bin/plot-msms.cgi?MassType=1&amp;NumAxis=1&amp;Mod3=170&amp;Mod7=170&amp;Mod11=170&amp;Pep=GGKGLGKGGAKR&amp;Dta=/var/www/html/dta/S01/10560.2839.2.dta&amp;Global_Mod=CS57.0215", "2839")</f>
        <v>2839</v>
      </c>
      <c r="R361" s="37" t="str">
        <f>HYPERLINK("http://ms.phosphosite.org:5080/cgi-bin/plot-msms.cgi?MassType=1&amp;NumAxis=1&amp;Mod3=170&amp;Mod7=170&amp;Mod11=170&amp;Pep=GGKGLGKGGAKR&amp;Dta=/var/www/html/dta/S01/10561.2867.2.dta&amp;Global_Mod=CS57.0215", "2867")</f>
        <v>2867</v>
      </c>
      <c r="S361" s="37" t="str">
        <f>HYPERLINK("http://ms.phosphosite.org:5080/cgi-bin/plot-msms.cgi?MassType=1&amp;NumAxis=1&amp;Mod3=170&amp;Mod7=170&amp;Mod11=170&amp;Pep=GGKGLGKGGAKR&amp;Dta=/var/www/html/dta/S01/10562.2869.2.dta&amp;Global_Mod=CS57.0215", "2869")</f>
        <v>2869</v>
      </c>
      <c r="T361" s="37" t="str">
        <f>HYPERLINK("http://ms.phosphosite.org:5080/cgi-bin/plot-msms.cgi?MassType=1&amp;NumAxis=1&amp;Mod3=170&amp;Mod7=170&amp;Mod11=170&amp;Pep=GGKGLGKGGAKR&amp;Dta=/var/www/html/dta/S01/10563.2889.2.dta&amp;Global_Mod=CS57.0215", "2889")</f>
        <v>2889</v>
      </c>
      <c r="U361" s="37" t="str">
        <f>HYPERLINK("http://ms.phosphosite.org:5080/cgi-bin/plot-msms.cgi?MassType=1&amp;NumAxis=1&amp;Mod3=170&amp;Mod7=170&amp;Mod11=170&amp;Pep=GGKGLGKGGAKR&amp;Dta=/var/www/html/dta/S01/10564.3096.2.dta&amp;Global_Mod=CS57.0215", "3096")</f>
        <v>3096</v>
      </c>
      <c r="V361" s="37" t="str">
        <f>HYPERLINK("http://ms.phosphosite.org:5080/cgi-bin/plot-msms.cgi?MassType=1&amp;NumAxis=1&amp;Mod3=170&amp;Mod7=170&amp;Mod11=170&amp;Pep=GGKGLGKGGAKR&amp;Dta=/var/www/html/dta/S01/10565.3262.2.dta&amp;Global_Mod=CS57.0215", "3262")</f>
        <v>3262</v>
      </c>
      <c r="W361" s="10">
        <v>2873</v>
      </c>
      <c r="X361" s="10">
        <v>2813</v>
      </c>
      <c r="Y361" s="10">
        <v>2790</v>
      </c>
      <c r="Z361" s="10">
        <v>2839</v>
      </c>
      <c r="AA361" s="10">
        <v>2910</v>
      </c>
      <c r="AB361" s="10">
        <v>2840</v>
      </c>
      <c r="AC361" s="10">
        <v>3138</v>
      </c>
      <c r="AD361" s="10">
        <v>3217</v>
      </c>
      <c r="AE361" s="91">
        <v>4.1289999999999996</v>
      </c>
      <c r="AF361" s="91">
        <v>3.8039999999999998</v>
      </c>
      <c r="AG361" s="91">
        <v>3.9390000000000001</v>
      </c>
      <c r="AH361" s="91">
        <v>3.6970000000000001</v>
      </c>
      <c r="AI361" s="91">
        <v>3.8410000000000002</v>
      </c>
      <c r="AJ361" s="91">
        <v>3.7810000000000001</v>
      </c>
      <c r="AK361" s="91">
        <v>3.786</v>
      </c>
      <c r="AL361" s="91">
        <v>3.9159999999999999</v>
      </c>
      <c r="AM361" s="95">
        <v>1.359</v>
      </c>
      <c r="AN361" s="95">
        <v>1.3854</v>
      </c>
      <c r="AO361" s="95">
        <v>1.3507</v>
      </c>
      <c r="AP361" s="95">
        <v>1.4266000000000001</v>
      </c>
      <c r="AQ361" s="95">
        <v>1.1345000000000001</v>
      </c>
      <c r="AR361" s="95">
        <v>0.97440000000000004</v>
      </c>
      <c r="AS361" s="95">
        <v>0.9405</v>
      </c>
      <c r="AT361" s="95">
        <v>0.68799999999999994</v>
      </c>
      <c r="AU361" s="95">
        <v>0.32</v>
      </c>
      <c r="AV361" s="95">
        <v>0.34699999999999998</v>
      </c>
      <c r="AW361" s="95">
        <v>0.28100000000000003</v>
      </c>
      <c r="AX361" s="95">
        <v>0.315</v>
      </c>
      <c r="AY361" s="95">
        <v>0.31</v>
      </c>
      <c r="AZ361" s="95">
        <v>0.35699999999999998</v>
      </c>
      <c r="BA361" s="95">
        <v>0.32800000000000001</v>
      </c>
      <c r="BB361" s="95">
        <v>0.32300000000000001</v>
      </c>
      <c r="BC361" s="10">
        <v>1</v>
      </c>
      <c r="BD361" s="10">
        <v>1</v>
      </c>
      <c r="BE361" s="10">
        <v>1</v>
      </c>
      <c r="BF361" s="10">
        <v>1</v>
      </c>
      <c r="BG361" s="10">
        <v>1</v>
      </c>
      <c r="BH361" s="10">
        <v>1</v>
      </c>
      <c r="BI361" s="10">
        <v>1</v>
      </c>
      <c r="BJ361" s="10">
        <v>1</v>
      </c>
      <c r="BK361" s="91">
        <v>1</v>
      </c>
      <c r="BL361" s="91">
        <v>1</v>
      </c>
      <c r="BM361" s="91">
        <v>1</v>
      </c>
      <c r="BN361" s="91">
        <v>1</v>
      </c>
      <c r="BO361" s="91">
        <v>1</v>
      </c>
      <c r="BP361" s="91">
        <v>1</v>
      </c>
      <c r="BQ361" s="91">
        <v>1</v>
      </c>
      <c r="BR361" s="91">
        <v>1</v>
      </c>
      <c r="BS361" s="10" t="s">
        <v>4857</v>
      </c>
    </row>
    <row r="362" spans="1:71" s="30" customFormat="1" ht="17.100000000000001" customHeight="1">
      <c r="A362" s="10">
        <v>351</v>
      </c>
      <c r="B362" s="10" t="s">
        <v>3532</v>
      </c>
      <c r="C362" s="4" t="s">
        <v>3883</v>
      </c>
      <c r="D362" s="4" t="s">
        <v>3609</v>
      </c>
      <c r="E362" s="7" t="s">
        <v>3610</v>
      </c>
      <c r="F362" s="9" t="s">
        <v>5159</v>
      </c>
      <c r="G362" s="4" t="s">
        <v>3611</v>
      </c>
      <c r="H362" s="7" t="s">
        <v>3612</v>
      </c>
      <c r="I362" s="4" t="s">
        <v>3613</v>
      </c>
      <c r="J362" s="10" t="s">
        <v>3614</v>
      </c>
      <c r="K362" s="4" t="s">
        <v>5536</v>
      </c>
      <c r="L362" s="4" t="s">
        <v>3531</v>
      </c>
      <c r="M362" s="10">
        <v>2</v>
      </c>
      <c r="N362" s="95">
        <v>606.34640000000002</v>
      </c>
      <c r="O362" s="37" t="str">
        <f>HYPERLINK("http://ms.phosphosite.org:5080/cgi-bin/plot-msms.cgi?MassType=1&amp;NumAxis=1&amp;Mod3=170&amp;Mod7=170&amp;Mod11=170&amp;Pep=GGKGLGKGGAKR&amp;Dta=/var/www/html/dta/S01/10558.2933.2.dta&amp;Global_Mod=CS57.0215", "2933")</f>
        <v>2933</v>
      </c>
      <c r="P362" s="37" t="str">
        <f>HYPERLINK("http://ms.phosphosite.org:5080/cgi-bin/plot-msms.cgi?MassType=1&amp;NumAxis=1&amp;Mod3=170&amp;Mod7=170&amp;Mod11=170&amp;Pep=GGKGLGKGGAKR&amp;Dta=/var/www/html/dta/S01/10559.2768.2.dta&amp;Global_Mod=CS57.0215", "2768")</f>
        <v>2768</v>
      </c>
      <c r="Q362" s="37" t="str">
        <f>HYPERLINK("http://ms.phosphosite.org:5080/cgi-bin/plot-msms.cgi?MassType=1&amp;NumAxis=1&amp;Mod3=170&amp;Mod7=170&amp;Mod11=170&amp;Pep=GGKGLGKGGAKR&amp;Dta=/var/www/html/dta/S01/10560.2755.2.dta&amp;Global_Mod=CS57.0215", "2755")</f>
        <v>2755</v>
      </c>
      <c r="R362" s="37" t="str">
        <f>HYPERLINK("http://ms.phosphosite.org:5080/cgi-bin/plot-msms.cgi?MassType=1&amp;NumAxis=1&amp;Mod3=170&amp;Mod7=170&amp;Mod11=170&amp;Pep=GGKGLGKGGAKR&amp;Dta=/var/www/html/dta/S01/10561.2781.2.dta&amp;Global_Mod=CS57.0215", "2781")</f>
        <v>2781</v>
      </c>
      <c r="S362" s="37" t="str">
        <f>HYPERLINK("http://ms.phosphosite.org:5080/cgi-bin/plot-msms.cgi?MassType=1&amp;NumAxis=1&amp;Mod3=170&amp;Mod7=170&amp;Mod11=170&amp;Pep=GGKGLGKGGAKR&amp;Dta=/var/www/html/dta/S01/10562.2959.2.dta&amp;Global_Mod=CS57.0215", "2959")</f>
        <v>2959</v>
      </c>
      <c r="T362" s="37" t="str">
        <f>HYPERLINK("http://ms.phosphosite.org:5080/cgi-bin/plot-msms.cgi?MassType=1&amp;NumAxis=1&amp;Mod3=170&amp;Mod7=170&amp;Mod11=170&amp;Pep=GGKGLGKGGAKR&amp;Dta=/var/www/html/dta/S01/10563.2798.2.dta&amp;Global_Mod=CS57.0215", "2798")</f>
        <v>2798</v>
      </c>
      <c r="U362" s="37" t="str">
        <f>HYPERLINK("http://ms.phosphosite.org:5080/cgi-bin/plot-msms.cgi?MassType=1&amp;NumAxis=1&amp;Mod3=170&amp;Mod7=170&amp;Mod11=170&amp;Pep=GGKGLGKGGAKR&amp;Dta=/var/www/html/dta/S01/10564.3185.2.dta&amp;Global_Mod=CS57.0215", "3185")</f>
        <v>3185</v>
      </c>
      <c r="V362" s="37" t="str">
        <f>HYPERLINK("http://ms.phosphosite.org:5080/cgi-bin/plot-msms.cgi?MassType=1&amp;NumAxis=1&amp;Mod3=170&amp;Mod7=170&amp;Mod11=170&amp;Pep=GGKGLGKGGAKR&amp;Dta=/var/www/html/dta/S01/10565.3167.2.dta&amp;Global_Mod=CS57.0215", "3167")</f>
        <v>3167</v>
      </c>
      <c r="W362" s="10">
        <v>2873</v>
      </c>
      <c r="X362" s="10">
        <v>2813</v>
      </c>
      <c r="Y362" s="10">
        <v>2790</v>
      </c>
      <c r="Z362" s="10">
        <v>2839</v>
      </c>
      <c r="AA362" s="10">
        <v>2910</v>
      </c>
      <c r="AB362" s="10">
        <v>2840</v>
      </c>
      <c r="AC362" s="10">
        <v>3138</v>
      </c>
      <c r="AD362" s="10">
        <v>3217</v>
      </c>
      <c r="AE362" s="91">
        <v>3.26</v>
      </c>
      <c r="AF362" s="91">
        <v>3.76</v>
      </c>
      <c r="AG362" s="91">
        <v>3.8809999999999998</v>
      </c>
      <c r="AH362" s="91">
        <v>3.61</v>
      </c>
      <c r="AI362" s="91">
        <v>3.5670000000000002</v>
      </c>
      <c r="AJ362" s="91">
        <v>3.6070000000000002</v>
      </c>
      <c r="AK362" s="91">
        <v>3.6859999999999999</v>
      </c>
      <c r="AL362" s="91">
        <v>3.7429999999999999</v>
      </c>
      <c r="AM362" s="95">
        <v>1.3655999999999999</v>
      </c>
      <c r="AN362" s="95">
        <v>1.3919999999999999</v>
      </c>
      <c r="AO362" s="95">
        <v>1.3523000000000001</v>
      </c>
      <c r="AP362" s="95">
        <v>1.4274</v>
      </c>
      <c r="AQ362" s="95">
        <v>1.1335999999999999</v>
      </c>
      <c r="AR362" s="95">
        <v>0.97519999999999996</v>
      </c>
      <c r="AS362" s="95">
        <v>0.93559999999999999</v>
      </c>
      <c r="AT362" s="95">
        <v>0.68799999999999994</v>
      </c>
      <c r="AU362" s="95">
        <v>0.19600000000000001</v>
      </c>
      <c r="AV362" s="95">
        <v>0.307</v>
      </c>
      <c r="AW362" s="95">
        <v>0.30499999999999999</v>
      </c>
      <c r="AX362" s="95">
        <v>0.32100000000000001</v>
      </c>
      <c r="AY362" s="95">
        <v>0.32400000000000001</v>
      </c>
      <c r="AZ362" s="95">
        <v>0.314</v>
      </c>
      <c r="BA362" s="95">
        <v>0.377</v>
      </c>
      <c r="BB362" s="95">
        <v>0.34899999999999998</v>
      </c>
      <c r="BC362" s="10">
        <v>1</v>
      </c>
      <c r="BD362" s="10">
        <v>1</v>
      </c>
      <c r="BE362" s="10">
        <v>1</v>
      </c>
      <c r="BF362" s="10">
        <v>1</v>
      </c>
      <c r="BG362" s="10">
        <v>1</v>
      </c>
      <c r="BH362" s="10">
        <v>1</v>
      </c>
      <c r="BI362" s="10">
        <v>1</v>
      </c>
      <c r="BJ362" s="10">
        <v>1</v>
      </c>
      <c r="BK362" s="91">
        <v>0.999</v>
      </c>
      <c r="BL362" s="91">
        <v>1</v>
      </c>
      <c r="BM362" s="91">
        <v>1</v>
      </c>
      <c r="BN362" s="91">
        <v>1</v>
      </c>
      <c r="BO362" s="91">
        <v>1</v>
      </c>
      <c r="BP362" s="91">
        <v>1</v>
      </c>
      <c r="BQ362" s="91">
        <v>1</v>
      </c>
      <c r="BR362" s="91">
        <v>1</v>
      </c>
      <c r="BS362" s="10" t="s">
        <v>4857</v>
      </c>
    </row>
    <row r="363" spans="1:71" s="30" customFormat="1" ht="17.100000000000001" customHeight="1">
      <c r="A363" s="10">
        <v>352</v>
      </c>
      <c r="B363" s="10" t="s">
        <v>3533</v>
      </c>
      <c r="C363" s="4" t="s">
        <v>3883</v>
      </c>
      <c r="D363" s="4" t="s">
        <v>3609</v>
      </c>
      <c r="E363" s="7" t="s">
        <v>3610</v>
      </c>
      <c r="F363" s="9" t="s">
        <v>5159</v>
      </c>
      <c r="G363" s="4" t="s">
        <v>3611</v>
      </c>
      <c r="H363" s="7" t="s">
        <v>3612</v>
      </c>
      <c r="I363" s="4" t="s">
        <v>3613</v>
      </c>
      <c r="J363" s="10" t="s">
        <v>3614</v>
      </c>
      <c r="K363" s="4" t="s">
        <v>5536</v>
      </c>
      <c r="L363" s="4" t="s">
        <v>3531</v>
      </c>
      <c r="M363" s="10">
        <v>2</v>
      </c>
      <c r="N363" s="95">
        <v>606.34640000000002</v>
      </c>
      <c r="O363" s="37" t="str">
        <f>HYPERLINK("http://ms.phosphosite.org:5080/cgi-bin/plot-msms.cgi?MassType=1&amp;NumAxis=1&amp;Mod3=170&amp;Mod7=170&amp;Mod11=170&amp;Pep=GGKGLGKGGAKR&amp;Dta=/var/www/html/dta/S01/10558.3403.2.dta&amp;Global_Mod=CS57.0215", "3403")</f>
        <v>3403</v>
      </c>
      <c r="P363" s="38" t="s">
        <v>4854</v>
      </c>
      <c r="Q363" s="37" t="str">
        <f>HYPERLINK("http://ms.phosphosite.org:5080/cgi-bin/plot-msms.cgi?MassType=1&amp;NumAxis=1&amp;Mod3=170&amp;Mod7=170&amp;Mod11=170&amp;Pep=GGKGLGKGGAKR&amp;Dta=/var/www/html/dta/S01/10560.3331.2.dta&amp;Global_Mod=CS57.0215", "3331")</f>
        <v>3331</v>
      </c>
      <c r="R363" s="37" t="str">
        <f>HYPERLINK("http://ms.phosphosite.org:5080/cgi-bin/plot-msms.cgi?MassType=1&amp;NumAxis=1&amp;Mod3=170&amp;Mod7=170&amp;Mod11=170&amp;Pep=GGKGLGKGGAKR&amp;Dta=/var/www/html/dta/S01/10561.3342.2.dta&amp;Global_Mod=CS57.0215", "3342")</f>
        <v>3342</v>
      </c>
      <c r="S363" s="37" t="str">
        <f>HYPERLINK("http://ms.phosphosite.org:5080/cgi-bin/plot-msms.cgi?MassType=1&amp;NumAxis=1&amp;Mod3=170&amp;Mod7=170&amp;Mod11=170&amp;Pep=GGKGLGKGGAKR&amp;Dta=/var/www/html/dta/S01/10562.2091.2.dta&amp;Global_Mod=CS57.0215", "2091")</f>
        <v>2091</v>
      </c>
      <c r="T363" s="37" t="str">
        <f>HYPERLINK("http://ms.phosphosite.org:5080/cgi-bin/plot-msms.cgi?MassType=1&amp;NumAxis=1&amp;Mod3=170&amp;Mod7=170&amp;Mod11=170&amp;Pep=GGKGLGKGGAKR&amp;Dta=/var/www/html/dta/S01/10563.3372.2.dta&amp;Global_Mod=CS57.0215", "3372")</f>
        <v>3372</v>
      </c>
      <c r="U363" s="38" t="s">
        <v>4854</v>
      </c>
      <c r="V363" s="38" t="s">
        <v>4854</v>
      </c>
      <c r="W363" s="10">
        <v>2873</v>
      </c>
      <c r="X363" s="4" t="s">
        <v>4854</v>
      </c>
      <c r="Y363" s="10">
        <v>2790</v>
      </c>
      <c r="Z363" s="10">
        <v>2839</v>
      </c>
      <c r="AA363" s="4" t="s">
        <v>4854</v>
      </c>
      <c r="AB363" s="10">
        <v>2840</v>
      </c>
      <c r="AC363" s="4" t="s">
        <v>4854</v>
      </c>
      <c r="AD363" s="4" t="s">
        <v>4854</v>
      </c>
      <c r="AE363" s="91">
        <v>3.012</v>
      </c>
      <c r="AF363" s="100" t="s">
        <v>4854</v>
      </c>
      <c r="AG363" s="91">
        <v>2.044</v>
      </c>
      <c r="AH363" s="91">
        <v>3.6019999999999999</v>
      </c>
      <c r="AI363" s="91">
        <v>2.6619999999999999</v>
      </c>
      <c r="AJ363" s="91">
        <v>2.9969999999999999</v>
      </c>
      <c r="AK363" s="100" t="s">
        <v>4854</v>
      </c>
      <c r="AL363" s="100" t="s">
        <v>4854</v>
      </c>
      <c r="AM363" s="95">
        <v>-3.3300000000000003E-2</v>
      </c>
      <c r="AN363" s="103" t="s">
        <v>4854</v>
      </c>
      <c r="AO363" s="95">
        <v>-8.7800000000000003E-2</v>
      </c>
      <c r="AP363" s="95">
        <v>0.10199999999999999</v>
      </c>
      <c r="AQ363" s="95">
        <v>-1.1978</v>
      </c>
      <c r="AR363" s="95">
        <v>4.3400000000000001E-2</v>
      </c>
      <c r="AS363" s="103" t="s">
        <v>4854</v>
      </c>
      <c r="AT363" s="103" t="s">
        <v>4854</v>
      </c>
      <c r="AU363" s="95">
        <v>0.28100000000000003</v>
      </c>
      <c r="AV363" s="103" t="s">
        <v>4854</v>
      </c>
      <c r="AW363" s="95">
        <v>0.122</v>
      </c>
      <c r="AX363" s="95">
        <v>0.34399999999999997</v>
      </c>
      <c r="AY363" s="95">
        <v>0.19500000000000001</v>
      </c>
      <c r="AZ363" s="95">
        <v>0.29499999999999998</v>
      </c>
      <c r="BA363" s="103" t="s">
        <v>4854</v>
      </c>
      <c r="BB363" s="103" t="s">
        <v>4854</v>
      </c>
      <c r="BC363" s="10">
        <v>1</v>
      </c>
      <c r="BD363" s="4" t="s">
        <v>4854</v>
      </c>
      <c r="BE363" s="10">
        <v>18</v>
      </c>
      <c r="BF363" s="10">
        <v>1</v>
      </c>
      <c r="BG363" s="10">
        <v>1</v>
      </c>
      <c r="BH363" s="10">
        <v>1</v>
      </c>
      <c r="BI363" s="4" t="s">
        <v>4854</v>
      </c>
      <c r="BJ363" s="4" t="s">
        <v>4854</v>
      </c>
      <c r="BK363" s="91">
        <v>1</v>
      </c>
      <c r="BL363" s="100" t="s">
        <v>4854</v>
      </c>
      <c r="BM363" s="91">
        <v>0.95899999999999996</v>
      </c>
      <c r="BN363" s="91">
        <v>1</v>
      </c>
      <c r="BO363" s="91">
        <v>0.996</v>
      </c>
      <c r="BP363" s="91">
        <v>1</v>
      </c>
      <c r="BQ363" s="100" t="s">
        <v>4854</v>
      </c>
      <c r="BR363" s="100" t="s">
        <v>4854</v>
      </c>
      <c r="BS363" s="10" t="s">
        <v>4857</v>
      </c>
    </row>
    <row r="364" spans="1:71" s="30" customFormat="1" ht="17.100000000000001" customHeight="1">
      <c r="A364" s="10">
        <v>353</v>
      </c>
      <c r="B364" s="10" t="s">
        <v>3534</v>
      </c>
      <c r="C364" s="4" t="s">
        <v>3883</v>
      </c>
      <c r="D364" s="4" t="s">
        <v>3609</v>
      </c>
      <c r="E364" s="7" t="s">
        <v>3610</v>
      </c>
      <c r="F364" s="9" t="s">
        <v>5159</v>
      </c>
      <c r="G364" s="4" t="s">
        <v>3611</v>
      </c>
      <c r="H364" s="7" t="s">
        <v>3612</v>
      </c>
      <c r="I364" s="4" t="s">
        <v>3613</v>
      </c>
      <c r="J364" s="10" t="s">
        <v>3614</v>
      </c>
      <c r="K364" s="4" t="s">
        <v>5536</v>
      </c>
      <c r="L364" s="4" t="s">
        <v>3531</v>
      </c>
      <c r="M364" s="10">
        <v>2</v>
      </c>
      <c r="N364" s="95">
        <v>606.34640000000002</v>
      </c>
      <c r="O364" s="38" t="s">
        <v>4854</v>
      </c>
      <c r="P364" s="38" t="s">
        <v>4854</v>
      </c>
      <c r="Q364" s="37" t="str">
        <f>HYPERLINK("http://ms.phosphosite.org:5080/cgi-bin/plot-msms.cgi?MassType=1&amp;NumAxis=1&amp;Mod3=170&amp;Mod7=170&amp;Mod11=170&amp;Pep=GGKGLGKGGAKR&amp;Dta=/var/www/html/dta/S01/10560.1988.2.dta&amp;Global_Mod=CS57.0215", "1988")</f>
        <v>1988</v>
      </c>
      <c r="R364" s="38" t="s">
        <v>4854</v>
      </c>
      <c r="S364" s="38" t="s">
        <v>4854</v>
      </c>
      <c r="T364" s="38" t="s">
        <v>4854</v>
      </c>
      <c r="U364" s="38" t="s">
        <v>4854</v>
      </c>
      <c r="V364" s="38" t="s">
        <v>4854</v>
      </c>
      <c r="W364" s="4" t="s">
        <v>4854</v>
      </c>
      <c r="X364" s="4" t="s">
        <v>4854</v>
      </c>
      <c r="Y364" s="10">
        <v>1980</v>
      </c>
      <c r="Z364" s="4" t="s">
        <v>4854</v>
      </c>
      <c r="AA364" s="4" t="s">
        <v>4854</v>
      </c>
      <c r="AB364" s="4" t="s">
        <v>4854</v>
      </c>
      <c r="AC364" s="4" t="s">
        <v>4854</v>
      </c>
      <c r="AD364" s="4" t="s">
        <v>4854</v>
      </c>
      <c r="AE364" s="100" t="s">
        <v>4854</v>
      </c>
      <c r="AF364" s="100" t="s">
        <v>4854</v>
      </c>
      <c r="AG364" s="91">
        <v>3.1869999999999998</v>
      </c>
      <c r="AH364" s="100" t="s">
        <v>4854</v>
      </c>
      <c r="AI364" s="100" t="s">
        <v>4854</v>
      </c>
      <c r="AJ364" s="100" t="s">
        <v>4854</v>
      </c>
      <c r="AK364" s="100" t="s">
        <v>4854</v>
      </c>
      <c r="AL364" s="100" t="s">
        <v>4854</v>
      </c>
      <c r="AM364" s="103" t="s">
        <v>4854</v>
      </c>
      <c r="AN364" s="103" t="s">
        <v>4854</v>
      </c>
      <c r="AO364" s="95">
        <v>0.46429999999999999</v>
      </c>
      <c r="AP364" s="103" t="s">
        <v>4854</v>
      </c>
      <c r="AQ364" s="103" t="s">
        <v>4854</v>
      </c>
      <c r="AR364" s="103" t="s">
        <v>4854</v>
      </c>
      <c r="AS364" s="103" t="s">
        <v>4854</v>
      </c>
      <c r="AT364" s="103" t="s">
        <v>4854</v>
      </c>
      <c r="AU364" s="103" t="s">
        <v>4854</v>
      </c>
      <c r="AV364" s="103" t="s">
        <v>4854</v>
      </c>
      <c r="AW364" s="95">
        <v>0.28000000000000003</v>
      </c>
      <c r="AX364" s="103" t="s">
        <v>4854</v>
      </c>
      <c r="AY364" s="103" t="s">
        <v>4854</v>
      </c>
      <c r="AZ364" s="103" t="s">
        <v>4854</v>
      </c>
      <c r="BA364" s="103" t="s">
        <v>4854</v>
      </c>
      <c r="BB364" s="103" t="s">
        <v>4854</v>
      </c>
      <c r="BC364" s="4" t="s">
        <v>4854</v>
      </c>
      <c r="BD364" s="4" t="s">
        <v>4854</v>
      </c>
      <c r="BE364" s="10">
        <v>1</v>
      </c>
      <c r="BF364" s="4" t="s">
        <v>4854</v>
      </c>
      <c r="BG364" s="4" t="s">
        <v>4854</v>
      </c>
      <c r="BH364" s="4" t="s">
        <v>4854</v>
      </c>
      <c r="BI364" s="4" t="s">
        <v>4854</v>
      </c>
      <c r="BJ364" s="4" t="s">
        <v>4854</v>
      </c>
      <c r="BK364" s="100" t="s">
        <v>4854</v>
      </c>
      <c r="BL364" s="100" t="s">
        <v>4854</v>
      </c>
      <c r="BM364" s="91">
        <v>1</v>
      </c>
      <c r="BN364" s="100" t="s">
        <v>4854</v>
      </c>
      <c r="BO364" s="100" t="s">
        <v>4854</v>
      </c>
      <c r="BP364" s="100" t="s">
        <v>4854</v>
      </c>
      <c r="BQ364" s="100" t="s">
        <v>4854</v>
      </c>
      <c r="BR364" s="100" t="s">
        <v>4854</v>
      </c>
      <c r="BS364" s="10" t="s">
        <v>4857</v>
      </c>
    </row>
    <row r="365" spans="1:71" s="30" customFormat="1" ht="17.100000000000001" customHeight="1">
      <c r="A365" s="10">
        <v>354</v>
      </c>
      <c r="B365" s="10" t="s">
        <v>3535</v>
      </c>
      <c r="C365" s="4" t="s">
        <v>3883</v>
      </c>
      <c r="D365" s="4" t="s">
        <v>3609</v>
      </c>
      <c r="E365" s="7" t="s">
        <v>3610</v>
      </c>
      <c r="F365" s="9" t="s">
        <v>5159</v>
      </c>
      <c r="G365" s="4" t="s">
        <v>3611</v>
      </c>
      <c r="H365" s="7" t="s">
        <v>3612</v>
      </c>
      <c r="I365" s="4" t="s">
        <v>3613</v>
      </c>
      <c r="J365" s="10" t="s">
        <v>3614</v>
      </c>
      <c r="K365" s="4" t="s">
        <v>5536</v>
      </c>
      <c r="L365" s="4" t="s">
        <v>3531</v>
      </c>
      <c r="M365" s="10">
        <v>3</v>
      </c>
      <c r="N365" s="95">
        <v>404.56670000000003</v>
      </c>
      <c r="O365" s="37" t="str">
        <f>HYPERLINK("http://ms.phosphosite.org:5080/cgi-bin/plot-msms.cgi?MassType=1&amp;NumAxis=1&amp;Mod3=170&amp;Mod7=170&amp;Mod11=170&amp;Pep=GGKGLGKGGAKR&amp;Dta=/var/www/html/dta/S01/10558.2852.3.dta&amp;Global_Mod=CS57.0215", "2852")</f>
        <v>2852</v>
      </c>
      <c r="P365" s="37" t="str">
        <f>HYPERLINK("http://ms.phosphosite.org:5080/cgi-bin/plot-msms.cgi?MassType=1&amp;NumAxis=1&amp;Mod3=170&amp;Mod7=170&amp;Mod11=170&amp;Pep=GGKGLGKGGAKR&amp;Dta=/var/www/html/dta/S01/10559.2804.3.dta&amp;Global_Mod=CS57.0215", "2804")</f>
        <v>2804</v>
      </c>
      <c r="Q365" s="37" t="str">
        <f>HYPERLINK("http://ms.phosphosite.org:5080/cgi-bin/plot-msms.cgi?MassType=1&amp;NumAxis=1&amp;Mod3=170&amp;Mod7=170&amp;Mod11=170&amp;Pep=GGKGLGKGGAKR&amp;Dta=/var/www/html/dta/S01/10560.2780.3.dta&amp;Global_Mod=CS57.0215", "2780")</f>
        <v>2780</v>
      </c>
      <c r="R365" s="37" t="str">
        <f>HYPERLINK("http://ms.phosphosite.org:5080/cgi-bin/plot-msms.cgi?MassType=1&amp;NumAxis=1&amp;Mod3=170&amp;Mod7=170&amp;Mod11=170&amp;Pep=GGKGLGKGGAKR&amp;Dta=/var/www/html/dta/S01/10561.2829.3.dta&amp;Global_Mod=CS57.0215", "2829")</f>
        <v>2829</v>
      </c>
      <c r="S365" s="37" t="str">
        <f>HYPERLINK("http://ms.phosphosite.org:5080/cgi-bin/plot-msms.cgi?MassType=1&amp;NumAxis=1&amp;Mod3=170&amp;Mod7=170&amp;Mod11=170&amp;Pep=GGKGLGKGGAKR&amp;Dta=/var/www/html/dta/S01/10562.2911.3.dta&amp;Global_Mod=CS57.0215", "2911")</f>
        <v>2911</v>
      </c>
      <c r="T365" s="37" t="str">
        <f>HYPERLINK("http://ms.phosphosite.org:5080/cgi-bin/plot-msms.cgi?MassType=1&amp;NumAxis=1&amp;Mod3=170&amp;Mod7=170&amp;Mod11=170&amp;Pep=GGKGLGKGGAKR&amp;Dta=/var/www/html/dta/S01/10563.2830.3.dta&amp;Global_Mod=CS57.0215", "2830")</f>
        <v>2830</v>
      </c>
      <c r="U365" s="37" t="str">
        <f>HYPERLINK("http://ms.phosphosite.org:5080/cgi-bin/plot-msms.cgi?MassType=1&amp;NumAxis=1&amp;Mod3=170&amp;Mod7=170&amp;Mod11=170&amp;Pep=GGKGLGKGGAKR&amp;Dta=/var/www/html/dta/S01/10564.3106.3.dta&amp;Global_Mod=CS57.0215", "3106")</f>
        <v>3106</v>
      </c>
      <c r="V365" s="37" t="str">
        <f>HYPERLINK("http://ms.phosphosite.org:5080/cgi-bin/plot-msms.cgi?MassType=1&amp;NumAxis=1&amp;Mod3=170&amp;Mod7=170&amp;Mod11=170&amp;Pep=GGKGLGKGGAKR&amp;Dta=/var/www/html/dta/S01/10565.3177.3.dta&amp;Global_Mod=CS57.0215", "3177")</f>
        <v>3177</v>
      </c>
      <c r="W365" s="10">
        <v>2873</v>
      </c>
      <c r="X365" s="10">
        <v>2803</v>
      </c>
      <c r="Y365" s="10">
        <v>2790</v>
      </c>
      <c r="Z365" s="10">
        <v>2839</v>
      </c>
      <c r="AA365" s="10">
        <v>2910</v>
      </c>
      <c r="AB365" s="10">
        <v>2840</v>
      </c>
      <c r="AC365" s="10">
        <v>3147</v>
      </c>
      <c r="AD365" s="10">
        <v>3217</v>
      </c>
      <c r="AE365" s="91">
        <v>3.6880000000000002</v>
      </c>
      <c r="AF365" s="91">
        <v>4.298</v>
      </c>
      <c r="AG365" s="91">
        <v>3.879</v>
      </c>
      <c r="AH365" s="91">
        <v>3.7109999999999999</v>
      </c>
      <c r="AI365" s="91">
        <v>3.4009999999999998</v>
      </c>
      <c r="AJ365" s="91">
        <v>3.9220000000000002</v>
      </c>
      <c r="AK365" s="91">
        <v>2.9630000000000001</v>
      </c>
      <c r="AL365" s="91">
        <v>2.7069999999999999</v>
      </c>
      <c r="AM365" s="95">
        <v>0.4602</v>
      </c>
      <c r="AN365" s="95">
        <v>0.47420000000000001</v>
      </c>
      <c r="AO365" s="95">
        <v>0.86709999999999998</v>
      </c>
      <c r="AP365" s="95">
        <v>0.90010000000000001</v>
      </c>
      <c r="AQ365" s="95">
        <v>0.87039999999999995</v>
      </c>
      <c r="AR365" s="95">
        <v>0.62860000000000005</v>
      </c>
      <c r="AS365" s="95">
        <v>0.44290000000000002</v>
      </c>
      <c r="AT365" s="95">
        <v>0.14080000000000001</v>
      </c>
      <c r="AU365" s="95">
        <v>0.19500000000000001</v>
      </c>
      <c r="AV365" s="95">
        <v>0.25600000000000001</v>
      </c>
      <c r="AW365" s="95">
        <v>0.245</v>
      </c>
      <c r="AX365" s="95">
        <v>0.182</v>
      </c>
      <c r="AY365" s="95">
        <v>4.4999999999999998E-2</v>
      </c>
      <c r="AZ365" s="95">
        <v>0.186</v>
      </c>
      <c r="BA365" s="95">
        <v>7.9000000000000001E-2</v>
      </c>
      <c r="BB365" s="95">
        <v>3.1E-2</v>
      </c>
      <c r="BC365" s="10">
        <v>1</v>
      </c>
      <c r="BD365" s="10">
        <v>1</v>
      </c>
      <c r="BE365" s="10">
        <v>1</v>
      </c>
      <c r="BF365" s="10">
        <v>1</v>
      </c>
      <c r="BG365" s="10">
        <v>1</v>
      </c>
      <c r="BH365" s="10">
        <v>1</v>
      </c>
      <c r="BI365" s="10">
        <v>1</v>
      </c>
      <c r="BJ365" s="10">
        <v>24</v>
      </c>
      <c r="BK365" s="91">
        <v>0.999</v>
      </c>
      <c r="BL365" s="91">
        <v>1</v>
      </c>
      <c r="BM365" s="91">
        <v>1</v>
      </c>
      <c r="BN365" s="91">
        <v>0.999</v>
      </c>
      <c r="BO365" s="91">
        <v>0.99399999999999999</v>
      </c>
      <c r="BP365" s="91">
        <v>1</v>
      </c>
      <c r="BQ365" s="91">
        <v>0.99299999999999999</v>
      </c>
      <c r="BR365" s="91">
        <v>0.95699999999999996</v>
      </c>
      <c r="BS365" s="10" t="s">
        <v>4857</v>
      </c>
    </row>
    <row r="366" spans="1:71" s="30" customFormat="1" ht="17.100000000000001" customHeight="1">
      <c r="A366" s="10">
        <v>355</v>
      </c>
      <c r="B366" s="10" t="s">
        <v>3536</v>
      </c>
      <c r="C366" s="4" t="s">
        <v>3883</v>
      </c>
      <c r="D366" s="4" t="s">
        <v>3609</v>
      </c>
      <c r="E366" s="7" t="s">
        <v>3610</v>
      </c>
      <c r="F366" s="9" t="s">
        <v>5159</v>
      </c>
      <c r="G366" s="4" t="s">
        <v>3611</v>
      </c>
      <c r="H366" s="7" t="s">
        <v>3612</v>
      </c>
      <c r="I366" s="4" t="s">
        <v>3613</v>
      </c>
      <c r="J366" s="10" t="s">
        <v>3614</v>
      </c>
      <c r="K366" s="4" t="s">
        <v>5536</v>
      </c>
      <c r="L366" s="4" t="s">
        <v>3537</v>
      </c>
      <c r="M366" s="10">
        <v>2</v>
      </c>
      <c r="N366" s="95">
        <v>698.90459999999996</v>
      </c>
      <c r="O366" s="37" t="str">
        <f>HYPERLINK("http://ms.phosphosite.org:5080/cgi-bin/plot-msms.cgi?MassType=1&amp;NumAxis=1&amp;Mod5=170&amp;Mod9=170&amp;Mod13=170&amp;Pep=GKGGKGLGKGGAKR&amp;Dta=/var/www/html/dta/S01/10558.1992.2.dta&amp;Global_Mod=CS57.0215", "1992")</f>
        <v>1992</v>
      </c>
      <c r="P366" s="37" t="str">
        <f>HYPERLINK("http://ms.phosphosite.org:5080/cgi-bin/plot-msms.cgi?MassType=1&amp;NumAxis=1&amp;Mod5=170&amp;Mod9=170&amp;Mod13=170&amp;Pep=GKGGKGLGKGGAKR&amp;Dta=/var/www/html/dta/S01/10559.2051.2.dta&amp;Global_Mod=CS57.0215", "2051")</f>
        <v>2051</v>
      </c>
      <c r="Q366" s="37" t="str">
        <f>HYPERLINK("http://ms.phosphosite.org:5080/cgi-bin/plot-msms.cgi?MassType=1&amp;NumAxis=1&amp;Mod5=170&amp;Mod9=170&amp;Mod13=170&amp;Pep=GKGGKGLGKGGAKR&amp;Dta=/var/www/html/dta/S01/10560.1948.2.dta&amp;Global_Mod=CS57.0215", "1948")</f>
        <v>1948</v>
      </c>
      <c r="R366" s="37" t="str">
        <f>HYPERLINK("http://ms.phosphosite.org:5080/cgi-bin/plot-msms.cgi?MassType=1&amp;NumAxis=1&amp;Mod5=170&amp;Mod9=170&amp;Mod13=170&amp;Pep=GKGGKGLGKGGAKR&amp;Dta=/var/www/html/dta/S01/10561.2070.2.dta&amp;Global_Mod=CS57.0215", "2070")</f>
        <v>2070</v>
      </c>
      <c r="S366" s="37" t="str">
        <f>HYPERLINK("http://ms.phosphosite.org:5080/cgi-bin/plot-msms.cgi?MassType=1&amp;NumAxis=1&amp;Mod5=170&amp;Mod9=170&amp;Mod13=170&amp;Pep=GKGGKGLGKGGAKR&amp;Dta=/var/www/html/dta/S01/10562.2041.2.dta&amp;Global_Mod=CS57.0215", "2041")</f>
        <v>2041</v>
      </c>
      <c r="T366" s="37" t="str">
        <f>HYPERLINK("http://ms.phosphosite.org:5080/cgi-bin/plot-msms.cgi?MassType=1&amp;NumAxis=1&amp;Mod5=170&amp;Mod9=170&amp;Mod13=170&amp;Pep=GKGGKGLGKGGAKR&amp;Dta=/var/www/html/dta/S01/10563.1975.2.dta&amp;Global_Mod=CS57.0215", "1975")</f>
        <v>1975</v>
      </c>
      <c r="U366" s="37" t="str">
        <f>HYPERLINK("http://ms.phosphosite.org:5080/cgi-bin/plot-msms.cgi?MassType=1&amp;NumAxis=1&amp;Mod5=170&amp;Mod9=170&amp;Mod13=170&amp;Pep=GKGGKGLGKGGAKR&amp;Dta=/var/www/html/dta/S01/10564.2240.2.dta&amp;Global_Mod=CS57.0215", "2240")</f>
        <v>2240</v>
      </c>
      <c r="V366" s="37" t="str">
        <f>HYPERLINK("http://ms.phosphosite.org:5080/cgi-bin/plot-msms.cgi?MassType=1&amp;NumAxis=1&amp;Mod5=170&amp;Mod9=170&amp;Mod13=170&amp;Pep=GKGGKGLGKGGAKR&amp;Dta=/var/www/html/dta/S01/10565.2359.2.dta&amp;Global_Mod=CS57.0215", "2359")</f>
        <v>2359</v>
      </c>
      <c r="W366" s="10">
        <v>2046</v>
      </c>
      <c r="X366" s="10">
        <v>2007</v>
      </c>
      <c r="Y366" s="10">
        <v>1980</v>
      </c>
      <c r="Z366" s="10">
        <v>2036</v>
      </c>
      <c r="AA366" s="10">
        <v>2072</v>
      </c>
      <c r="AB366" s="10">
        <v>2006</v>
      </c>
      <c r="AC366" s="10">
        <v>2274</v>
      </c>
      <c r="AD366" s="10">
        <v>2349</v>
      </c>
      <c r="AE366" s="91">
        <v>3.3959999999999999</v>
      </c>
      <c r="AF366" s="91">
        <v>4.258</v>
      </c>
      <c r="AG366" s="91">
        <v>3.6150000000000002</v>
      </c>
      <c r="AH366" s="91">
        <v>3.5169999999999999</v>
      </c>
      <c r="AI366" s="91">
        <v>3.9540000000000002</v>
      </c>
      <c r="AJ366" s="91">
        <v>4.016</v>
      </c>
      <c r="AK366" s="91">
        <v>3.9369999999999998</v>
      </c>
      <c r="AL366" s="91">
        <v>3.9670000000000001</v>
      </c>
      <c r="AM366" s="95">
        <v>0.1724</v>
      </c>
      <c r="AN366" s="95">
        <v>0.1903</v>
      </c>
      <c r="AO366" s="95">
        <v>0.40439999999999998</v>
      </c>
      <c r="AP366" s="95">
        <v>0.33350000000000002</v>
      </c>
      <c r="AQ366" s="95">
        <v>0.18029999999999999</v>
      </c>
      <c r="AR366" s="95">
        <v>0.16170000000000001</v>
      </c>
      <c r="AS366" s="95">
        <v>-7.5300000000000006E-2</v>
      </c>
      <c r="AT366" s="95">
        <v>-0.40100000000000002</v>
      </c>
      <c r="AU366" s="95">
        <v>0.34100000000000003</v>
      </c>
      <c r="AV366" s="95">
        <v>0.39100000000000001</v>
      </c>
      <c r="AW366" s="95">
        <v>0.32100000000000001</v>
      </c>
      <c r="AX366" s="95">
        <v>0.315</v>
      </c>
      <c r="AY366" s="95">
        <v>0.434</v>
      </c>
      <c r="AZ366" s="95">
        <v>0.35499999999999998</v>
      </c>
      <c r="BA366" s="95">
        <v>0.38800000000000001</v>
      </c>
      <c r="BB366" s="95">
        <v>0.375</v>
      </c>
      <c r="BC366" s="10">
        <v>1</v>
      </c>
      <c r="BD366" s="10">
        <v>1</v>
      </c>
      <c r="BE366" s="10">
        <v>1</v>
      </c>
      <c r="BF366" s="10">
        <v>3</v>
      </c>
      <c r="BG366" s="10">
        <v>1</v>
      </c>
      <c r="BH366" s="10">
        <v>1</v>
      </c>
      <c r="BI366" s="10">
        <v>1</v>
      </c>
      <c r="BJ366" s="10">
        <v>1</v>
      </c>
      <c r="BK366" s="91">
        <v>0.999</v>
      </c>
      <c r="BL366" s="91">
        <v>1</v>
      </c>
      <c r="BM366" s="91">
        <v>0.999</v>
      </c>
      <c r="BN366" s="91">
        <v>0.998</v>
      </c>
      <c r="BO366" s="91">
        <v>1</v>
      </c>
      <c r="BP366" s="91">
        <v>0.999</v>
      </c>
      <c r="BQ366" s="91">
        <v>1</v>
      </c>
      <c r="BR366" s="91">
        <v>0.999</v>
      </c>
      <c r="BS366" s="10" t="s">
        <v>4857</v>
      </c>
    </row>
    <row r="367" spans="1:71" s="30" customFormat="1" ht="17.100000000000001" customHeight="1">
      <c r="A367" s="10">
        <v>356</v>
      </c>
      <c r="B367" s="10" t="s">
        <v>3538</v>
      </c>
      <c r="C367" s="4" t="s">
        <v>3883</v>
      </c>
      <c r="D367" s="4" t="s">
        <v>3609</v>
      </c>
      <c r="E367" s="7" t="s">
        <v>3610</v>
      </c>
      <c r="F367" s="9" t="s">
        <v>5159</v>
      </c>
      <c r="G367" s="4" t="s">
        <v>3611</v>
      </c>
      <c r="H367" s="7" t="s">
        <v>3612</v>
      </c>
      <c r="I367" s="4" t="s">
        <v>3613</v>
      </c>
      <c r="J367" s="10" t="s">
        <v>3614</v>
      </c>
      <c r="K367" s="4" t="s">
        <v>5536</v>
      </c>
      <c r="L367" s="4" t="s">
        <v>3537</v>
      </c>
      <c r="M367" s="10">
        <v>2</v>
      </c>
      <c r="N367" s="95">
        <v>698.90459999999996</v>
      </c>
      <c r="O367" s="38" t="s">
        <v>4854</v>
      </c>
      <c r="P367" s="37" t="str">
        <f>HYPERLINK("http://ms.phosphosite.org:5080/cgi-bin/plot-msms.cgi?MassType=1&amp;NumAxis=1&amp;Mod5=170&amp;Mod9=170&amp;Mod13=170&amp;Pep=GKGGKGLGKGGAKR&amp;Dta=/var/www/html/dta/S01/10559.1964.2.dta&amp;Global_Mod=CS57.0215", "1964")</f>
        <v>1964</v>
      </c>
      <c r="Q367" s="38" t="s">
        <v>4854</v>
      </c>
      <c r="R367" s="37" t="str">
        <f>HYPERLINK("http://ms.phosphosite.org:5080/cgi-bin/plot-msms.cgi?MassType=1&amp;NumAxis=1&amp;Mod5=170&amp;Mod9=170&amp;Mod13=170&amp;Pep=GKGGKGLGKGGAKR&amp;Dta=/var/www/html/dta/S01/10561.1989.2.dta&amp;Global_Mod=CS57.0215", "1989")</f>
        <v>1989</v>
      </c>
      <c r="S367" s="38" t="s">
        <v>4854</v>
      </c>
      <c r="T367" s="38" t="s">
        <v>4854</v>
      </c>
      <c r="U367" s="38" t="s">
        <v>4854</v>
      </c>
      <c r="V367" s="37" t="str">
        <f>HYPERLINK("http://ms.phosphosite.org:5080/cgi-bin/plot-msms.cgi?MassType=1&amp;NumAxis=1&amp;Mod5=170&amp;Mod9=170&amp;Mod13=170&amp;Pep=GKGGKGLGKGGAKR&amp;Dta=/var/www/html/dta/S01/10565.2276.2.dta&amp;Global_Mod=CS57.0215", "2276")</f>
        <v>2276</v>
      </c>
      <c r="W367" s="4" t="s">
        <v>4854</v>
      </c>
      <c r="X367" s="10">
        <v>2007</v>
      </c>
      <c r="Y367" s="4" t="s">
        <v>4854</v>
      </c>
      <c r="Z367" s="10">
        <v>2036</v>
      </c>
      <c r="AA367" s="4" t="s">
        <v>4854</v>
      </c>
      <c r="AB367" s="4" t="s">
        <v>4854</v>
      </c>
      <c r="AC367" s="4" t="s">
        <v>4854</v>
      </c>
      <c r="AD367" s="10">
        <v>2349</v>
      </c>
      <c r="AE367" s="100" t="s">
        <v>4854</v>
      </c>
      <c r="AF367" s="91">
        <v>3.7109999999999999</v>
      </c>
      <c r="AG367" s="100" t="s">
        <v>4854</v>
      </c>
      <c r="AH367" s="91">
        <v>3.359</v>
      </c>
      <c r="AI367" s="100" t="s">
        <v>4854</v>
      </c>
      <c r="AJ367" s="100" t="s">
        <v>4854</v>
      </c>
      <c r="AK367" s="100" t="s">
        <v>4854</v>
      </c>
      <c r="AL367" s="91">
        <v>3.8220000000000001</v>
      </c>
      <c r="AM367" s="103" t="s">
        <v>4854</v>
      </c>
      <c r="AN367" s="95">
        <v>0.20610000000000001</v>
      </c>
      <c r="AO367" s="103" t="s">
        <v>4854</v>
      </c>
      <c r="AP367" s="95">
        <v>0.3357</v>
      </c>
      <c r="AQ367" s="103" t="s">
        <v>4854</v>
      </c>
      <c r="AR367" s="103" t="s">
        <v>4854</v>
      </c>
      <c r="AS367" s="103" t="s">
        <v>4854</v>
      </c>
      <c r="AT367" s="95">
        <v>-0.38879999999999998</v>
      </c>
      <c r="AU367" s="103" t="s">
        <v>4854</v>
      </c>
      <c r="AV367" s="95">
        <v>0.33</v>
      </c>
      <c r="AW367" s="103" t="s">
        <v>4854</v>
      </c>
      <c r="AX367" s="95">
        <v>0.39200000000000002</v>
      </c>
      <c r="AY367" s="103" t="s">
        <v>4854</v>
      </c>
      <c r="AZ367" s="103" t="s">
        <v>4854</v>
      </c>
      <c r="BA367" s="103" t="s">
        <v>4854</v>
      </c>
      <c r="BB367" s="95">
        <v>0.42899999999999999</v>
      </c>
      <c r="BC367" s="4" t="s">
        <v>4854</v>
      </c>
      <c r="BD367" s="10">
        <v>1</v>
      </c>
      <c r="BE367" s="4" t="s">
        <v>4854</v>
      </c>
      <c r="BF367" s="10">
        <v>1</v>
      </c>
      <c r="BG367" s="4" t="s">
        <v>4854</v>
      </c>
      <c r="BH367" s="4" t="s">
        <v>4854</v>
      </c>
      <c r="BI367" s="4" t="s">
        <v>4854</v>
      </c>
      <c r="BJ367" s="10">
        <v>1</v>
      </c>
      <c r="BK367" s="100" t="s">
        <v>4854</v>
      </c>
      <c r="BL367" s="91">
        <v>0.999</v>
      </c>
      <c r="BM367" s="100" t="s">
        <v>4854</v>
      </c>
      <c r="BN367" s="91">
        <v>0.999</v>
      </c>
      <c r="BO367" s="100" t="s">
        <v>4854</v>
      </c>
      <c r="BP367" s="100" t="s">
        <v>4854</v>
      </c>
      <c r="BQ367" s="100" t="s">
        <v>4854</v>
      </c>
      <c r="BR367" s="91">
        <v>1</v>
      </c>
      <c r="BS367" s="10" t="s">
        <v>4857</v>
      </c>
    </row>
    <row r="368" spans="1:71" s="30" customFormat="1" ht="17.100000000000001" customHeight="1">
      <c r="A368" s="10">
        <v>357</v>
      </c>
      <c r="B368" s="10" t="s">
        <v>3539</v>
      </c>
      <c r="C368" s="4" t="s">
        <v>3883</v>
      </c>
      <c r="D368" s="4" t="s">
        <v>3609</v>
      </c>
      <c r="E368" s="7" t="s">
        <v>3610</v>
      </c>
      <c r="F368" s="9" t="s">
        <v>5159</v>
      </c>
      <c r="G368" s="4" t="s">
        <v>3611</v>
      </c>
      <c r="H368" s="7" t="s">
        <v>3612</v>
      </c>
      <c r="I368" s="4" t="s">
        <v>3613</v>
      </c>
      <c r="J368" s="10" t="s">
        <v>3614</v>
      </c>
      <c r="K368" s="4" t="s">
        <v>5536</v>
      </c>
      <c r="L368" s="4" t="s">
        <v>3537</v>
      </c>
      <c r="M368" s="10">
        <v>3</v>
      </c>
      <c r="N368" s="95">
        <v>466.2722</v>
      </c>
      <c r="O368" s="37" t="str">
        <f>HYPERLINK("http://ms.phosphosite.org:5080/cgi-bin/plot-msms.cgi?MassType=1&amp;NumAxis=1&amp;Mod5=170&amp;Mod9=170&amp;Mod13=170&amp;Pep=GKGGKGLGKGGAKR&amp;Dta=/var/www/html/dta/S01/10558.2025.3.dta&amp;Global_Mod=CS57.0215", "2025")</f>
        <v>2025</v>
      </c>
      <c r="P368" s="38" t="s">
        <v>4854</v>
      </c>
      <c r="Q368" s="38" t="s">
        <v>4854</v>
      </c>
      <c r="R368" s="38" t="s">
        <v>4854</v>
      </c>
      <c r="S368" s="38" t="s">
        <v>4854</v>
      </c>
      <c r="T368" s="38" t="s">
        <v>4854</v>
      </c>
      <c r="U368" s="37" t="str">
        <f>HYPERLINK("http://ms.phosphosite.org:5080/cgi-bin/plot-msms.cgi?MassType=1&amp;NumAxis=1&amp;Mod5=170&amp;Mod9=170&amp;Mod13=170&amp;Pep=GKGGKGLGKGGAKR&amp;Dta=/var/www/html/dta/S01/10564.2229.3.dta&amp;Global_Mod=CS57.0215", "2229")</f>
        <v>2229</v>
      </c>
      <c r="V368" s="37" t="str">
        <f>HYPERLINK("http://ms.phosphosite.org:5080/cgi-bin/plot-msms.cgi?MassType=1&amp;NumAxis=1&amp;Mod5=170&amp;Mod9=170&amp;Mod13=170&amp;Pep=GKGGKGLGKGGAKR&amp;Dta=/var/www/html/dta/S01/10565.2268.3.dta&amp;Global_Mod=CS57.0215", "2268")</f>
        <v>2268</v>
      </c>
      <c r="W368" s="10">
        <v>2046</v>
      </c>
      <c r="X368" s="4" t="s">
        <v>4854</v>
      </c>
      <c r="Y368" s="4" t="s">
        <v>4854</v>
      </c>
      <c r="Z368" s="4" t="s">
        <v>4854</v>
      </c>
      <c r="AA368" s="4" t="s">
        <v>4854</v>
      </c>
      <c r="AB368" s="4" t="s">
        <v>4854</v>
      </c>
      <c r="AC368" s="10">
        <v>2274</v>
      </c>
      <c r="AD368" s="10">
        <v>2336</v>
      </c>
      <c r="AE368" s="91">
        <v>3.69</v>
      </c>
      <c r="AF368" s="100" t="s">
        <v>4854</v>
      </c>
      <c r="AG368" s="100" t="s">
        <v>4854</v>
      </c>
      <c r="AH368" s="100" t="s">
        <v>4854</v>
      </c>
      <c r="AI368" s="100" t="s">
        <v>4854</v>
      </c>
      <c r="AJ368" s="100" t="s">
        <v>4854</v>
      </c>
      <c r="AK368" s="91">
        <v>3.7919999999999998</v>
      </c>
      <c r="AL368" s="91">
        <v>3.8490000000000002</v>
      </c>
      <c r="AM368" s="95">
        <v>1.1704000000000001</v>
      </c>
      <c r="AN368" s="103" t="s">
        <v>4854</v>
      </c>
      <c r="AO368" s="103" t="s">
        <v>4854</v>
      </c>
      <c r="AP368" s="103" t="s">
        <v>4854</v>
      </c>
      <c r="AQ368" s="103" t="s">
        <v>4854</v>
      </c>
      <c r="AR368" s="103" t="s">
        <v>4854</v>
      </c>
      <c r="AS368" s="95">
        <v>0.98570000000000002</v>
      </c>
      <c r="AT368" s="95">
        <v>0.27339999999999998</v>
      </c>
      <c r="AU368" s="95">
        <v>0.16900000000000001</v>
      </c>
      <c r="AV368" s="103" t="s">
        <v>4854</v>
      </c>
      <c r="AW368" s="103" t="s">
        <v>4854</v>
      </c>
      <c r="AX368" s="103" t="s">
        <v>4854</v>
      </c>
      <c r="AY368" s="103" t="s">
        <v>4854</v>
      </c>
      <c r="AZ368" s="103" t="s">
        <v>4854</v>
      </c>
      <c r="BA368" s="95">
        <v>0.16900000000000001</v>
      </c>
      <c r="BB368" s="95">
        <v>0.124</v>
      </c>
      <c r="BC368" s="10">
        <v>2</v>
      </c>
      <c r="BD368" s="4" t="s">
        <v>4854</v>
      </c>
      <c r="BE368" s="4" t="s">
        <v>4854</v>
      </c>
      <c r="BF368" s="4" t="s">
        <v>4854</v>
      </c>
      <c r="BG368" s="4" t="s">
        <v>4854</v>
      </c>
      <c r="BH368" s="4" t="s">
        <v>4854</v>
      </c>
      <c r="BI368" s="10">
        <v>2</v>
      </c>
      <c r="BJ368" s="10">
        <v>2</v>
      </c>
      <c r="BK368" s="91">
        <v>0.98499999999999999</v>
      </c>
      <c r="BL368" s="100" t="s">
        <v>4854</v>
      </c>
      <c r="BM368" s="100" t="s">
        <v>4854</v>
      </c>
      <c r="BN368" s="100" t="s">
        <v>4854</v>
      </c>
      <c r="BO368" s="100" t="s">
        <v>4854</v>
      </c>
      <c r="BP368" s="100" t="s">
        <v>4854</v>
      </c>
      <c r="BQ368" s="91">
        <v>0.98599999999999999</v>
      </c>
      <c r="BR368" s="91">
        <v>0.97499999999999998</v>
      </c>
      <c r="BS368" s="10" t="s">
        <v>4857</v>
      </c>
    </row>
    <row r="369" spans="1:71" s="30" customFormat="1" ht="17.100000000000001" customHeight="1">
      <c r="A369" s="10">
        <v>358</v>
      </c>
      <c r="B369" s="10" t="s">
        <v>3540</v>
      </c>
      <c r="C369" s="4" t="s">
        <v>3883</v>
      </c>
      <c r="D369" s="4" t="s">
        <v>3609</v>
      </c>
      <c r="E369" s="7" t="s">
        <v>3610</v>
      </c>
      <c r="F369" s="9" t="s">
        <v>5159</v>
      </c>
      <c r="G369" s="4" t="s">
        <v>3611</v>
      </c>
      <c r="H369" s="7" t="s">
        <v>3612</v>
      </c>
      <c r="I369" s="4" t="s">
        <v>3613</v>
      </c>
      <c r="J369" s="10" t="s">
        <v>3614</v>
      </c>
      <c r="K369" s="4" t="s">
        <v>5536</v>
      </c>
      <c r="L369" s="4" t="s">
        <v>3537</v>
      </c>
      <c r="M369" s="10">
        <v>3</v>
      </c>
      <c r="N369" s="95">
        <v>466.2722</v>
      </c>
      <c r="O369" s="37" t="str">
        <f>HYPERLINK("http://ms.phosphosite.org:5080/cgi-bin/plot-msms.cgi?MassType=1&amp;NumAxis=1&amp;Mod5=170&amp;Mod9=170&amp;Mod13=170&amp;Pep=GKGGKGLGKGGAKR&amp;Dta=/var/www/html/dta/S01/10558.2020.3.dta&amp;Global_Mod=CS57.0215", "2020")</f>
        <v>2020</v>
      </c>
      <c r="P369" s="38" t="s">
        <v>4854</v>
      </c>
      <c r="Q369" s="38" t="s">
        <v>4854</v>
      </c>
      <c r="R369" s="38" t="s">
        <v>4854</v>
      </c>
      <c r="S369" s="38" t="s">
        <v>4854</v>
      </c>
      <c r="T369" s="38" t="s">
        <v>4854</v>
      </c>
      <c r="U369" s="38" t="s">
        <v>4854</v>
      </c>
      <c r="V369" s="38" t="s">
        <v>4854</v>
      </c>
      <c r="W369" s="10">
        <v>2046</v>
      </c>
      <c r="X369" s="4" t="s">
        <v>4854</v>
      </c>
      <c r="Y369" s="4" t="s">
        <v>4854</v>
      </c>
      <c r="Z369" s="4" t="s">
        <v>4854</v>
      </c>
      <c r="AA369" s="4" t="s">
        <v>4854</v>
      </c>
      <c r="AB369" s="4" t="s">
        <v>4854</v>
      </c>
      <c r="AC369" s="4" t="s">
        <v>4854</v>
      </c>
      <c r="AD369" s="4" t="s">
        <v>4854</v>
      </c>
      <c r="AE369" s="91">
        <v>3.5830000000000002</v>
      </c>
      <c r="AF369" s="100" t="s">
        <v>4854</v>
      </c>
      <c r="AG369" s="100" t="s">
        <v>4854</v>
      </c>
      <c r="AH369" s="100" t="s">
        <v>4854</v>
      </c>
      <c r="AI369" s="100" t="s">
        <v>4854</v>
      </c>
      <c r="AJ369" s="100" t="s">
        <v>4854</v>
      </c>
      <c r="AK369" s="100" t="s">
        <v>4854</v>
      </c>
      <c r="AL369" s="100" t="s">
        <v>4854</v>
      </c>
      <c r="AM369" s="95">
        <v>1.1876</v>
      </c>
      <c r="AN369" s="103" t="s">
        <v>4854</v>
      </c>
      <c r="AO369" s="103" t="s">
        <v>4854</v>
      </c>
      <c r="AP369" s="103" t="s">
        <v>4854</v>
      </c>
      <c r="AQ369" s="103" t="s">
        <v>4854</v>
      </c>
      <c r="AR369" s="103" t="s">
        <v>4854</v>
      </c>
      <c r="AS369" s="103" t="s">
        <v>4854</v>
      </c>
      <c r="AT369" s="103" t="s">
        <v>4854</v>
      </c>
      <c r="AU369" s="95">
        <v>0.161</v>
      </c>
      <c r="AV369" s="103" t="s">
        <v>4854</v>
      </c>
      <c r="AW369" s="103" t="s">
        <v>4854</v>
      </c>
      <c r="AX369" s="103" t="s">
        <v>4854</v>
      </c>
      <c r="AY369" s="103" t="s">
        <v>4854</v>
      </c>
      <c r="AZ369" s="103" t="s">
        <v>4854</v>
      </c>
      <c r="BA369" s="103" t="s">
        <v>4854</v>
      </c>
      <c r="BB369" s="103" t="s">
        <v>4854</v>
      </c>
      <c r="BC369" s="10">
        <v>2</v>
      </c>
      <c r="BD369" s="4" t="s">
        <v>4854</v>
      </c>
      <c r="BE369" s="4" t="s">
        <v>4854</v>
      </c>
      <c r="BF369" s="4" t="s">
        <v>4854</v>
      </c>
      <c r="BG369" s="4" t="s">
        <v>4854</v>
      </c>
      <c r="BH369" s="4" t="s">
        <v>4854</v>
      </c>
      <c r="BI369" s="4" t="s">
        <v>4854</v>
      </c>
      <c r="BJ369" s="4" t="s">
        <v>4854</v>
      </c>
      <c r="BK369" s="91">
        <v>0.98099999999999998</v>
      </c>
      <c r="BL369" s="100" t="s">
        <v>4854</v>
      </c>
      <c r="BM369" s="100" t="s">
        <v>4854</v>
      </c>
      <c r="BN369" s="100" t="s">
        <v>4854</v>
      </c>
      <c r="BO369" s="100" t="s">
        <v>4854</v>
      </c>
      <c r="BP369" s="100" t="s">
        <v>4854</v>
      </c>
      <c r="BQ369" s="100" t="s">
        <v>4854</v>
      </c>
      <c r="BR369" s="100" t="s">
        <v>4854</v>
      </c>
      <c r="BS369" s="10" t="s">
        <v>4857</v>
      </c>
    </row>
    <row r="370" spans="1:71" s="30" customFormat="1" ht="17.100000000000001" customHeight="1">
      <c r="A370" s="10">
        <v>359</v>
      </c>
      <c r="B370" s="10" t="s">
        <v>3541</v>
      </c>
      <c r="C370" s="4" t="s">
        <v>3883</v>
      </c>
      <c r="D370" s="4" t="s">
        <v>3609</v>
      </c>
      <c r="E370" s="7" t="s">
        <v>3610</v>
      </c>
      <c r="F370" s="9" t="s">
        <v>5159</v>
      </c>
      <c r="G370" s="4" t="s">
        <v>3611</v>
      </c>
      <c r="H370" s="7" t="s">
        <v>3612</v>
      </c>
      <c r="I370" s="4" t="s">
        <v>3613</v>
      </c>
      <c r="J370" s="10" t="s">
        <v>3614</v>
      </c>
      <c r="K370" s="4" t="s">
        <v>5536</v>
      </c>
      <c r="L370" s="4" t="s">
        <v>3542</v>
      </c>
      <c r="M370" s="10">
        <v>2</v>
      </c>
      <c r="N370" s="95">
        <v>577.8356</v>
      </c>
      <c r="O370" s="37" t="str">
        <f>HYPERLINK("http://ms.phosphosite.org:5080/cgi-bin/plot-msms.cgi?MassType=1&amp;NumAxis=1&amp;Mod2=170&amp;Mod6=170&amp;Mod10=170&amp;Pep=GKGLGKGGAKR&amp;Dta=/var/www/html/dta/S01/10558.2870.2.dta&amp;Global_Mod=CS57.0215", "2870")</f>
        <v>2870</v>
      </c>
      <c r="P370" s="38" t="s">
        <v>4854</v>
      </c>
      <c r="Q370" s="38" t="s">
        <v>4854</v>
      </c>
      <c r="R370" s="38" t="s">
        <v>4854</v>
      </c>
      <c r="S370" s="37" t="str">
        <f>HYPERLINK("http://ms.phosphosite.org:5080/cgi-bin/plot-msms.cgi?MassType=1&amp;NumAxis=1&amp;Mod2=170&amp;Mod6=170&amp;Mod10=170&amp;Pep=GKGLGKGGAKR&amp;Dta=/var/www/html/dta/S01/10562.2902.2.dta&amp;Global_Mod=CS57.0215", "2902")</f>
        <v>2902</v>
      </c>
      <c r="T370" s="38" t="s">
        <v>4854</v>
      </c>
      <c r="U370" s="37" t="str">
        <f>HYPERLINK("http://ms.phosphosite.org:5080/cgi-bin/plot-msms.cgi?MassType=1&amp;NumAxis=1&amp;Mod2=170&amp;Mod6=170&amp;Mod10=170&amp;Pep=GKGLGKGGAKR&amp;Dta=/var/www/html/dta/S01/10564.3131.2.dta&amp;Global_Mod=CS57.0215", "3131")</f>
        <v>3131</v>
      </c>
      <c r="V370" s="37" t="str">
        <f>HYPERLINK("http://ms.phosphosite.org:5080/cgi-bin/plot-msms.cgi?MassType=1&amp;NumAxis=1&amp;Mod2=170&amp;Mod6=170&amp;Mod10=170&amp;Pep=GKGLGKGGAKR&amp;Dta=/var/www/html/dta/S01/10565.3223.2.dta&amp;Global_Mod=CS57.0215", "3223")</f>
        <v>3223</v>
      </c>
      <c r="W370" s="10">
        <v>2873</v>
      </c>
      <c r="X370" s="4" t="s">
        <v>4854</v>
      </c>
      <c r="Y370" s="4" t="s">
        <v>4854</v>
      </c>
      <c r="Z370" s="4" t="s">
        <v>4854</v>
      </c>
      <c r="AA370" s="10">
        <v>2910</v>
      </c>
      <c r="AB370" s="4" t="s">
        <v>4854</v>
      </c>
      <c r="AC370" s="10">
        <v>3147</v>
      </c>
      <c r="AD370" s="10">
        <v>3217</v>
      </c>
      <c r="AE370" s="91">
        <v>3.5179999999999998</v>
      </c>
      <c r="AF370" s="100" t="s">
        <v>4854</v>
      </c>
      <c r="AG370" s="100" t="s">
        <v>4854</v>
      </c>
      <c r="AH370" s="100" t="s">
        <v>4854</v>
      </c>
      <c r="AI370" s="91">
        <v>3.6190000000000002</v>
      </c>
      <c r="AJ370" s="100" t="s">
        <v>4854</v>
      </c>
      <c r="AK370" s="91">
        <v>3.609</v>
      </c>
      <c r="AL370" s="91">
        <v>3.6909999999999998</v>
      </c>
      <c r="AM370" s="95">
        <v>0.50349999999999995</v>
      </c>
      <c r="AN370" s="103" t="s">
        <v>4854</v>
      </c>
      <c r="AO370" s="103" t="s">
        <v>4854</v>
      </c>
      <c r="AP370" s="103" t="s">
        <v>4854</v>
      </c>
      <c r="AQ370" s="95">
        <v>0.75460000000000005</v>
      </c>
      <c r="AR370" s="103" t="s">
        <v>4854</v>
      </c>
      <c r="AS370" s="95">
        <v>0.86460000000000004</v>
      </c>
      <c r="AT370" s="95">
        <v>0.10680000000000001</v>
      </c>
      <c r="AU370" s="95">
        <v>0.28999999999999998</v>
      </c>
      <c r="AV370" s="103" t="s">
        <v>4854</v>
      </c>
      <c r="AW370" s="103" t="s">
        <v>4854</v>
      </c>
      <c r="AX370" s="103" t="s">
        <v>4854</v>
      </c>
      <c r="AY370" s="95">
        <v>0.29099999999999998</v>
      </c>
      <c r="AZ370" s="103" t="s">
        <v>4854</v>
      </c>
      <c r="BA370" s="95">
        <v>0.29699999999999999</v>
      </c>
      <c r="BB370" s="95">
        <v>0.33100000000000002</v>
      </c>
      <c r="BC370" s="10">
        <v>1</v>
      </c>
      <c r="BD370" s="4" t="s">
        <v>4854</v>
      </c>
      <c r="BE370" s="4" t="s">
        <v>4854</v>
      </c>
      <c r="BF370" s="4" t="s">
        <v>4854</v>
      </c>
      <c r="BG370" s="10">
        <v>1</v>
      </c>
      <c r="BH370" s="4" t="s">
        <v>4854</v>
      </c>
      <c r="BI370" s="10">
        <v>1</v>
      </c>
      <c r="BJ370" s="10">
        <v>1</v>
      </c>
      <c r="BK370" s="91">
        <v>0.97599999999999998</v>
      </c>
      <c r="BL370" s="100" t="s">
        <v>4854</v>
      </c>
      <c r="BM370" s="100" t="s">
        <v>4854</v>
      </c>
      <c r="BN370" s="100" t="s">
        <v>4854</v>
      </c>
      <c r="BO370" s="91">
        <v>0.97799999999999998</v>
      </c>
      <c r="BP370" s="100" t="s">
        <v>4854</v>
      </c>
      <c r="BQ370" s="91">
        <v>0.97899999999999998</v>
      </c>
      <c r="BR370" s="91">
        <v>0.98599999999999999</v>
      </c>
      <c r="BS370" s="10" t="s">
        <v>4857</v>
      </c>
    </row>
    <row r="371" spans="1:71" s="30" customFormat="1" ht="17.100000000000001" customHeight="1">
      <c r="A371" s="10">
        <v>360</v>
      </c>
      <c r="B371" s="10" t="s">
        <v>3543</v>
      </c>
      <c r="C371" s="4" t="s">
        <v>3883</v>
      </c>
      <c r="D371" s="4" t="s">
        <v>3609</v>
      </c>
      <c r="E371" s="7" t="s">
        <v>3610</v>
      </c>
      <c r="F371" s="9" t="s">
        <v>5159</v>
      </c>
      <c r="G371" s="4" t="s">
        <v>3611</v>
      </c>
      <c r="H371" s="7" t="s">
        <v>3612</v>
      </c>
      <c r="I371" s="4" t="s">
        <v>3613</v>
      </c>
      <c r="J371" s="10" t="s">
        <v>3614</v>
      </c>
      <c r="K371" s="4" t="s">
        <v>5536</v>
      </c>
      <c r="L371" s="4" t="s">
        <v>3544</v>
      </c>
      <c r="M371" s="10">
        <v>2</v>
      </c>
      <c r="N371" s="95">
        <v>549.32489999999996</v>
      </c>
      <c r="O371" s="38" t="s">
        <v>4854</v>
      </c>
      <c r="P371" s="38" t="s">
        <v>4854</v>
      </c>
      <c r="Q371" s="37" t="str">
        <f>HYPERLINK("http://ms.phosphosite.org:5080/cgi-bin/plot-msms.cgi?MassType=1&amp;NumAxis=1&amp;Mod1=170&amp;Mod5=170&amp;Mod9=170&amp;Pep=KGLGKGGAKR&amp;Dta=/var/www/html/dta/S01/10560.2729.2.dta&amp;Global_Mod=CS57.0215", "2729")</f>
        <v>2729</v>
      </c>
      <c r="R371" s="38" t="s">
        <v>4854</v>
      </c>
      <c r="S371" s="37" t="str">
        <f>HYPERLINK("http://ms.phosphosite.org:5080/cgi-bin/plot-msms.cgi?MassType=1&amp;NumAxis=1&amp;Mod1=170&amp;Mod5=170&amp;Mod9=170&amp;Pep=KGLGKGGAKR&amp;Dta=/var/www/html/dta/S01/10562.2917.2.dta&amp;Global_Mod=CS57.0215", "2917")</f>
        <v>2917</v>
      </c>
      <c r="T371" s="38" t="s">
        <v>4854</v>
      </c>
      <c r="U371" s="38" t="s">
        <v>4854</v>
      </c>
      <c r="V371" s="38" t="s">
        <v>4854</v>
      </c>
      <c r="W371" s="4" t="s">
        <v>4854</v>
      </c>
      <c r="X371" s="4" t="s">
        <v>4854</v>
      </c>
      <c r="Y371" s="4" t="s">
        <v>4854</v>
      </c>
      <c r="Z371" s="4" t="s">
        <v>4854</v>
      </c>
      <c r="AA371" s="4" t="s">
        <v>4854</v>
      </c>
      <c r="AB371" s="4" t="s">
        <v>4854</v>
      </c>
      <c r="AC371" s="4" t="s">
        <v>4854</v>
      </c>
      <c r="AD371" s="4" t="s">
        <v>4854</v>
      </c>
      <c r="AE371" s="100" t="s">
        <v>4854</v>
      </c>
      <c r="AF371" s="100" t="s">
        <v>4854</v>
      </c>
      <c r="AG371" s="91">
        <v>2.8519999999999999</v>
      </c>
      <c r="AH371" s="100" t="s">
        <v>4854</v>
      </c>
      <c r="AI371" s="91">
        <v>2.7890000000000001</v>
      </c>
      <c r="AJ371" s="100" t="s">
        <v>4854</v>
      </c>
      <c r="AK371" s="100" t="s">
        <v>4854</v>
      </c>
      <c r="AL371" s="100" t="s">
        <v>4854</v>
      </c>
      <c r="AM371" s="103" t="s">
        <v>4854</v>
      </c>
      <c r="AN371" s="103" t="s">
        <v>4854</v>
      </c>
      <c r="AO371" s="95">
        <v>0.26519999999999999</v>
      </c>
      <c r="AP371" s="103" t="s">
        <v>4854</v>
      </c>
      <c r="AQ371" s="95">
        <v>0.1085</v>
      </c>
      <c r="AR371" s="103" t="s">
        <v>4854</v>
      </c>
      <c r="AS371" s="103" t="s">
        <v>4854</v>
      </c>
      <c r="AT371" s="103" t="s">
        <v>4854</v>
      </c>
      <c r="AU371" s="103" t="s">
        <v>4854</v>
      </c>
      <c r="AV371" s="103" t="s">
        <v>4854</v>
      </c>
      <c r="AW371" s="95">
        <v>0.18099999999999999</v>
      </c>
      <c r="AX371" s="103" t="s">
        <v>4854</v>
      </c>
      <c r="AY371" s="95">
        <v>0.188</v>
      </c>
      <c r="AZ371" s="103" t="s">
        <v>4854</v>
      </c>
      <c r="BA371" s="103" t="s">
        <v>4854</v>
      </c>
      <c r="BB371" s="103" t="s">
        <v>4854</v>
      </c>
      <c r="BC371" s="4" t="s">
        <v>4854</v>
      </c>
      <c r="BD371" s="4" t="s">
        <v>4854</v>
      </c>
      <c r="BE371" s="10">
        <v>2</v>
      </c>
      <c r="BF371" s="4" t="s">
        <v>4854</v>
      </c>
      <c r="BG371" s="10">
        <v>1</v>
      </c>
      <c r="BH371" s="4" t="s">
        <v>4854</v>
      </c>
      <c r="BI371" s="4" t="s">
        <v>4854</v>
      </c>
      <c r="BJ371" s="4" t="s">
        <v>4854</v>
      </c>
      <c r="BK371" s="100" t="s">
        <v>4854</v>
      </c>
      <c r="BL371" s="100" t="s">
        <v>4854</v>
      </c>
      <c r="BM371" s="91">
        <v>0.83499999999999996</v>
      </c>
      <c r="BN371" s="100" t="s">
        <v>4854</v>
      </c>
      <c r="BO371" s="91">
        <v>0.85899999999999999</v>
      </c>
      <c r="BP371" s="100" t="s">
        <v>4854</v>
      </c>
      <c r="BQ371" s="100" t="s">
        <v>4854</v>
      </c>
      <c r="BR371" s="100" t="s">
        <v>4854</v>
      </c>
      <c r="BS371" s="10" t="s">
        <v>4857</v>
      </c>
    </row>
    <row r="372" spans="1:71" s="30" customFormat="1" ht="17.100000000000001" customHeight="1">
      <c r="A372" s="14">
        <v>361</v>
      </c>
      <c r="B372" s="5" t="s">
        <v>3545</v>
      </c>
      <c r="C372" s="3" t="s">
        <v>3883</v>
      </c>
      <c r="D372" s="3" t="s">
        <v>3546</v>
      </c>
      <c r="E372" s="6" t="s">
        <v>3547</v>
      </c>
      <c r="F372" s="8" t="s">
        <v>5142</v>
      </c>
      <c r="G372" s="3" t="s">
        <v>3548</v>
      </c>
      <c r="H372" s="6" t="s">
        <v>3549</v>
      </c>
      <c r="I372" s="3" t="s">
        <v>3550</v>
      </c>
      <c r="J372" s="5" t="s">
        <v>4838</v>
      </c>
      <c r="K372" s="3" t="s">
        <v>5537</v>
      </c>
      <c r="L372" s="3" t="s">
        <v>3551</v>
      </c>
      <c r="M372" s="5">
        <v>2</v>
      </c>
      <c r="N372" s="21">
        <v>735.43790000000001</v>
      </c>
      <c r="O372" s="36" t="str">
        <f>HYPERLINK("http://ms.phosphosite.org:5080/cgi-bin/plot-msms.cgi?MassType=1&amp;NumAxis=1&amp;Mod1=170&amp;Mod4=170&amp;Mod5=170&amp;Mod9=170&amp;Pep=KGSKKAVTKVQK&amp;Dta=/var/www/html/dta/S01/10558.3502.2.dta&amp;Global_Mod=CS57.0215", "3502")</f>
        <v>3502</v>
      </c>
      <c r="P372" s="36" t="str">
        <f>HYPERLINK("http://ms.phosphosite.org:5080/cgi-bin/plot-msms.cgi?MassType=1&amp;NumAxis=1&amp;Mod1=170&amp;Mod4=170&amp;Mod5=170&amp;Mod9=170&amp;Pep=KGSKKAVTKVQK&amp;Dta=/var/www/html/dta/S01/10559.3459.2.dta&amp;Global_Mod=CS57.0215", "3459")</f>
        <v>3459</v>
      </c>
      <c r="Q372" s="36" t="str">
        <f>HYPERLINK("http://ms.phosphosite.org:5080/cgi-bin/plot-msms.cgi?MassType=1&amp;NumAxis=1&amp;Mod1=170&amp;Mod4=170&amp;Mod5=170&amp;Mod9=170&amp;Pep=KGSKKAVTKVQK&amp;Dta=/var/www/html/dta/S01/10560.3456.2.dta&amp;Global_Mod=CS57.0215", "3456")</f>
        <v>3456</v>
      </c>
      <c r="R372" s="36" t="str">
        <f>HYPERLINK("http://ms.phosphosite.org:5080/cgi-bin/plot-msms.cgi?MassType=1&amp;NumAxis=1&amp;Mod1=170&amp;Mod4=170&amp;Mod5=170&amp;Mod9=170&amp;Pep=KGSKKAVTKVQK&amp;Dta=/var/www/html/dta/S01/10561.3475.2.dta&amp;Global_Mod=CS57.0215", "3475")</f>
        <v>3475</v>
      </c>
      <c r="S372" s="36" t="str">
        <f>HYPERLINK("http://ms.phosphosite.org:5080/cgi-bin/plot-msms.cgi?MassType=1&amp;NumAxis=1&amp;Mod1=170&amp;Mod4=170&amp;Mod5=170&amp;Mod9=170&amp;Pep=KGSKKAVTKVQK&amp;Dta=/var/www/html/dta/S01/10562.3560.2.dta&amp;Global_Mod=CS57.0215", "3560")</f>
        <v>3560</v>
      </c>
      <c r="T372" s="36" t="str">
        <f>HYPERLINK("http://ms.phosphosite.org:5080/cgi-bin/plot-msms.cgi?MassType=1&amp;NumAxis=1&amp;Mod1=170&amp;Mod4=170&amp;Mod5=170&amp;Mod9=170&amp;Pep=KGSKKAVTKVQK&amp;Dta=/var/www/html/dta/S01/10563.3503.2.dta&amp;Global_Mod=CS57.0215", "3503")</f>
        <v>3503</v>
      </c>
      <c r="U372" s="36" t="str">
        <f>HYPERLINK("http://ms.phosphosite.org:5080/cgi-bin/plot-msms.cgi?MassType=1&amp;NumAxis=1&amp;Mod1=170&amp;Mod4=170&amp;Mod5=170&amp;Mod9=170&amp;Pep=KGSKKAVTKVQK&amp;Dta=/var/www/html/dta/S01/10564.3788.2.dta&amp;Global_Mod=CS57.0215", "3788")</f>
        <v>3788</v>
      </c>
      <c r="V372" s="36" t="str">
        <f>HYPERLINK("http://ms.phosphosite.org:5080/cgi-bin/plot-msms.cgi?MassType=1&amp;NumAxis=1&amp;Mod1=170&amp;Mod4=170&amp;Mod5=170&amp;Mod9=170&amp;Pep=KGSKKAVTKVQK&amp;Dta=/var/www/html/dta/S01/10565.3866.2.dta&amp;Global_Mod=CS57.0215", "3866")</f>
        <v>3866</v>
      </c>
      <c r="W372" s="5">
        <v>3539</v>
      </c>
      <c r="X372" s="5">
        <v>3497</v>
      </c>
      <c r="Y372" s="5">
        <v>3492</v>
      </c>
      <c r="Z372" s="5">
        <v>3500</v>
      </c>
      <c r="AA372" s="5">
        <v>3598</v>
      </c>
      <c r="AB372" s="5">
        <v>3527</v>
      </c>
      <c r="AC372" s="5">
        <v>3813</v>
      </c>
      <c r="AD372" s="5">
        <v>3883</v>
      </c>
      <c r="AE372" s="90">
        <v>4.5629999999999997</v>
      </c>
      <c r="AF372" s="90">
        <v>4.8239999999999998</v>
      </c>
      <c r="AG372" s="90">
        <v>4.9219999999999997</v>
      </c>
      <c r="AH372" s="90">
        <v>4.53</v>
      </c>
      <c r="AI372" s="90">
        <v>4.6660000000000004</v>
      </c>
      <c r="AJ372" s="90">
        <v>4.74</v>
      </c>
      <c r="AK372" s="90">
        <v>4.6040000000000001</v>
      </c>
      <c r="AL372" s="90">
        <v>4.6779999999999999</v>
      </c>
      <c r="AM372" s="21">
        <v>0.46889999999999998</v>
      </c>
      <c r="AN372" s="21">
        <v>0.54169999999999996</v>
      </c>
      <c r="AO372" s="21">
        <v>0.65129999999999999</v>
      </c>
      <c r="AP372" s="21">
        <v>0.84519999999999995</v>
      </c>
      <c r="AQ372" s="21">
        <v>0.62409999999999999</v>
      </c>
      <c r="AR372" s="21">
        <v>0.64239999999999997</v>
      </c>
      <c r="AS372" s="21">
        <v>0.13420000000000001</v>
      </c>
      <c r="AT372" s="21">
        <v>-7.1900000000000006E-2</v>
      </c>
      <c r="AU372" s="21">
        <v>0.41</v>
      </c>
      <c r="AV372" s="21">
        <v>0.39600000000000002</v>
      </c>
      <c r="AW372" s="21">
        <v>0.41</v>
      </c>
      <c r="AX372" s="21">
        <v>0.44600000000000001</v>
      </c>
      <c r="AY372" s="21">
        <v>0.39500000000000002</v>
      </c>
      <c r="AZ372" s="21">
        <v>0.36799999999999999</v>
      </c>
      <c r="BA372" s="21">
        <v>0.39700000000000002</v>
      </c>
      <c r="BB372" s="21">
        <v>0.42899999999999999</v>
      </c>
      <c r="BC372" s="5">
        <v>1</v>
      </c>
      <c r="BD372" s="5">
        <v>1</v>
      </c>
      <c r="BE372" s="5">
        <v>1</v>
      </c>
      <c r="BF372" s="5">
        <v>1</v>
      </c>
      <c r="BG372" s="5">
        <v>1</v>
      </c>
      <c r="BH372" s="5">
        <v>1</v>
      </c>
      <c r="BI372" s="5">
        <v>1</v>
      </c>
      <c r="BJ372" s="5">
        <v>1</v>
      </c>
      <c r="BK372" s="90">
        <v>1</v>
      </c>
      <c r="BL372" s="90">
        <v>1</v>
      </c>
      <c r="BM372" s="90">
        <v>1</v>
      </c>
      <c r="BN372" s="90">
        <v>1</v>
      </c>
      <c r="BO372" s="90">
        <v>1</v>
      </c>
      <c r="BP372" s="90">
        <v>1</v>
      </c>
      <c r="BQ372" s="90">
        <v>1</v>
      </c>
      <c r="BR372" s="90">
        <v>1</v>
      </c>
      <c r="BS372" s="5" t="s">
        <v>4857</v>
      </c>
    </row>
    <row r="373" spans="1:71" s="30" customFormat="1" ht="17.100000000000001" customHeight="1">
      <c r="A373" s="14">
        <v>362</v>
      </c>
      <c r="B373" s="5" t="s">
        <v>3552</v>
      </c>
      <c r="C373" s="3" t="s">
        <v>3883</v>
      </c>
      <c r="D373" s="3" t="s">
        <v>3546</v>
      </c>
      <c r="E373" s="6" t="s">
        <v>3547</v>
      </c>
      <c r="F373" s="8" t="s">
        <v>5142</v>
      </c>
      <c r="G373" s="3" t="s">
        <v>3548</v>
      </c>
      <c r="H373" s="6" t="s">
        <v>3549</v>
      </c>
      <c r="I373" s="3" t="s">
        <v>3550</v>
      </c>
      <c r="J373" s="5" t="s">
        <v>4838</v>
      </c>
      <c r="K373" s="3" t="s">
        <v>5537</v>
      </c>
      <c r="L373" s="3" t="s">
        <v>3551</v>
      </c>
      <c r="M373" s="5">
        <v>3</v>
      </c>
      <c r="N373" s="21">
        <v>490.6277</v>
      </c>
      <c r="O373" s="36" t="str">
        <f>HYPERLINK("http://ms.phosphosite.org:5080/cgi-bin/plot-msms.cgi?MassType=1&amp;NumAxis=1&amp;Mod1=170&amp;Mod4=170&amp;Mod5=170&amp;Mod9=170&amp;Pep=KGSKKAVTKVQK&amp;Dta=/var/www/html/dta/S01/10558.3507.3.dta&amp;Global_Mod=CS57.0215", "3507")</f>
        <v>3507</v>
      </c>
      <c r="P373" s="36" t="str">
        <f>HYPERLINK("http://ms.phosphosite.org:5080/cgi-bin/plot-msms.cgi?MassType=1&amp;NumAxis=1&amp;Mod1=170&amp;Mod4=170&amp;Mod5=170&amp;Mod9=170&amp;Pep=KGSKKAVTKVQK&amp;Dta=/var/www/html/dta/S01/10559.3465.3.dta&amp;Global_Mod=CS57.0215", "3465")</f>
        <v>3465</v>
      </c>
      <c r="Q373" s="36" t="str">
        <f>HYPERLINK("http://ms.phosphosite.org:5080/cgi-bin/plot-msms.cgi?MassType=1&amp;NumAxis=1&amp;Mod1=170&amp;Mod4=170&amp;Mod5=170&amp;Mod9=170&amp;Pep=KGSKKAVTKVQK&amp;Dta=/var/www/html/dta/S01/10560.3460.3.dta&amp;Global_Mod=CS57.0215", "3460")</f>
        <v>3460</v>
      </c>
      <c r="R373" s="36" t="str">
        <f>HYPERLINK("http://ms.phosphosite.org:5080/cgi-bin/plot-msms.cgi?MassType=1&amp;NumAxis=1&amp;Mod1=170&amp;Mod4=170&amp;Mod5=170&amp;Mod9=170&amp;Pep=KGSKKAVTKVQK&amp;Dta=/var/www/html/dta/S01/10561.3481.3.dta&amp;Global_Mod=CS57.0215", "3481")</f>
        <v>3481</v>
      </c>
      <c r="S373" s="36" t="str">
        <f>HYPERLINK("http://ms.phosphosite.org:5080/cgi-bin/plot-msms.cgi?MassType=1&amp;NumAxis=1&amp;Mod1=170&amp;Mod4=170&amp;Mod5=170&amp;Mod9=170&amp;Pep=KGSKKAVTKVQK&amp;Dta=/var/www/html/dta/S01/10562.3558.3.dta&amp;Global_Mod=CS57.0215", "3558")</f>
        <v>3558</v>
      </c>
      <c r="T373" s="36" t="str">
        <f>HYPERLINK("http://ms.phosphosite.org:5080/cgi-bin/plot-msms.cgi?MassType=1&amp;NumAxis=1&amp;Mod1=170&amp;Mod4=170&amp;Mod5=170&amp;Mod9=170&amp;Pep=KGSKKAVTKVQK&amp;Dta=/var/www/html/dta/S01/10563.3506.3.dta&amp;Global_Mod=CS57.0215", "3506")</f>
        <v>3506</v>
      </c>
      <c r="U373" s="36" t="str">
        <f>HYPERLINK("http://ms.phosphosite.org:5080/cgi-bin/plot-msms.cgi?MassType=1&amp;NumAxis=1&amp;Mod1=170&amp;Mod4=170&amp;Mod5=170&amp;Mod9=170&amp;Pep=KGSKKAVTKVQK&amp;Dta=/var/www/html/dta/S01/10564.3849.3.dta&amp;Global_Mod=CS57.0215", "3849")</f>
        <v>3849</v>
      </c>
      <c r="V373" s="36" t="str">
        <f>HYPERLINK("http://ms.phosphosite.org:5080/cgi-bin/plot-msms.cgi?MassType=1&amp;NumAxis=1&amp;Mod1=170&amp;Mod4=170&amp;Mod5=170&amp;Mod9=170&amp;Pep=KGSKKAVTKVQK&amp;Dta=/var/www/html/dta/S01/10565.3865.3.dta&amp;Global_Mod=CS57.0215", "3865")</f>
        <v>3865</v>
      </c>
      <c r="W373" s="5">
        <v>3528</v>
      </c>
      <c r="X373" s="5">
        <v>3497</v>
      </c>
      <c r="Y373" s="5">
        <v>3492</v>
      </c>
      <c r="Z373" s="5">
        <v>3511</v>
      </c>
      <c r="AA373" s="5">
        <v>3587</v>
      </c>
      <c r="AB373" s="5">
        <v>3527</v>
      </c>
      <c r="AC373" s="5">
        <v>3813</v>
      </c>
      <c r="AD373" s="5">
        <v>3894</v>
      </c>
      <c r="AE373" s="90">
        <v>4.2869999999999999</v>
      </c>
      <c r="AF373" s="90">
        <v>4.0190000000000001</v>
      </c>
      <c r="AG373" s="90">
        <v>4.3230000000000004</v>
      </c>
      <c r="AH373" s="90">
        <v>4.6399999999999997</v>
      </c>
      <c r="AI373" s="90">
        <v>4.032</v>
      </c>
      <c r="AJ373" s="90">
        <v>4.0190000000000001</v>
      </c>
      <c r="AK373" s="90">
        <v>3.613</v>
      </c>
      <c r="AL373" s="90">
        <v>3.6949999999999998</v>
      </c>
      <c r="AM373" s="21">
        <v>0.2104</v>
      </c>
      <c r="AN373" s="21">
        <v>0.33150000000000002</v>
      </c>
      <c r="AO373" s="21">
        <v>0.63629999999999998</v>
      </c>
      <c r="AP373" s="21">
        <v>0.73160000000000003</v>
      </c>
      <c r="AQ373" s="21">
        <v>0.53359999999999996</v>
      </c>
      <c r="AR373" s="21">
        <v>0.50980000000000003</v>
      </c>
      <c r="AS373" s="21">
        <v>0.13220000000000001</v>
      </c>
      <c r="AT373" s="21">
        <v>-0.18210000000000001</v>
      </c>
      <c r="AU373" s="21">
        <v>0.28799999999999998</v>
      </c>
      <c r="AV373" s="21">
        <v>0.20300000000000001</v>
      </c>
      <c r="AW373" s="21">
        <v>0.32200000000000001</v>
      </c>
      <c r="AX373" s="21">
        <v>0.28999999999999998</v>
      </c>
      <c r="AY373" s="21">
        <v>0.247</v>
      </c>
      <c r="AZ373" s="21">
        <v>0.23</v>
      </c>
      <c r="BA373" s="21">
        <v>0.23300000000000001</v>
      </c>
      <c r="BB373" s="21">
        <v>0.191</v>
      </c>
      <c r="BC373" s="5">
        <v>1</v>
      </c>
      <c r="BD373" s="5">
        <v>1</v>
      </c>
      <c r="BE373" s="5">
        <v>1</v>
      </c>
      <c r="BF373" s="5">
        <v>1</v>
      </c>
      <c r="BG373" s="5">
        <v>1</v>
      </c>
      <c r="BH373" s="5">
        <v>1</v>
      </c>
      <c r="BI373" s="5">
        <v>1</v>
      </c>
      <c r="BJ373" s="5">
        <v>1</v>
      </c>
      <c r="BK373" s="90">
        <v>1</v>
      </c>
      <c r="BL373" s="90">
        <v>1</v>
      </c>
      <c r="BM373" s="90">
        <v>1</v>
      </c>
      <c r="BN373" s="90">
        <v>1</v>
      </c>
      <c r="BO373" s="90">
        <v>1</v>
      </c>
      <c r="BP373" s="90">
        <v>1</v>
      </c>
      <c r="BQ373" s="90">
        <v>1</v>
      </c>
      <c r="BR373" s="90">
        <v>0.999</v>
      </c>
      <c r="BS373" s="5" t="s">
        <v>4857</v>
      </c>
    </row>
    <row r="374" spans="1:71" s="30" customFormat="1" ht="17.100000000000001" customHeight="1">
      <c r="A374" s="10">
        <v>363</v>
      </c>
      <c r="B374" s="10" t="s">
        <v>3553</v>
      </c>
      <c r="C374" s="4" t="s">
        <v>3883</v>
      </c>
      <c r="D374" s="4" t="s">
        <v>3546</v>
      </c>
      <c r="E374" s="7" t="s">
        <v>3547</v>
      </c>
      <c r="F374" s="9" t="s">
        <v>5322</v>
      </c>
      <c r="G374" s="4" t="s">
        <v>3548</v>
      </c>
      <c r="H374" s="7" t="s">
        <v>3549</v>
      </c>
      <c r="I374" s="4" t="s">
        <v>3550</v>
      </c>
      <c r="J374" s="10" t="s">
        <v>4838</v>
      </c>
      <c r="K374" s="4" t="s">
        <v>5538</v>
      </c>
      <c r="L374" s="4" t="s">
        <v>3554</v>
      </c>
      <c r="M374" s="10">
        <v>3</v>
      </c>
      <c r="N374" s="95">
        <v>476.62419999999997</v>
      </c>
      <c r="O374" s="37" t="str">
        <f>HYPERLINK("http://ms.phosphosite.org:5080/cgi-bin/plot-msms.cgi?MassType=1&amp;NumAxis=1&amp;Mod1=170&amp;Mod4=170&amp;Mod9=170&amp;Pep=KGSKKAVTKVQK&amp;Dta=/var/www/html/dta/S01/10558.2237.3.dta&amp;Global_Mod=CS57.0215", "2237")</f>
        <v>2237</v>
      </c>
      <c r="P374" s="38" t="s">
        <v>4854</v>
      </c>
      <c r="Q374" s="37" t="str">
        <f>HYPERLINK("http://ms.phosphosite.org:5080/cgi-bin/plot-msms.cgi?MassType=1&amp;NumAxis=1&amp;Mod1=170&amp;Mod4=170&amp;Mod9=170&amp;Pep=KGSKKAVTKVQK&amp;Dta=/var/www/html/dta/S01/10560.2234.3.dta&amp;Global_Mod=CS57.0215", "2234")</f>
        <v>2234</v>
      </c>
      <c r="R374" s="37" t="str">
        <f>HYPERLINK("http://ms.phosphosite.org:5080/cgi-bin/plot-msms.cgi?MassType=1&amp;NumAxis=1&amp;Mod1=170&amp;Mod4=170&amp;Mod9=170&amp;Pep=KGSKKAVTKVQK&amp;Dta=/var/www/html/dta/S01/10561.2276.3.dta&amp;Global_Mod=CS57.0215", "2276")</f>
        <v>2276</v>
      </c>
      <c r="S374" s="38" t="s">
        <v>4854</v>
      </c>
      <c r="T374" s="37" t="str">
        <f>HYPERLINK("http://ms.phosphosite.org:5080/cgi-bin/plot-msms.cgi?MassType=1&amp;NumAxis=1&amp;Mod1=170&amp;Mod4=170&amp;Mod9=170&amp;Pep=KGSKKAVTKVQK&amp;Dta=/var/www/html/dta/S01/10563.2248.3.dta&amp;Global_Mod=CS57.0215", "2248")</f>
        <v>2248</v>
      </c>
      <c r="U374" s="37" t="str">
        <f>HYPERLINK("http://ms.phosphosite.org:5080/cgi-bin/plot-msms.cgi?MassType=1&amp;NumAxis=1&amp;Mod1=170&amp;Mod4=170&amp;Mod9=170&amp;Pep=KGSKKAVTKVQK&amp;Dta=/var/www/html/dta/S01/10564.2535.3.dta&amp;Global_Mod=CS57.0215", "2535")</f>
        <v>2535</v>
      </c>
      <c r="V374" s="37" t="str">
        <f>HYPERLINK("http://ms.phosphosite.org:5080/cgi-bin/plot-msms.cgi?MassType=1&amp;NumAxis=1&amp;Mod1=170&amp;Mod4=170&amp;Mod9=170&amp;Pep=KGSKKAVTKVQK&amp;Dta=/var/www/html/dta/S01/10565.2604.3.dta&amp;Global_Mod=CS57.0215", "2604")</f>
        <v>2604</v>
      </c>
      <c r="W374" s="10">
        <v>2252</v>
      </c>
      <c r="X374" s="4" t="s">
        <v>4854</v>
      </c>
      <c r="Y374" s="10">
        <v>2208</v>
      </c>
      <c r="Z374" s="10">
        <v>2234</v>
      </c>
      <c r="AA374" s="4" t="s">
        <v>4854</v>
      </c>
      <c r="AB374" s="10">
        <v>2247</v>
      </c>
      <c r="AC374" s="10">
        <v>2511</v>
      </c>
      <c r="AD374" s="10">
        <v>2576</v>
      </c>
      <c r="AE374" s="91">
        <v>2.6040000000000001</v>
      </c>
      <c r="AF374" s="100" t="s">
        <v>4854</v>
      </c>
      <c r="AG374" s="91">
        <v>3.68</v>
      </c>
      <c r="AH374" s="91">
        <v>3.698</v>
      </c>
      <c r="AI374" s="100" t="s">
        <v>4854</v>
      </c>
      <c r="AJ374" s="91">
        <v>3.8380000000000001</v>
      </c>
      <c r="AK374" s="91">
        <v>3.9020000000000001</v>
      </c>
      <c r="AL374" s="91">
        <v>3.5470000000000002</v>
      </c>
      <c r="AM374" s="95">
        <v>-0.33900000000000002</v>
      </c>
      <c r="AN374" s="103" t="s">
        <v>4854</v>
      </c>
      <c r="AO374" s="95">
        <v>0.2346</v>
      </c>
      <c r="AP374" s="95">
        <v>9.0999999999999998E-2</v>
      </c>
      <c r="AQ374" s="103" t="s">
        <v>4854</v>
      </c>
      <c r="AR374" s="95">
        <v>0.14990000000000001</v>
      </c>
      <c r="AS374" s="95">
        <v>-0.1394</v>
      </c>
      <c r="AT374" s="95">
        <v>-0.4819</v>
      </c>
      <c r="AU374" s="95">
        <v>0.151</v>
      </c>
      <c r="AV374" s="103" t="s">
        <v>4854</v>
      </c>
      <c r="AW374" s="95">
        <v>0.224</v>
      </c>
      <c r="AX374" s="95">
        <v>0.183</v>
      </c>
      <c r="AY374" s="103" t="s">
        <v>4854</v>
      </c>
      <c r="AZ374" s="95">
        <v>0.24299999999999999</v>
      </c>
      <c r="BA374" s="95">
        <v>0.16300000000000001</v>
      </c>
      <c r="BB374" s="95">
        <v>0.16500000000000001</v>
      </c>
      <c r="BC374" s="10">
        <v>2</v>
      </c>
      <c r="BD374" s="4" t="s">
        <v>4854</v>
      </c>
      <c r="BE374" s="10">
        <v>2</v>
      </c>
      <c r="BF374" s="10">
        <v>2</v>
      </c>
      <c r="BG374" s="4" t="s">
        <v>4854</v>
      </c>
      <c r="BH374" s="10">
        <v>1</v>
      </c>
      <c r="BI374" s="10">
        <v>3</v>
      </c>
      <c r="BJ374" s="10">
        <v>2</v>
      </c>
      <c r="BK374" s="91">
        <v>0.995</v>
      </c>
      <c r="BL374" s="100" t="s">
        <v>4854</v>
      </c>
      <c r="BM374" s="91">
        <v>1</v>
      </c>
      <c r="BN374" s="91">
        <v>0.999</v>
      </c>
      <c r="BO374" s="100" t="s">
        <v>4854</v>
      </c>
      <c r="BP374" s="91">
        <v>1</v>
      </c>
      <c r="BQ374" s="91">
        <v>0.999</v>
      </c>
      <c r="BR374" s="91">
        <v>0.998</v>
      </c>
      <c r="BS374" s="10" t="s">
        <v>4857</v>
      </c>
    </row>
    <row r="375" spans="1:71" s="30" customFormat="1" ht="17.100000000000001" customHeight="1">
      <c r="A375" s="14">
        <v>364</v>
      </c>
      <c r="B375" s="5" t="s">
        <v>3555</v>
      </c>
      <c r="C375" s="3" t="s">
        <v>3883</v>
      </c>
      <c r="D375" s="3" t="s">
        <v>3546</v>
      </c>
      <c r="E375" s="6" t="s">
        <v>3547</v>
      </c>
      <c r="F375" s="8" t="s">
        <v>5323</v>
      </c>
      <c r="G375" s="3" t="s">
        <v>3548</v>
      </c>
      <c r="H375" s="6" t="s">
        <v>3549</v>
      </c>
      <c r="I375" s="3" t="s">
        <v>3550</v>
      </c>
      <c r="J375" s="5" t="s">
        <v>4838</v>
      </c>
      <c r="K375" s="3" t="s">
        <v>5539</v>
      </c>
      <c r="L375" s="3" t="s">
        <v>3556</v>
      </c>
      <c r="M375" s="5">
        <v>3</v>
      </c>
      <c r="N375" s="21">
        <v>476.62419999999997</v>
      </c>
      <c r="O375" s="35" t="s">
        <v>4854</v>
      </c>
      <c r="P375" s="35" t="s">
        <v>4854</v>
      </c>
      <c r="Q375" s="35" t="s">
        <v>4854</v>
      </c>
      <c r="R375" s="36" t="str">
        <f>HYPERLINK("http://ms.phosphosite.org:5080/cgi-bin/plot-msms.cgi?MassType=1&amp;NumAxis=1&amp;Mod1=170&amp;Mod5=170&amp;Mod9=170&amp;Pep=KGSKKAVTKVQK&amp;Dta=/var/www/html/dta/S01/10561.2295.3.dta&amp;Global_Mod=CS57.0215", "2295")</f>
        <v>2295</v>
      </c>
      <c r="S375" s="35" t="s">
        <v>4854</v>
      </c>
      <c r="T375" s="35" t="s">
        <v>4854</v>
      </c>
      <c r="U375" s="35" t="s">
        <v>4854</v>
      </c>
      <c r="V375" s="35" t="s">
        <v>4854</v>
      </c>
      <c r="W375" s="3" t="s">
        <v>4854</v>
      </c>
      <c r="X375" s="3" t="s">
        <v>4854</v>
      </c>
      <c r="Y375" s="3" t="s">
        <v>4854</v>
      </c>
      <c r="Z375" s="5">
        <v>2234</v>
      </c>
      <c r="AA375" s="3" t="s">
        <v>4854</v>
      </c>
      <c r="AB375" s="3" t="s">
        <v>4854</v>
      </c>
      <c r="AC375" s="3" t="s">
        <v>4854</v>
      </c>
      <c r="AD375" s="3" t="s">
        <v>4854</v>
      </c>
      <c r="AE375" s="99" t="s">
        <v>4854</v>
      </c>
      <c r="AF375" s="99" t="s">
        <v>4854</v>
      </c>
      <c r="AG375" s="99" t="s">
        <v>4854</v>
      </c>
      <c r="AH375" s="90">
        <v>2.573</v>
      </c>
      <c r="AI375" s="99" t="s">
        <v>4854</v>
      </c>
      <c r="AJ375" s="99" t="s">
        <v>4854</v>
      </c>
      <c r="AK375" s="99" t="s">
        <v>4854</v>
      </c>
      <c r="AL375" s="99" t="s">
        <v>4854</v>
      </c>
      <c r="AM375" s="102" t="s">
        <v>4854</v>
      </c>
      <c r="AN375" s="102" t="s">
        <v>4854</v>
      </c>
      <c r="AO375" s="102" t="s">
        <v>4854</v>
      </c>
      <c r="AP375" s="21">
        <v>9.0999999999999998E-2</v>
      </c>
      <c r="AQ375" s="102" t="s">
        <v>4854</v>
      </c>
      <c r="AR375" s="102" t="s">
        <v>4854</v>
      </c>
      <c r="AS375" s="102" t="s">
        <v>4854</v>
      </c>
      <c r="AT375" s="102" t="s">
        <v>4854</v>
      </c>
      <c r="AU375" s="102" t="s">
        <v>4854</v>
      </c>
      <c r="AV375" s="102" t="s">
        <v>4854</v>
      </c>
      <c r="AW375" s="102" t="s">
        <v>4854</v>
      </c>
      <c r="AX375" s="21">
        <v>0.12</v>
      </c>
      <c r="AY375" s="102" t="s">
        <v>4854</v>
      </c>
      <c r="AZ375" s="102" t="s">
        <v>4854</v>
      </c>
      <c r="BA375" s="102" t="s">
        <v>4854</v>
      </c>
      <c r="BB375" s="102" t="s">
        <v>4854</v>
      </c>
      <c r="BC375" s="3" t="s">
        <v>4854</v>
      </c>
      <c r="BD375" s="3" t="s">
        <v>4854</v>
      </c>
      <c r="BE375" s="3" t="s">
        <v>4854</v>
      </c>
      <c r="BF375" s="5">
        <v>22</v>
      </c>
      <c r="BG375" s="3" t="s">
        <v>4854</v>
      </c>
      <c r="BH375" s="3" t="s">
        <v>4854</v>
      </c>
      <c r="BI375" s="3" t="s">
        <v>4854</v>
      </c>
      <c r="BJ375" s="3" t="s">
        <v>4854</v>
      </c>
      <c r="BK375" s="99" t="s">
        <v>4854</v>
      </c>
      <c r="BL375" s="99" t="s">
        <v>4854</v>
      </c>
      <c r="BM375" s="99" t="s">
        <v>4854</v>
      </c>
      <c r="BN375" s="90">
        <v>0.98599999999999999</v>
      </c>
      <c r="BO375" s="99" t="s">
        <v>4854</v>
      </c>
      <c r="BP375" s="99" t="s">
        <v>4854</v>
      </c>
      <c r="BQ375" s="99" t="s">
        <v>4854</v>
      </c>
      <c r="BR375" s="99" t="s">
        <v>4854</v>
      </c>
      <c r="BS375" s="5" t="s">
        <v>4857</v>
      </c>
    </row>
    <row r="376" spans="1:71" s="30" customFormat="1" ht="17.100000000000001" customHeight="1">
      <c r="A376" s="10">
        <v>365</v>
      </c>
      <c r="B376" s="10" t="s">
        <v>3557</v>
      </c>
      <c r="C376" s="4" t="s">
        <v>3883</v>
      </c>
      <c r="D376" s="4" t="s">
        <v>3546</v>
      </c>
      <c r="E376" s="7" t="s">
        <v>3547</v>
      </c>
      <c r="F376" s="9" t="s">
        <v>5096</v>
      </c>
      <c r="G376" s="4" t="s">
        <v>3548</v>
      </c>
      <c r="H376" s="7" t="s">
        <v>3549</v>
      </c>
      <c r="I376" s="4" t="s">
        <v>3550</v>
      </c>
      <c r="J376" s="10" t="s">
        <v>4838</v>
      </c>
      <c r="K376" s="4" t="s">
        <v>5540</v>
      </c>
      <c r="L376" s="4" t="s">
        <v>3558</v>
      </c>
      <c r="M376" s="10">
        <v>2</v>
      </c>
      <c r="N376" s="95">
        <v>714.43269999999995</v>
      </c>
      <c r="O376" s="38" t="s">
        <v>4854</v>
      </c>
      <c r="P376" s="38" t="s">
        <v>4854</v>
      </c>
      <c r="Q376" s="38" t="s">
        <v>4854</v>
      </c>
      <c r="R376" s="38" t="s">
        <v>4854</v>
      </c>
      <c r="S376" s="37" t="str">
        <f>HYPERLINK("http://ms.phosphosite.org:5080/cgi-bin/plot-msms.cgi?MassType=1&amp;NumAxis=1&amp;Mod4=170&amp;Mod5=170&amp;Mod9=170&amp;Pep=KGSKKAVTKVQK&amp;Dta=/var/www/html/dta/S01/10562.2300.2.dta&amp;Global_Mod=CS57.0215", "2300")</f>
        <v>2300</v>
      </c>
      <c r="T376" s="38" t="s">
        <v>4854</v>
      </c>
      <c r="U376" s="38" t="s">
        <v>4854</v>
      </c>
      <c r="V376" s="38" t="s">
        <v>4854</v>
      </c>
      <c r="W376" s="4" t="s">
        <v>4854</v>
      </c>
      <c r="X376" s="4" t="s">
        <v>4854</v>
      </c>
      <c r="Y376" s="4" t="s">
        <v>4854</v>
      </c>
      <c r="Z376" s="4" t="s">
        <v>4854</v>
      </c>
      <c r="AA376" s="10">
        <v>2305</v>
      </c>
      <c r="AB376" s="4" t="s">
        <v>4854</v>
      </c>
      <c r="AC376" s="4" t="s">
        <v>4854</v>
      </c>
      <c r="AD376" s="4" t="s">
        <v>4854</v>
      </c>
      <c r="AE376" s="100" t="s">
        <v>4854</v>
      </c>
      <c r="AF376" s="100" t="s">
        <v>4854</v>
      </c>
      <c r="AG376" s="100" t="s">
        <v>4854</v>
      </c>
      <c r="AH376" s="100" t="s">
        <v>4854</v>
      </c>
      <c r="AI376" s="91">
        <v>2.597</v>
      </c>
      <c r="AJ376" s="100" t="s">
        <v>4854</v>
      </c>
      <c r="AK376" s="100" t="s">
        <v>4854</v>
      </c>
      <c r="AL376" s="100" t="s">
        <v>4854</v>
      </c>
      <c r="AM376" s="103" t="s">
        <v>4854</v>
      </c>
      <c r="AN376" s="103" t="s">
        <v>4854</v>
      </c>
      <c r="AO376" s="103" t="s">
        <v>4854</v>
      </c>
      <c r="AP376" s="103" t="s">
        <v>4854</v>
      </c>
      <c r="AQ376" s="95">
        <v>1.4742</v>
      </c>
      <c r="AR376" s="103" t="s">
        <v>4854</v>
      </c>
      <c r="AS376" s="103" t="s">
        <v>4854</v>
      </c>
      <c r="AT376" s="103" t="s">
        <v>4854</v>
      </c>
      <c r="AU376" s="103" t="s">
        <v>4854</v>
      </c>
      <c r="AV376" s="103" t="s">
        <v>4854</v>
      </c>
      <c r="AW376" s="103" t="s">
        <v>4854</v>
      </c>
      <c r="AX376" s="103" t="s">
        <v>4854</v>
      </c>
      <c r="AY376" s="95">
        <v>4.5999999999999999E-2</v>
      </c>
      <c r="AZ376" s="103" t="s">
        <v>4854</v>
      </c>
      <c r="BA376" s="103" t="s">
        <v>4854</v>
      </c>
      <c r="BB376" s="103" t="s">
        <v>4854</v>
      </c>
      <c r="BC376" s="4" t="s">
        <v>4854</v>
      </c>
      <c r="BD376" s="4" t="s">
        <v>4854</v>
      </c>
      <c r="BE376" s="4" t="s">
        <v>4854</v>
      </c>
      <c r="BF376" s="4" t="s">
        <v>4854</v>
      </c>
      <c r="BG376" s="10">
        <v>1</v>
      </c>
      <c r="BH376" s="4" t="s">
        <v>4854</v>
      </c>
      <c r="BI376" s="4" t="s">
        <v>4854</v>
      </c>
      <c r="BJ376" s="4" t="s">
        <v>4854</v>
      </c>
      <c r="BK376" s="100" t="s">
        <v>4854</v>
      </c>
      <c r="BL376" s="100" t="s">
        <v>4854</v>
      </c>
      <c r="BM376" s="100" t="s">
        <v>4854</v>
      </c>
      <c r="BN376" s="100" t="s">
        <v>4854</v>
      </c>
      <c r="BO376" s="91">
        <v>0.98699999999999999</v>
      </c>
      <c r="BP376" s="100" t="s">
        <v>4854</v>
      </c>
      <c r="BQ376" s="100" t="s">
        <v>4854</v>
      </c>
      <c r="BR376" s="100" t="s">
        <v>4854</v>
      </c>
      <c r="BS376" s="10" t="s">
        <v>4857</v>
      </c>
    </row>
    <row r="377" spans="1:71" s="30" customFormat="1" ht="17.100000000000001" customHeight="1">
      <c r="A377" s="14">
        <v>366</v>
      </c>
      <c r="B377" s="5" t="s">
        <v>3559</v>
      </c>
      <c r="C377" s="3" t="s">
        <v>3883</v>
      </c>
      <c r="D377" s="3" t="s">
        <v>3546</v>
      </c>
      <c r="E377" s="6" t="s">
        <v>3547</v>
      </c>
      <c r="F377" s="5" t="s">
        <v>5131</v>
      </c>
      <c r="G377" s="3" t="s">
        <v>3548</v>
      </c>
      <c r="H377" s="6" t="s">
        <v>3549</v>
      </c>
      <c r="I377" s="3" t="s">
        <v>3550</v>
      </c>
      <c r="J377" s="5" t="s">
        <v>4838</v>
      </c>
      <c r="K377" s="3" t="s">
        <v>5541</v>
      </c>
      <c r="L377" s="3" t="s">
        <v>3560</v>
      </c>
      <c r="M377" s="5">
        <v>2</v>
      </c>
      <c r="N377" s="21">
        <v>493.3057</v>
      </c>
      <c r="O377" s="36" t="str">
        <f>HYPERLINK("http://ms.phosphosite.org:5080/cgi-bin/plot-msms.cgi?MassType=1&amp;NumAxis=1&amp;Mod1=170&amp;Mod5=170&amp;Pep=KAVTKVQK&amp;Dta=/var/www/html/dta/S01/10558.2059.2.dta&amp;Global_Mod=CS57.0215", "2059")</f>
        <v>2059</v>
      </c>
      <c r="P377" s="35" t="s">
        <v>4854</v>
      </c>
      <c r="Q377" s="35" t="s">
        <v>4854</v>
      </c>
      <c r="R377" s="35" t="s">
        <v>4854</v>
      </c>
      <c r="S377" s="35" t="s">
        <v>4854</v>
      </c>
      <c r="T377" s="35" t="s">
        <v>4854</v>
      </c>
      <c r="U377" s="35" t="s">
        <v>4854</v>
      </c>
      <c r="V377" s="35" t="s">
        <v>4854</v>
      </c>
      <c r="W377" s="3" t="s">
        <v>4854</v>
      </c>
      <c r="X377" s="3" t="s">
        <v>4854</v>
      </c>
      <c r="Y377" s="3" t="s">
        <v>4854</v>
      </c>
      <c r="Z377" s="3" t="s">
        <v>4854</v>
      </c>
      <c r="AA377" s="3" t="s">
        <v>4854</v>
      </c>
      <c r="AB377" s="3" t="s">
        <v>4854</v>
      </c>
      <c r="AC377" s="3" t="s">
        <v>4854</v>
      </c>
      <c r="AD377" s="3" t="s">
        <v>4854</v>
      </c>
      <c r="AE377" s="90">
        <v>2.355</v>
      </c>
      <c r="AF377" s="99" t="s">
        <v>4854</v>
      </c>
      <c r="AG377" s="99" t="s">
        <v>4854</v>
      </c>
      <c r="AH377" s="99" t="s">
        <v>4854</v>
      </c>
      <c r="AI377" s="99" t="s">
        <v>4854</v>
      </c>
      <c r="AJ377" s="99" t="s">
        <v>4854</v>
      </c>
      <c r="AK377" s="99" t="s">
        <v>4854</v>
      </c>
      <c r="AL377" s="99" t="s">
        <v>4854</v>
      </c>
      <c r="AM377" s="21">
        <v>-0.91739999999999999</v>
      </c>
      <c r="AN377" s="102" t="s">
        <v>4854</v>
      </c>
      <c r="AO377" s="102" t="s">
        <v>4854</v>
      </c>
      <c r="AP377" s="102" t="s">
        <v>4854</v>
      </c>
      <c r="AQ377" s="102" t="s">
        <v>4854</v>
      </c>
      <c r="AR377" s="102" t="s">
        <v>4854</v>
      </c>
      <c r="AS377" s="102" t="s">
        <v>4854</v>
      </c>
      <c r="AT377" s="102" t="s">
        <v>4854</v>
      </c>
      <c r="AU377" s="21">
        <v>8.0000000000000002E-3</v>
      </c>
      <c r="AV377" s="102" t="s">
        <v>4854</v>
      </c>
      <c r="AW377" s="102" t="s">
        <v>4854</v>
      </c>
      <c r="AX377" s="102" t="s">
        <v>4854</v>
      </c>
      <c r="AY377" s="102" t="s">
        <v>4854</v>
      </c>
      <c r="AZ377" s="102" t="s">
        <v>4854</v>
      </c>
      <c r="BA377" s="102" t="s">
        <v>4854</v>
      </c>
      <c r="BB377" s="102" t="s">
        <v>4854</v>
      </c>
      <c r="BC377" s="5">
        <v>8</v>
      </c>
      <c r="BD377" s="3" t="s">
        <v>4854</v>
      </c>
      <c r="BE377" s="3" t="s">
        <v>4854</v>
      </c>
      <c r="BF377" s="3" t="s">
        <v>4854</v>
      </c>
      <c r="BG377" s="3" t="s">
        <v>4854</v>
      </c>
      <c r="BH377" s="3" t="s">
        <v>4854</v>
      </c>
      <c r="BI377" s="3" t="s">
        <v>4854</v>
      </c>
      <c r="BJ377" s="3" t="s">
        <v>4854</v>
      </c>
      <c r="BK377" s="90">
        <v>0.92900000000000005</v>
      </c>
      <c r="BL377" s="99" t="s">
        <v>4854</v>
      </c>
      <c r="BM377" s="99" t="s">
        <v>4854</v>
      </c>
      <c r="BN377" s="99" t="s">
        <v>4854</v>
      </c>
      <c r="BO377" s="99" t="s">
        <v>4854</v>
      </c>
      <c r="BP377" s="99" t="s">
        <v>4854</v>
      </c>
      <c r="BQ377" s="99" t="s">
        <v>4854</v>
      </c>
      <c r="BR377" s="99" t="s">
        <v>4854</v>
      </c>
      <c r="BS377" s="5" t="s">
        <v>4857</v>
      </c>
    </row>
    <row r="378" spans="1:71" s="30" customFormat="1" ht="17.100000000000001" customHeight="1">
      <c r="A378" s="14">
        <v>367</v>
      </c>
      <c r="B378" s="5" t="s">
        <v>3561</v>
      </c>
      <c r="C378" s="3" t="s">
        <v>3883</v>
      </c>
      <c r="D378" s="3" t="s">
        <v>3546</v>
      </c>
      <c r="E378" s="6" t="s">
        <v>3547</v>
      </c>
      <c r="F378" s="5" t="s">
        <v>5131</v>
      </c>
      <c r="G378" s="3" t="s">
        <v>3548</v>
      </c>
      <c r="H378" s="6" t="s">
        <v>3549</v>
      </c>
      <c r="I378" s="3" t="s">
        <v>3550</v>
      </c>
      <c r="J378" s="5" t="s">
        <v>4838</v>
      </c>
      <c r="K378" s="3" t="s">
        <v>5541</v>
      </c>
      <c r="L378" s="3" t="s">
        <v>3562</v>
      </c>
      <c r="M378" s="5">
        <v>2</v>
      </c>
      <c r="N378" s="21">
        <v>557.35320000000002</v>
      </c>
      <c r="O378" s="35" t="s">
        <v>4854</v>
      </c>
      <c r="P378" s="35" t="s">
        <v>4854</v>
      </c>
      <c r="Q378" s="35" t="s">
        <v>4854</v>
      </c>
      <c r="R378" s="35" t="s">
        <v>4854</v>
      </c>
      <c r="S378" s="35" t="s">
        <v>4854</v>
      </c>
      <c r="T378" s="35" t="s">
        <v>4854</v>
      </c>
      <c r="U378" s="35" t="s">
        <v>4854</v>
      </c>
      <c r="V378" s="36" t="str">
        <f>HYPERLINK("http://ms.phosphosite.org:5080/cgi-bin/plot-msms.cgi?MassType=1&amp;NumAxis=1&amp;Mod1=170&amp;Mod5=170&amp;Pep=KAVTKVQKK&amp;Dta=/var/www/html/dta/S01/10565.1762.2.dta&amp;Global_Mod=CS57.0215", "1762")</f>
        <v>1762</v>
      </c>
      <c r="W378" s="3" t="s">
        <v>4854</v>
      </c>
      <c r="X378" s="3" t="s">
        <v>4854</v>
      </c>
      <c r="Y378" s="3" t="s">
        <v>4854</v>
      </c>
      <c r="Z378" s="3" t="s">
        <v>4854</v>
      </c>
      <c r="AA378" s="3" t="s">
        <v>4854</v>
      </c>
      <c r="AB378" s="3" t="s">
        <v>4854</v>
      </c>
      <c r="AC378" s="3" t="s">
        <v>4854</v>
      </c>
      <c r="AD378" s="5">
        <v>1753</v>
      </c>
      <c r="AE378" s="99" t="s">
        <v>4854</v>
      </c>
      <c r="AF378" s="99" t="s">
        <v>4854</v>
      </c>
      <c r="AG378" s="99" t="s">
        <v>4854</v>
      </c>
      <c r="AH378" s="99" t="s">
        <v>4854</v>
      </c>
      <c r="AI378" s="99" t="s">
        <v>4854</v>
      </c>
      <c r="AJ378" s="99" t="s">
        <v>4854</v>
      </c>
      <c r="AK378" s="99" t="s">
        <v>4854</v>
      </c>
      <c r="AL378" s="90">
        <v>2.7749999999999999</v>
      </c>
      <c r="AM378" s="102" t="s">
        <v>4854</v>
      </c>
      <c r="AN378" s="102" t="s">
        <v>4854</v>
      </c>
      <c r="AO378" s="102" t="s">
        <v>4854</v>
      </c>
      <c r="AP378" s="102" t="s">
        <v>4854</v>
      </c>
      <c r="AQ378" s="102" t="s">
        <v>4854</v>
      </c>
      <c r="AR378" s="102" t="s">
        <v>4854</v>
      </c>
      <c r="AS378" s="102" t="s">
        <v>4854</v>
      </c>
      <c r="AT378" s="21">
        <v>-0.27400000000000002</v>
      </c>
      <c r="AU378" s="102" t="s">
        <v>4854</v>
      </c>
      <c r="AV378" s="102" t="s">
        <v>4854</v>
      </c>
      <c r="AW378" s="102" t="s">
        <v>4854</v>
      </c>
      <c r="AX378" s="102" t="s">
        <v>4854</v>
      </c>
      <c r="AY378" s="102" t="s">
        <v>4854</v>
      </c>
      <c r="AZ378" s="102" t="s">
        <v>4854</v>
      </c>
      <c r="BA378" s="102" t="s">
        <v>4854</v>
      </c>
      <c r="BB378" s="21">
        <v>0.251</v>
      </c>
      <c r="BC378" s="3" t="s">
        <v>4854</v>
      </c>
      <c r="BD378" s="3" t="s">
        <v>4854</v>
      </c>
      <c r="BE378" s="3" t="s">
        <v>4854</v>
      </c>
      <c r="BF378" s="3" t="s">
        <v>4854</v>
      </c>
      <c r="BG378" s="3" t="s">
        <v>4854</v>
      </c>
      <c r="BH378" s="3" t="s">
        <v>4854</v>
      </c>
      <c r="BI378" s="3" t="s">
        <v>4854</v>
      </c>
      <c r="BJ378" s="5">
        <v>1</v>
      </c>
      <c r="BK378" s="99" t="s">
        <v>4854</v>
      </c>
      <c r="BL378" s="99" t="s">
        <v>4854</v>
      </c>
      <c r="BM378" s="99" t="s">
        <v>4854</v>
      </c>
      <c r="BN378" s="99" t="s">
        <v>4854</v>
      </c>
      <c r="BO378" s="99" t="s">
        <v>4854</v>
      </c>
      <c r="BP378" s="99" t="s">
        <v>4854</v>
      </c>
      <c r="BQ378" s="99" t="s">
        <v>4854</v>
      </c>
      <c r="BR378" s="90">
        <v>0.999</v>
      </c>
      <c r="BS378" s="5" t="s">
        <v>4857</v>
      </c>
    </row>
    <row r="379" spans="1:71" s="30" customFormat="1" ht="17.100000000000001" customHeight="1">
      <c r="A379" s="10">
        <v>368</v>
      </c>
      <c r="B379" s="10" t="s">
        <v>3563</v>
      </c>
      <c r="C379" s="4" t="s">
        <v>3883</v>
      </c>
      <c r="D379" s="4" t="s">
        <v>3546</v>
      </c>
      <c r="E379" s="7" t="s">
        <v>3547</v>
      </c>
      <c r="F379" s="10" t="s">
        <v>5128</v>
      </c>
      <c r="G379" s="4" t="s">
        <v>3548</v>
      </c>
      <c r="H379" s="7" t="s">
        <v>3549</v>
      </c>
      <c r="I379" s="4" t="s">
        <v>3550</v>
      </c>
      <c r="J379" s="10" t="s">
        <v>4838</v>
      </c>
      <c r="K379" s="4" t="s">
        <v>5542</v>
      </c>
      <c r="L379" s="4" t="s">
        <v>3564</v>
      </c>
      <c r="M379" s="10">
        <v>2</v>
      </c>
      <c r="N379" s="95">
        <v>578.35839999999996</v>
      </c>
      <c r="O379" s="38" t="s">
        <v>4854</v>
      </c>
      <c r="P379" s="38" t="s">
        <v>4854</v>
      </c>
      <c r="Q379" s="38" t="s">
        <v>4854</v>
      </c>
      <c r="R379" s="38" t="s">
        <v>4854</v>
      </c>
      <c r="S379" s="38" t="s">
        <v>4854</v>
      </c>
      <c r="T379" s="38" t="s">
        <v>4854</v>
      </c>
      <c r="U379" s="37" t="str">
        <f>HYPERLINK("http://ms.phosphosite.org:5080/cgi-bin/plot-msms.cgi?MassType=1&amp;NumAxis=1&amp;Mod1=170&amp;Mod5=170&amp;Mod8=170&amp;Pep=KAVTKVQKK&amp;Dta=/var/www/html/dta/S01/10564.3104.2.dta&amp;Global_Mod=CS57.0215", "3104")</f>
        <v>3104</v>
      </c>
      <c r="V379" s="37" t="str">
        <f>HYPERLINK("http://ms.phosphosite.org:5080/cgi-bin/plot-msms.cgi?MassType=1&amp;NumAxis=1&amp;Mod1=170&amp;Mod5=170&amp;Mod8=170&amp;Pep=KAVTKVQKK&amp;Dta=/var/www/html/dta/S01/10565.3186.2.dta&amp;Global_Mod=CS57.0215", "3186")</f>
        <v>3186</v>
      </c>
      <c r="W379" s="4" t="s">
        <v>4854</v>
      </c>
      <c r="X379" s="4" t="s">
        <v>4854</v>
      </c>
      <c r="Y379" s="4" t="s">
        <v>4854</v>
      </c>
      <c r="Z379" s="4" t="s">
        <v>4854</v>
      </c>
      <c r="AA379" s="4" t="s">
        <v>4854</v>
      </c>
      <c r="AB379" s="4" t="s">
        <v>4854</v>
      </c>
      <c r="AC379" s="10">
        <v>3105</v>
      </c>
      <c r="AD379" s="4" t="s">
        <v>4854</v>
      </c>
      <c r="AE379" s="100" t="s">
        <v>4854</v>
      </c>
      <c r="AF379" s="100" t="s">
        <v>4854</v>
      </c>
      <c r="AG379" s="100" t="s">
        <v>4854</v>
      </c>
      <c r="AH379" s="100" t="s">
        <v>4854</v>
      </c>
      <c r="AI379" s="100" t="s">
        <v>4854</v>
      </c>
      <c r="AJ379" s="100" t="s">
        <v>4854</v>
      </c>
      <c r="AK379" s="91">
        <v>2.8119999999999998</v>
      </c>
      <c r="AL379" s="91">
        <v>2.4180000000000001</v>
      </c>
      <c r="AM379" s="103" t="s">
        <v>4854</v>
      </c>
      <c r="AN379" s="103" t="s">
        <v>4854</v>
      </c>
      <c r="AO379" s="103" t="s">
        <v>4854</v>
      </c>
      <c r="AP379" s="103" t="s">
        <v>4854</v>
      </c>
      <c r="AQ379" s="103" t="s">
        <v>4854</v>
      </c>
      <c r="AR379" s="103" t="s">
        <v>4854</v>
      </c>
      <c r="AS379" s="95">
        <v>0.21990000000000001</v>
      </c>
      <c r="AT379" s="95">
        <v>-0.61419999999999997</v>
      </c>
      <c r="AU379" s="103" t="s">
        <v>4854</v>
      </c>
      <c r="AV379" s="103" t="s">
        <v>4854</v>
      </c>
      <c r="AW379" s="103" t="s">
        <v>4854</v>
      </c>
      <c r="AX379" s="103" t="s">
        <v>4854</v>
      </c>
      <c r="AY379" s="103" t="s">
        <v>4854</v>
      </c>
      <c r="AZ379" s="103" t="s">
        <v>4854</v>
      </c>
      <c r="BA379" s="95">
        <v>0.18099999999999999</v>
      </c>
      <c r="BB379" s="95">
        <v>3.3000000000000002E-2</v>
      </c>
      <c r="BC379" s="4" t="s">
        <v>4854</v>
      </c>
      <c r="BD379" s="4" t="s">
        <v>4854</v>
      </c>
      <c r="BE379" s="4" t="s">
        <v>4854</v>
      </c>
      <c r="BF379" s="4" t="s">
        <v>4854</v>
      </c>
      <c r="BG379" s="4" t="s">
        <v>4854</v>
      </c>
      <c r="BH379" s="4" t="s">
        <v>4854</v>
      </c>
      <c r="BI379" s="10">
        <v>2</v>
      </c>
      <c r="BJ379" s="10">
        <v>16</v>
      </c>
      <c r="BK379" s="100" t="s">
        <v>4854</v>
      </c>
      <c r="BL379" s="100" t="s">
        <v>4854</v>
      </c>
      <c r="BM379" s="100" t="s">
        <v>4854</v>
      </c>
      <c r="BN379" s="100" t="s">
        <v>4854</v>
      </c>
      <c r="BO379" s="100" t="s">
        <v>4854</v>
      </c>
      <c r="BP379" s="100" t="s">
        <v>4854</v>
      </c>
      <c r="BQ379" s="91">
        <v>0.999</v>
      </c>
      <c r="BR379" s="91">
        <v>0.93</v>
      </c>
      <c r="BS379" s="10" t="s">
        <v>4857</v>
      </c>
    </row>
    <row r="380" spans="1:71" s="30" customFormat="1" ht="17.100000000000001" customHeight="1">
      <c r="A380" s="14">
        <v>369</v>
      </c>
      <c r="B380" s="5" t="s">
        <v>3565</v>
      </c>
      <c r="C380" s="3" t="s">
        <v>3883</v>
      </c>
      <c r="D380" s="3" t="s">
        <v>3546</v>
      </c>
      <c r="E380" s="6" t="s">
        <v>3547</v>
      </c>
      <c r="F380" s="5" t="s">
        <v>5079</v>
      </c>
      <c r="G380" s="3" t="s">
        <v>3548</v>
      </c>
      <c r="H380" s="6" t="s">
        <v>3549</v>
      </c>
      <c r="I380" s="3" t="s">
        <v>3550</v>
      </c>
      <c r="J380" s="5" t="s">
        <v>4838</v>
      </c>
      <c r="K380" s="3" t="s">
        <v>5543</v>
      </c>
      <c r="L380" s="3" t="s">
        <v>3566</v>
      </c>
      <c r="M380" s="5">
        <v>2</v>
      </c>
      <c r="N380" s="21">
        <v>472.30040000000002</v>
      </c>
      <c r="O380" s="36" t="str">
        <f>HYPERLINK("http://ms.phosphosite.org:5080/cgi-bin/plot-msms.cgi?MassType=1&amp;NumAxis=1&amp;Mod5=170&amp;Pep=KAVTKVQK&amp;Dta=/var/www/html/dta/S01/10558.1262.2.dta&amp;Global_Mod=CS57.0215", "1262")</f>
        <v>1262</v>
      </c>
      <c r="P380" s="36" t="str">
        <f>HYPERLINK("http://ms.phosphosite.org:5080/cgi-bin/plot-msms.cgi?MassType=1&amp;NumAxis=1&amp;Mod5=170&amp;Pep=KAVTKVQK&amp;Dta=/var/www/html/dta/S01/10559.1239.2.dta&amp;Global_Mod=CS57.0215", "1239")</f>
        <v>1239</v>
      </c>
      <c r="Q380" s="36" t="str">
        <f>HYPERLINK("http://ms.phosphosite.org:5080/cgi-bin/plot-msms.cgi?MassType=1&amp;NumAxis=1&amp;Mod5=170&amp;Pep=KAVTKVQK&amp;Dta=/var/www/html/dta/S01/10560.1241.2.dta&amp;Global_Mod=CS57.0215", "1241")</f>
        <v>1241</v>
      </c>
      <c r="R380" s="36" t="str">
        <f>HYPERLINK("http://ms.phosphosite.org:5080/cgi-bin/plot-msms.cgi?MassType=1&amp;NumAxis=1&amp;Mod5=170&amp;Pep=KAVTKVQK&amp;Dta=/var/www/html/dta/S01/10561.1249.2.dta&amp;Global_Mod=CS57.0215", "1249")</f>
        <v>1249</v>
      </c>
      <c r="S380" s="36" t="str">
        <f>HYPERLINK("http://ms.phosphosite.org:5080/cgi-bin/plot-msms.cgi?MassType=1&amp;NumAxis=1&amp;Mod5=170&amp;Pep=KAVTKVQK&amp;Dta=/var/www/html/dta/S01/10562.1321.2.dta&amp;Global_Mod=CS57.0215", "1321")</f>
        <v>1321</v>
      </c>
      <c r="T380" s="36" t="str">
        <f>HYPERLINK("http://ms.phosphosite.org:5080/cgi-bin/plot-msms.cgi?MassType=1&amp;NumAxis=1&amp;Mod5=170&amp;Pep=KAVTKVQK&amp;Dta=/var/www/html/dta/S01/10563.1235.2.dta&amp;Global_Mod=CS57.0215", "1235")</f>
        <v>1235</v>
      </c>
      <c r="U380" s="36" t="str">
        <f>HYPERLINK("http://ms.phosphosite.org:5080/cgi-bin/plot-msms.cgi?MassType=1&amp;NumAxis=1&amp;Mod5=170&amp;Pep=KAVTKVQK&amp;Dta=/var/www/html/dta/S01/10564.1514.2.dta&amp;Global_Mod=CS57.0215", "1514")</f>
        <v>1514</v>
      </c>
      <c r="V380" s="35" t="s">
        <v>4854</v>
      </c>
      <c r="W380" s="5">
        <v>1315</v>
      </c>
      <c r="X380" s="3" t="s">
        <v>4854</v>
      </c>
      <c r="Y380" s="5">
        <v>1265</v>
      </c>
      <c r="Z380" s="5">
        <v>1239</v>
      </c>
      <c r="AA380" s="5">
        <v>1291</v>
      </c>
      <c r="AB380" s="5">
        <v>1260</v>
      </c>
      <c r="AC380" s="5">
        <v>1518</v>
      </c>
      <c r="AD380" s="3" t="s">
        <v>4854</v>
      </c>
      <c r="AE380" s="90">
        <v>1.81</v>
      </c>
      <c r="AF380" s="90">
        <v>1.804</v>
      </c>
      <c r="AG380" s="90">
        <v>2.6280000000000001</v>
      </c>
      <c r="AH380" s="90">
        <v>2.3260000000000001</v>
      </c>
      <c r="AI380" s="90">
        <v>2.2349999999999999</v>
      </c>
      <c r="AJ380" s="90">
        <v>2.1709999999999998</v>
      </c>
      <c r="AK380" s="90">
        <v>2.8530000000000002</v>
      </c>
      <c r="AL380" s="99" t="s">
        <v>4854</v>
      </c>
      <c r="AM380" s="21">
        <v>-0.47210000000000002</v>
      </c>
      <c r="AN380" s="21">
        <v>-0.36830000000000002</v>
      </c>
      <c r="AO380" s="21">
        <v>-1.8499999999999999E-2</v>
      </c>
      <c r="AP380" s="21">
        <v>-4.1799999999999997E-2</v>
      </c>
      <c r="AQ380" s="21">
        <v>0.151</v>
      </c>
      <c r="AR380" s="21">
        <v>0.1033</v>
      </c>
      <c r="AS380" s="21">
        <v>-0.61619999999999997</v>
      </c>
      <c r="AT380" s="102" t="s">
        <v>4854</v>
      </c>
      <c r="AU380" s="21">
        <v>0.16300000000000001</v>
      </c>
      <c r="AV380" s="21">
        <v>4.9000000000000002E-2</v>
      </c>
      <c r="AW380" s="21">
        <v>7.0000000000000001E-3</v>
      </c>
      <c r="AX380" s="21">
        <v>0.09</v>
      </c>
      <c r="AY380" s="21">
        <v>3.4000000000000002E-2</v>
      </c>
      <c r="AZ380" s="21">
        <v>4.4999999999999998E-2</v>
      </c>
      <c r="BA380" s="21">
        <v>5.3999999999999999E-2</v>
      </c>
      <c r="BB380" s="102" t="s">
        <v>4854</v>
      </c>
      <c r="BC380" s="5">
        <v>1</v>
      </c>
      <c r="BD380" s="5">
        <v>2</v>
      </c>
      <c r="BE380" s="5">
        <v>2</v>
      </c>
      <c r="BF380" s="5">
        <v>3</v>
      </c>
      <c r="BG380" s="5">
        <v>1</v>
      </c>
      <c r="BH380" s="5">
        <v>1</v>
      </c>
      <c r="BI380" s="5">
        <v>4</v>
      </c>
      <c r="BJ380" s="3" t="s">
        <v>4854</v>
      </c>
      <c r="BK380" s="90">
        <v>0.98799999999999999</v>
      </c>
      <c r="BL380" s="90">
        <v>0.94299999999999995</v>
      </c>
      <c r="BM380" s="90">
        <v>0.98799999999999999</v>
      </c>
      <c r="BN380" s="90">
        <v>0.99</v>
      </c>
      <c r="BO380" s="90">
        <v>0.98299999999999998</v>
      </c>
      <c r="BP380" s="90">
        <v>0.98199999999999998</v>
      </c>
      <c r="BQ380" s="90">
        <v>0.98799999999999999</v>
      </c>
      <c r="BR380" s="99" t="s">
        <v>4854</v>
      </c>
      <c r="BS380" s="5" t="s">
        <v>4857</v>
      </c>
    </row>
    <row r="381" spans="1:71" s="30" customFormat="1" ht="17.100000000000001" customHeight="1">
      <c r="A381" s="14">
        <v>370</v>
      </c>
      <c r="B381" s="5" t="s">
        <v>3567</v>
      </c>
      <c r="C381" s="3" t="s">
        <v>3883</v>
      </c>
      <c r="D381" s="3" t="s">
        <v>3546</v>
      </c>
      <c r="E381" s="6" t="s">
        <v>3547</v>
      </c>
      <c r="F381" s="5" t="s">
        <v>5079</v>
      </c>
      <c r="G381" s="3" t="s">
        <v>3548</v>
      </c>
      <c r="H381" s="6" t="s">
        <v>3549</v>
      </c>
      <c r="I381" s="3" t="s">
        <v>3550</v>
      </c>
      <c r="J381" s="5" t="s">
        <v>4838</v>
      </c>
      <c r="K381" s="3" t="s">
        <v>5543</v>
      </c>
      <c r="L381" s="3" t="s">
        <v>3566</v>
      </c>
      <c r="M381" s="5">
        <v>2</v>
      </c>
      <c r="N381" s="21">
        <v>472.30040000000002</v>
      </c>
      <c r="O381" s="36" t="str">
        <f>HYPERLINK("http://ms.phosphosite.org:5080/cgi-bin/plot-msms.cgi?MassType=1&amp;NumAxis=1&amp;Mod5=170&amp;Pep=KAVTKVQK&amp;Dta=/var/www/html/dta/S01/10558.1292.2.dta&amp;Global_Mod=CS57.0215", "1292")</f>
        <v>1292</v>
      </c>
      <c r="P381" s="35" t="s">
        <v>4854</v>
      </c>
      <c r="Q381" s="36" t="str">
        <f>HYPERLINK("http://ms.phosphosite.org:5080/cgi-bin/plot-msms.cgi?MassType=1&amp;NumAxis=1&amp;Mod5=170&amp;Pep=KAVTKVQK&amp;Dta=/var/www/html/dta/S01/10560.1210.2.dta&amp;Global_Mod=CS57.0215", "1210")</f>
        <v>1210</v>
      </c>
      <c r="R381" s="36" t="str">
        <f>HYPERLINK("http://ms.phosphosite.org:5080/cgi-bin/plot-msms.cgi?MassType=1&amp;NumAxis=1&amp;Mod5=170&amp;Pep=KAVTKVQK&amp;Dta=/var/www/html/dta/S01/10561.1212.2.dta&amp;Global_Mod=CS57.0215", "1212")</f>
        <v>1212</v>
      </c>
      <c r="S381" s="35" t="s">
        <v>4854</v>
      </c>
      <c r="T381" s="36" t="str">
        <f>HYPERLINK("http://ms.phosphosite.org:5080/cgi-bin/plot-msms.cgi?MassType=1&amp;NumAxis=1&amp;Mod5=170&amp;Pep=KAVTKVQK&amp;Dta=/var/www/html/dta/S01/10563.1274.2.dta&amp;Global_Mod=CS57.0215", "1274")</f>
        <v>1274</v>
      </c>
      <c r="U381" s="35" t="s">
        <v>4854</v>
      </c>
      <c r="V381" s="35" t="s">
        <v>4854</v>
      </c>
      <c r="W381" s="3" t="s">
        <v>4854</v>
      </c>
      <c r="X381" s="3" t="s">
        <v>4854</v>
      </c>
      <c r="Y381" s="3" t="s">
        <v>4854</v>
      </c>
      <c r="Z381" s="5">
        <v>1239</v>
      </c>
      <c r="AA381" s="3" t="s">
        <v>4854</v>
      </c>
      <c r="AB381" s="3" t="s">
        <v>4854</v>
      </c>
      <c r="AC381" s="3" t="s">
        <v>4854</v>
      </c>
      <c r="AD381" s="3" t="s">
        <v>4854</v>
      </c>
      <c r="AE381" s="90">
        <v>1.837</v>
      </c>
      <c r="AF381" s="99" t="s">
        <v>4854</v>
      </c>
      <c r="AG381" s="90">
        <v>1.748</v>
      </c>
      <c r="AH381" s="90">
        <v>1.9059999999999999</v>
      </c>
      <c r="AI381" s="99" t="s">
        <v>4854</v>
      </c>
      <c r="AJ381" s="90">
        <v>1.8859999999999999</v>
      </c>
      <c r="AK381" s="99" t="s">
        <v>4854</v>
      </c>
      <c r="AL381" s="99" t="s">
        <v>4854</v>
      </c>
      <c r="AM381" s="21">
        <v>-0.51029999999999998</v>
      </c>
      <c r="AN381" s="102" t="s">
        <v>4854</v>
      </c>
      <c r="AO381" s="21">
        <v>-0.12559999999999999</v>
      </c>
      <c r="AP381" s="21">
        <v>0.31109999999999999</v>
      </c>
      <c r="AQ381" s="102" t="s">
        <v>4854</v>
      </c>
      <c r="AR381" s="21">
        <v>8.2199999999999995E-2</v>
      </c>
      <c r="AS381" s="102" t="s">
        <v>4854</v>
      </c>
      <c r="AT381" s="102" t="s">
        <v>4854</v>
      </c>
      <c r="AU381" s="21">
        <v>3.2000000000000001E-2</v>
      </c>
      <c r="AV381" s="102" t="s">
        <v>4854</v>
      </c>
      <c r="AW381" s="21">
        <v>4.1000000000000002E-2</v>
      </c>
      <c r="AX381" s="21">
        <v>8.3000000000000004E-2</v>
      </c>
      <c r="AY381" s="102" t="s">
        <v>4854</v>
      </c>
      <c r="AZ381" s="21">
        <v>2.4E-2</v>
      </c>
      <c r="BA381" s="102" t="s">
        <v>4854</v>
      </c>
      <c r="BB381" s="102" t="s">
        <v>4854</v>
      </c>
      <c r="BC381" s="5">
        <v>3</v>
      </c>
      <c r="BD381" s="3" t="s">
        <v>4854</v>
      </c>
      <c r="BE381" s="5">
        <v>11</v>
      </c>
      <c r="BF381" s="5">
        <v>2</v>
      </c>
      <c r="BG381" s="3" t="s">
        <v>4854</v>
      </c>
      <c r="BH381" s="5">
        <v>6</v>
      </c>
      <c r="BI381" s="3" t="s">
        <v>4854</v>
      </c>
      <c r="BJ381" s="3" t="s">
        <v>4854</v>
      </c>
      <c r="BK381" s="90">
        <v>0.92900000000000005</v>
      </c>
      <c r="BL381" s="99" t="s">
        <v>4854</v>
      </c>
      <c r="BM381" s="90">
        <v>0.879</v>
      </c>
      <c r="BN381" s="90">
        <v>0.97099999999999997</v>
      </c>
      <c r="BO381" s="99" t="s">
        <v>4854</v>
      </c>
      <c r="BP381" s="90">
        <v>0.91600000000000004</v>
      </c>
      <c r="BQ381" s="99" t="s">
        <v>4854</v>
      </c>
      <c r="BR381" s="99" t="s">
        <v>4854</v>
      </c>
      <c r="BS381" s="5" t="s">
        <v>4857</v>
      </c>
    </row>
    <row r="382" spans="1:71" s="30" customFormat="1" ht="17.100000000000001" customHeight="1">
      <c r="A382" s="14">
        <v>371</v>
      </c>
      <c r="B382" s="5" t="s">
        <v>3568</v>
      </c>
      <c r="C382" s="3" t="s">
        <v>3883</v>
      </c>
      <c r="D382" s="3" t="s">
        <v>3546</v>
      </c>
      <c r="E382" s="6" t="s">
        <v>3547</v>
      </c>
      <c r="F382" s="5" t="s">
        <v>5079</v>
      </c>
      <c r="G382" s="3" t="s">
        <v>3548</v>
      </c>
      <c r="H382" s="6" t="s">
        <v>3549</v>
      </c>
      <c r="I382" s="3" t="s">
        <v>3550</v>
      </c>
      <c r="J382" s="5" t="s">
        <v>4838</v>
      </c>
      <c r="K382" s="3" t="s">
        <v>5543</v>
      </c>
      <c r="L382" s="3" t="s">
        <v>3566</v>
      </c>
      <c r="M382" s="5">
        <v>2</v>
      </c>
      <c r="N382" s="21">
        <v>472.30040000000002</v>
      </c>
      <c r="O382" s="35" t="s">
        <v>4854</v>
      </c>
      <c r="P382" s="35" t="s">
        <v>4854</v>
      </c>
      <c r="Q382" s="35" t="s">
        <v>4854</v>
      </c>
      <c r="R382" s="36" t="str">
        <f>HYPERLINK("http://ms.phosphosite.org:5080/cgi-bin/plot-msms.cgi?MassType=1&amp;NumAxis=1&amp;Mod5=170&amp;Pep=KAVTKVQK&amp;Dta=/var/www/html/dta/S01/10561.1177.2.dta&amp;Global_Mod=CS57.0215", "1177")</f>
        <v>1177</v>
      </c>
      <c r="S382" s="35" t="s">
        <v>4854</v>
      </c>
      <c r="T382" s="35" t="s">
        <v>4854</v>
      </c>
      <c r="U382" s="35" t="s">
        <v>4854</v>
      </c>
      <c r="V382" s="35" t="s">
        <v>4854</v>
      </c>
      <c r="W382" s="3" t="s">
        <v>4854</v>
      </c>
      <c r="X382" s="3" t="s">
        <v>4854</v>
      </c>
      <c r="Y382" s="3" t="s">
        <v>4854</v>
      </c>
      <c r="Z382" s="3" t="s">
        <v>4854</v>
      </c>
      <c r="AA382" s="3" t="s">
        <v>4854</v>
      </c>
      <c r="AB382" s="3" t="s">
        <v>4854</v>
      </c>
      <c r="AC382" s="3" t="s">
        <v>4854</v>
      </c>
      <c r="AD382" s="3" t="s">
        <v>4854</v>
      </c>
      <c r="AE382" s="99" t="s">
        <v>4854</v>
      </c>
      <c r="AF382" s="99" t="s">
        <v>4854</v>
      </c>
      <c r="AG382" s="99" t="s">
        <v>4854</v>
      </c>
      <c r="AH382" s="90">
        <v>1.825</v>
      </c>
      <c r="AI382" s="99" t="s">
        <v>4854</v>
      </c>
      <c r="AJ382" s="99" t="s">
        <v>4854</v>
      </c>
      <c r="AK382" s="99" t="s">
        <v>4854</v>
      </c>
      <c r="AL382" s="99" t="s">
        <v>4854</v>
      </c>
      <c r="AM382" s="102" t="s">
        <v>4854</v>
      </c>
      <c r="AN382" s="102" t="s">
        <v>4854</v>
      </c>
      <c r="AO382" s="102" t="s">
        <v>4854</v>
      </c>
      <c r="AP382" s="21">
        <v>6.2E-2</v>
      </c>
      <c r="AQ382" s="102" t="s">
        <v>4854</v>
      </c>
      <c r="AR382" s="102" t="s">
        <v>4854</v>
      </c>
      <c r="AS382" s="102" t="s">
        <v>4854</v>
      </c>
      <c r="AT382" s="102" t="s">
        <v>4854</v>
      </c>
      <c r="AU382" s="102" t="s">
        <v>4854</v>
      </c>
      <c r="AV382" s="102" t="s">
        <v>4854</v>
      </c>
      <c r="AW382" s="102" t="s">
        <v>4854</v>
      </c>
      <c r="AX382" s="21">
        <v>8.9999999999999993E-3</v>
      </c>
      <c r="AY382" s="102" t="s">
        <v>4854</v>
      </c>
      <c r="AZ382" s="102" t="s">
        <v>4854</v>
      </c>
      <c r="BA382" s="102" t="s">
        <v>4854</v>
      </c>
      <c r="BB382" s="102" t="s">
        <v>4854</v>
      </c>
      <c r="BC382" s="3" t="s">
        <v>4854</v>
      </c>
      <c r="BD382" s="3" t="s">
        <v>4854</v>
      </c>
      <c r="BE382" s="3" t="s">
        <v>4854</v>
      </c>
      <c r="BF382" s="5">
        <v>22</v>
      </c>
      <c r="BG382" s="3" t="s">
        <v>4854</v>
      </c>
      <c r="BH382" s="3" t="s">
        <v>4854</v>
      </c>
      <c r="BI382" s="3" t="s">
        <v>4854</v>
      </c>
      <c r="BJ382" s="3" t="s">
        <v>4854</v>
      </c>
      <c r="BK382" s="99" t="s">
        <v>4854</v>
      </c>
      <c r="BL382" s="99" t="s">
        <v>4854</v>
      </c>
      <c r="BM382" s="99" t="s">
        <v>4854</v>
      </c>
      <c r="BN382" s="90">
        <v>0.83399999999999996</v>
      </c>
      <c r="BO382" s="99" t="s">
        <v>4854</v>
      </c>
      <c r="BP382" s="99" t="s">
        <v>4854</v>
      </c>
      <c r="BQ382" s="99" t="s">
        <v>4854</v>
      </c>
      <c r="BR382" s="99" t="s">
        <v>4854</v>
      </c>
      <c r="BS382" s="5" t="s">
        <v>4857</v>
      </c>
    </row>
    <row r="383" spans="1:71" s="30" customFormat="1" ht="17.100000000000001" customHeight="1">
      <c r="A383" s="10">
        <v>372</v>
      </c>
      <c r="B383" s="10" t="s">
        <v>3569</v>
      </c>
      <c r="C383" s="4" t="s">
        <v>3883</v>
      </c>
      <c r="D383" s="4" t="s">
        <v>3570</v>
      </c>
      <c r="E383" s="7" t="s">
        <v>3571</v>
      </c>
      <c r="F383" s="10" t="s">
        <v>5181</v>
      </c>
      <c r="G383" s="4" t="s">
        <v>3572</v>
      </c>
      <c r="H383" s="7" t="s">
        <v>3573</v>
      </c>
      <c r="I383" s="4" t="s">
        <v>3574</v>
      </c>
      <c r="J383" s="10" t="s">
        <v>4838</v>
      </c>
      <c r="K383" s="4" t="s">
        <v>5544</v>
      </c>
      <c r="L383" s="4" t="s">
        <v>3575</v>
      </c>
      <c r="M383" s="10">
        <v>2</v>
      </c>
      <c r="N383" s="95">
        <v>505.77949999999998</v>
      </c>
      <c r="O383" s="37" t="str">
        <f>HYPERLINK("http://ms.phosphosite.org:5080/cgi-bin/plot-msms.cgi?MassType=1&amp;NumAxis=1&amp;Mod4=170&amp;Pep=AVTKYTSAK&amp;Dta=/var/www/html/dta/S01/10558.2194.2.dta&amp;Global_Mod=CS57.0215", "2194")</f>
        <v>2194</v>
      </c>
      <c r="P383" s="37" t="str">
        <f>HYPERLINK("http://ms.phosphosite.org:5080/cgi-bin/plot-msms.cgi?MassType=1&amp;NumAxis=1&amp;Mod4=170&amp;Pep=AVTKYTSAK&amp;Dta=/var/www/html/dta/S01/10559.2157.2.dta&amp;Global_Mod=CS57.0215", "2157")</f>
        <v>2157</v>
      </c>
      <c r="Q383" s="37" t="str">
        <f>HYPERLINK("http://ms.phosphosite.org:5080/cgi-bin/plot-msms.cgi?MassType=1&amp;NumAxis=1&amp;Mod4=170&amp;Pep=AVTKYTSAK&amp;Dta=/var/www/html/dta/S01/10560.2135.2.dta&amp;Global_Mod=CS57.0215", "2135")</f>
        <v>2135</v>
      </c>
      <c r="R383" s="37" t="str">
        <f>HYPERLINK("http://ms.phosphosite.org:5080/cgi-bin/plot-msms.cgi?MassType=1&amp;NumAxis=1&amp;Mod4=170&amp;Pep=AVTKYTSAK&amp;Dta=/var/www/html/dta/S01/10561.2170.2.dta&amp;Global_Mod=CS57.0215", "2170")</f>
        <v>2170</v>
      </c>
      <c r="S383" s="37" t="str">
        <f>HYPERLINK("http://ms.phosphosite.org:5080/cgi-bin/plot-msms.cgi?MassType=1&amp;NumAxis=1&amp;Mod4=170&amp;Pep=AVTKYTSAK&amp;Dta=/var/www/html/dta/S01/10562.2241.2.dta&amp;Global_Mod=CS57.0215", "2241")</f>
        <v>2241</v>
      </c>
      <c r="T383" s="37" t="str">
        <f>HYPERLINK("http://ms.phosphosite.org:5080/cgi-bin/plot-msms.cgi?MassType=1&amp;NumAxis=1&amp;Mod4=170&amp;Pep=AVTKYTSAK&amp;Dta=/var/www/html/dta/S01/10563.2160.2.dta&amp;Global_Mod=CS57.0215", "2160")</f>
        <v>2160</v>
      </c>
      <c r="U383" s="37" t="str">
        <f>HYPERLINK("http://ms.phosphosite.org:5080/cgi-bin/plot-msms.cgi?MassType=1&amp;NumAxis=1&amp;Mod4=170&amp;Pep=AVTKYTSAK&amp;Dta=/var/www/html/dta/S01/10564.2438.2.dta&amp;Global_Mod=CS57.0215", "2438")</f>
        <v>2438</v>
      </c>
      <c r="V383" s="37" t="str">
        <f>HYPERLINK("http://ms.phosphosite.org:5080/cgi-bin/plot-msms.cgi?MassType=1&amp;NumAxis=1&amp;Mod4=170&amp;Pep=AVTKYTSAK&amp;Dta=/var/www/html/dta/S01/10565.2499.2.dta&amp;Global_Mod=CS57.0215", "2499")</f>
        <v>2499</v>
      </c>
      <c r="W383" s="10">
        <v>2193</v>
      </c>
      <c r="X383" s="10">
        <v>2156</v>
      </c>
      <c r="Y383" s="10">
        <v>2133</v>
      </c>
      <c r="Z383" s="10">
        <v>2169</v>
      </c>
      <c r="AA383" s="10">
        <v>2228</v>
      </c>
      <c r="AB383" s="10">
        <v>2148</v>
      </c>
      <c r="AC383" s="10">
        <v>2436</v>
      </c>
      <c r="AD383" s="10">
        <v>2506</v>
      </c>
      <c r="AE383" s="91">
        <v>2.7029999999999998</v>
      </c>
      <c r="AF383" s="91">
        <v>2.6549999999999998</v>
      </c>
      <c r="AG383" s="91">
        <v>2.44</v>
      </c>
      <c r="AH383" s="91">
        <v>2.7890000000000001</v>
      </c>
      <c r="AI383" s="91">
        <v>2.5790000000000002</v>
      </c>
      <c r="AJ383" s="91">
        <v>2.6429999999999998</v>
      </c>
      <c r="AK383" s="91">
        <v>2.7440000000000002</v>
      </c>
      <c r="AL383" s="91">
        <v>2.3330000000000002</v>
      </c>
      <c r="AM383" s="95">
        <v>-0.44850000000000001</v>
      </c>
      <c r="AN383" s="95">
        <v>-6.4600000000000005E-2</v>
      </c>
      <c r="AO383" s="95">
        <v>-0.21890000000000001</v>
      </c>
      <c r="AP383" s="95">
        <v>-6.7500000000000004E-2</v>
      </c>
      <c r="AQ383" s="95">
        <v>-0.1774</v>
      </c>
      <c r="AR383" s="95">
        <v>-8.2000000000000007E-3</v>
      </c>
      <c r="AS383" s="95">
        <v>-0.31890000000000002</v>
      </c>
      <c r="AT383" s="95">
        <v>-0.84140000000000004</v>
      </c>
      <c r="AU383" s="95">
        <v>0.41199999999999998</v>
      </c>
      <c r="AV383" s="95">
        <v>0.315</v>
      </c>
      <c r="AW383" s="95">
        <v>0.25700000000000001</v>
      </c>
      <c r="AX383" s="95">
        <v>0.34799999999999998</v>
      </c>
      <c r="AY383" s="95">
        <v>0.36399999999999999</v>
      </c>
      <c r="AZ383" s="95">
        <v>0.33</v>
      </c>
      <c r="BA383" s="95">
        <v>0.42599999999999999</v>
      </c>
      <c r="BB383" s="95">
        <v>0.376</v>
      </c>
      <c r="BC383" s="10">
        <v>1</v>
      </c>
      <c r="BD383" s="10">
        <v>1</v>
      </c>
      <c r="BE383" s="10">
        <v>1</v>
      </c>
      <c r="BF383" s="10">
        <v>1</v>
      </c>
      <c r="BG383" s="10">
        <v>1</v>
      </c>
      <c r="BH383" s="10">
        <v>1</v>
      </c>
      <c r="BI383" s="10">
        <v>1</v>
      </c>
      <c r="BJ383" s="10">
        <v>1</v>
      </c>
      <c r="BK383" s="91">
        <v>1</v>
      </c>
      <c r="BL383" s="91">
        <v>1</v>
      </c>
      <c r="BM383" s="91">
        <v>0.999</v>
      </c>
      <c r="BN383" s="91">
        <v>1</v>
      </c>
      <c r="BO383" s="91">
        <v>1</v>
      </c>
      <c r="BP383" s="91">
        <v>1</v>
      </c>
      <c r="BQ383" s="91">
        <v>1</v>
      </c>
      <c r="BR383" s="91">
        <v>0.999</v>
      </c>
      <c r="BS383" s="10" t="s">
        <v>4857</v>
      </c>
    </row>
    <row r="384" spans="1:71" s="30" customFormat="1" ht="17.100000000000001" customHeight="1">
      <c r="A384" s="14">
        <v>373</v>
      </c>
      <c r="B384" s="5" t="s">
        <v>3576</v>
      </c>
      <c r="C384" s="3" t="s">
        <v>3883</v>
      </c>
      <c r="D384" s="3" t="s">
        <v>3577</v>
      </c>
      <c r="E384" s="6" t="s">
        <v>3577</v>
      </c>
      <c r="F384" s="5" t="s">
        <v>5091</v>
      </c>
      <c r="G384" s="3" t="s">
        <v>3578</v>
      </c>
      <c r="H384" s="6" t="s">
        <v>3579</v>
      </c>
      <c r="I384" s="3" t="s">
        <v>3580</v>
      </c>
      <c r="J384" s="5" t="s">
        <v>4838</v>
      </c>
      <c r="K384" s="3" t="s">
        <v>5545</v>
      </c>
      <c r="L384" s="3" t="s">
        <v>3581</v>
      </c>
      <c r="M384" s="5">
        <v>2</v>
      </c>
      <c r="N384" s="21">
        <v>627.85630000000003</v>
      </c>
      <c r="O384" s="35" t="s">
        <v>4854</v>
      </c>
      <c r="P384" s="35" t="s">
        <v>4854</v>
      </c>
      <c r="Q384" s="36" t="str">
        <f>HYPERLINK("http://ms.phosphosite.org:5080/cgi-bin/plot-msms.cgi?MassType=1&amp;NumAxis=1&amp;Mod6=170&amp;Mod7=170&amp;Mod10=170&amp;Pep=STPAPKKGSKK&amp;Dta=/var/www/html/dta/S01/10560.1854.2.dta&amp;Global_Mod=CS57.0215", "1854")</f>
        <v>1854</v>
      </c>
      <c r="R384" s="36" t="str">
        <f>HYPERLINK("http://ms.phosphosite.org:5080/cgi-bin/plot-msms.cgi?MassType=1&amp;NumAxis=1&amp;Mod6=170&amp;Mod7=170&amp;Mod10=170&amp;Pep=STPAPKKGSKK&amp;Dta=/var/www/html/dta/S01/10561.1902.2.dta&amp;Global_Mod=CS57.0215", "1902")</f>
        <v>1902</v>
      </c>
      <c r="S384" s="35" t="s">
        <v>4854</v>
      </c>
      <c r="T384" s="35" t="s">
        <v>4854</v>
      </c>
      <c r="U384" s="36" t="str">
        <f>HYPERLINK("http://ms.phosphosite.org:5080/cgi-bin/plot-msms.cgi?MassType=1&amp;NumAxis=1&amp;Mod6=170&amp;Mod7=170&amp;Mod10=170&amp;Pep=STPAPKKGSKK&amp;Dta=/var/www/html/dta/S01/10564.2129.2.dta&amp;Global_Mod=CS57.0215", "2129")</f>
        <v>2129</v>
      </c>
      <c r="V384" s="36" t="str">
        <f>HYPERLINK("http://ms.phosphosite.org:5080/cgi-bin/plot-msms.cgi?MassType=1&amp;NumAxis=1&amp;Mod6=170&amp;Mod7=170&amp;Mod10=170&amp;Pep=STPAPKKGSKK&amp;Dta=/var/www/html/dta/S01/10565.2172.2.dta&amp;Global_Mod=CS57.0215", "2172")</f>
        <v>2172</v>
      </c>
      <c r="W384" s="3" t="s">
        <v>4854</v>
      </c>
      <c r="X384" s="3" t="s">
        <v>4854</v>
      </c>
      <c r="Y384" s="3" t="s">
        <v>4854</v>
      </c>
      <c r="Z384" s="3" t="s">
        <v>4854</v>
      </c>
      <c r="AA384" s="3" t="s">
        <v>4854</v>
      </c>
      <c r="AB384" s="3" t="s">
        <v>4854</v>
      </c>
      <c r="AC384" s="3" t="s">
        <v>4854</v>
      </c>
      <c r="AD384" s="3" t="s">
        <v>4854</v>
      </c>
      <c r="AE384" s="99" t="s">
        <v>4854</v>
      </c>
      <c r="AF384" s="99" t="s">
        <v>4854</v>
      </c>
      <c r="AG384" s="90">
        <v>1.3340000000000001</v>
      </c>
      <c r="AH384" s="90">
        <v>1.51</v>
      </c>
      <c r="AI384" s="99" t="s">
        <v>4854</v>
      </c>
      <c r="AJ384" s="99" t="s">
        <v>4854</v>
      </c>
      <c r="AK384" s="90">
        <v>1.6619999999999999</v>
      </c>
      <c r="AL384" s="90">
        <v>1.6020000000000001</v>
      </c>
      <c r="AM384" s="102" t="s">
        <v>4854</v>
      </c>
      <c r="AN384" s="102" t="s">
        <v>4854</v>
      </c>
      <c r="AO384" s="21">
        <v>0.15079999999999999</v>
      </c>
      <c r="AP384" s="21">
        <v>0.38590000000000002</v>
      </c>
      <c r="AQ384" s="102" t="s">
        <v>4854</v>
      </c>
      <c r="AR384" s="102" t="s">
        <v>4854</v>
      </c>
      <c r="AS384" s="21">
        <v>-0.1409</v>
      </c>
      <c r="AT384" s="21">
        <v>-0.22620000000000001</v>
      </c>
      <c r="AU384" s="102" t="s">
        <v>4854</v>
      </c>
      <c r="AV384" s="102" t="s">
        <v>4854</v>
      </c>
      <c r="AW384" s="21">
        <v>0.13400000000000001</v>
      </c>
      <c r="AX384" s="21">
        <v>0.2</v>
      </c>
      <c r="AY384" s="102" t="s">
        <v>4854</v>
      </c>
      <c r="AZ384" s="102" t="s">
        <v>4854</v>
      </c>
      <c r="BA384" s="21">
        <v>0.13500000000000001</v>
      </c>
      <c r="BB384" s="21">
        <v>0.106</v>
      </c>
      <c r="BC384" s="3" t="s">
        <v>4854</v>
      </c>
      <c r="BD384" s="3" t="s">
        <v>4854</v>
      </c>
      <c r="BE384" s="5">
        <v>447</v>
      </c>
      <c r="BF384" s="5">
        <v>40</v>
      </c>
      <c r="BG384" s="3" t="s">
        <v>4854</v>
      </c>
      <c r="BH384" s="3" t="s">
        <v>4854</v>
      </c>
      <c r="BI384" s="5">
        <v>61</v>
      </c>
      <c r="BJ384" s="5">
        <v>19</v>
      </c>
      <c r="BK384" s="99" t="s">
        <v>4854</v>
      </c>
      <c r="BL384" s="99" t="s">
        <v>4854</v>
      </c>
      <c r="BM384" s="90">
        <v>0.59199999999999997</v>
      </c>
      <c r="BN384" s="90">
        <v>0.91900000000000004</v>
      </c>
      <c r="BO384" s="99" t="s">
        <v>4854</v>
      </c>
      <c r="BP384" s="99" t="s">
        <v>4854</v>
      </c>
      <c r="BQ384" s="90">
        <v>0.879</v>
      </c>
      <c r="BR384" s="90">
        <v>0.86299999999999999</v>
      </c>
      <c r="BS384" s="5" t="s">
        <v>4857</v>
      </c>
    </row>
    <row r="385" spans="1:71" s="30" customFormat="1" ht="17.100000000000001" customHeight="1">
      <c r="A385" s="10">
        <v>374</v>
      </c>
      <c r="B385" s="10" t="s">
        <v>3582</v>
      </c>
      <c r="C385" s="4" t="s">
        <v>3883</v>
      </c>
      <c r="D385" s="4" t="s">
        <v>3577</v>
      </c>
      <c r="E385" s="7" t="s">
        <v>3577</v>
      </c>
      <c r="F385" s="10" t="s">
        <v>5040</v>
      </c>
      <c r="G385" s="4" t="s">
        <v>3578</v>
      </c>
      <c r="H385" s="7" t="s">
        <v>3579</v>
      </c>
      <c r="I385" s="4" t="s">
        <v>3580</v>
      </c>
      <c r="J385" s="10" t="s">
        <v>4838</v>
      </c>
      <c r="K385" s="4" t="s">
        <v>5546</v>
      </c>
      <c r="L385" s="4" t="s">
        <v>3583</v>
      </c>
      <c r="M385" s="10">
        <v>2</v>
      </c>
      <c r="N385" s="95">
        <v>855.49339999999995</v>
      </c>
      <c r="O385" s="37" t="str">
        <f>HYPERLINK("http://ms.phosphosite.org:5080/cgi-bin/plot-msms.cgi?MassType=1&amp;NumAxis=1&amp;Mod6=170&amp;Mod7=170&amp;Mod10=170&amp;Mod11=170&amp;Pep=STPAPKKGSKKAITK&amp;Dta=/var/www/html/dta/S01/10558.4233.2.dta&amp;Global_Mod=CS57.0215", "4233")</f>
        <v>4233</v>
      </c>
      <c r="P385" s="37" t="str">
        <f>HYPERLINK("http://ms.phosphosite.org:5080/cgi-bin/plot-msms.cgi?MassType=1&amp;NumAxis=1&amp;Mod6=170&amp;Mod7=170&amp;Mod10=170&amp;Mod11=170&amp;Pep=STPAPKKGSKKAITK&amp;Dta=/var/www/html/dta/S01/10559.4192.2.dta&amp;Global_Mod=CS57.0215", "4192")</f>
        <v>4192</v>
      </c>
      <c r="Q385" s="38" t="s">
        <v>4854</v>
      </c>
      <c r="R385" s="38" t="s">
        <v>4854</v>
      </c>
      <c r="S385" s="38" t="s">
        <v>4854</v>
      </c>
      <c r="T385" s="38" t="s">
        <v>4854</v>
      </c>
      <c r="U385" s="37" t="str">
        <f>HYPERLINK("http://ms.phosphosite.org:5080/cgi-bin/plot-msms.cgi?MassType=1&amp;NumAxis=1&amp;Mod6=170&amp;Mod7=170&amp;Mod10=170&amp;Mod11=170&amp;Pep=STPAPKKGSKKAITK&amp;Dta=/var/www/html/dta/S01/10564.4514.2.dta&amp;Global_Mod=CS57.0215", "4514")</f>
        <v>4514</v>
      </c>
      <c r="V385" s="37" t="str">
        <f>HYPERLINK("http://ms.phosphosite.org:5080/cgi-bin/plot-msms.cgi?MassType=1&amp;NumAxis=1&amp;Mod6=170&amp;Mod7=170&amp;Mod10=170&amp;Mod11=170&amp;Pep=STPAPKKGSKKAITK&amp;Dta=/var/www/html/dta/S01/10565.4580.2.dta&amp;Global_Mod=CS57.0215", "4580")</f>
        <v>4580</v>
      </c>
      <c r="W385" s="4" t="s">
        <v>4854</v>
      </c>
      <c r="X385" s="10">
        <v>4173</v>
      </c>
      <c r="Y385" s="4" t="s">
        <v>4854</v>
      </c>
      <c r="Z385" s="4" t="s">
        <v>4854</v>
      </c>
      <c r="AA385" s="4" t="s">
        <v>4854</v>
      </c>
      <c r="AB385" s="4" t="s">
        <v>4854</v>
      </c>
      <c r="AC385" s="10">
        <v>4505</v>
      </c>
      <c r="AD385" s="10">
        <v>4584</v>
      </c>
      <c r="AE385" s="91">
        <v>1.5940000000000001</v>
      </c>
      <c r="AF385" s="91">
        <v>2.9510000000000001</v>
      </c>
      <c r="AG385" s="100" t="s">
        <v>4854</v>
      </c>
      <c r="AH385" s="100" t="s">
        <v>4854</v>
      </c>
      <c r="AI385" s="100" t="s">
        <v>4854</v>
      </c>
      <c r="AJ385" s="100" t="s">
        <v>4854</v>
      </c>
      <c r="AK385" s="91">
        <v>2.5179999999999998</v>
      </c>
      <c r="AL385" s="91">
        <v>2.294</v>
      </c>
      <c r="AM385" s="95">
        <v>0.44519999999999998</v>
      </c>
      <c r="AN385" s="95">
        <v>0.78669999999999995</v>
      </c>
      <c r="AO385" s="103" t="s">
        <v>4854</v>
      </c>
      <c r="AP385" s="103" t="s">
        <v>4854</v>
      </c>
      <c r="AQ385" s="103" t="s">
        <v>4854</v>
      </c>
      <c r="AR385" s="103" t="s">
        <v>4854</v>
      </c>
      <c r="AS385" s="95">
        <v>0.92300000000000004</v>
      </c>
      <c r="AT385" s="95">
        <v>0.48380000000000001</v>
      </c>
      <c r="AU385" s="95">
        <v>0.14399999999999999</v>
      </c>
      <c r="AV385" s="95">
        <v>0.16500000000000001</v>
      </c>
      <c r="AW385" s="103" t="s">
        <v>4854</v>
      </c>
      <c r="AX385" s="103" t="s">
        <v>4854</v>
      </c>
      <c r="AY385" s="103" t="s">
        <v>4854</v>
      </c>
      <c r="AZ385" s="103" t="s">
        <v>4854</v>
      </c>
      <c r="BA385" s="95">
        <v>0.36299999999999999</v>
      </c>
      <c r="BB385" s="95">
        <v>0.42799999999999999</v>
      </c>
      <c r="BC385" s="10">
        <v>96</v>
      </c>
      <c r="BD385" s="10">
        <v>2</v>
      </c>
      <c r="BE385" s="4" t="s">
        <v>4854</v>
      </c>
      <c r="BF385" s="4" t="s">
        <v>4854</v>
      </c>
      <c r="BG385" s="4" t="s">
        <v>4854</v>
      </c>
      <c r="BH385" s="4" t="s">
        <v>4854</v>
      </c>
      <c r="BI385" s="10">
        <v>1</v>
      </c>
      <c r="BJ385" s="10">
        <v>1</v>
      </c>
      <c r="BK385" s="91">
        <v>0.82299999999999995</v>
      </c>
      <c r="BL385" s="91">
        <v>0.997</v>
      </c>
      <c r="BM385" s="100" t="s">
        <v>4854</v>
      </c>
      <c r="BN385" s="100" t="s">
        <v>4854</v>
      </c>
      <c r="BO385" s="100" t="s">
        <v>4854</v>
      </c>
      <c r="BP385" s="100" t="s">
        <v>4854</v>
      </c>
      <c r="BQ385" s="91">
        <v>1</v>
      </c>
      <c r="BR385" s="91">
        <v>1</v>
      </c>
      <c r="BS385" s="10" t="s">
        <v>4857</v>
      </c>
    </row>
    <row r="386" spans="1:71" s="30" customFormat="1" ht="17.100000000000001" customHeight="1">
      <c r="A386" s="10">
        <v>375</v>
      </c>
      <c r="B386" s="10" t="s">
        <v>3584</v>
      </c>
      <c r="C386" s="4" t="s">
        <v>3883</v>
      </c>
      <c r="D386" s="4" t="s">
        <v>3577</v>
      </c>
      <c r="E386" s="7" t="s">
        <v>3577</v>
      </c>
      <c r="F386" s="10" t="s">
        <v>5040</v>
      </c>
      <c r="G386" s="4" t="s">
        <v>3578</v>
      </c>
      <c r="H386" s="7" t="s">
        <v>3579</v>
      </c>
      <c r="I386" s="4" t="s">
        <v>3580</v>
      </c>
      <c r="J386" s="10" t="s">
        <v>4838</v>
      </c>
      <c r="K386" s="4" t="s">
        <v>5546</v>
      </c>
      <c r="L386" s="4" t="s">
        <v>3583</v>
      </c>
      <c r="M386" s="10">
        <v>3</v>
      </c>
      <c r="N386" s="95">
        <v>570.66470000000004</v>
      </c>
      <c r="O386" s="38" t="s">
        <v>4854</v>
      </c>
      <c r="P386" s="37" t="str">
        <f>HYPERLINK("http://ms.phosphosite.org:5080/cgi-bin/plot-msms.cgi?MassType=1&amp;NumAxis=1&amp;Mod6=170&amp;Mod7=170&amp;Mod10=170&amp;Mod11=170&amp;Pep=STPAPKKGSKKAITK&amp;Dta=/var/www/html/dta/S01/10559.4168.3.dta&amp;Global_Mod=CS57.0215", "4168")</f>
        <v>4168</v>
      </c>
      <c r="Q386" s="38" t="s">
        <v>4854</v>
      </c>
      <c r="R386" s="38" t="s">
        <v>4854</v>
      </c>
      <c r="S386" s="38" t="s">
        <v>4854</v>
      </c>
      <c r="T386" s="38" t="s">
        <v>4854</v>
      </c>
      <c r="U386" s="38" t="s">
        <v>4854</v>
      </c>
      <c r="V386" s="38" t="s">
        <v>4854</v>
      </c>
      <c r="W386" s="4" t="s">
        <v>4854</v>
      </c>
      <c r="X386" s="4" t="s">
        <v>4854</v>
      </c>
      <c r="Y386" s="4" t="s">
        <v>4854</v>
      </c>
      <c r="Z386" s="4" t="s">
        <v>4854</v>
      </c>
      <c r="AA386" s="4" t="s">
        <v>4854</v>
      </c>
      <c r="AB386" s="4" t="s">
        <v>4854</v>
      </c>
      <c r="AC386" s="4" t="s">
        <v>4854</v>
      </c>
      <c r="AD386" s="4" t="s">
        <v>4854</v>
      </c>
      <c r="AE386" s="100" t="s">
        <v>4854</v>
      </c>
      <c r="AF386" s="91">
        <v>1.964</v>
      </c>
      <c r="AG386" s="100" t="s">
        <v>4854</v>
      </c>
      <c r="AH386" s="100" t="s">
        <v>4854</v>
      </c>
      <c r="AI386" s="100" t="s">
        <v>4854</v>
      </c>
      <c r="AJ386" s="100" t="s">
        <v>4854</v>
      </c>
      <c r="AK386" s="100" t="s">
        <v>4854</v>
      </c>
      <c r="AL386" s="100" t="s">
        <v>4854</v>
      </c>
      <c r="AM386" s="103" t="s">
        <v>4854</v>
      </c>
      <c r="AN386" s="95">
        <v>0.80020000000000002</v>
      </c>
      <c r="AO386" s="103" t="s">
        <v>4854</v>
      </c>
      <c r="AP386" s="103" t="s">
        <v>4854</v>
      </c>
      <c r="AQ386" s="103" t="s">
        <v>4854</v>
      </c>
      <c r="AR386" s="103" t="s">
        <v>4854</v>
      </c>
      <c r="AS386" s="103" t="s">
        <v>4854</v>
      </c>
      <c r="AT386" s="103" t="s">
        <v>4854</v>
      </c>
      <c r="AU386" s="103" t="s">
        <v>4854</v>
      </c>
      <c r="AV386" s="95">
        <v>2.3E-2</v>
      </c>
      <c r="AW386" s="103" t="s">
        <v>4854</v>
      </c>
      <c r="AX386" s="103" t="s">
        <v>4854</v>
      </c>
      <c r="AY386" s="103" t="s">
        <v>4854</v>
      </c>
      <c r="AZ386" s="103" t="s">
        <v>4854</v>
      </c>
      <c r="BA386" s="103" t="s">
        <v>4854</v>
      </c>
      <c r="BB386" s="103" t="s">
        <v>4854</v>
      </c>
      <c r="BC386" s="4" t="s">
        <v>4854</v>
      </c>
      <c r="BD386" s="10">
        <v>72</v>
      </c>
      <c r="BE386" s="4" t="s">
        <v>4854</v>
      </c>
      <c r="BF386" s="4" t="s">
        <v>4854</v>
      </c>
      <c r="BG386" s="4" t="s">
        <v>4854</v>
      </c>
      <c r="BH386" s="4" t="s">
        <v>4854</v>
      </c>
      <c r="BI386" s="4" t="s">
        <v>4854</v>
      </c>
      <c r="BJ386" s="4" t="s">
        <v>4854</v>
      </c>
      <c r="BK386" s="100" t="s">
        <v>4854</v>
      </c>
      <c r="BL386" s="91">
        <v>0.81499999999999995</v>
      </c>
      <c r="BM386" s="100" t="s">
        <v>4854</v>
      </c>
      <c r="BN386" s="100" t="s">
        <v>4854</v>
      </c>
      <c r="BO386" s="100" t="s">
        <v>4854</v>
      </c>
      <c r="BP386" s="100" t="s">
        <v>4854</v>
      </c>
      <c r="BQ386" s="100" t="s">
        <v>4854</v>
      </c>
      <c r="BR386" s="100" t="s">
        <v>4854</v>
      </c>
      <c r="BS386" s="10" t="s">
        <v>4857</v>
      </c>
    </row>
    <row r="387" spans="1:71" s="30" customFormat="1" ht="17.100000000000001" customHeight="1">
      <c r="A387" s="14">
        <v>376</v>
      </c>
      <c r="B387" s="5" t="s">
        <v>3585</v>
      </c>
      <c r="C387" s="3" t="s">
        <v>3883</v>
      </c>
      <c r="D387" s="3" t="s">
        <v>3577</v>
      </c>
      <c r="E387" s="6" t="s">
        <v>3577</v>
      </c>
      <c r="F387" s="5" t="s">
        <v>5174</v>
      </c>
      <c r="G387" s="3" t="s">
        <v>3578</v>
      </c>
      <c r="H387" s="6" t="s">
        <v>3579</v>
      </c>
      <c r="I387" s="3" t="s">
        <v>3580</v>
      </c>
      <c r="J387" s="5" t="s">
        <v>4838</v>
      </c>
      <c r="K387" s="3" t="s">
        <v>5547</v>
      </c>
      <c r="L387" s="3" t="s">
        <v>3586</v>
      </c>
      <c r="M387" s="5">
        <v>2</v>
      </c>
      <c r="N387" s="21">
        <v>543.82950000000005</v>
      </c>
      <c r="O387" s="36" t="str">
        <f>HYPERLINK("http://ms.phosphosite.org:5080/cgi-bin/plot-msms.cgi?MassType=1&amp;NumAxis=1&amp;Mod1=170&amp;Mod4=170&amp;Mod5=170&amp;Pep=KGSKKAITK&amp;Dta=/var/www/html/dta/S01/10558.2402.2.dta&amp;Global_Mod=CS57.0215", "2402")</f>
        <v>2402</v>
      </c>
      <c r="P387" s="36" t="str">
        <f>HYPERLINK("http://ms.phosphosite.org:5080/cgi-bin/plot-msms.cgi?MassType=1&amp;NumAxis=1&amp;Mod1=170&amp;Mod4=170&amp;Mod5=170&amp;Pep=KGSKKAITK&amp;Dta=/var/www/html/dta/S01/10559.2364.2.dta&amp;Global_Mod=CS57.0215", "2364")</f>
        <v>2364</v>
      </c>
      <c r="Q387" s="36" t="str">
        <f>HYPERLINK("http://ms.phosphosite.org:5080/cgi-bin/plot-msms.cgi?MassType=1&amp;NumAxis=1&amp;Mod1=170&amp;Mod4=170&amp;Mod5=170&amp;Pep=KGSKKAITK&amp;Dta=/var/www/html/dta/S01/10560.2363.2.dta&amp;Global_Mod=CS57.0215", "2363")</f>
        <v>2363</v>
      </c>
      <c r="R387" s="36" t="str">
        <f>HYPERLINK("http://ms.phosphosite.org:5080/cgi-bin/plot-msms.cgi?MassType=1&amp;NumAxis=1&amp;Mod1=170&amp;Mod4=170&amp;Mod5=170&amp;Pep=KGSKKAITK&amp;Dta=/var/www/html/dta/S01/10561.2611.2.dta&amp;Global_Mod=CS57.0215", "2611")</f>
        <v>2611</v>
      </c>
      <c r="S387" s="36" t="str">
        <f>HYPERLINK("http://ms.phosphosite.org:5080/cgi-bin/plot-msms.cgi?MassType=1&amp;NumAxis=1&amp;Mod1=170&amp;Mod4=170&amp;Mod5=170&amp;Pep=KGSKKAITK&amp;Dta=/var/www/html/dta/S01/10562.2471.2.dta&amp;Global_Mod=CS57.0215", "2471")</f>
        <v>2471</v>
      </c>
      <c r="T387" s="36" t="str">
        <f>HYPERLINK("http://ms.phosphosite.org:5080/cgi-bin/plot-msms.cgi?MassType=1&amp;NumAxis=1&amp;Mod1=170&amp;Mod4=170&amp;Mod5=170&amp;Pep=KGSKKAITK&amp;Dta=/var/www/html/dta/S01/10563.2414.2.dta&amp;Global_Mod=CS57.0215", "2414")</f>
        <v>2414</v>
      </c>
      <c r="U387" s="36" t="str">
        <f>HYPERLINK("http://ms.phosphosite.org:5080/cgi-bin/plot-msms.cgi?MassType=1&amp;NumAxis=1&amp;Mod1=170&amp;Mod4=170&amp;Mod5=170&amp;Pep=KGSKKAITK&amp;Dta=/var/www/html/dta/S01/10564.2931.2.dta&amp;Global_Mod=CS57.0215", "2931")</f>
        <v>2931</v>
      </c>
      <c r="V387" s="36" t="str">
        <f>HYPERLINK("http://ms.phosphosite.org:5080/cgi-bin/plot-msms.cgi?MassType=1&amp;NumAxis=1&amp;Mod1=170&amp;Mod4=170&amp;Mod5=170&amp;Pep=KGSKKAITK&amp;Dta=/var/www/html/dta/S01/10565.2982.2.dta&amp;Global_Mod=CS57.0215", "2982")</f>
        <v>2982</v>
      </c>
      <c r="W387" s="5">
        <v>2411</v>
      </c>
      <c r="X387" s="5">
        <v>2384</v>
      </c>
      <c r="Y387" s="5">
        <v>2351</v>
      </c>
      <c r="Z387" s="5">
        <v>2399</v>
      </c>
      <c r="AA387" s="5">
        <v>2470</v>
      </c>
      <c r="AB387" s="5">
        <v>2390</v>
      </c>
      <c r="AC387" s="5">
        <v>2687</v>
      </c>
      <c r="AD387" s="5">
        <v>2742</v>
      </c>
      <c r="AE387" s="90">
        <v>3.6070000000000002</v>
      </c>
      <c r="AF387" s="90">
        <v>3.1669999999999998</v>
      </c>
      <c r="AG387" s="90">
        <v>3.5590000000000002</v>
      </c>
      <c r="AH387" s="90">
        <v>3.1110000000000002</v>
      </c>
      <c r="AI387" s="90">
        <v>3.8109999999999999</v>
      </c>
      <c r="AJ387" s="90">
        <v>2.8210000000000002</v>
      </c>
      <c r="AK387" s="90">
        <v>3.5569999999999999</v>
      </c>
      <c r="AL387" s="90">
        <v>3.5449999999999999</v>
      </c>
      <c r="AM387" s="21">
        <v>-0.51959999999999995</v>
      </c>
      <c r="AN387" s="21">
        <v>-0.51039999999999996</v>
      </c>
      <c r="AO387" s="21">
        <v>-0.45700000000000002</v>
      </c>
      <c r="AP387" s="21">
        <v>-0.1782</v>
      </c>
      <c r="AQ387" s="21">
        <v>-0.38800000000000001</v>
      </c>
      <c r="AR387" s="21">
        <v>-0.24079999999999999</v>
      </c>
      <c r="AS387" s="21">
        <v>-0.54720000000000002</v>
      </c>
      <c r="AT387" s="21">
        <v>-0.72209999999999996</v>
      </c>
      <c r="AU387" s="21">
        <v>0.20499999999999999</v>
      </c>
      <c r="AV387" s="21">
        <v>0.123</v>
      </c>
      <c r="AW387" s="21">
        <v>0.21299999999999999</v>
      </c>
      <c r="AX387" s="21">
        <v>8.5000000000000006E-2</v>
      </c>
      <c r="AY387" s="21">
        <v>0.20200000000000001</v>
      </c>
      <c r="AZ387" s="21">
        <v>0.20799999999999999</v>
      </c>
      <c r="BA387" s="21">
        <v>0.161</v>
      </c>
      <c r="BB387" s="21">
        <v>0.27500000000000002</v>
      </c>
      <c r="BC387" s="5">
        <v>1</v>
      </c>
      <c r="BD387" s="5">
        <v>1</v>
      </c>
      <c r="BE387" s="5">
        <v>1</v>
      </c>
      <c r="BF387" s="5">
        <v>1</v>
      </c>
      <c r="BG387" s="5">
        <v>1</v>
      </c>
      <c r="BH387" s="5">
        <v>1</v>
      </c>
      <c r="BI387" s="5">
        <v>1</v>
      </c>
      <c r="BJ387" s="5">
        <v>1</v>
      </c>
      <c r="BK387" s="90">
        <v>0.999</v>
      </c>
      <c r="BL387" s="90">
        <v>0.997</v>
      </c>
      <c r="BM387" s="90">
        <v>0.999</v>
      </c>
      <c r="BN387" s="90">
        <v>0.998</v>
      </c>
      <c r="BO387" s="90">
        <v>1</v>
      </c>
      <c r="BP387" s="90">
        <v>0.999</v>
      </c>
      <c r="BQ387" s="90">
        <v>0.999</v>
      </c>
      <c r="BR387" s="90">
        <v>1</v>
      </c>
      <c r="BS387" s="5" t="s">
        <v>4857</v>
      </c>
    </row>
    <row r="388" spans="1:71" s="30" customFormat="1" ht="17.100000000000001" customHeight="1">
      <c r="A388" s="14">
        <v>377</v>
      </c>
      <c r="B388" s="5" t="s">
        <v>3587</v>
      </c>
      <c r="C388" s="3" t="s">
        <v>3883</v>
      </c>
      <c r="D388" s="3" t="s">
        <v>3577</v>
      </c>
      <c r="E388" s="6" t="s">
        <v>3577</v>
      </c>
      <c r="F388" s="5" t="s">
        <v>5174</v>
      </c>
      <c r="G388" s="3" t="s">
        <v>3578</v>
      </c>
      <c r="H388" s="6" t="s">
        <v>3579</v>
      </c>
      <c r="I388" s="3" t="s">
        <v>3580</v>
      </c>
      <c r="J388" s="5" t="s">
        <v>4838</v>
      </c>
      <c r="K388" s="3" t="s">
        <v>5547</v>
      </c>
      <c r="L388" s="3" t="s">
        <v>3586</v>
      </c>
      <c r="M388" s="5">
        <v>2</v>
      </c>
      <c r="N388" s="21">
        <v>543.82950000000005</v>
      </c>
      <c r="O388" s="36" t="str">
        <f>HYPERLINK("http://ms.phosphosite.org:5080/cgi-bin/plot-msms.cgi?MassType=1&amp;NumAxis=1&amp;Mod1=170&amp;Mod4=170&amp;Mod5=170&amp;Pep=KGSKKAITK&amp;Dta=/var/www/html/dta/S01/10558.2628.2.dta&amp;Global_Mod=CS57.0215", "2628")</f>
        <v>2628</v>
      </c>
      <c r="P388" s="35" t="s">
        <v>4854</v>
      </c>
      <c r="Q388" s="35" t="s">
        <v>4854</v>
      </c>
      <c r="R388" s="35" t="s">
        <v>4854</v>
      </c>
      <c r="S388" s="36" t="str">
        <f>HYPERLINK("http://ms.phosphosite.org:5080/cgi-bin/plot-msms.cgi?MassType=1&amp;NumAxis=1&amp;Mod1=170&amp;Mod4=170&amp;Mod5=170&amp;Pep=KGSKKAITK&amp;Dta=/var/www/html/dta/S01/10562.2680.2.dta&amp;Global_Mod=CS57.0215", "2680")</f>
        <v>2680</v>
      </c>
      <c r="T388" s="36" t="str">
        <f>HYPERLINK("http://ms.phosphosite.org:5080/cgi-bin/plot-msms.cgi?MassType=1&amp;NumAxis=1&amp;Mod1=170&amp;Mod4=170&amp;Mod5=170&amp;Pep=KGSKKAITK&amp;Dta=/var/www/html/dta/S01/10563.2601.2.dta&amp;Global_Mod=CS57.0215", "2601")</f>
        <v>2601</v>
      </c>
      <c r="U388" s="36" t="str">
        <f>HYPERLINK("http://ms.phosphosite.org:5080/cgi-bin/plot-msms.cgi?MassType=1&amp;NumAxis=1&amp;Mod1=170&amp;Mod4=170&amp;Mod5=170&amp;Pep=KGSKKAITK&amp;Dta=/var/www/html/dta/S01/10564.2677.2.dta&amp;Global_Mod=CS57.0215", "2677")</f>
        <v>2677</v>
      </c>
      <c r="V388" s="35" t="s">
        <v>4854</v>
      </c>
      <c r="W388" s="5">
        <v>2411</v>
      </c>
      <c r="X388" s="3" t="s">
        <v>4854</v>
      </c>
      <c r="Y388" s="3" t="s">
        <v>4854</v>
      </c>
      <c r="Z388" s="3" t="s">
        <v>4854</v>
      </c>
      <c r="AA388" s="5">
        <v>2470</v>
      </c>
      <c r="AB388" s="5">
        <v>2390</v>
      </c>
      <c r="AC388" s="5">
        <v>2687</v>
      </c>
      <c r="AD388" s="3" t="s">
        <v>4854</v>
      </c>
      <c r="AE388" s="90">
        <v>3.08</v>
      </c>
      <c r="AF388" s="99" t="s">
        <v>4854</v>
      </c>
      <c r="AG388" s="99" t="s">
        <v>4854</v>
      </c>
      <c r="AH388" s="99" t="s">
        <v>4854</v>
      </c>
      <c r="AI388" s="90">
        <v>3.02</v>
      </c>
      <c r="AJ388" s="90">
        <v>2.2989999999999999</v>
      </c>
      <c r="AK388" s="90">
        <v>3.2080000000000002</v>
      </c>
      <c r="AL388" s="99" t="s">
        <v>4854</v>
      </c>
      <c r="AM388" s="21">
        <v>-0.48280000000000001</v>
      </c>
      <c r="AN388" s="102" t="s">
        <v>4854</v>
      </c>
      <c r="AO388" s="102" t="s">
        <v>4854</v>
      </c>
      <c r="AP388" s="102" t="s">
        <v>4854</v>
      </c>
      <c r="AQ388" s="21">
        <v>-0.26290000000000002</v>
      </c>
      <c r="AR388" s="21">
        <v>-3.6499999999999998E-2</v>
      </c>
      <c r="AS388" s="21">
        <v>-0.2868</v>
      </c>
      <c r="AT388" s="102" t="s">
        <v>4854</v>
      </c>
      <c r="AU388" s="21">
        <v>0.22600000000000001</v>
      </c>
      <c r="AV388" s="102" t="s">
        <v>4854</v>
      </c>
      <c r="AW388" s="102" t="s">
        <v>4854</v>
      </c>
      <c r="AX388" s="102" t="s">
        <v>4854</v>
      </c>
      <c r="AY388" s="21">
        <v>0.152</v>
      </c>
      <c r="AZ388" s="21">
        <v>9.0999999999999998E-2</v>
      </c>
      <c r="BA388" s="21">
        <v>0.17699999999999999</v>
      </c>
      <c r="BB388" s="102" t="s">
        <v>4854</v>
      </c>
      <c r="BC388" s="5">
        <v>1</v>
      </c>
      <c r="BD388" s="3" t="s">
        <v>4854</v>
      </c>
      <c r="BE388" s="3" t="s">
        <v>4854</v>
      </c>
      <c r="BF388" s="3" t="s">
        <v>4854</v>
      </c>
      <c r="BG388" s="5">
        <v>1</v>
      </c>
      <c r="BH388" s="5">
        <v>1</v>
      </c>
      <c r="BI388" s="5">
        <v>1</v>
      </c>
      <c r="BJ388" s="3" t="s">
        <v>4854</v>
      </c>
      <c r="BK388" s="90">
        <v>0.999</v>
      </c>
      <c r="BL388" s="99" t="s">
        <v>4854</v>
      </c>
      <c r="BM388" s="99" t="s">
        <v>4854</v>
      </c>
      <c r="BN388" s="99" t="s">
        <v>4854</v>
      </c>
      <c r="BO388" s="90">
        <v>0.999</v>
      </c>
      <c r="BP388" s="90">
        <v>0.99099999999999999</v>
      </c>
      <c r="BQ388" s="90">
        <v>0.999</v>
      </c>
      <c r="BR388" s="99" t="s">
        <v>4854</v>
      </c>
      <c r="BS388" s="5" t="s">
        <v>4857</v>
      </c>
    </row>
    <row r="389" spans="1:71" s="30" customFormat="1" ht="17.100000000000001" customHeight="1">
      <c r="A389" s="10">
        <v>378</v>
      </c>
      <c r="B389" s="10" t="s">
        <v>4052</v>
      </c>
      <c r="C389" s="4" t="s">
        <v>3883</v>
      </c>
      <c r="D389" s="4" t="s">
        <v>3577</v>
      </c>
      <c r="E389" s="7" t="s">
        <v>3577</v>
      </c>
      <c r="F389" s="10" t="s">
        <v>5142</v>
      </c>
      <c r="G389" s="4" t="s">
        <v>3578</v>
      </c>
      <c r="H389" s="7" t="s">
        <v>3579</v>
      </c>
      <c r="I389" s="4" t="s">
        <v>3580</v>
      </c>
      <c r="J389" s="10" t="s">
        <v>4838</v>
      </c>
      <c r="K389" s="4" t="s">
        <v>5548</v>
      </c>
      <c r="L389" s="4" t="s">
        <v>3588</v>
      </c>
      <c r="M389" s="10">
        <v>2</v>
      </c>
      <c r="N389" s="95">
        <v>728.43010000000004</v>
      </c>
      <c r="O389" s="37" t="str">
        <f>HYPERLINK("http://ms.phosphosite.org:5080/cgi-bin/plot-msms.cgi?MassType=1&amp;NumAxis=1&amp;Mod1=170&amp;Mod4=170&amp;Mod5=170&amp;Mod9=170&amp;Pep=KGSKKAITKAQK&amp;Dta=/var/www/html/dta/S01/10558.3486.2.dta&amp;Global_Mod=CS57.0215", "3486")</f>
        <v>3486</v>
      </c>
      <c r="P389" s="37" t="str">
        <f>HYPERLINK("http://ms.phosphosite.org:5080/cgi-bin/plot-msms.cgi?MassType=1&amp;NumAxis=1&amp;Mod1=170&amp;Mod4=170&amp;Mod5=170&amp;Mod9=170&amp;Pep=KGSKKAITKAQK&amp;Dta=/var/www/html/dta/S01/10559.3700.2.dta&amp;Global_Mod=CS57.0215", "3700")</f>
        <v>3700</v>
      </c>
      <c r="Q389" s="37" t="str">
        <f>HYPERLINK("http://ms.phosphosite.org:5080/cgi-bin/plot-msms.cgi?MassType=1&amp;NumAxis=1&amp;Mod1=170&amp;Mod4=170&amp;Mod5=170&amp;Mod9=170&amp;Pep=KGSKKAITKAQK&amp;Dta=/var/www/html/dta/S01/10560.3707.2.dta&amp;Global_Mod=CS57.0215", "3707")</f>
        <v>3707</v>
      </c>
      <c r="R389" s="37" t="str">
        <f>HYPERLINK("http://ms.phosphosite.org:5080/cgi-bin/plot-msms.cgi?MassType=1&amp;NumAxis=1&amp;Mod1=170&amp;Mod4=170&amp;Mod5=170&amp;Mod9=170&amp;Pep=KGSKKAITKAQK&amp;Dta=/var/www/html/dta/S01/10561.3448.2.dta&amp;Global_Mod=CS57.0215", "3448")</f>
        <v>3448</v>
      </c>
      <c r="S389" s="37" t="str">
        <f>HYPERLINK("http://ms.phosphosite.org:5080/cgi-bin/plot-msms.cgi?MassType=1&amp;NumAxis=1&amp;Mod1=170&amp;Mod4=170&amp;Mod5=170&amp;Mod9=170&amp;Pep=KGSKKAITKAQK&amp;Dta=/var/www/html/dta/S01/10562.3534.2.dta&amp;Global_Mod=CS57.0215", "3534")</f>
        <v>3534</v>
      </c>
      <c r="T389" s="37" t="str">
        <f>HYPERLINK("http://ms.phosphosite.org:5080/cgi-bin/plot-msms.cgi?MassType=1&amp;NumAxis=1&amp;Mod1=170&amp;Mod4=170&amp;Mod5=170&amp;Mod9=170&amp;Pep=KGSKKAITKAQK&amp;Dta=/var/www/html/dta/S01/10563.3752.2.dta&amp;Global_Mod=CS57.0215", "3752")</f>
        <v>3752</v>
      </c>
      <c r="U389" s="37" t="str">
        <f>HYPERLINK("http://ms.phosphosite.org:5080/cgi-bin/plot-msms.cgi?MassType=1&amp;NumAxis=1&amp;Mod1=170&amp;Mod4=170&amp;Mod5=170&amp;Mod9=170&amp;Pep=KGSKKAITKAQK&amp;Dta=/var/www/html/dta/S01/10564.3775.2.dta&amp;Global_Mod=CS57.0215", "3775")</f>
        <v>3775</v>
      </c>
      <c r="V389" s="37" t="str">
        <f>HYPERLINK("http://ms.phosphosite.org:5080/cgi-bin/plot-msms.cgi?MassType=1&amp;NumAxis=1&amp;Mod1=170&amp;Mod4=170&amp;Mod5=170&amp;Mod9=170&amp;Pep=KGSKKAITKAQK&amp;Dta=/var/www/html/dta/S01/10565.3856.2.dta&amp;Global_Mod=CS57.0215", "3856")</f>
        <v>3856</v>
      </c>
      <c r="W389" s="10">
        <v>3528</v>
      </c>
      <c r="X389" s="10">
        <v>3464</v>
      </c>
      <c r="Y389" s="10">
        <v>3470</v>
      </c>
      <c r="Z389" s="10">
        <v>3478</v>
      </c>
      <c r="AA389" s="10">
        <v>3565</v>
      </c>
      <c r="AB389" s="10">
        <v>3505</v>
      </c>
      <c r="AC389" s="10">
        <v>3791</v>
      </c>
      <c r="AD389" s="10">
        <v>3883</v>
      </c>
      <c r="AE389" s="91">
        <v>4.0880000000000001</v>
      </c>
      <c r="AF389" s="91">
        <v>4.165</v>
      </c>
      <c r="AG389" s="91">
        <v>4.1820000000000004</v>
      </c>
      <c r="AH389" s="91">
        <v>4.0140000000000002</v>
      </c>
      <c r="AI389" s="91">
        <v>4.125</v>
      </c>
      <c r="AJ389" s="91">
        <v>4.125</v>
      </c>
      <c r="AK389" s="91">
        <v>4.3769999999999998</v>
      </c>
      <c r="AL389" s="91">
        <v>4.3079999999999998</v>
      </c>
      <c r="AM389" s="95">
        <v>0.2427</v>
      </c>
      <c r="AN389" s="95">
        <v>0.1047</v>
      </c>
      <c r="AO389" s="95">
        <v>0.21179999999999999</v>
      </c>
      <c r="AP389" s="95">
        <v>0.54969999999999997</v>
      </c>
      <c r="AQ389" s="95">
        <v>0.41439999999999999</v>
      </c>
      <c r="AR389" s="95">
        <v>0.55800000000000005</v>
      </c>
      <c r="AS389" s="95">
        <v>0.16370000000000001</v>
      </c>
      <c r="AT389" s="95">
        <v>6.83E-2</v>
      </c>
      <c r="AU389" s="95">
        <v>0.42099999999999999</v>
      </c>
      <c r="AV389" s="95">
        <v>0.35699999999999998</v>
      </c>
      <c r="AW389" s="95">
        <v>0.36899999999999999</v>
      </c>
      <c r="AX389" s="95">
        <v>0.34300000000000003</v>
      </c>
      <c r="AY389" s="95">
        <v>0.378</v>
      </c>
      <c r="AZ389" s="95">
        <v>0.35099999999999998</v>
      </c>
      <c r="BA389" s="95">
        <v>0.40600000000000003</v>
      </c>
      <c r="BB389" s="95">
        <v>0.40400000000000003</v>
      </c>
      <c r="BC389" s="10">
        <v>1</v>
      </c>
      <c r="BD389" s="10">
        <v>1</v>
      </c>
      <c r="BE389" s="10">
        <v>1</v>
      </c>
      <c r="BF389" s="10">
        <v>1</v>
      </c>
      <c r="BG389" s="10">
        <v>1</v>
      </c>
      <c r="BH389" s="10">
        <v>1</v>
      </c>
      <c r="BI389" s="10">
        <v>1</v>
      </c>
      <c r="BJ389" s="10">
        <v>1</v>
      </c>
      <c r="BK389" s="91">
        <v>1</v>
      </c>
      <c r="BL389" s="91">
        <v>1</v>
      </c>
      <c r="BM389" s="91">
        <v>1</v>
      </c>
      <c r="BN389" s="91">
        <v>1</v>
      </c>
      <c r="BO389" s="91">
        <v>1</v>
      </c>
      <c r="BP389" s="91">
        <v>1</v>
      </c>
      <c r="BQ389" s="91">
        <v>1</v>
      </c>
      <c r="BR389" s="91">
        <v>1</v>
      </c>
      <c r="BS389" s="10" t="s">
        <v>4857</v>
      </c>
    </row>
    <row r="390" spans="1:71" s="30" customFormat="1" ht="17.100000000000001" customHeight="1">
      <c r="A390" s="10">
        <v>379</v>
      </c>
      <c r="B390" s="10" t="s">
        <v>3589</v>
      </c>
      <c r="C390" s="4" t="s">
        <v>3883</v>
      </c>
      <c r="D390" s="4" t="s">
        <v>3577</v>
      </c>
      <c r="E390" s="7" t="s">
        <v>3577</v>
      </c>
      <c r="F390" s="10" t="s">
        <v>5142</v>
      </c>
      <c r="G390" s="4" t="s">
        <v>3578</v>
      </c>
      <c r="H390" s="7" t="s">
        <v>3579</v>
      </c>
      <c r="I390" s="4" t="s">
        <v>3580</v>
      </c>
      <c r="J390" s="10" t="s">
        <v>4838</v>
      </c>
      <c r="K390" s="4" t="s">
        <v>5548</v>
      </c>
      <c r="L390" s="4" t="s">
        <v>3588</v>
      </c>
      <c r="M390" s="10">
        <v>2</v>
      </c>
      <c r="N390" s="95">
        <v>728.43010000000004</v>
      </c>
      <c r="O390" s="37" t="str">
        <f>HYPERLINK("http://ms.phosphosite.org:5080/cgi-bin/plot-msms.cgi?MassType=1&amp;NumAxis=1&amp;Mod1=170&amp;Mod4=170&amp;Mod5=170&amp;Mod9=170&amp;Pep=KGSKKAITKAQK&amp;Dta=/var/www/html/dta/S01/10558.3763.2.dta&amp;Global_Mod=CS57.0215", "3763")</f>
        <v>3763</v>
      </c>
      <c r="P390" s="37" t="str">
        <f>HYPERLINK("http://ms.phosphosite.org:5080/cgi-bin/plot-msms.cgi?MassType=1&amp;NumAxis=1&amp;Mod1=170&amp;Mod4=170&amp;Mod5=170&amp;Mod9=170&amp;Pep=KGSKKAITKAQK&amp;Dta=/var/www/html/dta/S01/10559.3512.2.dta&amp;Global_Mod=CS57.0215", "3512")</f>
        <v>3512</v>
      </c>
      <c r="Q390" s="37" t="str">
        <f>HYPERLINK("http://ms.phosphosite.org:5080/cgi-bin/plot-msms.cgi?MassType=1&amp;NumAxis=1&amp;Mod1=170&amp;Mod4=170&amp;Mod5=170&amp;Mod9=170&amp;Pep=KGSKKAITKAQK&amp;Dta=/var/www/html/dta/S01/10560.3430.2.dta&amp;Global_Mod=CS57.0215", "3430")</f>
        <v>3430</v>
      </c>
      <c r="R390" s="37" t="str">
        <f>HYPERLINK("http://ms.phosphosite.org:5080/cgi-bin/plot-msms.cgi?MassType=1&amp;NumAxis=1&amp;Mod1=170&amp;Mod4=170&amp;Mod5=170&amp;Mod9=170&amp;Pep=KGSKKAITKAQK&amp;Dta=/var/www/html/dta/S01/10561.3727.2.dta&amp;Global_Mod=CS57.0215", "3727")</f>
        <v>3727</v>
      </c>
      <c r="S390" s="37" t="str">
        <f>HYPERLINK("http://ms.phosphosite.org:5080/cgi-bin/plot-msms.cgi?MassType=1&amp;NumAxis=1&amp;Mod1=170&amp;Mod4=170&amp;Mod5=170&amp;Mod9=170&amp;Pep=KGSKKAITKAQK&amp;Dta=/var/www/html/dta/S01/10562.3804.2.dta&amp;Global_Mod=CS57.0215", "3804")</f>
        <v>3804</v>
      </c>
      <c r="T390" s="37" t="str">
        <f>HYPERLINK("http://ms.phosphosite.org:5080/cgi-bin/plot-msms.cgi?MassType=1&amp;NumAxis=1&amp;Mod1=170&amp;Mod4=170&amp;Mod5=170&amp;Mod9=170&amp;Pep=KGSKKAITKAQK&amp;Dta=/var/www/html/dta/S01/10563.3477.2.dta&amp;Global_Mod=CS57.0215", "3477")</f>
        <v>3477</v>
      </c>
      <c r="U390" s="37" t="str">
        <f>HYPERLINK("http://ms.phosphosite.org:5080/cgi-bin/plot-msms.cgi?MassType=1&amp;NumAxis=1&amp;Mod1=170&amp;Mod4=170&amp;Mod5=170&amp;Mod9=170&amp;Pep=KGSKKAITKAQK&amp;Dta=/var/www/html/dta/S01/10564.4056.2.dta&amp;Global_Mod=CS57.0215", "4056")</f>
        <v>4056</v>
      </c>
      <c r="V390" s="37" t="str">
        <f>HYPERLINK("http://ms.phosphosite.org:5080/cgi-bin/plot-msms.cgi?MassType=1&amp;NumAxis=1&amp;Mod1=170&amp;Mod4=170&amp;Mod5=170&amp;Mod9=170&amp;Pep=KGSKKAITKAQK&amp;Dta=/var/www/html/dta/S01/10565.4121.2.dta&amp;Global_Mod=CS57.0215", "4121")</f>
        <v>4121</v>
      </c>
      <c r="W390" s="10">
        <v>3528</v>
      </c>
      <c r="X390" s="10">
        <v>3464</v>
      </c>
      <c r="Y390" s="10">
        <v>3470</v>
      </c>
      <c r="Z390" s="10">
        <v>3478</v>
      </c>
      <c r="AA390" s="10">
        <v>3565</v>
      </c>
      <c r="AB390" s="10">
        <v>3505</v>
      </c>
      <c r="AC390" s="10">
        <v>3791</v>
      </c>
      <c r="AD390" s="10">
        <v>3883</v>
      </c>
      <c r="AE390" s="91">
        <v>3.7919999999999998</v>
      </c>
      <c r="AF390" s="91">
        <v>4.1219999999999999</v>
      </c>
      <c r="AG390" s="91">
        <v>3.746</v>
      </c>
      <c r="AH390" s="91">
        <v>4.0060000000000002</v>
      </c>
      <c r="AI390" s="91">
        <v>3.6429999999999998</v>
      </c>
      <c r="AJ390" s="91">
        <v>3.82</v>
      </c>
      <c r="AK390" s="91">
        <v>3.8809999999999998</v>
      </c>
      <c r="AL390" s="91">
        <v>4.2949999999999999</v>
      </c>
      <c r="AM390" s="95">
        <v>5.45E-2</v>
      </c>
      <c r="AN390" s="95">
        <v>0.2757</v>
      </c>
      <c r="AO390" s="95">
        <v>0.45150000000000001</v>
      </c>
      <c r="AP390" s="95">
        <v>0.2702</v>
      </c>
      <c r="AQ390" s="95">
        <v>0.25580000000000003</v>
      </c>
      <c r="AR390" s="95">
        <v>0.63770000000000004</v>
      </c>
      <c r="AS390" s="95">
        <v>3.1800000000000002E-2</v>
      </c>
      <c r="AT390" s="95">
        <v>-0.2944</v>
      </c>
      <c r="AU390" s="95">
        <v>0.32800000000000001</v>
      </c>
      <c r="AV390" s="95">
        <v>0.39700000000000002</v>
      </c>
      <c r="AW390" s="95">
        <v>0.25700000000000001</v>
      </c>
      <c r="AX390" s="95">
        <v>0.36199999999999999</v>
      </c>
      <c r="AY390" s="95">
        <v>0.35399999999999998</v>
      </c>
      <c r="AZ390" s="95">
        <v>0.314</v>
      </c>
      <c r="BA390" s="95">
        <v>0.36499999999999999</v>
      </c>
      <c r="BB390" s="95">
        <v>0.40400000000000003</v>
      </c>
      <c r="BC390" s="10">
        <v>1</v>
      </c>
      <c r="BD390" s="10">
        <v>1</v>
      </c>
      <c r="BE390" s="10">
        <v>1</v>
      </c>
      <c r="BF390" s="10">
        <v>1</v>
      </c>
      <c r="BG390" s="10">
        <v>1</v>
      </c>
      <c r="BH390" s="10">
        <v>1</v>
      </c>
      <c r="BI390" s="10">
        <v>1</v>
      </c>
      <c r="BJ390" s="10">
        <v>1</v>
      </c>
      <c r="BK390" s="91">
        <v>1</v>
      </c>
      <c r="BL390" s="91">
        <v>1</v>
      </c>
      <c r="BM390" s="91">
        <v>1</v>
      </c>
      <c r="BN390" s="91">
        <v>1</v>
      </c>
      <c r="BO390" s="91">
        <v>1</v>
      </c>
      <c r="BP390" s="91">
        <v>1</v>
      </c>
      <c r="BQ390" s="91">
        <v>1</v>
      </c>
      <c r="BR390" s="91">
        <v>1</v>
      </c>
      <c r="BS390" s="10" t="s">
        <v>4857</v>
      </c>
    </row>
    <row r="391" spans="1:71" s="30" customFormat="1" ht="17.100000000000001" customHeight="1">
      <c r="A391" s="10">
        <v>380</v>
      </c>
      <c r="B391" s="10" t="s">
        <v>3861</v>
      </c>
      <c r="C391" s="4" t="s">
        <v>3883</v>
      </c>
      <c r="D391" s="4" t="s">
        <v>3577</v>
      </c>
      <c r="E391" s="7" t="s">
        <v>3577</v>
      </c>
      <c r="F391" s="10" t="s">
        <v>5142</v>
      </c>
      <c r="G391" s="4" t="s">
        <v>3578</v>
      </c>
      <c r="H391" s="7" t="s">
        <v>3579</v>
      </c>
      <c r="I391" s="4" t="s">
        <v>3580</v>
      </c>
      <c r="J391" s="10" t="s">
        <v>4838</v>
      </c>
      <c r="K391" s="4" t="s">
        <v>5548</v>
      </c>
      <c r="L391" s="4" t="s">
        <v>3588</v>
      </c>
      <c r="M391" s="10">
        <v>2</v>
      </c>
      <c r="N391" s="95">
        <v>728.43010000000004</v>
      </c>
      <c r="O391" s="38" t="s">
        <v>4854</v>
      </c>
      <c r="P391" s="37" t="str">
        <f>HYPERLINK("http://ms.phosphosite.org:5080/cgi-bin/plot-msms.cgi?MassType=1&amp;NumAxis=1&amp;Mod1=170&amp;Mod4=170&amp;Mod5=170&amp;Mod9=170&amp;Pep=KGSKKAITKAQK&amp;Dta=/var/www/html/dta/S01/10559.3427.2.dta&amp;Global_Mod=CS57.0215", "3427")</f>
        <v>3427</v>
      </c>
      <c r="Q391" s="38" t="s">
        <v>4854</v>
      </c>
      <c r="R391" s="38" t="s">
        <v>4854</v>
      </c>
      <c r="S391" s="38" t="s">
        <v>4854</v>
      </c>
      <c r="T391" s="38" t="s">
        <v>4854</v>
      </c>
      <c r="U391" s="38" t="s">
        <v>4854</v>
      </c>
      <c r="V391" s="38" t="s">
        <v>4854</v>
      </c>
      <c r="W391" s="4" t="s">
        <v>4854</v>
      </c>
      <c r="X391" s="10">
        <v>3464</v>
      </c>
      <c r="Y391" s="4" t="s">
        <v>4854</v>
      </c>
      <c r="Z391" s="4" t="s">
        <v>4854</v>
      </c>
      <c r="AA391" s="4" t="s">
        <v>4854</v>
      </c>
      <c r="AB391" s="4" t="s">
        <v>4854</v>
      </c>
      <c r="AC391" s="4" t="s">
        <v>4854</v>
      </c>
      <c r="AD391" s="4" t="s">
        <v>4854</v>
      </c>
      <c r="AE391" s="100" t="s">
        <v>4854</v>
      </c>
      <c r="AF391" s="91">
        <v>3.5409999999999999</v>
      </c>
      <c r="AG391" s="100" t="s">
        <v>4854</v>
      </c>
      <c r="AH391" s="100" t="s">
        <v>4854</v>
      </c>
      <c r="AI391" s="100" t="s">
        <v>4854</v>
      </c>
      <c r="AJ391" s="100" t="s">
        <v>4854</v>
      </c>
      <c r="AK391" s="100" t="s">
        <v>4854</v>
      </c>
      <c r="AL391" s="100" t="s">
        <v>4854</v>
      </c>
      <c r="AM391" s="103" t="s">
        <v>4854</v>
      </c>
      <c r="AN391" s="95">
        <v>0.28799999999999998</v>
      </c>
      <c r="AO391" s="103" t="s">
        <v>4854</v>
      </c>
      <c r="AP391" s="103" t="s">
        <v>4854</v>
      </c>
      <c r="AQ391" s="103" t="s">
        <v>4854</v>
      </c>
      <c r="AR391" s="103" t="s">
        <v>4854</v>
      </c>
      <c r="AS391" s="103" t="s">
        <v>4854</v>
      </c>
      <c r="AT391" s="103" t="s">
        <v>4854</v>
      </c>
      <c r="AU391" s="103" t="s">
        <v>4854</v>
      </c>
      <c r="AV391" s="95">
        <v>0.223</v>
      </c>
      <c r="AW391" s="103" t="s">
        <v>4854</v>
      </c>
      <c r="AX391" s="103" t="s">
        <v>4854</v>
      </c>
      <c r="AY391" s="103" t="s">
        <v>4854</v>
      </c>
      <c r="AZ391" s="103" t="s">
        <v>4854</v>
      </c>
      <c r="BA391" s="103" t="s">
        <v>4854</v>
      </c>
      <c r="BB391" s="103" t="s">
        <v>4854</v>
      </c>
      <c r="BC391" s="4" t="s">
        <v>4854</v>
      </c>
      <c r="BD391" s="10">
        <v>1</v>
      </c>
      <c r="BE391" s="4" t="s">
        <v>4854</v>
      </c>
      <c r="BF391" s="4" t="s">
        <v>4854</v>
      </c>
      <c r="BG391" s="4" t="s">
        <v>4854</v>
      </c>
      <c r="BH391" s="4" t="s">
        <v>4854</v>
      </c>
      <c r="BI391" s="4" t="s">
        <v>4854</v>
      </c>
      <c r="BJ391" s="4" t="s">
        <v>4854</v>
      </c>
      <c r="BK391" s="100" t="s">
        <v>4854</v>
      </c>
      <c r="BL391" s="91">
        <v>1</v>
      </c>
      <c r="BM391" s="100" t="s">
        <v>4854</v>
      </c>
      <c r="BN391" s="100" t="s">
        <v>4854</v>
      </c>
      <c r="BO391" s="100" t="s">
        <v>4854</v>
      </c>
      <c r="BP391" s="100" t="s">
        <v>4854</v>
      </c>
      <c r="BQ391" s="100" t="s">
        <v>4854</v>
      </c>
      <c r="BR391" s="100" t="s">
        <v>4854</v>
      </c>
      <c r="BS391" s="10" t="s">
        <v>4857</v>
      </c>
    </row>
    <row r="392" spans="1:71" s="30" customFormat="1" ht="17.100000000000001" customHeight="1">
      <c r="A392" s="10">
        <v>381</v>
      </c>
      <c r="B392" s="10" t="s">
        <v>3590</v>
      </c>
      <c r="C392" s="4" t="s">
        <v>3883</v>
      </c>
      <c r="D392" s="4" t="s">
        <v>3577</v>
      </c>
      <c r="E392" s="7" t="s">
        <v>3577</v>
      </c>
      <c r="F392" s="10" t="s">
        <v>5142</v>
      </c>
      <c r="G392" s="4" t="s">
        <v>3578</v>
      </c>
      <c r="H392" s="7" t="s">
        <v>3579</v>
      </c>
      <c r="I392" s="4" t="s">
        <v>3580</v>
      </c>
      <c r="J392" s="10" t="s">
        <v>4838</v>
      </c>
      <c r="K392" s="4" t="s">
        <v>5548</v>
      </c>
      <c r="L392" s="4" t="s">
        <v>3588</v>
      </c>
      <c r="M392" s="10">
        <v>3</v>
      </c>
      <c r="N392" s="95">
        <v>485.95580000000001</v>
      </c>
      <c r="O392" s="37" t="str">
        <f>HYPERLINK("http://ms.phosphosite.org:5080/cgi-bin/plot-msms.cgi?MassType=1&amp;NumAxis=1&amp;Mod1=170&amp;Mod4=170&amp;Mod5=170&amp;Mod9=170&amp;Pep=KGSKKAITKAQK&amp;Dta=/var/www/html/dta/S01/10558.3480.3.dta&amp;Global_Mod=CS57.0215", "3480")</f>
        <v>3480</v>
      </c>
      <c r="P392" s="37" t="str">
        <f>HYPERLINK("http://ms.phosphosite.org:5080/cgi-bin/plot-msms.cgi?MassType=1&amp;NumAxis=1&amp;Mod1=170&amp;Mod4=170&amp;Mod5=170&amp;Mod9=170&amp;Pep=KGSKKAITKAQK&amp;Dta=/var/www/html/dta/S01/10559.3434.3.dta&amp;Global_Mod=CS57.0215", "3434")</f>
        <v>3434</v>
      </c>
      <c r="Q392" s="37" t="str">
        <f>HYPERLINK("http://ms.phosphosite.org:5080/cgi-bin/plot-msms.cgi?MassType=1&amp;NumAxis=1&amp;Mod1=170&amp;Mod4=170&amp;Mod5=170&amp;Mod9=170&amp;Pep=KGSKKAITKAQK&amp;Dta=/var/www/html/dta/S01/10560.3449.3.dta&amp;Global_Mod=CS57.0215", "3449")</f>
        <v>3449</v>
      </c>
      <c r="R392" s="37" t="str">
        <f>HYPERLINK("http://ms.phosphosite.org:5080/cgi-bin/plot-msms.cgi?MassType=1&amp;NumAxis=1&amp;Mod1=170&amp;Mod4=170&amp;Mod5=170&amp;Mod9=170&amp;Pep=KGSKKAITKAQK&amp;Dta=/var/www/html/dta/S01/10561.3513.3.dta&amp;Global_Mod=CS57.0215", "3513")</f>
        <v>3513</v>
      </c>
      <c r="S392" s="37" t="str">
        <f>HYPERLINK("http://ms.phosphosite.org:5080/cgi-bin/plot-msms.cgi?MassType=1&amp;NumAxis=1&amp;Mod1=170&amp;Mod4=170&amp;Mod5=170&amp;Mod9=170&amp;Pep=KGSKKAITKAQK&amp;Dta=/var/www/html/dta/S01/10562.3533.3.dta&amp;Global_Mod=CS57.0215", "3533")</f>
        <v>3533</v>
      </c>
      <c r="T392" s="37" t="str">
        <f>HYPERLINK("http://ms.phosphosite.org:5080/cgi-bin/plot-msms.cgi?MassType=1&amp;NumAxis=1&amp;Mod1=170&amp;Mod4=170&amp;Mod5=170&amp;Mod9=170&amp;Pep=KGSKKAITKAQK&amp;Dta=/var/www/html/dta/S01/10563.3479.3.dta&amp;Global_Mod=CS57.0215", "3479")</f>
        <v>3479</v>
      </c>
      <c r="U392" s="37" t="str">
        <f>HYPERLINK("http://ms.phosphosite.org:5080/cgi-bin/plot-msms.cgi?MassType=1&amp;NumAxis=1&amp;Mod1=170&amp;Mod4=170&amp;Mod5=170&amp;Mod9=170&amp;Pep=KGSKKAITKAQK&amp;Dta=/var/www/html/dta/S01/10564.3773.3.dta&amp;Global_Mod=CS57.0215", "3773")</f>
        <v>3773</v>
      </c>
      <c r="V392" s="37" t="str">
        <f>HYPERLINK("http://ms.phosphosite.org:5080/cgi-bin/plot-msms.cgi?MassType=1&amp;NumAxis=1&amp;Mod1=170&amp;Mod4=170&amp;Mod5=170&amp;Mod9=170&amp;Pep=KGSKKAITKAQK&amp;Dta=/var/www/html/dta/S01/10565.3855.3.dta&amp;Global_Mod=CS57.0215", "3855")</f>
        <v>3855</v>
      </c>
      <c r="W392" s="10">
        <v>3517</v>
      </c>
      <c r="X392" s="10">
        <v>3464</v>
      </c>
      <c r="Y392" s="10">
        <v>3470</v>
      </c>
      <c r="Z392" s="10">
        <v>3478</v>
      </c>
      <c r="AA392" s="10">
        <v>3565</v>
      </c>
      <c r="AB392" s="10">
        <v>3505</v>
      </c>
      <c r="AC392" s="10">
        <v>3802</v>
      </c>
      <c r="AD392" s="10">
        <v>3883</v>
      </c>
      <c r="AE392" s="91">
        <v>3.1120000000000001</v>
      </c>
      <c r="AF392" s="91">
        <v>3.4239999999999999</v>
      </c>
      <c r="AG392" s="91">
        <v>3.7429999999999999</v>
      </c>
      <c r="AH392" s="91">
        <v>3.6230000000000002</v>
      </c>
      <c r="AI392" s="91">
        <v>3.7570000000000001</v>
      </c>
      <c r="AJ392" s="91">
        <v>3.7040000000000002</v>
      </c>
      <c r="AK392" s="91">
        <v>3.6030000000000002</v>
      </c>
      <c r="AL392" s="91">
        <v>4.43</v>
      </c>
      <c r="AM392" s="95">
        <v>5.2400000000000002E-2</v>
      </c>
      <c r="AN392" s="95">
        <v>0.35949999999999999</v>
      </c>
      <c r="AO392" s="95">
        <v>0.6129</v>
      </c>
      <c r="AP392" s="95">
        <v>0.58819999999999995</v>
      </c>
      <c r="AQ392" s="95">
        <v>0.36149999999999999</v>
      </c>
      <c r="AR392" s="95">
        <v>0.49</v>
      </c>
      <c r="AS392" s="95">
        <v>5.5199999999999999E-2</v>
      </c>
      <c r="AT392" s="95">
        <v>-0.1014</v>
      </c>
      <c r="AU392" s="95">
        <v>0.11600000000000001</v>
      </c>
      <c r="AV392" s="95">
        <v>0.16500000000000001</v>
      </c>
      <c r="AW392" s="95">
        <v>0.23599999999999999</v>
      </c>
      <c r="AX392" s="95">
        <v>0.11600000000000001</v>
      </c>
      <c r="AY392" s="95">
        <v>0.153</v>
      </c>
      <c r="AZ392" s="95">
        <v>0.23699999999999999</v>
      </c>
      <c r="BA392" s="95">
        <v>0.115</v>
      </c>
      <c r="BB392" s="95">
        <v>0.249</v>
      </c>
      <c r="BC392" s="10">
        <v>1</v>
      </c>
      <c r="BD392" s="10">
        <v>1</v>
      </c>
      <c r="BE392" s="10">
        <v>2</v>
      </c>
      <c r="BF392" s="10">
        <v>1</v>
      </c>
      <c r="BG392" s="10">
        <v>3</v>
      </c>
      <c r="BH392" s="10">
        <v>1</v>
      </c>
      <c r="BI392" s="10">
        <v>2</v>
      </c>
      <c r="BJ392" s="10">
        <v>1</v>
      </c>
      <c r="BK392" s="91">
        <v>0.997</v>
      </c>
      <c r="BL392" s="91">
        <v>0.999</v>
      </c>
      <c r="BM392" s="91">
        <v>1</v>
      </c>
      <c r="BN392" s="91">
        <v>0.998</v>
      </c>
      <c r="BO392" s="91">
        <v>0.999</v>
      </c>
      <c r="BP392" s="91">
        <v>1</v>
      </c>
      <c r="BQ392" s="91">
        <v>0.998</v>
      </c>
      <c r="BR392" s="91">
        <v>1</v>
      </c>
      <c r="BS392" s="10" t="s">
        <v>4857</v>
      </c>
    </row>
    <row r="393" spans="1:71" s="30" customFormat="1" ht="17.100000000000001" customHeight="1">
      <c r="A393" s="10">
        <v>382</v>
      </c>
      <c r="B393" s="10" t="s">
        <v>3591</v>
      </c>
      <c r="C393" s="4" t="s">
        <v>3883</v>
      </c>
      <c r="D393" s="4" t="s">
        <v>3577</v>
      </c>
      <c r="E393" s="7" t="s">
        <v>3577</v>
      </c>
      <c r="F393" s="10" t="s">
        <v>5142</v>
      </c>
      <c r="G393" s="4" t="s">
        <v>3578</v>
      </c>
      <c r="H393" s="7" t="s">
        <v>3579</v>
      </c>
      <c r="I393" s="4" t="s">
        <v>3580</v>
      </c>
      <c r="J393" s="10" t="s">
        <v>4838</v>
      </c>
      <c r="K393" s="4" t="s">
        <v>5548</v>
      </c>
      <c r="L393" s="4" t="s">
        <v>3588</v>
      </c>
      <c r="M393" s="10">
        <v>3</v>
      </c>
      <c r="N393" s="95">
        <v>485.95580000000001</v>
      </c>
      <c r="O393" s="37" t="str">
        <f>HYPERLINK("http://ms.phosphosite.org:5080/cgi-bin/plot-msms.cgi?MassType=1&amp;NumAxis=1&amp;Mod1=170&amp;Mod4=170&amp;Mod5=170&amp;Mod9=170&amp;Pep=KGSKKAITKAQK&amp;Dta=/var/www/html/dta/S01/10558.3771.3.dta&amp;Global_Mod=CS57.0215", "3771")</f>
        <v>3771</v>
      </c>
      <c r="P393" s="37" t="str">
        <f>HYPERLINK("http://ms.phosphosite.org:5080/cgi-bin/plot-msms.cgi?MassType=1&amp;NumAxis=1&amp;Mod1=170&amp;Mod4=170&amp;Mod5=170&amp;Mod9=170&amp;Pep=KGSKKAITKAQK&amp;Dta=/var/www/html/dta/S01/10559.3737.3.dta&amp;Global_Mod=CS57.0215", "3737")</f>
        <v>3737</v>
      </c>
      <c r="Q393" s="37" t="str">
        <f>HYPERLINK("http://ms.phosphosite.org:5080/cgi-bin/plot-msms.cgi?MassType=1&amp;NumAxis=1&amp;Mod1=170&amp;Mod4=170&amp;Mod5=170&amp;Mod9=170&amp;Pep=KGSKKAITKAQK&amp;Dta=/var/www/html/dta/S01/10560.3705.3.dta&amp;Global_Mod=CS57.0215", "3705")</f>
        <v>3705</v>
      </c>
      <c r="R393" s="37" t="str">
        <f>HYPERLINK("http://ms.phosphosite.org:5080/cgi-bin/plot-msms.cgi?MassType=1&amp;NumAxis=1&amp;Mod1=170&amp;Mod4=170&amp;Mod5=170&amp;Mod9=170&amp;Pep=KGSKKAITKAQK&amp;Dta=/var/www/html/dta/S01/10561.3755.3.dta&amp;Global_Mod=CS57.0215", "3755")</f>
        <v>3755</v>
      </c>
      <c r="S393" s="37" t="str">
        <f>HYPERLINK("http://ms.phosphosite.org:5080/cgi-bin/plot-msms.cgi?MassType=1&amp;NumAxis=1&amp;Mod1=170&amp;Mod4=170&amp;Mod5=170&amp;Mod9=170&amp;Pep=KGSKKAITKAQK&amp;Dta=/var/www/html/dta/S01/10562.3844.3.dta&amp;Global_Mod=CS57.0215", "3844")</f>
        <v>3844</v>
      </c>
      <c r="T393" s="38" t="s">
        <v>4854</v>
      </c>
      <c r="U393" s="38" t="s">
        <v>4854</v>
      </c>
      <c r="V393" s="37" t="str">
        <f>HYPERLINK("http://ms.phosphosite.org:5080/cgi-bin/plot-msms.cgi?MassType=1&amp;NumAxis=1&amp;Mod1=170&amp;Mod4=170&amp;Mod5=170&amp;Mod9=170&amp;Pep=KGSKKAITKAQK&amp;Dta=/var/www/html/dta/S01/10565.4129.3.dta&amp;Global_Mod=CS57.0215", "4129")</f>
        <v>4129</v>
      </c>
      <c r="W393" s="10">
        <v>3517</v>
      </c>
      <c r="X393" s="10">
        <v>3464</v>
      </c>
      <c r="Y393" s="10">
        <v>3470</v>
      </c>
      <c r="Z393" s="10">
        <v>3478</v>
      </c>
      <c r="AA393" s="10">
        <v>3565</v>
      </c>
      <c r="AB393" s="4" t="s">
        <v>4854</v>
      </c>
      <c r="AC393" s="4" t="s">
        <v>4854</v>
      </c>
      <c r="AD393" s="10">
        <v>3883</v>
      </c>
      <c r="AE393" s="91">
        <v>2.7170000000000001</v>
      </c>
      <c r="AF393" s="91">
        <v>2.9009999999999998</v>
      </c>
      <c r="AG393" s="91">
        <v>2.75</v>
      </c>
      <c r="AH393" s="91">
        <v>2.7890000000000001</v>
      </c>
      <c r="AI393" s="91">
        <v>2.778</v>
      </c>
      <c r="AJ393" s="100" t="s">
        <v>4854</v>
      </c>
      <c r="AK393" s="100" t="s">
        <v>4854</v>
      </c>
      <c r="AL393" s="91">
        <v>2.7770000000000001</v>
      </c>
      <c r="AM393" s="95">
        <v>-1.4200000000000001E-2</v>
      </c>
      <c r="AN393" s="95">
        <v>0.25850000000000001</v>
      </c>
      <c r="AO393" s="95">
        <v>0.1706</v>
      </c>
      <c r="AP393" s="95">
        <v>-2.3099999999999999E-2</v>
      </c>
      <c r="AQ393" s="95">
        <v>-0.1255</v>
      </c>
      <c r="AR393" s="103" t="s">
        <v>4854</v>
      </c>
      <c r="AS393" s="103" t="s">
        <v>4854</v>
      </c>
      <c r="AT393" s="95">
        <v>-0.28410000000000002</v>
      </c>
      <c r="AU393" s="95">
        <v>3.5999999999999997E-2</v>
      </c>
      <c r="AV393" s="95">
        <v>5.6000000000000001E-2</v>
      </c>
      <c r="AW393" s="95">
        <v>0.13700000000000001</v>
      </c>
      <c r="AX393" s="95">
        <v>9.5000000000000001E-2</v>
      </c>
      <c r="AY393" s="95">
        <v>0.23499999999999999</v>
      </c>
      <c r="AZ393" s="103" t="s">
        <v>4854</v>
      </c>
      <c r="BA393" s="103" t="s">
        <v>4854</v>
      </c>
      <c r="BB393" s="95">
        <v>0.124</v>
      </c>
      <c r="BC393" s="10">
        <v>3</v>
      </c>
      <c r="BD393" s="10">
        <v>1</v>
      </c>
      <c r="BE393" s="10">
        <v>2</v>
      </c>
      <c r="BF393" s="10">
        <v>1</v>
      </c>
      <c r="BG393" s="10">
        <v>2</v>
      </c>
      <c r="BH393" s="4" t="s">
        <v>4854</v>
      </c>
      <c r="BI393" s="4" t="s">
        <v>4854</v>
      </c>
      <c r="BJ393" s="10">
        <v>11</v>
      </c>
      <c r="BK393" s="91">
        <v>0.97699999999999998</v>
      </c>
      <c r="BL393" s="91">
        <v>0.99</v>
      </c>
      <c r="BM393" s="91">
        <v>0.996</v>
      </c>
      <c r="BN393" s="91">
        <v>0.99299999999999999</v>
      </c>
      <c r="BO393" s="91">
        <v>0.999</v>
      </c>
      <c r="BP393" s="100" t="s">
        <v>4854</v>
      </c>
      <c r="BQ393" s="100" t="s">
        <v>4854</v>
      </c>
      <c r="BR393" s="91">
        <v>0.99199999999999999</v>
      </c>
      <c r="BS393" s="10" t="s">
        <v>4857</v>
      </c>
    </row>
    <row r="394" spans="1:71" s="30" customFormat="1" ht="17.100000000000001" customHeight="1">
      <c r="A394" s="14">
        <v>383</v>
      </c>
      <c r="B394" s="5" t="s">
        <v>3592</v>
      </c>
      <c r="C394" s="3" t="s">
        <v>3883</v>
      </c>
      <c r="D394" s="3" t="s">
        <v>3577</v>
      </c>
      <c r="E394" s="6" t="s">
        <v>3577</v>
      </c>
      <c r="F394" s="5" t="s">
        <v>5130</v>
      </c>
      <c r="G394" s="3" t="s">
        <v>3578</v>
      </c>
      <c r="H394" s="6" t="s">
        <v>3579</v>
      </c>
      <c r="I394" s="3" t="s">
        <v>3580</v>
      </c>
      <c r="J394" s="5" t="s">
        <v>4838</v>
      </c>
      <c r="K394" s="3" t="s">
        <v>5549</v>
      </c>
      <c r="L394" s="3" t="s">
        <v>3468</v>
      </c>
      <c r="M394" s="5">
        <v>2</v>
      </c>
      <c r="N394" s="21">
        <v>522.82420000000002</v>
      </c>
      <c r="O394" s="36" t="str">
        <f>HYPERLINK("http://ms.phosphosite.org:5080/cgi-bin/plot-msms.cgi?MassType=1&amp;NumAxis=1&amp;Mod4=170&amp;Mod5=170&amp;Pep=KGSKKAITK&amp;Dta=/var/www/html/dta/S01/10558.1605.2.dta&amp;Global_Mod=CS57.0215", "1605")</f>
        <v>1605</v>
      </c>
      <c r="P394" s="35" t="s">
        <v>4854</v>
      </c>
      <c r="Q394" s="35" t="s">
        <v>4854</v>
      </c>
      <c r="R394" s="35" t="s">
        <v>4854</v>
      </c>
      <c r="S394" s="35" t="s">
        <v>4854</v>
      </c>
      <c r="T394" s="35" t="s">
        <v>4854</v>
      </c>
      <c r="U394" s="36" t="str">
        <f>HYPERLINK("http://ms.phosphosite.org:5080/cgi-bin/plot-msms.cgi?MassType=1&amp;NumAxis=1&amp;Mod4=170&amp;Mod5=170&amp;Pep=KGSKKAITK&amp;Dta=/var/www/html/dta/S01/10564.1792.2.dta&amp;Global_Mod=CS57.0215", "1792")</f>
        <v>1792</v>
      </c>
      <c r="V394" s="35" t="s">
        <v>4854</v>
      </c>
      <c r="W394" s="3" t="s">
        <v>4854</v>
      </c>
      <c r="X394" s="3" t="s">
        <v>4854</v>
      </c>
      <c r="Y394" s="3" t="s">
        <v>4854</v>
      </c>
      <c r="Z394" s="3" t="s">
        <v>4854</v>
      </c>
      <c r="AA394" s="3" t="s">
        <v>4854</v>
      </c>
      <c r="AB394" s="3" t="s">
        <v>4854</v>
      </c>
      <c r="AC394" s="3" t="s">
        <v>4854</v>
      </c>
      <c r="AD394" s="3" t="s">
        <v>4854</v>
      </c>
      <c r="AE394" s="90">
        <v>1.8720000000000001</v>
      </c>
      <c r="AF394" s="99" t="s">
        <v>4854</v>
      </c>
      <c r="AG394" s="99" t="s">
        <v>4854</v>
      </c>
      <c r="AH394" s="99" t="s">
        <v>4854</v>
      </c>
      <c r="AI394" s="99" t="s">
        <v>4854</v>
      </c>
      <c r="AJ394" s="99" t="s">
        <v>4854</v>
      </c>
      <c r="AK394" s="90">
        <v>1.6879999999999999</v>
      </c>
      <c r="AL394" s="99" t="s">
        <v>4854</v>
      </c>
      <c r="AM394" s="21">
        <v>-0.29099999999999998</v>
      </c>
      <c r="AN394" s="102" t="s">
        <v>4854</v>
      </c>
      <c r="AO394" s="102" t="s">
        <v>4854</v>
      </c>
      <c r="AP394" s="102" t="s">
        <v>4854</v>
      </c>
      <c r="AQ394" s="102" t="s">
        <v>4854</v>
      </c>
      <c r="AR394" s="102" t="s">
        <v>4854</v>
      </c>
      <c r="AS394" s="21">
        <v>-0.63939999999999997</v>
      </c>
      <c r="AT394" s="102" t="s">
        <v>4854</v>
      </c>
      <c r="AU394" s="21">
        <v>5.0000000000000001E-3</v>
      </c>
      <c r="AV394" s="102" t="s">
        <v>4854</v>
      </c>
      <c r="AW394" s="102" t="s">
        <v>4854</v>
      </c>
      <c r="AX394" s="102" t="s">
        <v>4854</v>
      </c>
      <c r="AY394" s="102" t="s">
        <v>4854</v>
      </c>
      <c r="AZ394" s="102" t="s">
        <v>4854</v>
      </c>
      <c r="BA394" s="21">
        <v>6.3E-2</v>
      </c>
      <c r="BB394" s="102" t="s">
        <v>4854</v>
      </c>
      <c r="BC394" s="5">
        <v>9</v>
      </c>
      <c r="BD394" s="3" t="s">
        <v>4854</v>
      </c>
      <c r="BE394" s="3" t="s">
        <v>4854</v>
      </c>
      <c r="BF394" s="3" t="s">
        <v>4854</v>
      </c>
      <c r="BG394" s="3" t="s">
        <v>4854</v>
      </c>
      <c r="BH394" s="3" t="s">
        <v>4854</v>
      </c>
      <c r="BI394" s="5">
        <v>61</v>
      </c>
      <c r="BJ394" s="3" t="s">
        <v>4854</v>
      </c>
      <c r="BK394" s="90">
        <v>0.86399999999999999</v>
      </c>
      <c r="BL394" s="99" t="s">
        <v>4854</v>
      </c>
      <c r="BM394" s="99" t="s">
        <v>4854</v>
      </c>
      <c r="BN394" s="99" t="s">
        <v>4854</v>
      </c>
      <c r="BO394" s="99" t="s">
        <v>4854</v>
      </c>
      <c r="BP394" s="99" t="s">
        <v>4854</v>
      </c>
      <c r="BQ394" s="90">
        <v>0.65200000000000002</v>
      </c>
      <c r="BR394" s="99" t="s">
        <v>4854</v>
      </c>
      <c r="BS394" s="5" t="s">
        <v>4857</v>
      </c>
    </row>
    <row r="395" spans="1:71" s="30" customFormat="1" ht="17.100000000000001" customHeight="1">
      <c r="A395" s="10">
        <v>384</v>
      </c>
      <c r="B395" s="10" t="s">
        <v>3469</v>
      </c>
      <c r="C395" s="4" t="s">
        <v>3883</v>
      </c>
      <c r="D395" s="4" t="s">
        <v>3577</v>
      </c>
      <c r="E395" s="7" t="s">
        <v>3577</v>
      </c>
      <c r="F395" s="10" t="s">
        <v>5096</v>
      </c>
      <c r="G395" s="4" t="s">
        <v>3578</v>
      </c>
      <c r="H395" s="7" t="s">
        <v>3579</v>
      </c>
      <c r="I395" s="4" t="s">
        <v>3580</v>
      </c>
      <c r="J395" s="10" t="s">
        <v>4838</v>
      </c>
      <c r="K395" s="4" t="s">
        <v>5550</v>
      </c>
      <c r="L395" s="4" t="s">
        <v>3470</v>
      </c>
      <c r="M395" s="10">
        <v>2</v>
      </c>
      <c r="N395" s="95">
        <v>707.4248</v>
      </c>
      <c r="O395" s="37" t="str">
        <f>HYPERLINK("http://ms.phosphosite.org:5080/cgi-bin/plot-msms.cgi?MassType=1&amp;NumAxis=1&amp;Mod4=170&amp;Mod5=170&amp;Mod9=170&amp;Pep=KGSKKAITKAQK&amp;Dta=/var/www/html/dta/S01/10558.2223.2.dta&amp;Global_Mod=CS57.0215", "2223")</f>
        <v>2223</v>
      </c>
      <c r="P395" s="38" t="s">
        <v>4854</v>
      </c>
      <c r="Q395" s="37" t="str">
        <f>HYPERLINK("http://ms.phosphosite.org:5080/cgi-bin/plot-msms.cgi?MassType=1&amp;NumAxis=1&amp;Mod4=170&amp;Mod5=170&amp;Mod9=170&amp;Pep=KGSKKAITKAQK&amp;Dta=/var/www/html/dta/S01/10560.2163.2.dta&amp;Global_Mod=CS57.0215", "2163")</f>
        <v>2163</v>
      </c>
      <c r="R395" s="37" t="str">
        <f>HYPERLINK("http://ms.phosphosite.org:5080/cgi-bin/plot-msms.cgi?MassType=1&amp;NumAxis=1&amp;Mod4=170&amp;Mod5=170&amp;Mod9=170&amp;Pep=KGSKKAITKAQK&amp;Dta=/var/www/html/dta/S01/10561.2198.2.dta&amp;Global_Mod=CS57.0215", "2198")</f>
        <v>2198</v>
      </c>
      <c r="S395" s="37" t="str">
        <f>HYPERLINK("http://ms.phosphosite.org:5080/cgi-bin/plot-msms.cgi?MassType=1&amp;NumAxis=1&amp;Mod4=170&amp;Mod5=170&amp;Mod9=170&amp;Pep=KGSKKAITKAQK&amp;Dta=/var/www/html/dta/S01/10562.2280.2.dta&amp;Global_Mod=CS57.0215", "2280")</f>
        <v>2280</v>
      </c>
      <c r="T395" s="38" t="s">
        <v>4854</v>
      </c>
      <c r="U395" s="37" t="str">
        <f>HYPERLINK("http://ms.phosphosite.org:5080/cgi-bin/plot-msms.cgi?MassType=1&amp;NumAxis=1&amp;Mod4=170&amp;Mod5=170&amp;Mod9=170&amp;Pep=KGSKKAITKAQK&amp;Dta=/var/www/html/dta/S01/10564.2477.2.dta&amp;Global_Mod=CS57.0215", "2477")</f>
        <v>2477</v>
      </c>
      <c r="V395" s="38" t="s">
        <v>4854</v>
      </c>
      <c r="W395" s="10">
        <v>2204</v>
      </c>
      <c r="X395" s="4" t="s">
        <v>4854</v>
      </c>
      <c r="Y395" s="10">
        <v>2164</v>
      </c>
      <c r="Z395" s="10">
        <v>2179</v>
      </c>
      <c r="AA395" s="10">
        <v>2261</v>
      </c>
      <c r="AB395" s="4" t="s">
        <v>4854</v>
      </c>
      <c r="AC395" s="10">
        <v>2489</v>
      </c>
      <c r="AD395" s="4" t="s">
        <v>4854</v>
      </c>
      <c r="AE395" s="91">
        <v>3.0390000000000001</v>
      </c>
      <c r="AF395" s="100" t="s">
        <v>4854</v>
      </c>
      <c r="AG395" s="91">
        <v>3.0870000000000002</v>
      </c>
      <c r="AH395" s="91">
        <v>3.121</v>
      </c>
      <c r="AI395" s="91">
        <v>2.4279999999999999</v>
      </c>
      <c r="AJ395" s="100" t="s">
        <v>4854</v>
      </c>
      <c r="AK395" s="91">
        <v>2.6190000000000002</v>
      </c>
      <c r="AL395" s="100" t="s">
        <v>4854</v>
      </c>
      <c r="AM395" s="95">
        <v>-0.12939999999999999</v>
      </c>
      <c r="AN395" s="103" t="s">
        <v>4854</v>
      </c>
      <c r="AO395" s="95">
        <v>0.85019999999999996</v>
      </c>
      <c r="AP395" s="95">
        <v>0.2631</v>
      </c>
      <c r="AQ395" s="95">
        <v>1.119</v>
      </c>
      <c r="AR395" s="103" t="s">
        <v>4854</v>
      </c>
      <c r="AS395" s="95">
        <v>1.0122</v>
      </c>
      <c r="AT395" s="103" t="s">
        <v>4854</v>
      </c>
      <c r="AU395" s="95">
        <v>0.26900000000000002</v>
      </c>
      <c r="AV395" s="103" t="s">
        <v>4854</v>
      </c>
      <c r="AW395" s="95">
        <v>0.22700000000000001</v>
      </c>
      <c r="AX395" s="95">
        <v>0.26800000000000002</v>
      </c>
      <c r="AY395" s="95">
        <v>0.13100000000000001</v>
      </c>
      <c r="AZ395" s="103" t="s">
        <v>4854</v>
      </c>
      <c r="BA395" s="95">
        <v>0.16500000000000001</v>
      </c>
      <c r="BB395" s="103" t="s">
        <v>4854</v>
      </c>
      <c r="BC395" s="10">
        <v>1</v>
      </c>
      <c r="BD395" s="4" t="s">
        <v>4854</v>
      </c>
      <c r="BE395" s="10">
        <v>1</v>
      </c>
      <c r="BF395" s="10">
        <v>1</v>
      </c>
      <c r="BG395" s="10">
        <v>1</v>
      </c>
      <c r="BH395" s="4" t="s">
        <v>4854</v>
      </c>
      <c r="BI395" s="10">
        <v>1</v>
      </c>
      <c r="BJ395" s="4" t="s">
        <v>4854</v>
      </c>
      <c r="BK395" s="91">
        <v>1</v>
      </c>
      <c r="BL395" s="100" t="s">
        <v>4854</v>
      </c>
      <c r="BM395" s="91">
        <v>0.999</v>
      </c>
      <c r="BN395" s="91">
        <v>1</v>
      </c>
      <c r="BO395" s="91">
        <v>0.99399999999999999</v>
      </c>
      <c r="BP395" s="100" t="s">
        <v>4854</v>
      </c>
      <c r="BQ395" s="91">
        <v>0.997</v>
      </c>
      <c r="BR395" s="100" t="s">
        <v>4854</v>
      </c>
      <c r="BS395" s="10" t="s">
        <v>4857</v>
      </c>
    </row>
    <row r="396" spans="1:71" s="30" customFormat="1" ht="17.100000000000001" customHeight="1">
      <c r="A396" s="10">
        <v>385</v>
      </c>
      <c r="B396" s="10" t="s">
        <v>3471</v>
      </c>
      <c r="C396" s="4" t="s">
        <v>3883</v>
      </c>
      <c r="D396" s="4" t="s">
        <v>3577</v>
      </c>
      <c r="E396" s="7" t="s">
        <v>3577</v>
      </c>
      <c r="F396" s="10" t="s">
        <v>5096</v>
      </c>
      <c r="G396" s="4" t="s">
        <v>3578</v>
      </c>
      <c r="H396" s="7" t="s">
        <v>3579</v>
      </c>
      <c r="I396" s="4" t="s">
        <v>3580</v>
      </c>
      <c r="J396" s="10" t="s">
        <v>4838</v>
      </c>
      <c r="K396" s="4" t="s">
        <v>5550</v>
      </c>
      <c r="L396" s="4" t="s">
        <v>3470</v>
      </c>
      <c r="M396" s="10">
        <v>3</v>
      </c>
      <c r="N396" s="95">
        <v>471.95229999999998</v>
      </c>
      <c r="O396" s="38" t="s">
        <v>4854</v>
      </c>
      <c r="P396" s="38" t="s">
        <v>4854</v>
      </c>
      <c r="Q396" s="38" t="s">
        <v>4854</v>
      </c>
      <c r="R396" s="38" t="s">
        <v>4854</v>
      </c>
      <c r="S396" s="37" t="str">
        <f>HYPERLINK("http://ms.phosphosite.org:5080/cgi-bin/plot-msms.cgi?MassType=1&amp;NumAxis=1&amp;Mod4=170&amp;Mod5=170&amp;Mod9=170&amp;Pep=KGSKKAITKAQK&amp;Dta=/var/www/html/dta/S01/10562.2286.3.dta&amp;Global_Mod=CS57.0215", "2286")</f>
        <v>2286</v>
      </c>
      <c r="T396" s="38" t="s">
        <v>4854</v>
      </c>
      <c r="U396" s="37" t="str">
        <f>HYPERLINK("http://ms.phosphosite.org:5080/cgi-bin/plot-msms.cgi?MassType=1&amp;NumAxis=1&amp;Mod4=170&amp;Mod5=170&amp;Mod9=170&amp;Pep=KGSKKAITKAQK&amp;Dta=/var/www/html/dta/S01/10564.2462.3.dta&amp;Global_Mod=CS57.0215", "2462")</f>
        <v>2462</v>
      </c>
      <c r="V396" s="37" t="str">
        <f>HYPERLINK("http://ms.phosphosite.org:5080/cgi-bin/plot-msms.cgi?MassType=1&amp;NumAxis=1&amp;Mod4=170&amp;Mod5=170&amp;Mod9=170&amp;Pep=KGSKKAITKAQK&amp;Dta=/var/www/html/dta/S01/10565.2522.3.dta&amp;Global_Mod=CS57.0215", "2522")</f>
        <v>2522</v>
      </c>
      <c r="W396" s="4" t="s">
        <v>4854</v>
      </c>
      <c r="X396" s="4" t="s">
        <v>4854</v>
      </c>
      <c r="Y396" s="4" t="s">
        <v>4854</v>
      </c>
      <c r="Z396" s="4" t="s">
        <v>4854</v>
      </c>
      <c r="AA396" s="10">
        <v>2437</v>
      </c>
      <c r="AB396" s="4" t="s">
        <v>4854</v>
      </c>
      <c r="AC396" s="10">
        <v>2654</v>
      </c>
      <c r="AD396" s="10">
        <v>2516</v>
      </c>
      <c r="AE396" s="100" t="s">
        <v>4854</v>
      </c>
      <c r="AF396" s="100" t="s">
        <v>4854</v>
      </c>
      <c r="AG396" s="100" t="s">
        <v>4854</v>
      </c>
      <c r="AH396" s="100" t="s">
        <v>4854</v>
      </c>
      <c r="AI396" s="91">
        <v>2.4849999999999999</v>
      </c>
      <c r="AJ396" s="100" t="s">
        <v>4854</v>
      </c>
      <c r="AK396" s="91">
        <v>3.1549999999999998</v>
      </c>
      <c r="AL396" s="91">
        <v>3.5649999999999999</v>
      </c>
      <c r="AM396" s="103" t="s">
        <v>4854</v>
      </c>
      <c r="AN396" s="103" t="s">
        <v>4854</v>
      </c>
      <c r="AO396" s="103" t="s">
        <v>4854</v>
      </c>
      <c r="AP396" s="103" t="s">
        <v>4854</v>
      </c>
      <c r="AQ396" s="95">
        <v>-0.14360000000000001</v>
      </c>
      <c r="AR396" s="103" t="s">
        <v>4854</v>
      </c>
      <c r="AS396" s="95">
        <v>0.16059999999999999</v>
      </c>
      <c r="AT396" s="95">
        <v>-0.34300000000000003</v>
      </c>
      <c r="AU396" s="103" t="s">
        <v>4854</v>
      </c>
      <c r="AV396" s="103" t="s">
        <v>4854</v>
      </c>
      <c r="AW396" s="103" t="s">
        <v>4854</v>
      </c>
      <c r="AX396" s="103" t="s">
        <v>4854</v>
      </c>
      <c r="AY396" s="95">
        <v>5.6000000000000001E-2</v>
      </c>
      <c r="AZ396" s="103" t="s">
        <v>4854</v>
      </c>
      <c r="BA396" s="95">
        <v>0.125</v>
      </c>
      <c r="BB396" s="95">
        <v>0.184</v>
      </c>
      <c r="BC396" s="4" t="s">
        <v>4854</v>
      </c>
      <c r="BD396" s="4" t="s">
        <v>4854</v>
      </c>
      <c r="BE396" s="4" t="s">
        <v>4854</v>
      </c>
      <c r="BF396" s="4" t="s">
        <v>4854</v>
      </c>
      <c r="BG396" s="10">
        <v>26</v>
      </c>
      <c r="BH396" s="4" t="s">
        <v>4854</v>
      </c>
      <c r="BI396" s="10">
        <v>1</v>
      </c>
      <c r="BJ396" s="10">
        <v>2</v>
      </c>
      <c r="BK396" s="100" t="s">
        <v>4854</v>
      </c>
      <c r="BL396" s="100" t="s">
        <v>4854</v>
      </c>
      <c r="BM396" s="100" t="s">
        <v>4854</v>
      </c>
      <c r="BN396" s="100" t="s">
        <v>4854</v>
      </c>
      <c r="BO396" s="91">
        <v>0.95799999999999996</v>
      </c>
      <c r="BP396" s="100" t="s">
        <v>4854</v>
      </c>
      <c r="BQ396" s="91">
        <v>0.997</v>
      </c>
      <c r="BR396" s="91">
        <v>0.998</v>
      </c>
      <c r="BS396" s="10" t="s">
        <v>4857</v>
      </c>
    </row>
    <row r="397" spans="1:71" s="30" customFormat="1" ht="17.100000000000001" customHeight="1">
      <c r="A397" s="14">
        <v>386</v>
      </c>
      <c r="B397" s="5" t="s">
        <v>3472</v>
      </c>
      <c r="C397" s="3" t="s">
        <v>3883</v>
      </c>
      <c r="D397" s="3" t="s">
        <v>3577</v>
      </c>
      <c r="E397" s="6" t="s">
        <v>3577</v>
      </c>
      <c r="F397" s="5" t="s">
        <v>5131</v>
      </c>
      <c r="G397" s="3" t="s">
        <v>3578</v>
      </c>
      <c r="H397" s="6" t="s">
        <v>3579</v>
      </c>
      <c r="I397" s="3" t="s">
        <v>3580</v>
      </c>
      <c r="J397" s="5" t="s">
        <v>4838</v>
      </c>
      <c r="K397" s="3" t="s">
        <v>5551</v>
      </c>
      <c r="L397" s="3" t="s">
        <v>3473</v>
      </c>
      <c r="M397" s="5">
        <v>2</v>
      </c>
      <c r="N397" s="21">
        <v>486.2978</v>
      </c>
      <c r="O397" s="36" t="str">
        <f>HYPERLINK("http://ms.phosphosite.org:5080/cgi-bin/plot-msms.cgi?MassType=1&amp;NumAxis=1&amp;Mod1=170&amp;Mod5=170&amp;Pep=KAITKAQK&amp;Dta=/var/www/html/dta/S01/10558.2009.2.dta&amp;Global_Mod=CS57.0215", "2009")</f>
        <v>2009</v>
      </c>
      <c r="P397" s="35" t="s">
        <v>4854</v>
      </c>
      <c r="Q397" s="35" t="s">
        <v>4854</v>
      </c>
      <c r="R397" s="35" t="s">
        <v>4854</v>
      </c>
      <c r="S397" s="36" t="str">
        <f>HYPERLINK("http://ms.phosphosite.org:5080/cgi-bin/plot-msms.cgi?MassType=1&amp;NumAxis=1&amp;Mod1=170&amp;Mod5=170&amp;Pep=KAITKAQK&amp;Dta=/var/www/html/dta/S01/10562.2057.2.dta&amp;Global_Mod=CS57.0215", "2057")</f>
        <v>2057</v>
      </c>
      <c r="T397" s="36" t="str">
        <f>HYPERLINK("http://ms.phosphosite.org:5080/cgi-bin/plot-msms.cgi?MassType=1&amp;NumAxis=1&amp;Mod1=170&amp;Mod5=170&amp;Pep=KAITKAQK&amp;Dta=/var/www/html/dta/S01/10563.1979.2.dta&amp;Global_Mod=CS57.0215", "1979")</f>
        <v>1979</v>
      </c>
      <c r="U397" s="36" t="str">
        <f>HYPERLINK("http://ms.phosphosite.org:5080/cgi-bin/plot-msms.cgi?MassType=1&amp;NumAxis=1&amp;Mod1=170&amp;Mod5=170&amp;Pep=KAITKAQK&amp;Dta=/var/www/html/dta/S01/10564.2257.2.dta&amp;Global_Mod=CS57.0215", "2257")</f>
        <v>2257</v>
      </c>
      <c r="V397" s="36" t="str">
        <f>HYPERLINK("http://ms.phosphosite.org:5080/cgi-bin/plot-msms.cgi?MassType=1&amp;NumAxis=1&amp;Mod1=170&amp;Mod5=170&amp;Pep=KAITKAQK&amp;Dta=/var/www/html/dta/S01/10565.2289.2.dta&amp;Global_Mod=CS57.0215", "2289")</f>
        <v>2289</v>
      </c>
      <c r="W397" s="5">
        <v>2024</v>
      </c>
      <c r="X397" s="3" t="s">
        <v>4854</v>
      </c>
      <c r="Y397" s="3" t="s">
        <v>4854</v>
      </c>
      <c r="Z397" s="3" t="s">
        <v>4854</v>
      </c>
      <c r="AA397" s="3" t="s">
        <v>4854</v>
      </c>
      <c r="AB397" s="3" t="s">
        <v>4854</v>
      </c>
      <c r="AC397" s="3" t="s">
        <v>4854</v>
      </c>
      <c r="AD397" s="5">
        <v>2301</v>
      </c>
      <c r="AE397" s="90">
        <v>1.879</v>
      </c>
      <c r="AF397" s="99" t="s">
        <v>4854</v>
      </c>
      <c r="AG397" s="99" t="s">
        <v>4854</v>
      </c>
      <c r="AH397" s="99" t="s">
        <v>4854</v>
      </c>
      <c r="AI397" s="90">
        <v>1.796</v>
      </c>
      <c r="AJ397" s="90">
        <v>2.0419999999999998</v>
      </c>
      <c r="AK397" s="90">
        <v>2.1549999999999998</v>
      </c>
      <c r="AL397" s="90">
        <v>2.5129999999999999</v>
      </c>
      <c r="AM397" s="21">
        <v>-0.40360000000000001</v>
      </c>
      <c r="AN397" s="102" t="s">
        <v>4854</v>
      </c>
      <c r="AO397" s="102" t="s">
        <v>4854</v>
      </c>
      <c r="AP397" s="102" t="s">
        <v>4854</v>
      </c>
      <c r="AQ397" s="21">
        <v>-0.13600000000000001</v>
      </c>
      <c r="AR397" s="21">
        <v>-0.42309999999999998</v>
      </c>
      <c r="AS397" s="21">
        <v>-0.52610000000000001</v>
      </c>
      <c r="AT397" s="21">
        <v>-0.80910000000000004</v>
      </c>
      <c r="AU397" s="21">
        <v>5.8000000000000003E-2</v>
      </c>
      <c r="AV397" s="102" t="s">
        <v>4854</v>
      </c>
      <c r="AW397" s="102" t="s">
        <v>4854</v>
      </c>
      <c r="AX397" s="102" t="s">
        <v>4854</v>
      </c>
      <c r="AY397" s="21">
        <v>2.8000000000000001E-2</v>
      </c>
      <c r="AZ397" s="21">
        <v>5.0999999999999997E-2</v>
      </c>
      <c r="BA397" s="21">
        <v>2.1000000000000001E-2</v>
      </c>
      <c r="BB397" s="21">
        <v>6.9000000000000006E-2</v>
      </c>
      <c r="BC397" s="5">
        <v>1</v>
      </c>
      <c r="BD397" s="3" t="s">
        <v>4854</v>
      </c>
      <c r="BE397" s="3" t="s">
        <v>4854</v>
      </c>
      <c r="BF397" s="3" t="s">
        <v>4854</v>
      </c>
      <c r="BG397" s="5">
        <v>2</v>
      </c>
      <c r="BH397" s="5">
        <v>16</v>
      </c>
      <c r="BI397" s="5">
        <v>1</v>
      </c>
      <c r="BJ397" s="5">
        <v>1</v>
      </c>
      <c r="BK397" s="90">
        <v>0.96699999999999997</v>
      </c>
      <c r="BL397" s="99" t="s">
        <v>4854</v>
      </c>
      <c r="BM397" s="99" t="s">
        <v>4854</v>
      </c>
      <c r="BN397" s="99" t="s">
        <v>4854</v>
      </c>
      <c r="BO397" s="90">
        <v>0.92600000000000005</v>
      </c>
      <c r="BP397" s="90">
        <v>0.94399999999999995</v>
      </c>
      <c r="BQ397" s="90">
        <v>0.94899999999999995</v>
      </c>
      <c r="BR397" s="90">
        <v>0.98699999999999999</v>
      </c>
      <c r="BS397" s="5" t="s">
        <v>4857</v>
      </c>
    </row>
    <row r="398" spans="1:71" s="30" customFormat="1" ht="17.100000000000001" customHeight="1">
      <c r="A398" s="10">
        <v>387</v>
      </c>
      <c r="B398" s="10" t="s">
        <v>3474</v>
      </c>
      <c r="C398" s="4" t="s">
        <v>3883</v>
      </c>
      <c r="D398" s="4" t="s">
        <v>3577</v>
      </c>
      <c r="E398" s="7" t="s">
        <v>3577</v>
      </c>
      <c r="F398" s="10" t="s">
        <v>5214</v>
      </c>
      <c r="G398" s="4" t="s">
        <v>3578</v>
      </c>
      <c r="H398" s="7" t="s">
        <v>3579</v>
      </c>
      <c r="I398" s="4" t="s">
        <v>3580</v>
      </c>
      <c r="J398" s="10" t="s">
        <v>4838</v>
      </c>
      <c r="K398" s="4" t="s">
        <v>5552</v>
      </c>
      <c r="L398" s="4" t="s">
        <v>3475</v>
      </c>
      <c r="M398" s="10">
        <v>2</v>
      </c>
      <c r="N398" s="95">
        <v>571.35059999999999</v>
      </c>
      <c r="O398" s="38" t="s">
        <v>4854</v>
      </c>
      <c r="P398" s="38" t="s">
        <v>4854</v>
      </c>
      <c r="Q398" s="38" t="s">
        <v>4854</v>
      </c>
      <c r="R398" s="38" t="s">
        <v>4854</v>
      </c>
      <c r="S398" s="38" t="s">
        <v>4854</v>
      </c>
      <c r="T398" s="38" t="s">
        <v>4854</v>
      </c>
      <c r="U398" s="38" t="s">
        <v>4854</v>
      </c>
      <c r="V398" s="37" t="str">
        <f>HYPERLINK("http://ms.phosphosite.org:5080/cgi-bin/plot-msms.cgi?MassType=1&amp;NumAxis=1&amp;Mod1=170&amp;Mod5=170&amp;Mod8=170&amp;Pep=KAITKAQKK&amp;Dta=/var/www/html/dta/S01/10565.3012.2.dta&amp;Global_Mod=CS57.0215", "3012")</f>
        <v>3012</v>
      </c>
      <c r="W398" s="4" t="s">
        <v>4854</v>
      </c>
      <c r="X398" s="4" t="s">
        <v>4854</v>
      </c>
      <c r="Y398" s="4" t="s">
        <v>4854</v>
      </c>
      <c r="Z398" s="4" t="s">
        <v>4854</v>
      </c>
      <c r="AA398" s="4" t="s">
        <v>4854</v>
      </c>
      <c r="AB398" s="4" t="s">
        <v>4854</v>
      </c>
      <c r="AC398" s="4" t="s">
        <v>4854</v>
      </c>
      <c r="AD398" s="10">
        <v>3023</v>
      </c>
      <c r="AE398" s="100" t="s">
        <v>4854</v>
      </c>
      <c r="AF398" s="100" t="s">
        <v>4854</v>
      </c>
      <c r="AG398" s="100" t="s">
        <v>4854</v>
      </c>
      <c r="AH398" s="100" t="s">
        <v>4854</v>
      </c>
      <c r="AI398" s="100" t="s">
        <v>4854</v>
      </c>
      <c r="AJ398" s="100" t="s">
        <v>4854</v>
      </c>
      <c r="AK398" s="100" t="s">
        <v>4854</v>
      </c>
      <c r="AL398" s="91">
        <v>2.8820000000000001</v>
      </c>
      <c r="AM398" s="103" t="s">
        <v>4854</v>
      </c>
      <c r="AN398" s="103" t="s">
        <v>4854</v>
      </c>
      <c r="AO398" s="103" t="s">
        <v>4854</v>
      </c>
      <c r="AP398" s="103" t="s">
        <v>4854</v>
      </c>
      <c r="AQ398" s="103" t="s">
        <v>4854</v>
      </c>
      <c r="AR398" s="103" t="s">
        <v>4854</v>
      </c>
      <c r="AS398" s="103" t="s">
        <v>4854</v>
      </c>
      <c r="AT398" s="95">
        <v>-0.25650000000000001</v>
      </c>
      <c r="AU398" s="103" t="s">
        <v>4854</v>
      </c>
      <c r="AV398" s="103" t="s">
        <v>4854</v>
      </c>
      <c r="AW398" s="103" t="s">
        <v>4854</v>
      </c>
      <c r="AX398" s="103" t="s">
        <v>4854</v>
      </c>
      <c r="AY398" s="103" t="s">
        <v>4854</v>
      </c>
      <c r="AZ398" s="103" t="s">
        <v>4854</v>
      </c>
      <c r="BA398" s="103" t="s">
        <v>4854</v>
      </c>
      <c r="BB398" s="95">
        <v>0.25800000000000001</v>
      </c>
      <c r="BC398" s="4" t="s">
        <v>4854</v>
      </c>
      <c r="BD398" s="4" t="s">
        <v>4854</v>
      </c>
      <c r="BE398" s="4" t="s">
        <v>4854</v>
      </c>
      <c r="BF398" s="4" t="s">
        <v>4854</v>
      </c>
      <c r="BG398" s="4" t="s">
        <v>4854</v>
      </c>
      <c r="BH398" s="4" t="s">
        <v>4854</v>
      </c>
      <c r="BI398" s="4" t="s">
        <v>4854</v>
      </c>
      <c r="BJ398" s="10">
        <v>1</v>
      </c>
      <c r="BK398" s="100" t="s">
        <v>4854</v>
      </c>
      <c r="BL398" s="100" t="s">
        <v>4854</v>
      </c>
      <c r="BM398" s="100" t="s">
        <v>4854</v>
      </c>
      <c r="BN398" s="100" t="s">
        <v>4854</v>
      </c>
      <c r="BO398" s="100" t="s">
        <v>4854</v>
      </c>
      <c r="BP398" s="100" t="s">
        <v>4854</v>
      </c>
      <c r="BQ398" s="100" t="s">
        <v>4854</v>
      </c>
      <c r="BR398" s="91">
        <v>1</v>
      </c>
      <c r="BS398" s="10" t="s">
        <v>4857</v>
      </c>
    </row>
    <row r="399" spans="1:71" s="30" customFormat="1" ht="17.100000000000001" customHeight="1">
      <c r="A399" s="14">
        <v>388</v>
      </c>
      <c r="B399" s="5" t="s">
        <v>3476</v>
      </c>
      <c r="C399" s="3" t="s">
        <v>3883</v>
      </c>
      <c r="D399" s="3" t="s">
        <v>3477</v>
      </c>
      <c r="E399" s="6" t="s">
        <v>3478</v>
      </c>
      <c r="F399" s="5" t="s">
        <v>5032</v>
      </c>
      <c r="G399" s="3" t="s">
        <v>3479</v>
      </c>
      <c r="H399" s="6" t="s">
        <v>3480</v>
      </c>
      <c r="I399" s="3" t="s">
        <v>3481</v>
      </c>
      <c r="J399" s="5" t="s">
        <v>3482</v>
      </c>
      <c r="K399" s="3" t="s">
        <v>5553</v>
      </c>
      <c r="L399" s="3" t="s">
        <v>3483</v>
      </c>
      <c r="M399" s="5">
        <v>2</v>
      </c>
      <c r="N399" s="21">
        <v>622.82770000000005</v>
      </c>
      <c r="O399" s="36" t="str">
        <f>HYPERLINK("http://ms.phosphosite.org:5080/cgi-bin/plot-msms.cgi?MassType=1&amp;NumAxis=1&amp;Mod8=170&amp;Pep=SSQPLASKQEK&amp;Dta=/var/www/html/dta/S01/10558.2084.2.dta&amp;Global_Mod=CS57.0215", "2084")</f>
        <v>2084</v>
      </c>
      <c r="P399" s="36" t="str">
        <f>HYPERLINK("http://ms.phosphosite.org:5080/cgi-bin/plot-msms.cgi?MassType=1&amp;NumAxis=1&amp;Mod8=170&amp;Pep=SSQPLASKQEK&amp;Dta=/var/www/html/dta/S01/10559.2038.2.dta&amp;Global_Mod=CS57.0215", "2038")</f>
        <v>2038</v>
      </c>
      <c r="Q399" s="36" t="str">
        <f>HYPERLINK("http://ms.phosphosite.org:5080/cgi-bin/plot-msms.cgi?MassType=1&amp;NumAxis=1&amp;Mod8=170&amp;Pep=SSQPLASKQEK&amp;Dta=/var/www/html/dta/S01/10560.2026.2.dta&amp;Global_Mod=CS57.0215", "2026")</f>
        <v>2026</v>
      </c>
      <c r="R399" s="36" t="str">
        <f>HYPERLINK("http://ms.phosphosite.org:5080/cgi-bin/plot-msms.cgi?MassType=1&amp;NumAxis=1&amp;Mod8=170&amp;Pep=SSQPLASKQEK&amp;Dta=/var/www/html/dta/S01/10561.2059.2.dta&amp;Global_Mod=CS57.0215", "2059")</f>
        <v>2059</v>
      </c>
      <c r="S399" s="36" t="str">
        <f>HYPERLINK("http://ms.phosphosite.org:5080/cgi-bin/plot-msms.cgi?MassType=1&amp;NumAxis=1&amp;Mod8=170&amp;Pep=SSQPLASKQEK&amp;Dta=/var/www/html/dta/S01/10562.2112.2.dta&amp;Global_Mod=CS57.0215", "2112")</f>
        <v>2112</v>
      </c>
      <c r="T399" s="36" t="str">
        <f>HYPERLINK("http://ms.phosphosite.org:5080/cgi-bin/plot-msms.cgi?MassType=1&amp;NumAxis=1&amp;Mod8=170&amp;Pep=SSQPLASKQEK&amp;Dta=/var/www/html/dta/S01/10563.2040.2.dta&amp;Global_Mod=CS57.0215", "2040")</f>
        <v>2040</v>
      </c>
      <c r="U399" s="36" t="str">
        <f>HYPERLINK("http://ms.phosphosite.org:5080/cgi-bin/plot-msms.cgi?MassType=1&amp;NumAxis=1&amp;Mod8=170&amp;Pep=SSQPLASKQEK&amp;Dta=/var/www/html/dta/S01/10564.2312.2.dta&amp;Global_Mod=CS57.0215", "2312")</f>
        <v>2312</v>
      </c>
      <c r="V399" s="36" t="str">
        <f>HYPERLINK("http://ms.phosphosite.org:5080/cgi-bin/plot-msms.cgi?MassType=1&amp;NumAxis=1&amp;Mod8=170&amp;Pep=SSQPLASKQEK&amp;Dta=/var/www/html/dta/S01/10565.2458.2.dta&amp;Global_Mod=CS57.0215", "2458")</f>
        <v>2458</v>
      </c>
      <c r="W399" s="5">
        <v>2106</v>
      </c>
      <c r="X399" s="5">
        <v>2079</v>
      </c>
      <c r="Y399" s="5">
        <v>2053</v>
      </c>
      <c r="Z399" s="5">
        <v>2089</v>
      </c>
      <c r="AA399" s="5">
        <v>2151</v>
      </c>
      <c r="AB399" s="5">
        <v>2073</v>
      </c>
      <c r="AC399" s="5">
        <v>2340</v>
      </c>
      <c r="AD399" s="5">
        <v>2412</v>
      </c>
      <c r="AE399" s="90">
        <v>2.8250000000000002</v>
      </c>
      <c r="AF399" s="90">
        <v>2.4540000000000002</v>
      </c>
      <c r="AG399" s="90">
        <v>2.5339999999999998</v>
      </c>
      <c r="AH399" s="90">
        <v>2.5950000000000002</v>
      </c>
      <c r="AI399" s="90">
        <v>2.778</v>
      </c>
      <c r="AJ399" s="90">
        <v>2.9159999999999999</v>
      </c>
      <c r="AK399" s="90">
        <v>2.9790000000000001</v>
      </c>
      <c r="AL399" s="90">
        <v>2.36</v>
      </c>
      <c r="AM399" s="21">
        <v>-0.37190000000000001</v>
      </c>
      <c r="AN399" s="21">
        <v>-0.31240000000000001</v>
      </c>
      <c r="AO399" s="21">
        <v>-0.28670000000000001</v>
      </c>
      <c r="AP399" s="21">
        <v>-0.1951</v>
      </c>
      <c r="AQ399" s="21">
        <v>-0.39429999999999998</v>
      </c>
      <c r="AR399" s="21">
        <v>-0.17899999999999999</v>
      </c>
      <c r="AS399" s="21">
        <v>-0.39600000000000002</v>
      </c>
      <c r="AT399" s="21">
        <v>-0.45140000000000002</v>
      </c>
      <c r="AU399" s="21">
        <v>0.221</v>
      </c>
      <c r="AV399" s="21">
        <v>5.3999999999999999E-2</v>
      </c>
      <c r="AW399" s="21">
        <v>0.28599999999999998</v>
      </c>
      <c r="AX399" s="21">
        <v>0.12</v>
      </c>
      <c r="AY399" s="21">
        <v>0.20599999999999999</v>
      </c>
      <c r="AZ399" s="21">
        <v>0.186</v>
      </c>
      <c r="BA399" s="21">
        <v>0.23799999999999999</v>
      </c>
      <c r="BB399" s="21">
        <v>0.19700000000000001</v>
      </c>
      <c r="BC399" s="5">
        <v>1</v>
      </c>
      <c r="BD399" s="5">
        <v>2</v>
      </c>
      <c r="BE399" s="5">
        <v>1</v>
      </c>
      <c r="BF399" s="5">
        <v>3</v>
      </c>
      <c r="BG399" s="5">
        <v>3</v>
      </c>
      <c r="BH399" s="5">
        <v>1</v>
      </c>
      <c r="BI399" s="5">
        <v>2</v>
      </c>
      <c r="BJ399" s="5">
        <v>4</v>
      </c>
      <c r="BK399" s="90">
        <v>0.999</v>
      </c>
      <c r="BL399" s="90">
        <v>0.98299999999999998</v>
      </c>
      <c r="BM399" s="90">
        <v>0.999</v>
      </c>
      <c r="BN399" s="90">
        <v>0.99299999999999999</v>
      </c>
      <c r="BO399" s="90">
        <v>0.998</v>
      </c>
      <c r="BP399" s="90">
        <v>0.999</v>
      </c>
      <c r="BQ399" s="90">
        <v>0.999</v>
      </c>
      <c r="BR399" s="90">
        <v>0.99</v>
      </c>
      <c r="BS399" s="5" t="s">
        <v>4857</v>
      </c>
    </row>
    <row r="400" spans="1:71" s="30" customFormat="1" ht="17.100000000000001" customHeight="1">
      <c r="A400" s="14">
        <v>389</v>
      </c>
      <c r="B400" s="5" t="s">
        <v>3484</v>
      </c>
      <c r="C400" s="3" t="s">
        <v>3883</v>
      </c>
      <c r="D400" s="3" t="s">
        <v>3477</v>
      </c>
      <c r="E400" s="6" t="s">
        <v>3478</v>
      </c>
      <c r="F400" s="5" t="s">
        <v>5032</v>
      </c>
      <c r="G400" s="3" t="s">
        <v>3479</v>
      </c>
      <c r="H400" s="6" t="s">
        <v>3480</v>
      </c>
      <c r="I400" s="3" t="s">
        <v>3481</v>
      </c>
      <c r="J400" s="5" t="s">
        <v>3482</v>
      </c>
      <c r="K400" s="3" t="s">
        <v>5553</v>
      </c>
      <c r="L400" s="3" t="s">
        <v>3483</v>
      </c>
      <c r="M400" s="5">
        <v>2</v>
      </c>
      <c r="N400" s="21">
        <v>622.82770000000005</v>
      </c>
      <c r="O400" s="35" t="s">
        <v>4854</v>
      </c>
      <c r="P400" s="35" t="s">
        <v>4854</v>
      </c>
      <c r="Q400" s="35" t="s">
        <v>4854</v>
      </c>
      <c r="R400" s="35" t="s">
        <v>4854</v>
      </c>
      <c r="S400" s="36" t="str">
        <f>HYPERLINK("http://ms.phosphosite.org:5080/cgi-bin/plot-msms.cgi?MassType=1&amp;NumAxis=1&amp;Mod8=170&amp;Pep=SSQPLASKQEK&amp;Dta=/var/www/html/dta/S01/10562.2199.2.dta&amp;Global_Mod=CS57.0215", "2199")</f>
        <v>2199</v>
      </c>
      <c r="T400" s="35" t="s">
        <v>4854</v>
      </c>
      <c r="U400" s="35" t="s">
        <v>4854</v>
      </c>
      <c r="V400" s="36" t="str">
        <f>HYPERLINK("http://ms.phosphosite.org:5080/cgi-bin/plot-msms.cgi?MassType=1&amp;NumAxis=1&amp;Mod8=170&amp;Pep=SSQPLASKQEK&amp;Dta=/var/www/html/dta/S01/10565.2379.2.dta&amp;Global_Mod=CS57.0215", "2379")</f>
        <v>2379</v>
      </c>
      <c r="W400" s="3" t="s">
        <v>4854</v>
      </c>
      <c r="X400" s="3" t="s">
        <v>4854</v>
      </c>
      <c r="Y400" s="3" t="s">
        <v>4854</v>
      </c>
      <c r="Z400" s="3" t="s">
        <v>4854</v>
      </c>
      <c r="AA400" s="5">
        <v>2151</v>
      </c>
      <c r="AB400" s="3" t="s">
        <v>4854</v>
      </c>
      <c r="AC400" s="3" t="s">
        <v>4854</v>
      </c>
      <c r="AD400" s="5">
        <v>2412</v>
      </c>
      <c r="AE400" s="99" t="s">
        <v>4854</v>
      </c>
      <c r="AF400" s="99" t="s">
        <v>4854</v>
      </c>
      <c r="AG400" s="99" t="s">
        <v>4854</v>
      </c>
      <c r="AH400" s="99" t="s">
        <v>4854</v>
      </c>
      <c r="AI400" s="90">
        <v>2.48</v>
      </c>
      <c r="AJ400" s="99" t="s">
        <v>4854</v>
      </c>
      <c r="AK400" s="99" t="s">
        <v>4854</v>
      </c>
      <c r="AL400" s="90">
        <v>2.2589999999999999</v>
      </c>
      <c r="AM400" s="102" t="s">
        <v>4854</v>
      </c>
      <c r="AN400" s="102" t="s">
        <v>4854</v>
      </c>
      <c r="AO400" s="102" t="s">
        <v>4854</v>
      </c>
      <c r="AP400" s="102" t="s">
        <v>4854</v>
      </c>
      <c r="AQ400" s="21">
        <v>-0.27539999999999998</v>
      </c>
      <c r="AR400" s="102" t="s">
        <v>4854</v>
      </c>
      <c r="AS400" s="102" t="s">
        <v>4854</v>
      </c>
      <c r="AT400" s="21">
        <v>-0.46910000000000002</v>
      </c>
      <c r="AU400" s="102" t="s">
        <v>4854</v>
      </c>
      <c r="AV400" s="102" t="s">
        <v>4854</v>
      </c>
      <c r="AW400" s="102" t="s">
        <v>4854</v>
      </c>
      <c r="AX400" s="102" t="s">
        <v>4854</v>
      </c>
      <c r="AY400" s="21">
        <v>0.184</v>
      </c>
      <c r="AZ400" s="102" t="s">
        <v>4854</v>
      </c>
      <c r="BA400" s="102" t="s">
        <v>4854</v>
      </c>
      <c r="BB400" s="21">
        <v>9.2999999999999999E-2</v>
      </c>
      <c r="BC400" s="3" t="s">
        <v>4854</v>
      </c>
      <c r="BD400" s="3" t="s">
        <v>4854</v>
      </c>
      <c r="BE400" s="3" t="s">
        <v>4854</v>
      </c>
      <c r="BF400" s="3" t="s">
        <v>4854</v>
      </c>
      <c r="BG400" s="5">
        <v>4</v>
      </c>
      <c r="BH400" s="3" t="s">
        <v>4854</v>
      </c>
      <c r="BI400" s="3" t="s">
        <v>4854</v>
      </c>
      <c r="BJ400" s="5">
        <v>2</v>
      </c>
      <c r="BK400" s="99" t="s">
        <v>4854</v>
      </c>
      <c r="BL400" s="99" t="s">
        <v>4854</v>
      </c>
      <c r="BM400" s="99" t="s">
        <v>4854</v>
      </c>
      <c r="BN400" s="99" t="s">
        <v>4854</v>
      </c>
      <c r="BO400" s="90">
        <v>0.996</v>
      </c>
      <c r="BP400" s="99" t="s">
        <v>4854</v>
      </c>
      <c r="BQ400" s="99" t="s">
        <v>4854</v>
      </c>
      <c r="BR400" s="90">
        <v>0.96599999999999997</v>
      </c>
      <c r="BS400" s="5" t="s">
        <v>4857</v>
      </c>
    </row>
    <row r="401" spans="1:71" s="30" customFormat="1" ht="17.100000000000001" customHeight="1">
      <c r="A401" s="14">
        <v>390</v>
      </c>
      <c r="B401" s="5" t="s">
        <v>3485</v>
      </c>
      <c r="C401" s="3" t="s">
        <v>3883</v>
      </c>
      <c r="D401" s="3" t="s">
        <v>3477</v>
      </c>
      <c r="E401" s="6" t="s">
        <v>3478</v>
      </c>
      <c r="F401" s="5" t="s">
        <v>5032</v>
      </c>
      <c r="G401" s="3" t="s">
        <v>3479</v>
      </c>
      <c r="H401" s="6" t="s">
        <v>3480</v>
      </c>
      <c r="I401" s="3" t="s">
        <v>3481</v>
      </c>
      <c r="J401" s="5" t="s">
        <v>3482</v>
      </c>
      <c r="K401" s="3" t="s">
        <v>5553</v>
      </c>
      <c r="L401" s="3" t="s">
        <v>3483</v>
      </c>
      <c r="M401" s="5">
        <v>3</v>
      </c>
      <c r="N401" s="21">
        <v>415.55419999999998</v>
      </c>
      <c r="O401" s="36" t="str">
        <f>HYPERLINK("http://ms.phosphosite.org:5080/cgi-bin/plot-msms.cgi?MassType=1&amp;NumAxis=1&amp;Mod8=170&amp;Pep=SSQPLASKQEK&amp;Dta=/var/www/html/dta/S01/10558.2118.3.dta&amp;Global_Mod=CS57.0215", "2118")</f>
        <v>2118</v>
      </c>
      <c r="P401" s="36" t="str">
        <f>HYPERLINK("http://ms.phosphosite.org:5080/cgi-bin/plot-msms.cgi?MassType=1&amp;NumAxis=1&amp;Mod8=170&amp;Pep=SSQPLASKQEK&amp;Dta=/var/www/html/dta/S01/10559.2082.3.dta&amp;Global_Mod=CS57.0215", "2082")</f>
        <v>2082</v>
      </c>
      <c r="Q401" s="36" t="str">
        <f>HYPERLINK("http://ms.phosphosite.org:5080/cgi-bin/plot-msms.cgi?MassType=1&amp;NumAxis=1&amp;Mod8=170&amp;Pep=SSQPLASKQEK&amp;Dta=/var/www/html/dta/S01/10560.2054.3.dta&amp;Global_Mod=CS57.0215", "2054")</f>
        <v>2054</v>
      </c>
      <c r="R401" s="36" t="str">
        <f>HYPERLINK("http://ms.phosphosite.org:5080/cgi-bin/plot-msms.cgi?MassType=1&amp;NumAxis=1&amp;Mod8=170&amp;Pep=SSQPLASKQEK&amp;Dta=/var/www/html/dta/S01/10561.2092.3.dta&amp;Global_Mod=CS57.0215", "2092")</f>
        <v>2092</v>
      </c>
      <c r="S401" s="36" t="str">
        <f>HYPERLINK("http://ms.phosphosite.org:5080/cgi-bin/plot-msms.cgi?MassType=1&amp;NumAxis=1&amp;Mod8=170&amp;Pep=SSQPLASKQEK&amp;Dta=/var/www/html/dta/S01/10562.2152.3.dta&amp;Global_Mod=CS57.0215", "2152")</f>
        <v>2152</v>
      </c>
      <c r="T401" s="36" t="str">
        <f>HYPERLINK("http://ms.phosphosite.org:5080/cgi-bin/plot-msms.cgi?MassType=1&amp;NumAxis=1&amp;Mod8=170&amp;Pep=SSQPLASKQEK&amp;Dta=/var/www/html/dta/S01/10563.2076.3.dta&amp;Global_Mod=CS57.0215", "2076")</f>
        <v>2076</v>
      </c>
      <c r="U401" s="36" t="str">
        <f>HYPERLINK("http://ms.phosphosite.org:5080/cgi-bin/plot-msms.cgi?MassType=1&amp;NumAxis=1&amp;Mod8=170&amp;Pep=SSQPLASKQEK&amp;Dta=/var/www/html/dta/S01/10564.2357.3.dta&amp;Global_Mod=CS57.0215", "2357")</f>
        <v>2357</v>
      </c>
      <c r="V401" s="36" t="str">
        <f>HYPERLINK("http://ms.phosphosite.org:5080/cgi-bin/plot-msms.cgi?MassType=1&amp;NumAxis=1&amp;Mod8=170&amp;Pep=SSQPLASKQEK&amp;Dta=/var/www/html/dta/S01/10565.2414.3.dta&amp;Global_Mod=CS57.0215", "2414")</f>
        <v>2414</v>
      </c>
      <c r="W401" s="3" t="s">
        <v>4854</v>
      </c>
      <c r="X401" s="5">
        <v>2079</v>
      </c>
      <c r="Y401" s="5">
        <v>2053</v>
      </c>
      <c r="Z401" s="5">
        <v>2089</v>
      </c>
      <c r="AA401" s="3" t="s">
        <v>4854</v>
      </c>
      <c r="AB401" s="3" t="s">
        <v>4854</v>
      </c>
      <c r="AC401" s="5">
        <v>2343</v>
      </c>
      <c r="AD401" s="5">
        <v>2416</v>
      </c>
      <c r="AE401" s="90">
        <v>2.2330000000000001</v>
      </c>
      <c r="AF401" s="90">
        <v>2.0790000000000002</v>
      </c>
      <c r="AG401" s="90">
        <v>2.161</v>
      </c>
      <c r="AH401" s="90">
        <v>2.6539999999999999</v>
      </c>
      <c r="AI401" s="90">
        <v>2.1589999999999998</v>
      </c>
      <c r="AJ401" s="90">
        <v>2.415</v>
      </c>
      <c r="AK401" s="90">
        <v>2.65</v>
      </c>
      <c r="AL401" s="90">
        <v>2.4950000000000001</v>
      </c>
      <c r="AM401" s="21">
        <v>0.70960000000000001</v>
      </c>
      <c r="AN401" s="21">
        <v>1.0374000000000001</v>
      </c>
      <c r="AO401" s="21">
        <v>0.81720000000000004</v>
      </c>
      <c r="AP401" s="21">
        <v>0.89200000000000002</v>
      </c>
      <c r="AQ401" s="21">
        <v>0.47089999999999999</v>
      </c>
      <c r="AR401" s="21">
        <v>0.58909999999999996</v>
      </c>
      <c r="AS401" s="21">
        <v>0.50229999999999997</v>
      </c>
      <c r="AT401" s="21">
        <v>0.35370000000000001</v>
      </c>
      <c r="AU401" s="21">
        <v>6.0999999999999999E-2</v>
      </c>
      <c r="AV401" s="21">
        <v>0.13700000000000001</v>
      </c>
      <c r="AW401" s="21">
        <v>8.7999999999999995E-2</v>
      </c>
      <c r="AX401" s="21">
        <v>5.7000000000000002E-2</v>
      </c>
      <c r="AY401" s="21">
        <v>2.4E-2</v>
      </c>
      <c r="AZ401" s="21">
        <v>8.2000000000000003E-2</v>
      </c>
      <c r="BA401" s="21">
        <v>0.129</v>
      </c>
      <c r="BB401" s="21">
        <v>7.3999999999999996E-2</v>
      </c>
      <c r="BC401" s="5">
        <v>59</v>
      </c>
      <c r="BD401" s="5">
        <v>9</v>
      </c>
      <c r="BE401" s="5">
        <v>9</v>
      </c>
      <c r="BF401" s="5">
        <v>194</v>
      </c>
      <c r="BG401" s="5">
        <v>367</v>
      </c>
      <c r="BH401" s="5">
        <v>272</v>
      </c>
      <c r="BI401" s="5">
        <v>82</v>
      </c>
      <c r="BJ401" s="5">
        <v>22</v>
      </c>
      <c r="BK401" s="90">
        <v>0.93400000000000005</v>
      </c>
      <c r="BL401" s="90">
        <v>0.98099999999999998</v>
      </c>
      <c r="BM401" s="90">
        <v>0.96799999999999997</v>
      </c>
      <c r="BN401" s="90">
        <v>0.95</v>
      </c>
      <c r="BO401" s="90">
        <v>0.83499999999999996</v>
      </c>
      <c r="BP401" s="90">
        <v>0.94599999999999995</v>
      </c>
      <c r="BQ401" s="90">
        <v>0.98599999999999999</v>
      </c>
      <c r="BR401" s="90">
        <v>0.97099999999999997</v>
      </c>
      <c r="BS401" s="5" t="s">
        <v>4857</v>
      </c>
    </row>
    <row r="402" spans="1:71" s="30" customFormat="1" ht="17.100000000000001" customHeight="1">
      <c r="A402" s="14">
        <v>391</v>
      </c>
      <c r="B402" s="5" t="s">
        <v>3486</v>
      </c>
      <c r="C402" s="3" t="s">
        <v>3883</v>
      </c>
      <c r="D402" s="3" t="s">
        <v>3477</v>
      </c>
      <c r="E402" s="6" t="s">
        <v>3478</v>
      </c>
      <c r="F402" s="5" t="s">
        <v>5032</v>
      </c>
      <c r="G402" s="3" t="s">
        <v>3479</v>
      </c>
      <c r="H402" s="6" t="s">
        <v>3480</v>
      </c>
      <c r="I402" s="3" t="s">
        <v>3481</v>
      </c>
      <c r="J402" s="5" t="s">
        <v>3482</v>
      </c>
      <c r="K402" s="3" t="s">
        <v>5553</v>
      </c>
      <c r="L402" s="3" t="s">
        <v>3487</v>
      </c>
      <c r="M402" s="5">
        <v>3</v>
      </c>
      <c r="N402" s="21">
        <v>644.33249999999998</v>
      </c>
      <c r="O402" s="35" t="s">
        <v>4854</v>
      </c>
      <c r="P402" s="35" t="s">
        <v>4854</v>
      </c>
      <c r="Q402" s="35" t="s">
        <v>4854</v>
      </c>
      <c r="R402" s="36" t="str">
        <f>HYPERLINK("http://ms.phosphosite.org:5080/cgi-bin/plot-msms.cgi?MassType=1&amp;NumAxis=1&amp;Mod8=170&amp;Pep=SSQPLASKQEKDGTEKR&amp;Dta=/var/www/html/dta/S01/10561.1569.3.dta&amp;Global_Mod=CS57.0215", "1569")</f>
        <v>1569</v>
      </c>
      <c r="S402" s="36" t="str">
        <f>HYPERLINK("http://ms.phosphosite.org:5080/cgi-bin/plot-msms.cgi?MassType=1&amp;NumAxis=1&amp;Mod8=170&amp;Pep=SSQPLASKQEKDGTEKR&amp;Dta=/var/www/html/dta/S01/10562.1634.3.dta&amp;Global_Mod=CS57.0215", "1634")</f>
        <v>1634</v>
      </c>
      <c r="T402" s="35" t="s">
        <v>4854</v>
      </c>
      <c r="U402" s="35" t="s">
        <v>4854</v>
      </c>
      <c r="V402" s="36" t="str">
        <f>HYPERLINK("http://ms.phosphosite.org:5080/cgi-bin/plot-msms.cgi?MassType=1&amp;NumAxis=1&amp;Mod8=170&amp;Pep=SSQPLASKQEKDGTEKR&amp;Dta=/var/www/html/dta/S01/10565.1842.3.dta&amp;Global_Mod=CS57.0215", "1842")</f>
        <v>1842</v>
      </c>
      <c r="W402" s="3" t="s">
        <v>4854</v>
      </c>
      <c r="X402" s="3" t="s">
        <v>4854</v>
      </c>
      <c r="Y402" s="3" t="s">
        <v>4854</v>
      </c>
      <c r="Z402" s="5">
        <v>1566</v>
      </c>
      <c r="AA402" s="3" t="s">
        <v>4854</v>
      </c>
      <c r="AB402" s="3" t="s">
        <v>4854</v>
      </c>
      <c r="AC402" s="3" t="s">
        <v>4854</v>
      </c>
      <c r="AD402" s="5">
        <v>1840</v>
      </c>
      <c r="AE402" s="99" t="s">
        <v>4854</v>
      </c>
      <c r="AF402" s="99" t="s">
        <v>4854</v>
      </c>
      <c r="AG402" s="99" t="s">
        <v>4854</v>
      </c>
      <c r="AH402" s="90">
        <v>2.6760000000000002</v>
      </c>
      <c r="AI402" s="90">
        <v>1.901</v>
      </c>
      <c r="AJ402" s="99" t="s">
        <v>4854</v>
      </c>
      <c r="AK402" s="99" t="s">
        <v>4854</v>
      </c>
      <c r="AL402" s="90">
        <v>2.6579999999999999</v>
      </c>
      <c r="AM402" s="102" t="s">
        <v>4854</v>
      </c>
      <c r="AN402" s="102" t="s">
        <v>4854</v>
      </c>
      <c r="AO402" s="102" t="s">
        <v>4854</v>
      </c>
      <c r="AP402" s="21">
        <v>0.56020000000000003</v>
      </c>
      <c r="AQ402" s="21">
        <v>0.46750000000000003</v>
      </c>
      <c r="AR402" s="102" t="s">
        <v>4854</v>
      </c>
      <c r="AS402" s="102" t="s">
        <v>4854</v>
      </c>
      <c r="AT402" s="21">
        <v>-0.32790000000000002</v>
      </c>
      <c r="AU402" s="102" t="s">
        <v>4854</v>
      </c>
      <c r="AV402" s="102" t="s">
        <v>4854</v>
      </c>
      <c r="AW402" s="102" t="s">
        <v>4854</v>
      </c>
      <c r="AX402" s="21">
        <v>0.22500000000000001</v>
      </c>
      <c r="AY402" s="21">
        <v>2.7E-2</v>
      </c>
      <c r="AZ402" s="102" t="s">
        <v>4854</v>
      </c>
      <c r="BA402" s="102" t="s">
        <v>4854</v>
      </c>
      <c r="BB402" s="21">
        <v>0.29299999999999998</v>
      </c>
      <c r="BC402" s="3" t="s">
        <v>4854</v>
      </c>
      <c r="BD402" s="3" t="s">
        <v>4854</v>
      </c>
      <c r="BE402" s="3" t="s">
        <v>4854</v>
      </c>
      <c r="BF402" s="5">
        <v>1</v>
      </c>
      <c r="BG402" s="5">
        <v>1</v>
      </c>
      <c r="BH402" s="3" t="s">
        <v>4854</v>
      </c>
      <c r="BI402" s="3" t="s">
        <v>4854</v>
      </c>
      <c r="BJ402" s="5">
        <v>1</v>
      </c>
      <c r="BK402" s="99" t="s">
        <v>4854</v>
      </c>
      <c r="BL402" s="99" t="s">
        <v>4854</v>
      </c>
      <c r="BM402" s="99" t="s">
        <v>4854</v>
      </c>
      <c r="BN402" s="90">
        <v>0.998</v>
      </c>
      <c r="BO402" s="90">
        <v>0.91300000000000003</v>
      </c>
      <c r="BP402" s="99" t="s">
        <v>4854</v>
      </c>
      <c r="BQ402" s="99" t="s">
        <v>4854</v>
      </c>
      <c r="BR402" s="90">
        <v>0.999</v>
      </c>
      <c r="BS402" s="5" t="s">
        <v>4857</v>
      </c>
    </row>
    <row r="403" spans="1:71" s="30" customFormat="1" ht="17.100000000000001" customHeight="1">
      <c r="A403" s="10">
        <v>392</v>
      </c>
      <c r="B403" s="10" t="s">
        <v>3488</v>
      </c>
      <c r="C403" s="4" t="s">
        <v>3883</v>
      </c>
      <c r="D403" s="4" t="s">
        <v>3477</v>
      </c>
      <c r="E403" s="7" t="s">
        <v>3478</v>
      </c>
      <c r="F403" s="10" t="s">
        <v>5212</v>
      </c>
      <c r="G403" s="4" t="s">
        <v>3479</v>
      </c>
      <c r="H403" s="7" t="s">
        <v>3480</v>
      </c>
      <c r="I403" s="4" t="s">
        <v>3481</v>
      </c>
      <c r="J403" s="10" t="s">
        <v>3482</v>
      </c>
      <c r="K403" s="4" t="s">
        <v>5554</v>
      </c>
      <c r="L403" s="4" t="s">
        <v>3489</v>
      </c>
      <c r="M403" s="10">
        <v>3</v>
      </c>
      <c r="N403" s="95">
        <v>644.33249999999998</v>
      </c>
      <c r="O403" s="38" t="s">
        <v>4854</v>
      </c>
      <c r="P403" s="38" t="s">
        <v>4854</v>
      </c>
      <c r="Q403" s="37" t="str">
        <f>HYPERLINK("http://ms.phosphosite.org:5080/cgi-bin/plot-msms.cgi?MassType=1&amp;NumAxis=1&amp;Mod11=170&amp;Pep=SSQPLASKQEKDGTEKR&amp;Dta=/var/www/html/dta/S01/10560.1573.3.dta&amp;Global_Mod=CS57.0215", "1573")</f>
        <v>1573</v>
      </c>
      <c r="R403" s="38" t="s">
        <v>4854</v>
      </c>
      <c r="S403" s="38" t="s">
        <v>4854</v>
      </c>
      <c r="T403" s="37" t="str">
        <f>HYPERLINK("http://ms.phosphosite.org:5080/cgi-bin/plot-msms.cgi?MassType=1&amp;NumAxis=1&amp;Mod11=170&amp;Pep=SSQPLASKQEKDGTEKR&amp;Dta=/var/www/html/dta/S01/10563.1541.3.dta&amp;Global_Mod=CS57.0215", "1541")</f>
        <v>1541</v>
      </c>
      <c r="U403" s="37" t="str">
        <f>HYPERLINK("http://ms.phosphosite.org:5080/cgi-bin/plot-msms.cgi?MassType=1&amp;NumAxis=1&amp;Mod11=170&amp;Pep=SSQPLASKQEKDGTEKR&amp;Dta=/var/www/html/dta/S01/10564.1783.3.dta&amp;Global_Mod=CS57.0215", "1783")</f>
        <v>1783</v>
      </c>
      <c r="V403" s="38" t="s">
        <v>4854</v>
      </c>
      <c r="W403" s="4" t="s">
        <v>4854</v>
      </c>
      <c r="X403" s="4" t="s">
        <v>4854</v>
      </c>
      <c r="Y403" s="10">
        <v>1572</v>
      </c>
      <c r="Z403" s="4" t="s">
        <v>4854</v>
      </c>
      <c r="AA403" s="4" t="s">
        <v>4854</v>
      </c>
      <c r="AB403" s="10">
        <v>1559</v>
      </c>
      <c r="AC403" s="10">
        <v>1782</v>
      </c>
      <c r="AD403" s="4" t="s">
        <v>4854</v>
      </c>
      <c r="AE403" s="100" t="s">
        <v>4854</v>
      </c>
      <c r="AF403" s="100" t="s">
        <v>4854</v>
      </c>
      <c r="AG403" s="91">
        <v>2.0640000000000001</v>
      </c>
      <c r="AH403" s="100" t="s">
        <v>4854</v>
      </c>
      <c r="AI403" s="100" t="s">
        <v>4854</v>
      </c>
      <c r="AJ403" s="91">
        <v>2.1059999999999999</v>
      </c>
      <c r="AK403" s="91">
        <v>2.21</v>
      </c>
      <c r="AL403" s="100" t="s">
        <v>4854</v>
      </c>
      <c r="AM403" s="103" t="s">
        <v>4854</v>
      </c>
      <c r="AN403" s="103" t="s">
        <v>4854</v>
      </c>
      <c r="AO403" s="95">
        <v>0.48409999999999997</v>
      </c>
      <c r="AP403" s="103" t="s">
        <v>4854</v>
      </c>
      <c r="AQ403" s="103" t="s">
        <v>4854</v>
      </c>
      <c r="AR403" s="95">
        <v>0.57630000000000003</v>
      </c>
      <c r="AS403" s="95">
        <v>0.40949999999999998</v>
      </c>
      <c r="AT403" s="103" t="s">
        <v>4854</v>
      </c>
      <c r="AU403" s="103" t="s">
        <v>4854</v>
      </c>
      <c r="AV403" s="103" t="s">
        <v>4854</v>
      </c>
      <c r="AW403" s="95">
        <v>0.20100000000000001</v>
      </c>
      <c r="AX403" s="103" t="s">
        <v>4854</v>
      </c>
      <c r="AY403" s="103" t="s">
        <v>4854</v>
      </c>
      <c r="AZ403" s="95">
        <v>0.126</v>
      </c>
      <c r="BA403" s="95">
        <v>0.05</v>
      </c>
      <c r="BB403" s="103" t="s">
        <v>4854</v>
      </c>
      <c r="BC403" s="4" t="s">
        <v>4854</v>
      </c>
      <c r="BD403" s="4" t="s">
        <v>4854</v>
      </c>
      <c r="BE403" s="10">
        <v>1</v>
      </c>
      <c r="BF403" s="4" t="s">
        <v>4854</v>
      </c>
      <c r="BG403" s="4" t="s">
        <v>4854</v>
      </c>
      <c r="BH403" s="10">
        <v>1</v>
      </c>
      <c r="BI403" s="10">
        <v>2</v>
      </c>
      <c r="BJ403" s="4" t="s">
        <v>4854</v>
      </c>
      <c r="BK403" s="100" t="s">
        <v>4854</v>
      </c>
      <c r="BL403" s="100" t="s">
        <v>4854</v>
      </c>
      <c r="BM403" s="91">
        <v>0.99399999999999999</v>
      </c>
      <c r="BN403" s="100" t="s">
        <v>4854</v>
      </c>
      <c r="BO403" s="100" t="s">
        <v>4854</v>
      </c>
      <c r="BP403" s="91">
        <v>0.98399999999999999</v>
      </c>
      <c r="BQ403" s="91">
        <v>0.95299999999999996</v>
      </c>
      <c r="BR403" s="100" t="s">
        <v>4854</v>
      </c>
      <c r="BS403" s="10" t="s">
        <v>4857</v>
      </c>
    </row>
    <row r="404" spans="1:71" s="30" customFormat="1" ht="17.100000000000001" customHeight="1">
      <c r="A404" s="14">
        <v>393</v>
      </c>
      <c r="B404" s="5" t="s">
        <v>3490</v>
      </c>
      <c r="C404" s="3" t="s">
        <v>3883</v>
      </c>
      <c r="D404" s="3" t="s">
        <v>3491</v>
      </c>
      <c r="E404" s="6" t="s">
        <v>3492</v>
      </c>
      <c r="F404" s="5" t="s">
        <v>5216</v>
      </c>
      <c r="G404" s="3" t="s">
        <v>3493</v>
      </c>
      <c r="H404" s="6" t="s">
        <v>3494</v>
      </c>
      <c r="I404" s="3" t="s">
        <v>3495</v>
      </c>
      <c r="J404" s="5" t="s">
        <v>3496</v>
      </c>
      <c r="K404" s="3" t="s">
        <v>5555</v>
      </c>
      <c r="L404" s="3" t="s">
        <v>3497</v>
      </c>
      <c r="M404" s="5">
        <v>3</v>
      </c>
      <c r="N404" s="21">
        <v>556.97</v>
      </c>
      <c r="O404" s="35" t="s">
        <v>4854</v>
      </c>
      <c r="P404" s="36" t="str">
        <f>HYPERLINK("http://ms.phosphosite.org:5080/cgi-bin/plot-msms.cgi?MassType=1&amp;NumAxis=1&amp;Mod4=170&amp;Pep=LKEKYEKDIAAYR&amp;Dta=/var/www/html/dta/S01/10559.4366.3.dta&amp;Global_Mod=CS57.0215", "4366")</f>
        <v>4366</v>
      </c>
      <c r="Q404" s="36" t="str">
        <f>HYPERLINK("http://ms.phosphosite.org:5080/cgi-bin/plot-msms.cgi?MassType=1&amp;NumAxis=1&amp;Mod4=170&amp;Pep=LKEKYEKDIAAYR&amp;Dta=/var/www/html/dta/S01/10560.4355.3.dta&amp;Global_Mod=CS57.0215", "4355")</f>
        <v>4355</v>
      </c>
      <c r="R404" s="36" t="str">
        <f>HYPERLINK("http://ms.phosphosite.org:5080/cgi-bin/plot-msms.cgi?MassType=1&amp;NumAxis=1&amp;Mod4=170&amp;Pep=LKEKYEKDIAAYR&amp;Dta=/var/www/html/dta/S01/10561.4368.3.dta&amp;Global_Mod=CS57.0215", "4368")</f>
        <v>4368</v>
      </c>
      <c r="S404" s="36" t="str">
        <f>HYPERLINK("http://ms.phosphosite.org:5080/cgi-bin/plot-msms.cgi?MassType=1&amp;NumAxis=1&amp;Mod4=170&amp;Pep=LKEKYEKDIAAYR&amp;Dta=/var/www/html/dta/S01/10562.4496.3.dta&amp;Global_Mod=CS57.0215", "4496")</f>
        <v>4496</v>
      </c>
      <c r="T404" s="36" t="str">
        <f>HYPERLINK("http://ms.phosphosite.org:5080/cgi-bin/plot-msms.cgi?MassType=1&amp;NumAxis=1&amp;Mod4=170&amp;Pep=LKEKYEKDIAAYR&amp;Dta=/var/www/html/dta/S01/10563.4430.3.dta&amp;Global_Mod=CS57.0215", "4430")</f>
        <v>4430</v>
      </c>
      <c r="U404" s="36" t="str">
        <f>HYPERLINK("http://ms.phosphosite.org:5080/cgi-bin/plot-msms.cgi?MassType=1&amp;NumAxis=1&amp;Mod4=170&amp;Pep=LKEKYEKDIAAYR&amp;Dta=/var/www/html/dta/S01/10564.4733.3.dta&amp;Global_Mod=CS57.0215", "4733")</f>
        <v>4733</v>
      </c>
      <c r="V404" s="35" t="s">
        <v>4854</v>
      </c>
      <c r="W404" s="3" t="s">
        <v>4854</v>
      </c>
      <c r="X404" s="5">
        <v>4382</v>
      </c>
      <c r="Y404" s="5">
        <v>4334</v>
      </c>
      <c r="Z404" s="5">
        <v>4358</v>
      </c>
      <c r="AA404" s="5">
        <v>4509</v>
      </c>
      <c r="AB404" s="5">
        <v>4442</v>
      </c>
      <c r="AC404" s="5">
        <v>4736</v>
      </c>
      <c r="AD404" s="3" t="s">
        <v>4854</v>
      </c>
      <c r="AE404" s="99" t="s">
        <v>4854</v>
      </c>
      <c r="AF404" s="90">
        <v>3.8370000000000002</v>
      </c>
      <c r="AG404" s="90">
        <v>3.4079999999999999</v>
      </c>
      <c r="AH404" s="90">
        <v>2.9460000000000002</v>
      </c>
      <c r="AI404" s="90">
        <v>3.5670000000000002</v>
      </c>
      <c r="AJ404" s="90">
        <v>3.6509999999999998</v>
      </c>
      <c r="AK404" s="90">
        <v>3.8879999999999999</v>
      </c>
      <c r="AL404" s="99" t="s">
        <v>4854</v>
      </c>
      <c r="AM404" s="102" t="s">
        <v>4854</v>
      </c>
      <c r="AN404" s="21">
        <v>-2.86E-2</v>
      </c>
      <c r="AO404" s="21">
        <v>0.30990000000000001</v>
      </c>
      <c r="AP404" s="21">
        <v>0.32669999999999999</v>
      </c>
      <c r="AQ404" s="21">
        <v>0.7036</v>
      </c>
      <c r="AR404" s="21">
        <v>0.70179999999999998</v>
      </c>
      <c r="AS404" s="21">
        <v>-0.39229999999999998</v>
      </c>
      <c r="AT404" s="102" t="s">
        <v>4854</v>
      </c>
      <c r="AU404" s="102" t="s">
        <v>4854</v>
      </c>
      <c r="AV404" s="21">
        <v>0.39300000000000002</v>
      </c>
      <c r="AW404" s="21">
        <v>0.29499999999999998</v>
      </c>
      <c r="AX404" s="21">
        <v>0.29699999999999999</v>
      </c>
      <c r="AY404" s="21">
        <v>0.26300000000000001</v>
      </c>
      <c r="AZ404" s="21">
        <v>0.28599999999999998</v>
      </c>
      <c r="BA404" s="21">
        <v>0.27600000000000002</v>
      </c>
      <c r="BB404" s="102" t="s">
        <v>4854</v>
      </c>
      <c r="BC404" s="3" t="s">
        <v>4854</v>
      </c>
      <c r="BD404" s="5">
        <v>1</v>
      </c>
      <c r="BE404" s="5">
        <v>2</v>
      </c>
      <c r="BF404" s="5">
        <v>1</v>
      </c>
      <c r="BG404" s="5">
        <v>1</v>
      </c>
      <c r="BH404" s="5">
        <v>1</v>
      </c>
      <c r="BI404" s="5">
        <v>1</v>
      </c>
      <c r="BJ404" s="3" t="s">
        <v>4854</v>
      </c>
      <c r="BK404" s="99" t="s">
        <v>4854</v>
      </c>
      <c r="BL404" s="90">
        <v>1</v>
      </c>
      <c r="BM404" s="90">
        <v>0.997</v>
      </c>
      <c r="BN404" s="90">
        <v>0.995</v>
      </c>
      <c r="BO404" s="90">
        <v>0.996</v>
      </c>
      <c r="BP404" s="90">
        <v>0.997</v>
      </c>
      <c r="BQ404" s="90">
        <v>0.995</v>
      </c>
      <c r="BR404" s="99" t="s">
        <v>4854</v>
      </c>
      <c r="BS404" s="5" t="s">
        <v>4857</v>
      </c>
    </row>
    <row r="405" spans="1:71" s="30" customFormat="1" ht="17.100000000000001" customHeight="1">
      <c r="A405" s="10">
        <v>394</v>
      </c>
      <c r="B405" s="10" t="s">
        <v>3498</v>
      </c>
      <c r="C405" s="4" t="s">
        <v>3883</v>
      </c>
      <c r="D405" s="4" t="s">
        <v>3499</v>
      </c>
      <c r="E405" s="4" t="s">
        <v>3500</v>
      </c>
      <c r="F405" s="10" t="s">
        <v>5021</v>
      </c>
      <c r="G405" s="4" t="s">
        <v>3493</v>
      </c>
      <c r="H405" s="7" t="s">
        <v>3501</v>
      </c>
      <c r="I405" s="4" t="s">
        <v>3495</v>
      </c>
      <c r="J405" s="10" t="s">
        <v>3502</v>
      </c>
      <c r="K405" s="4" t="s">
        <v>5556</v>
      </c>
      <c r="L405" s="4" t="s">
        <v>3503</v>
      </c>
      <c r="M405" s="10">
        <v>2</v>
      </c>
      <c r="N405" s="95">
        <v>620.79759999999999</v>
      </c>
      <c r="O405" s="38" t="s">
        <v>4854</v>
      </c>
      <c r="P405" s="37" t="str">
        <f>HYPERLINK("http://ms.phosphosite.org:5080/cgi-bin/plot-msms.cgi?MassType=1&amp;NumAxis=1&amp;Mod4=170&amp;Mod8=147&amp;Pep=EKGKFEDMAK&amp;Dta=/var/www/html/dta/S01/10559.1820.2.dta&amp;Global_Mod=CS57.0215", "1820")</f>
        <v>1820</v>
      </c>
      <c r="Q405" s="38" t="s">
        <v>4854</v>
      </c>
      <c r="R405" s="38" t="s">
        <v>4854</v>
      </c>
      <c r="S405" s="38" t="s">
        <v>4854</v>
      </c>
      <c r="T405" s="38" t="s">
        <v>4854</v>
      </c>
      <c r="U405" s="38" t="s">
        <v>4854</v>
      </c>
      <c r="V405" s="38" t="s">
        <v>4854</v>
      </c>
      <c r="W405" s="4" t="s">
        <v>4854</v>
      </c>
      <c r="X405" s="4" t="s">
        <v>4854</v>
      </c>
      <c r="Y405" s="4" t="s">
        <v>4854</v>
      </c>
      <c r="Z405" s="4" t="s">
        <v>4854</v>
      </c>
      <c r="AA405" s="4" t="s">
        <v>4854</v>
      </c>
      <c r="AB405" s="4" t="s">
        <v>4854</v>
      </c>
      <c r="AC405" s="4" t="s">
        <v>4854</v>
      </c>
      <c r="AD405" s="4" t="s">
        <v>4854</v>
      </c>
      <c r="AE405" s="100" t="s">
        <v>4854</v>
      </c>
      <c r="AF405" s="91">
        <v>1.929</v>
      </c>
      <c r="AG405" s="100" t="s">
        <v>4854</v>
      </c>
      <c r="AH405" s="100" t="s">
        <v>4854</v>
      </c>
      <c r="AI405" s="100" t="s">
        <v>4854</v>
      </c>
      <c r="AJ405" s="100" t="s">
        <v>4854</v>
      </c>
      <c r="AK405" s="100" t="s">
        <v>4854</v>
      </c>
      <c r="AL405" s="100" t="s">
        <v>4854</v>
      </c>
      <c r="AM405" s="103" t="s">
        <v>4854</v>
      </c>
      <c r="AN405" s="95">
        <v>0.72</v>
      </c>
      <c r="AO405" s="103" t="s">
        <v>4854</v>
      </c>
      <c r="AP405" s="103" t="s">
        <v>4854</v>
      </c>
      <c r="AQ405" s="103" t="s">
        <v>4854</v>
      </c>
      <c r="AR405" s="103" t="s">
        <v>4854</v>
      </c>
      <c r="AS405" s="103" t="s">
        <v>4854</v>
      </c>
      <c r="AT405" s="103" t="s">
        <v>4854</v>
      </c>
      <c r="AU405" s="103" t="s">
        <v>4854</v>
      </c>
      <c r="AV405" s="95">
        <v>0.14199999999999999</v>
      </c>
      <c r="AW405" s="103" t="s">
        <v>4854</v>
      </c>
      <c r="AX405" s="103" t="s">
        <v>4854</v>
      </c>
      <c r="AY405" s="103" t="s">
        <v>4854</v>
      </c>
      <c r="AZ405" s="103" t="s">
        <v>4854</v>
      </c>
      <c r="BA405" s="103" t="s">
        <v>4854</v>
      </c>
      <c r="BB405" s="103" t="s">
        <v>4854</v>
      </c>
      <c r="BC405" s="4" t="s">
        <v>4854</v>
      </c>
      <c r="BD405" s="10">
        <v>81</v>
      </c>
      <c r="BE405" s="4" t="s">
        <v>4854</v>
      </c>
      <c r="BF405" s="4" t="s">
        <v>4854</v>
      </c>
      <c r="BG405" s="4" t="s">
        <v>4854</v>
      </c>
      <c r="BH405" s="4" t="s">
        <v>4854</v>
      </c>
      <c r="BI405" s="4" t="s">
        <v>4854</v>
      </c>
      <c r="BJ405" s="4" t="s">
        <v>4854</v>
      </c>
      <c r="BK405" s="100" t="s">
        <v>4854</v>
      </c>
      <c r="BL405" s="91">
        <v>0.94299999999999995</v>
      </c>
      <c r="BM405" s="100" t="s">
        <v>4854</v>
      </c>
      <c r="BN405" s="100" t="s">
        <v>4854</v>
      </c>
      <c r="BO405" s="100" t="s">
        <v>4854</v>
      </c>
      <c r="BP405" s="100" t="s">
        <v>4854</v>
      </c>
      <c r="BQ405" s="100" t="s">
        <v>4854</v>
      </c>
      <c r="BR405" s="100" t="s">
        <v>4854</v>
      </c>
      <c r="BS405" s="10" t="s">
        <v>4857</v>
      </c>
    </row>
    <row r="406" spans="1:71" s="30" customFormat="1" ht="17.100000000000001" customHeight="1">
      <c r="A406" s="10">
        <v>395</v>
      </c>
      <c r="B406" s="10" t="s">
        <v>3504</v>
      </c>
      <c r="C406" s="4" t="s">
        <v>3883</v>
      </c>
      <c r="D406" s="4" t="s">
        <v>3499</v>
      </c>
      <c r="E406" s="4" t="s">
        <v>3500</v>
      </c>
      <c r="F406" s="10" t="s">
        <v>5021</v>
      </c>
      <c r="G406" s="4" t="s">
        <v>3493</v>
      </c>
      <c r="H406" s="7" t="s">
        <v>3501</v>
      </c>
      <c r="I406" s="4" t="s">
        <v>3495</v>
      </c>
      <c r="J406" s="10" t="s">
        <v>3502</v>
      </c>
      <c r="K406" s="4" t="s">
        <v>5556</v>
      </c>
      <c r="L406" s="4" t="s">
        <v>3505</v>
      </c>
      <c r="M406" s="10">
        <v>2</v>
      </c>
      <c r="N406" s="95">
        <v>484.23129999999998</v>
      </c>
      <c r="O406" s="38" t="s">
        <v>4854</v>
      </c>
      <c r="P406" s="38" t="s">
        <v>4854</v>
      </c>
      <c r="Q406" s="38" t="s">
        <v>4854</v>
      </c>
      <c r="R406" s="38" t="s">
        <v>4854</v>
      </c>
      <c r="S406" s="38" t="s">
        <v>4854</v>
      </c>
      <c r="T406" s="38" t="s">
        <v>4854</v>
      </c>
      <c r="U406" s="38" t="s">
        <v>4854</v>
      </c>
      <c r="V406" s="37" t="str">
        <f>HYPERLINK("http://ms.phosphosite.org:5080/cgi-bin/plot-msms.cgi?MassType=1&amp;NumAxis=1&amp;Mod2=170&amp;Pep=GKFEDMAK&amp;Dta=/var/www/html/dta/S01/10565.4963.2.dta&amp;Global_Mod=CS57.0215", "4963")</f>
        <v>4963</v>
      </c>
      <c r="W406" s="4" t="s">
        <v>4854</v>
      </c>
      <c r="X406" s="4" t="s">
        <v>4854</v>
      </c>
      <c r="Y406" s="4" t="s">
        <v>4854</v>
      </c>
      <c r="Z406" s="4" t="s">
        <v>4854</v>
      </c>
      <c r="AA406" s="4" t="s">
        <v>4854</v>
      </c>
      <c r="AB406" s="4" t="s">
        <v>4854</v>
      </c>
      <c r="AC406" s="4" t="s">
        <v>4854</v>
      </c>
      <c r="AD406" s="10">
        <v>4979</v>
      </c>
      <c r="AE406" s="100" t="s">
        <v>4854</v>
      </c>
      <c r="AF406" s="100" t="s">
        <v>4854</v>
      </c>
      <c r="AG406" s="100" t="s">
        <v>4854</v>
      </c>
      <c r="AH406" s="100" t="s">
        <v>4854</v>
      </c>
      <c r="AI406" s="100" t="s">
        <v>4854</v>
      </c>
      <c r="AJ406" s="100" t="s">
        <v>4854</v>
      </c>
      <c r="AK406" s="100" t="s">
        <v>4854</v>
      </c>
      <c r="AL406" s="91">
        <v>2.4660000000000002</v>
      </c>
      <c r="AM406" s="103" t="s">
        <v>4854</v>
      </c>
      <c r="AN406" s="103" t="s">
        <v>4854</v>
      </c>
      <c r="AO406" s="103" t="s">
        <v>4854</v>
      </c>
      <c r="AP406" s="103" t="s">
        <v>4854</v>
      </c>
      <c r="AQ406" s="103" t="s">
        <v>4854</v>
      </c>
      <c r="AR406" s="103" t="s">
        <v>4854</v>
      </c>
      <c r="AS406" s="103" t="s">
        <v>4854</v>
      </c>
      <c r="AT406" s="95">
        <v>-0.29559999999999997</v>
      </c>
      <c r="AU406" s="103" t="s">
        <v>4854</v>
      </c>
      <c r="AV406" s="103" t="s">
        <v>4854</v>
      </c>
      <c r="AW406" s="103" t="s">
        <v>4854</v>
      </c>
      <c r="AX406" s="103" t="s">
        <v>4854</v>
      </c>
      <c r="AY406" s="103" t="s">
        <v>4854</v>
      </c>
      <c r="AZ406" s="103" t="s">
        <v>4854</v>
      </c>
      <c r="BA406" s="103" t="s">
        <v>4854</v>
      </c>
      <c r="BB406" s="95">
        <v>4.5999999999999999E-2</v>
      </c>
      <c r="BC406" s="4" t="s">
        <v>4854</v>
      </c>
      <c r="BD406" s="4" t="s">
        <v>4854</v>
      </c>
      <c r="BE406" s="4" t="s">
        <v>4854</v>
      </c>
      <c r="BF406" s="4" t="s">
        <v>4854</v>
      </c>
      <c r="BG406" s="4" t="s">
        <v>4854</v>
      </c>
      <c r="BH406" s="4" t="s">
        <v>4854</v>
      </c>
      <c r="BI406" s="4" t="s">
        <v>4854</v>
      </c>
      <c r="BJ406" s="10">
        <v>1</v>
      </c>
      <c r="BK406" s="100" t="s">
        <v>4854</v>
      </c>
      <c r="BL406" s="100" t="s">
        <v>4854</v>
      </c>
      <c r="BM406" s="100" t="s">
        <v>4854</v>
      </c>
      <c r="BN406" s="100" t="s">
        <v>4854</v>
      </c>
      <c r="BO406" s="100" t="s">
        <v>4854</v>
      </c>
      <c r="BP406" s="100" t="s">
        <v>4854</v>
      </c>
      <c r="BQ406" s="100" t="s">
        <v>4854</v>
      </c>
      <c r="BR406" s="91">
        <v>0.99099999999999999</v>
      </c>
      <c r="BS406" s="10" t="s">
        <v>4857</v>
      </c>
    </row>
    <row r="407" spans="1:71" s="30" customFormat="1" ht="17.100000000000001" customHeight="1">
      <c r="A407" s="10">
        <v>396</v>
      </c>
      <c r="B407" s="10" t="s">
        <v>3506</v>
      </c>
      <c r="C407" s="4" t="s">
        <v>3883</v>
      </c>
      <c r="D407" s="4" t="s">
        <v>3499</v>
      </c>
      <c r="E407" s="4" t="s">
        <v>3500</v>
      </c>
      <c r="F407" s="10" t="s">
        <v>5021</v>
      </c>
      <c r="G407" s="4" t="s">
        <v>3493</v>
      </c>
      <c r="H407" s="7" t="s">
        <v>3501</v>
      </c>
      <c r="I407" s="4" t="s">
        <v>3495</v>
      </c>
      <c r="J407" s="10" t="s">
        <v>3502</v>
      </c>
      <c r="K407" s="4" t="s">
        <v>5556</v>
      </c>
      <c r="L407" s="4" t="s">
        <v>3507</v>
      </c>
      <c r="M407" s="10">
        <v>2</v>
      </c>
      <c r="N407" s="95">
        <v>492.22879999999998</v>
      </c>
      <c r="O407" s="38" t="s">
        <v>4854</v>
      </c>
      <c r="P407" s="38" t="s">
        <v>4854</v>
      </c>
      <c r="Q407" s="38" t="s">
        <v>4854</v>
      </c>
      <c r="R407" s="38" t="s">
        <v>4854</v>
      </c>
      <c r="S407" s="38" t="s">
        <v>4854</v>
      </c>
      <c r="T407" s="37" t="str">
        <f>HYPERLINK("http://ms.phosphosite.org:5080/cgi-bin/plot-msms.cgi?MassType=1&amp;NumAxis=1&amp;Mod2=170&amp;Mod6=147&amp;Pep=GKFEDMAK&amp;Dta=/var/www/html/dta/S01/10563.2427.2.dta&amp;Global_Mod=CS57.0215", "2427")</f>
        <v>2427</v>
      </c>
      <c r="U407" s="37" t="str">
        <f>HYPERLINK("http://ms.phosphosite.org:5080/cgi-bin/plot-msms.cgi?MassType=1&amp;NumAxis=1&amp;Mod2=170&amp;Mod6=147&amp;Pep=GKFEDMAK&amp;Dta=/var/www/html/dta/S01/10564.2760.2.dta&amp;Global_Mod=CS57.0215", "2760")</f>
        <v>2760</v>
      </c>
      <c r="V407" s="38" t="s">
        <v>4854</v>
      </c>
      <c r="W407" s="4" t="s">
        <v>4854</v>
      </c>
      <c r="X407" s="4" t="s">
        <v>4854</v>
      </c>
      <c r="Y407" s="4" t="s">
        <v>4854</v>
      </c>
      <c r="Z407" s="4" t="s">
        <v>4854</v>
      </c>
      <c r="AA407" s="4" t="s">
        <v>4854</v>
      </c>
      <c r="AB407" s="4" t="s">
        <v>4854</v>
      </c>
      <c r="AC407" s="4" t="s">
        <v>4854</v>
      </c>
      <c r="AD407" s="4" t="s">
        <v>4854</v>
      </c>
      <c r="AE407" s="100" t="s">
        <v>4854</v>
      </c>
      <c r="AF407" s="100" t="s">
        <v>4854</v>
      </c>
      <c r="AG407" s="100" t="s">
        <v>4854</v>
      </c>
      <c r="AH407" s="100" t="s">
        <v>4854</v>
      </c>
      <c r="AI407" s="100" t="s">
        <v>4854</v>
      </c>
      <c r="AJ407" s="91">
        <v>1.3959999999999999</v>
      </c>
      <c r="AK407" s="91">
        <v>1.5740000000000001</v>
      </c>
      <c r="AL407" s="100" t="s">
        <v>4854</v>
      </c>
      <c r="AM407" s="103" t="s">
        <v>4854</v>
      </c>
      <c r="AN407" s="103" t="s">
        <v>4854</v>
      </c>
      <c r="AO407" s="103" t="s">
        <v>4854</v>
      </c>
      <c r="AP407" s="103" t="s">
        <v>4854</v>
      </c>
      <c r="AQ407" s="103" t="s">
        <v>4854</v>
      </c>
      <c r="AR407" s="95">
        <v>-7.5899999999999995E-2</v>
      </c>
      <c r="AS407" s="95">
        <v>-0.60360000000000003</v>
      </c>
      <c r="AT407" s="103" t="s">
        <v>4854</v>
      </c>
      <c r="AU407" s="103" t="s">
        <v>4854</v>
      </c>
      <c r="AV407" s="103" t="s">
        <v>4854</v>
      </c>
      <c r="AW407" s="103" t="s">
        <v>4854</v>
      </c>
      <c r="AX407" s="103" t="s">
        <v>4854</v>
      </c>
      <c r="AY407" s="103" t="s">
        <v>4854</v>
      </c>
      <c r="AZ407" s="95">
        <v>8.0000000000000002E-3</v>
      </c>
      <c r="BA407" s="95">
        <v>1.0999999999999999E-2</v>
      </c>
      <c r="BB407" s="103" t="s">
        <v>4854</v>
      </c>
      <c r="BC407" s="4" t="s">
        <v>4854</v>
      </c>
      <c r="BD407" s="4" t="s">
        <v>4854</v>
      </c>
      <c r="BE407" s="4" t="s">
        <v>4854</v>
      </c>
      <c r="BF407" s="4" t="s">
        <v>4854</v>
      </c>
      <c r="BG407" s="4" t="s">
        <v>4854</v>
      </c>
      <c r="BH407" s="10">
        <v>2</v>
      </c>
      <c r="BI407" s="10">
        <v>53</v>
      </c>
      <c r="BJ407" s="4" t="s">
        <v>4854</v>
      </c>
      <c r="BK407" s="100" t="s">
        <v>4854</v>
      </c>
      <c r="BL407" s="100" t="s">
        <v>4854</v>
      </c>
      <c r="BM407" s="100" t="s">
        <v>4854</v>
      </c>
      <c r="BN407" s="100" t="s">
        <v>4854</v>
      </c>
      <c r="BO407" s="100" t="s">
        <v>4854</v>
      </c>
      <c r="BP407" s="91">
        <v>0.72199999999999998</v>
      </c>
      <c r="BQ407" s="91">
        <v>0.46500000000000002</v>
      </c>
      <c r="BR407" s="100" t="s">
        <v>4854</v>
      </c>
      <c r="BS407" s="10" t="s">
        <v>4857</v>
      </c>
    </row>
    <row r="408" spans="1:71" s="30" customFormat="1" ht="17.100000000000001" customHeight="1">
      <c r="A408" s="14">
        <v>397</v>
      </c>
      <c r="B408" s="5" t="s">
        <v>3508</v>
      </c>
      <c r="C408" s="3" t="s">
        <v>3883</v>
      </c>
      <c r="D408" s="3" t="s">
        <v>3509</v>
      </c>
      <c r="E408" s="3" t="s">
        <v>3510</v>
      </c>
      <c r="F408" s="5" t="s">
        <v>4104</v>
      </c>
      <c r="G408" s="3" t="s">
        <v>3511</v>
      </c>
      <c r="H408" s="6" t="s">
        <v>3512</v>
      </c>
      <c r="I408" s="3" t="s">
        <v>3513</v>
      </c>
      <c r="J408" s="5" t="s">
        <v>4780</v>
      </c>
      <c r="K408" s="3" t="s">
        <v>5557</v>
      </c>
      <c r="L408" s="3" t="s">
        <v>3514</v>
      </c>
      <c r="M408" s="5">
        <v>2</v>
      </c>
      <c r="N408" s="21">
        <v>382.70049999999998</v>
      </c>
      <c r="O408" s="36" t="str">
        <f>HYPERLINK("http://ms.phosphosite.org:5080/cgi-bin/plot-msms.cgi?MassType=1&amp;NumAxis=1&amp;Mod2=170&amp;Pep=GKFDGAK&amp;Dta=/var/www/html/dta/S01/10558.2384.2.dta&amp;Global_Mod=CS57.0215", "2384")</f>
        <v>2384</v>
      </c>
      <c r="P408" s="35" t="s">
        <v>4854</v>
      </c>
      <c r="Q408" s="35" t="s">
        <v>4854</v>
      </c>
      <c r="R408" s="35" t="s">
        <v>4854</v>
      </c>
      <c r="S408" s="35" t="s">
        <v>4854</v>
      </c>
      <c r="T408" s="35" t="s">
        <v>4854</v>
      </c>
      <c r="U408" s="35" t="s">
        <v>4854</v>
      </c>
      <c r="V408" s="35" t="s">
        <v>4854</v>
      </c>
      <c r="W408" s="5">
        <v>2367</v>
      </c>
      <c r="X408" s="3" t="s">
        <v>4854</v>
      </c>
      <c r="Y408" s="3" t="s">
        <v>4854</v>
      </c>
      <c r="Z408" s="3" t="s">
        <v>4854</v>
      </c>
      <c r="AA408" s="3" t="s">
        <v>4854</v>
      </c>
      <c r="AB408" s="3" t="s">
        <v>4854</v>
      </c>
      <c r="AC408" s="3" t="s">
        <v>4854</v>
      </c>
      <c r="AD408" s="3" t="s">
        <v>4854</v>
      </c>
      <c r="AE408" s="90">
        <v>1.94</v>
      </c>
      <c r="AF408" s="99" t="s">
        <v>4854</v>
      </c>
      <c r="AG408" s="99" t="s">
        <v>4854</v>
      </c>
      <c r="AH408" s="99" t="s">
        <v>4854</v>
      </c>
      <c r="AI408" s="99" t="s">
        <v>4854</v>
      </c>
      <c r="AJ408" s="99" t="s">
        <v>4854</v>
      </c>
      <c r="AK408" s="99" t="s">
        <v>4854</v>
      </c>
      <c r="AL408" s="99" t="s">
        <v>4854</v>
      </c>
      <c r="AM408" s="21">
        <v>-0.13739999999999999</v>
      </c>
      <c r="AN408" s="102" t="s">
        <v>4854</v>
      </c>
      <c r="AO408" s="102" t="s">
        <v>4854</v>
      </c>
      <c r="AP408" s="102" t="s">
        <v>4854</v>
      </c>
      <c r="AQ408" s="102" t="s">
        <v>4854</v>
      </c>
      <c r="AR408" s="102" t="s">
        <v>4854</v>
      </c>
      <c r="AS408" s="102" t="s">
        <v>4854</v>
      </c>
      <c r="AT408" s="102" t="s">
        <v>4854</v>
      </c>
      <c r="AU408" s="21">
        <v>7.0000000000000007E-2</v>
      </c>
      <c r="AV408" s="102" t="s">
        <v>4854</v>
      </c>
      <c r="AW408" s="102" t="s">
        <v>4854</v>
      </c>
      <c r="AX408" s="102" t="s">
        <v>4854</v>
      </c>
      <c r="AY408" s="102" t="s">
        <v>4854</v>
      </c>
      <c r="AZ408" s="102" t="s">
        <v>4854</v>
      </c>
      <c r="BA408" s="102" t="s">
        <v>4854</v>
      </c>
      <c r="BB408" s="102" t="s">
        <v>4854</v>
      </c>
      <c r="BC408" s="5">
        <v>16</v>
      </c>
      <c r="BD408" s="3" t="s">
        <v>4854</v>
      </c>
      <c r="BE408" s="3" t="s">
        <v>4854</v>
      </c>
      <c r="BF408" s="3" t="s">
        <v>4854</v>
      </c>
      <c r="BG408" s="3" t="s">
        <v>4854</v>
      </c>
      <c r="BH408" s="3" t="s">
        <v>4854</v>
      </c>
      <c r="BI408" s="3" t="s">
        <v>4854</v>
      </c>
      <c r="BJ408" s="3" t="s">
        <v>4854</v>
      </c>
      <c r="BK408" s="90">
        <v>0.95099999999999996</v>
      </c>
      <c r="BL408" s="99" t="s">
        <v>4854</v>
      </c>
      <c r="BM408" s="99" t="s">
        <v>4854</v>
      </c>
      <c r="BN408" s="99" t="s">
        <v>4854</v>
      </c>
      <c r="BO408" s="99" t="s">
        <v>4854</v>
      </c>
      <c r="BP408" s="99" t="s">
        <v>4854</v>
      </c>
      <c r="BQ408" s="99" t="s">
        <v>4854</v>
      </c>
      <c r="BR408" s="99" t="s">
        <v>4854</v>
      </c>
      <c r="BS408" s="5" t="s">
        <v>4857</v>
      </c>
    </row>
    <row r="409" spans="1:71" s="30" customFormat="1" ht="17.100000000000001" customHeight="1">
      <c r="A409" s="14">
        <v>398</v>
      </c>
      <c r="B409" s="5" t="s">
        <v>3515</v>
      </c>
      <c r="C409" s="3" t="s">
        <v>3883</v>
      </c>
      <c r="D409" s="3" t="s">
        <v>3509</v>
      </c>
      <c r="E409" s="3" t="s">
        <v>3510</v>
      </c>
      <c r="F409" s="5" t="s">
        <v>4104</v>
      </c>
      <c r="G409" s="3" t="s">
        <v>3511</v>
      </c>
      <c r="H409" s="6" t="s">
        <v>3512</v>
      </c>
      <c r="I409" s="3" t="s">
        <v>3513</v>
      </c>
      <c r="J409" s="5" t="s">
        <v>4780</v>
      </c>
      <c r="K409" s="3" t="s">
        <v>5557</v>
      </c>
      <c r="L409" s="3" t="s">
        <v>3516</v>
      </c>
      <c r="M409" s="5">
        <v>2</v>
      </c>
      <c r="N409" s="21">
        <v>559.30370000000005</v>
      </c>
      <c r="O409" s="35" t="s">
        <v>4854</v>
      </c>
      <c r="P409" s="35" t="s">
        <v>4854</v>
      </c>
      <c r="Q409" s="35" t="s">
        <v>4854</v>
      </c>
      <c r="R409" s="35" t="s">
        <v>4854</v>
      </c>
      <c r="S409" s="36" t="str">
        <f>HYPERLINK("http://ms.phosphosite.org:5080/cgi-bin/plot-msms.cgi?MassType=1&amp;NumAxis=1&amp;Mod2=170&amp;Pep=GKFDGAKGPAK&amp;Dta=/var/www/html/dta/S01/10562.2193.2.dta&amp;Global_Mod=CS57.0215", "2193")</f>
        <v>2193</v>
      </c>
      <c r="T409" s="36" t="str">
        <f>HYPERLINK("http://ms.phosphosite.org:5080/cgi-bin/plot-msms.cgi?MassType=1&amp;NumAxis=1&amp;Mod2=170&amp;Pep=GKFDGAKGPAK&amp;Dta=/var/www/html/dta/S01/10563.2123.2.dta&amp;Global_Mod=CS57.0215", "2123")</f>
        <v>2123</v>
      </c>
      <c r="U409" s="36" t="str">
        <f>HYPERLINK("http://ms.phosphosite.org:5080/cgi-bin/plot-msms.cgi?MassType=1&amp;NumAxis=1&amp;Mod2=170&amp;Pep=GKFDGAKGPAK&amp;Dta=/var/www/html/dta/S01/10564.2393.2.dta&amp;Global_Mod=CS57.0215", "2393")</f>
        <v>2393</v>
      </c>
      <c r="V409" s="36" t="str">
        <f>HYPERLINK("http://ms.phosphosite.org:5080/cgi-bin/plot-msms.cgi?MassType=1&amp;NumAxis=1&amp;Mod2=170&amp;Pep=GKFDGAKGPAK&amp;Dta=/var/www/html/dta/S01/10565.2496.2.dta&amp;Global_Mod=CS57.0215", "2496")</f>
        <v>2496</v>
      </c>
      <c r="W409" s="3" t="s">
        <v>4854</v>
      </c>
      <c r="X409" s="3" t="s">
        <v>4854</v>
      </c>
      <c r="Y409" s="3" t="s">
        <v>4854</v>
      </c>
      <c r="Z409" s="3" t="s">
        <v>4854</v>
      </c>
      <c r="AA409" s="5">
        <v>2206</v>
      </c>
      <c r="AB409" s="5">
        <v>2115</v>
      </c>
      <c r="AC409" s="5">
        <v>2387</v>
      </c>
      <c r="AD409" s="3" t="s">
        <v>4854</v>
      </c>
      <c r="AE409" s="99" t="s">
        <v>4854</v>
      </c>
      <c r="AF409" s="99" t="s">
        <v>4854</v>
      </c>
      <c r="AG409" s="99" t="s">
        <v>4854</v>
      </c>
      <c r="AH409" s="99" t="s">
        <v>4854</v>
      </c>
      <c r="AI409" s="90">
        <v>2.7090000000000001</v>
      </c>
      <c r="AJ409" s="90">
        <v>2.6429999999999998</v>
      </c>
      <c r="AK409" s="90">
        <v>2.4159999999999999</v>
      </c>
      <c r="AL409" s="90">
        <v>1.9610000000000001</v>
      </c>
      <c r="AM409" s="102" t="s">
        <v>4854</v>
      </c>
      <c r="AN409" s="102" t="s">
        <v>4854</v>
      </c>
      <c r="AO409" s="102" t="s">
        <v>4854</v>
      </c>
      <c r="AP409" s="102" t="s">
        <v>4854</v>
      </c>
      <c r="AQ409" s="21">
        <v>0.76729999999999998</v>
      </c>
      <c r="AR409" s="21">
        <v>0.21529999999999999</v>
      </c>
      <c r="AS409" s="21">
        <v>1.4E-3</v>
      </c>
      <c r="AT409" s="21">
        <v>-0.79759999999999998</v>
      </c>
      <c r="AU409" s="102" t="s">
        <v>4854</v>
      </c>
      <c r="AV409" s="102" t="s">
        <v>4854</v>
      </c>
      <c r="AW409" s="102" t="s">
        <v>4854</v>
      </c>
      <c r="AX409" s="102" t="s">
        <v>4854</v>
      </c>
      <c r="AY409" s="21">
        <v>0.19600000000000001</v>
      </c>
      <c r="AZ409" s="21">
        <v>0.14699999999999999</v>
      </c>
      <c r="BA409" s="21">
        <v>0.183</v>
      </c>
      <c r="BB409" s="21">
        <v>0.115</v>
      </c>
      <c r="BC409" s="3" t="s">
        <v>4854</v>
      </c>
      <c r="BD409" s="3" t="s">
        <v>4854</v>
      </c>
      <c r="BE409" s="3" t="s">
        <v>4854</v>
      </c>
      <c r="BF409" s="3" t="s">
        <v>4854</v>
      </c>
      <c r="BG409" s="5">
        <v>21</v>
      </c>
      <c r="BH409" s="5">
        <v>2</v>
      </c>
      <c r="BI409" s="5">
        <v>3</v>
      </c>
      <c r="BJ409" s="5">
        <v>376</v>
      </c>
      <c r="BK409" s="99" t="s">
        <v>4854</v>
      </c>
      <c r="BL409" s="99" t="s">
        <v>4854</v>
      </c>
      <c r="BM409" s="99" t="s">
        <v>4854</v>
      </c>
      <c r="BN409" s="99" t="s">
        <v>4854</v>
      </c>
      <c r="BO409" s="90">
        <v>0.996</v>
      </c>
      <c r="BP409" s="90">
        <v>0.996</v>
      </c>
      <c r="BQ409" s="90">
        <v>0.996</v>
      </c>
      <c r="BR409" s="90">
        <v>0.76900000000000002</v>
      </c>
      <c r="BS409" s="5" t="s">
        <v>4857</v>
      </c>
    </row>
    <row r="410" spans="1:71" s="30" customFormat="1" ht="17.100000000000001" customHeight="1">
      <c r="A410" s="10">
        <v>399</v>
      </c>
      <c r="B410" s="10" t="s">
        <v>3517</v>
      </c>
      <c r="C410" s="4" t="s">
        <v>3883</v>
      </c>
      <c r="D410" s="4" t="s">
        <v>3509</v>
      </c>
      <c r="E410" s="4" t="s">
        <v>3510</v>
      </c>
      <c r="F410" s="10" t="s">
        <v>4975</v>
      </c>
      <c r="G410" s="4" t="s">
        <v>3511</v>
      </c>
      <c r="H410" s="7" t="s">
        <v>3512</v>
      </c>
      <c r="I410" s="4" t="s">
        <v>3513</v>
      </c>
      <c r="J410" s="10" t="s">
        <v>4780</v>
      </c>
      <c r="K410" s="4" t="s">
        <v>5558</v>
      </c>
      <c r="L410" s="4" t="s">
        <v>3518</v>
      </c>
      <c r="M410" s="10">
        <v>2</v>
      </c>
      <c r="N410" s="95">
        <v>507.23410000000001</v>
      </c>
      <c r="O410" s="38" t="s">
        <v>4854</v>
      </c>
      <c r="P410" s="37" t="str">
        <f>HYPERLINK("http://ms.phosphosite.org:5080/cgi-bin/plot-msms.cgi?MassType=1&amp;NumAxis=1&amp;Mod2=170&amp;Mod6=147&amp;Pep=SKFDEMAK&amp;Dta=/var/www/html/dta/S01/10559.2637.2.dta&amp;Global_Mod=CS57.0215", "2637")</f>
        <v>2637</v>
      </c>
      <c r="Q410" s="38" t="s">
        <v>4854</v>
      </c>
      <c r="R410" s="38" t="s">
        <v>4854</v>
      </c>
      <c r="S410" s="38" t="s">
        <v>4854</v>
      </c>
      <c r="T410" s="38" t="s">
        <v>4854</v>
      </c>
      <c r="U410" s="38" t="s">
        <v>4854</v>
      </c>
      <c r="V410" s="38" t="s">
        <v>4854</v>
      </c>
      <c r="W410" s="4" t="s">
        <v>4854</v>
      </c>
      <c r="X410" s="4" t="s">
        <v>4854</v>
      </c>
      <c r="Y410" s="4" t="s">
        <v>4854</v>
      </c>
      <c r="Z410" s="4" t="s">
        <v>4854</v>
      </c>
      <c r="AA410" s="4" t="s">
        <v>4854</v>
      </c>
      <c r="AB410" s="4" t="s">
        <v>4854</v>
      </c>
      <c r="AC410" s="4" t="s">
        <v>4854</v>
      </c>
      <c r="AD410" s="4" t="s">
        <v>4854</v>
      </c>
      <c r="AE410" s="100" t="s">
        <v>4854</v>
      </c>
      <c r="AF410" s="91">
        <v>1.7430000000000001</v>
      </c>
      <c r="AG410" s="100" t="s">
        <v>4854</v>
      </c>
      <c r="AH410" s="100" t="s">
        <v>4854</v>
      </c>
      <c r="AI410" s="100" t="s">
        <v>4854</v>
      </c>
      <c r="AJ410" s="100" t="s">
        <v>4854</v>
      </c>
      <c r="AK410" s="100" t="s">
        <v>4854</v>
      </c>
      <c r="AL410" s="100" t="s">
        <v>4854</v>
      </c>
      <c r="AM410" s="103" t="s">
        <v>4854</v>
      </c>
      <c r="AN410" s="95">
        <v>0.31740000000000002</v>
      </c>
      <c r="AO410" s="103" t="s">
        <v>4854</v>
      </c>
      <c r="AP410" s="103" t="s">
        <v>4854</v>
      </c>
      <c r="AQ410" s="103" t="s">
        <v>4854</v>
      </c>
      <c r="AR410" s="103" t="s">
        <v>4854</v>
      </c>
      <c r="AS410" s="103" t="s">
        <v>4854</v>
      </c>
      <c r="AT410" s="103" t="s">
        <v>4854</v>
      </c>
      <c r="AU410" s="103" t="s">
        <v>4854</v>
      </c>
      <c r="AV410" s="95">
        <v>7.1999999999999995E-2</v>
      </c>
      <c r="AW410" s="103" t="s">
        <v>4854</v>
      </c>
      <c r="AX410" s="103" t="s">
        <v>4854</v>
      </c>
      <c r="AY410" s="103" t="s">
        <v>4854</v>
      </c>
      <c r="AZ410" s="103" t="s">
        <v>4854</v>
      </c>
      <c r="BA410" s="103" t="s">
        <v>4854</v>
      </c>
      <c r="BB410" s="103" t="s">
        <v>4854</v>
      </c>
      <c r="BC410" s="4" t="s">
        <v>4854</v>
      </c>
      <c r="BD410" s="10">
        <v>7</v>
      </c>
      <c r="BE410" s="4" t="s">
        <v>4854</v>
      </c>
      <c r="BF410" s="4" t="s">
        <v>4854</v>
      </c>
      <c r="BG410" s="4" t="s">
        <v>4854</v>
      </c>
      <c r="BH410" s="4" t="s">
        <v>4854</v>
      </c>
      <c r="BI410" s="4" t="s">
        <v>4854</v>
      </c>
      <c r="BJ410" s="4" t="s">
        <v>4854</v>
      </c>
      <c r="BK410" s="100" t="s">
        <v>4854</v>
      </c>
      <c r="BL410" s="91">
        <v>0.92300000000000004</v>
      </c>
      <c r="BM410" s="100" t="s">
        <v>4854</v>
      </c>
      <c r="BN410" s="100" t="s">
        <v>4854</v>
      </c>
      <c r="BO410" s="100" t="s">
        <v>4854</v>
      </c>
      <c r="BP410" s="100" t="s">
        <v>4854</v>
      </c>
      <c r="BQ410" s="100" t="s">
        <v>4854</v>
      </c>
      <c r="BR410" s="100" t="s">
        <v>4854</v>
      </c>
      <c r="BS410" s="10" t="s">
        <v>4857</v>
      </c>
    </row>
    <row r="411" spans="1:71" s="30" customFormat="1" ht="17.100000000000001" customHeight="1">
      <c r="A411" s="14">
        <v>400</v>
      </c>
      <c r="B411" s="5" t="s">
        <v>3519</v>
      </c>
      <c r="C411" s="3" t="s">
        <v>3883</v>
      </c>
      <c r="D411" s="3" t="s">
        <v>3520</v>
      </c>
      <c r="E411" s="6" t="s">
        <v>3521</v>
      </c>
      <c r="F411" s="5" t="s">
        <v>5156</v>
      </c>
      <c r="G411" s="3" t="s">
        <v>3522</v>
      </c>
      <c r="H411" s="6" t="s">
        <v>3523</v>
      </c>
      <c r="I411" s="3" t="s">
        <v>3524</v>
      </c>
      <c r="J411" s="5" t="s">
        <v>4816</v>
      </c>
      <c r="K411" s="3" t="s">
        <v>5559</v>
      </c>
      <c r="L411" s="3" t="s">
        <v>3525</v>
      </c>
      <c r="M411" s="5">
        <v>2</v>
      </c>
      <c r="N411" s="21">
        <v>593.30909999999994</v>
      </c>
      <c r="O411" s="36" t="str">
        <f>HYPERLINK("http://ms.phosphosite.org:5080/cgi-bin/plot-msms.cgi?MassType=1&amp;NumAxis=1&amp;Mod8=170&amp;Pep=VSADGAAKAEPK&amp;Dta=/var/www/html/dta/S01/10558.2140.2.dta&amp;Global_Mod=CS57.0215", "2140")</f>
        <v>2140</v>
      </c>
      <c r="P411" s="35" t="s">
        <v>4854</v>
      </c>
      <c r="Q411" s="36" t="str">
        <f>HYPERLINK("http://ms.phosphosite.org:5080/cgi-bin/plot-msms.cgi?MassType=1&amp;NumAxis=1&amp;Mod8=170&amp;Pep=VSADGAAKAEPK&amp;Dta=/var/www/html/dta/S01/10560.2082.2.dta&amp;Global_Mod=CS57.0215", "2082")</f>
        <v>2082</v>
      </c>
      <c r="R411" s="35" t="s">
        <v>4854</v>
      </c>
      <c r="S411" s="35" t="s">
        <v>4854</v>
      </c>
      <c r="T411" s="36" t="str">
        <f>HYPERLINK("http://ms.phosphosite.org:5080/cgi-bin/plot-msms.cgi?MassType=1&amp;NumAxis=1&amp;Mod8=170&amp;Pep=VSADGAAKAEPK&amp;Dta=/var/www/html/dta/S01/10563.2096.2.dta&amp;Global_Mod=CS57.0215", "2096")</f>
        <v>2096</v>
      </c>
      <c r="U411" s="36" t="str">
        <f>HYPERLINK("http://ms.phosphosite.org:5080/cgi-bin/plot-msms.cgi?MassType=1&amp;NumAxis=1&amp;Mod8=170&amp;Pep=VSADGAAKAEPK&amp;Dta=/var/www/html/dta/S01/10564.2368.2.dta&amp;Global_Mod=CS57.0215", "2368")</f>
        <v>2368</v>
      </c>
      <c r="V411" s="36" t="str">
        <f>HYPERLINK("http://ms.phosphosite.org:5080/cgi-bin/plot-msms.cgi?MassType=1&amp;NumAxis=1&amp;Mod8=170&amp;Pep=VSADGAAKAEPK&amp;Dta=/var/www/html/dta/S01/10565.2435.2.dta&amp;Global_Mod=CS57.0215", "2435")</f>
        <v>2435</v>
      </c>
      <c r="W411" s="5">
        <v>2138</v>
      </c>
      <c r="X411" s="3" t="s">
        <v>4854</v>
      </c>
      <c r="Y411" s="5">
        <v>2069</v>
      </c>
      <c r="Z411" s="3" t="s">
        <v>4854</v>
      </c>
      <c r="AA411" s="3" t="s">
        <v>4854</v>
      </c>
      <c r="AB411" s="5">
        <v>2093</v>
      </c>
      <c r="AC411" s="5">
        <v>2354</v>
      </c>
      <c r="AD411" s="5">
        <v>2432</v>
      </c>
      <c r="AE411" s="90">
        <v>3.2559999999999998</v>
      </c>
      <c r="AF411" s="99" t="s">
        <v>4854</v>
      </c>
      <c r="AG411" s="90">
        <v>3.335</v>
      </c>
      <c r="AH411" s="99" t="s">
        <v>4854</v>
      </c>
      <c r="AI411" s="99" t="s">
        <v>4854</v>
      </c>
      <c r="AJ411" s="90">
        <v>3.1360000000000001</v>
      </c>
      <c r="AK411" s="90">
        <v>3.3959999999999999</v>
      </c>
      <c r="AL411" s="90">
        <v>3.2120000000000002</v>
      </c>
      <c r="AM411" s="21">
        <v>0.31630000000000003</v>
      </c>
      <c r="AN411" s="102" t="s">
        <v>4854</v>
      </c>
      <c r="AO411" s="21">
        <v>0.1003</v>
      </c>
      <c r="AP411" s="102" t="s">
        <v>4854</v>
      </c>
      <c r="AQ411" s="102" t="s">
        <v>4854</v>
      </c>
      <c r="AR411" s="21">
        <v>0.4849</v>
      </c>
      <c r="AS411" s="21">
        <v>0.78349999999999997</v>
      </c>
      <c r="AT411" s="21">
        <v>-0.37619999999999998</v>
      </c>
      <c r="AU411" s="21">
        <v>0.254</v>
      </c>
      <c r="AV411" s="102" t="s">
        <v>4854</v>
      </c>
      <c r="AW411" s="21">
        <v>0.192</v>
      </c>
      <c r="AX411" s="102" t="s">
        <v>4854</v>
      </c>
      <c r="AY411" s="102" t="s">
        <v>4854</v>
      </c>
      <c r="AZ411" s="21">
        <v>0.14699999999999999</v>
      </c>
      <c r="BA411" s="21">
        <v>0.22900000000000001</v>
      </c>
      <c r="BB411" s="21">
        <v>0.248</v>
      </c>
      <c r="BC411" s="5">
        <v>1</v>
      </c>
      <c r="BD411" s="3" t="s">
        <v>4854</v>
      </c>
      <c r="BE411" s="5">
        <v>2</v>
      </c>
      <c r="BF411" s="3" t="s">
        <v>4854</v>
      </c>
      <c r="BG411" s="3" t="s">
        <v>4854</v>
      </c>
      <c r="BH411" s="5">
        <v>1</v>
      </c>
      <c r="BI411" s="5">
        <v>1</v>
      </c>
      <c r="BJ411" s="5">
        <v>1</v>
      </c>
      <c r="BK411" s="90">
        <v>1</v>
      </c>
      <c r="BL411" s="99" t="s">
        <v>4854</v>
      </c>
      <c r="BM411" s="90">
        <v>0.999</v>
      </c>
      <c r="BN411" s="99" t="s">
        <v>4854</v>
      </c>
      <c r="BO411" s="99" t="s">
        <v>4854</v>
      </c>
      <c r="BP411" s="90">
        <v>0.998</v>
      </c>
      <c r="BQ411" s="90">
        <v>1</v>
      </c>
      <c r="BR411" s="90">
        <v>1</v>
      </c>
      <c r="BS411" s="5" t="s">
        <v>4857</v>
      </c>
    </row>
    <row r="412" spans="1:71" s="30" customFormat="1" ht="17.100000000000001" customHeight="1">
      <c r="A412" s="10">
        <v>401</v>
      </c>
      <c r="B412" s="10" t="s">
        <v>3526</v>
      </c>
      <c r="C412" s="4" t="s">
        <v>3883</v>
      </c>
      <c r="D412" s="4" t="s">
        <v>3527</v>
      </c>
      <c r="E412" s="7" t="s">
        <v>3528</v>
      </c>
      <c r="F412" s="10" t="s">
        <v>5267</v>
      </c>
      <c r="G412" s="4" t="s">
        <v>3529</v>
      </c>
      <c r="H412" s="7" t="s">
        <v>3530</v>
      </c>
      <c r="I412" s="4" t="s">
        <v>3399</v>
      </c>
      <c r="J412" s="10" t="s">
        <v>4807</v>
      </c>
      <c r="K412" s="4" t="s">
        <v>5560</v>
      </c>
      <c r="L412" s="4" t="s">
        <v>3400</v>
      </c>
      <c r="M412" s="10">
        <v>4</v>
      </c>
      <c r="N412" s="95">
        <v>407.49489999999997</v>
      </c>
      <c r="O412" s="38" t="s">
        <v>4854</v>
      </c>
      <c r="P412" s="38" t="s">
        <v>4854</v>
      </c>
      <c r="Q412" s="38" t="s">
        <v>4854</v>
      </c>
      <c r="R412" s="38" t="s">
        <v>4854</v>
      </c>
      <c r="S412" s="37" t="str">
        <f>HYPERLINK("http://ms.phosphosite.org:5080/cgi-bin/plot-msms.cgi?MassType=1&amp;NumAxis=1&amp;Mod4=170&amp;Pep=LSAKPAPPKPEPKPK&amp;Dta=/var/www/html/dta/S01/10562.2222.4.dta&amp;Global_Mod=CS57.0215", "2222")</f>
        <v>2222</v>
      </c>
      <c r="T412" s="38" t="s">
        <v>4854</v>
      </c>
      <c r="U412" s="38" t="s">
        <v>4854</v>
      </c>
      <c r="V412" s="38" t="s">
        <v>4854</v>
      </c>
      <c r="W412" s="4" t="s">
        <v>4854</v>
      </c>
      <c r="X412" s="4" t="s">
        <v>4854</v>
      </c>
      <c r="Y412" s="4" t="s">
        <v>4854</v>
      </c>
      <c r="Z412" s="4" t="s">
        <v>4854</v>
      </c>
      <c r="AA412" s="10">
        <v>2250</v>
      </c>
      <c r="AB412" s="4" t="s">
        <v>4854</v>
      </c>
      <c r="AC412" s="4" t="s">
        <v>4854</v>
      </c>
      <c r="AD412" s="4" t="s">
        <v>4854</v>
      </c>
      <c r="AE412" s="100" t="s">
        <v>4854</v>
      </c>
      <c r="AF412" s="100" t="s">
        <v>4854</v>
      </c>
      <c r="AG412" s="100" t="s">
        <v>4854</v>
      </c>
      <c r="AH412" s="100" t="s">
        <v>4854</v>
      </c>
      <c r="AI412" s="91">
        <v>2.0129999999999999</v>
      </c>
      <c r="AJ412" s="100" t="s">
        <v>4854</v>
      </c>
      <c r="AK412" s="100" t="s">
        <v>4854</v>
      </c>
      <c r="AL412" s="100" t="s">
        <v>4854</v>
      </c>
      <c r="AM412" s="103" t="s">
        <v>4854</v>
      </c>
      <c r="AN412" s="103" t="s">
        <v>4854</v>
      </c>
      <c r="AO412" s="103" t="s">
        <v>4854</v>
      </c>
      <c r="AP412" s="103" t="s">
        <v>4854</v>
      </c>
      <c r="AQ412" s="95">
        <v>0.58509999999999995</v>
      </c>
      <c r="AR412" s="103" t="s">
        <v>4854</v>
      </c>
      <c r="AS412" s="103" t="s">
        <v>4854</v>
      </c>
      <c r="AT412" s="103" t="s">
        <v>4854</v>
      </c>
      <c r="AU412" s="103" t="s">
        <v>4854</v>
      </c>
      <c r="AV412" s="103" t="s">
        <v>4854</v>
      </c>
      <c r="AW412" s="103" t="s">
        <v>4854</v>
      </c>
      <c r="AX412" s="103" t="s">
        <v>4854</v>
      </c>
      <c r="AY412" s="95">
        <v>0.03</v>
      </c>
      <c r="AZ412" s="103" t="s">
        <v>4854</v>
      </c>
      <c r="BA412" s="103" t="s">
        <v>4854</v>
      </c>
      <c r="BB412" s="103" t="s">
        <v>4854</v>
      </c>
      <c r="BC412" s="4" t="s">
        <v>4854</v>
      </c>
      <c r="BD412" s="4" t="s">
        <v>4854</v>
      </c>
      <c r="BE412" s="4" t="s">
        <v>4854</v>
      </c>
      <c r="BF412" s="4" t="s">
        <v>4854</v>
      </c>
      <c r="BG412" s="10">
        <v>6</v>
      </c>
      <c r="BH412" s="4" t="s">
        <v>4854</v>
      </c>
      <c r="BI412" s="4" t="s">
        <v>4854</v>
      </c>
      <c r="BJ412" s="4" t="s">
        <v>4854</v>
      </c>
      <c r="BK412" s="100" t="s">
        <v>4854</v>
      </c>
      <c r="BL412" s="100" t="s">
        <v>4854</v>
      </c>
      <c r="BM412" s="100" t="s">
        <v>4854</v>
      </c>
      <c r="BN412" s="100" t="s">
        <v>4854</v>
      </c>
      <c r="BO412" s="91">
        <v>0.99199999999999999</v>
      </c>
      <c r="BP412" s="100" t="s">
        <v>4854</v>
      </c>
      <c r="BQ412" s="100" t="s">
        <v>4854</v>
      </c>
      <c r="BR412" s="100" t="s">
        <v>4854</v>
      </c>
      <c r="BS412" s="10" t="s">
        <v>4857</v>
      </c>
    </row>
    <row r="413" spans="1:71" s="30" customFormat="1" ht="17.100000000000001" customHeight="1">
      <c r="A413" s="14">
        <v>402</v>
      </c>
      <c r="B413" s="5" t="s">
        <v>3401</v>
      </c>
      <c r="C413" s="3" t="s">
        <v>3883</v>
      </c>
      <c r="D413" s="3" t="s">
        <v>3527</v>
      </c>
      <c r="E413" s="6" t="s">
        <v>3528</v>
      </c>
      <c r="F413" s="5" t="s">
        <v>4638</v>
      </c>
      <c r="G413" s="3" t="s">
        <v>3529</v>
      </c>
      <c r="H413" s="6" t="s">
        <v>3530</v>
      </c>
      <c r="I413" s="3" t="s">
        <v>3399</v>
      </c>
      <c r="J413" s="5" t="s">
        <v>4807</v>
      </c>
      <c r="K413" s="3" t="s">
        <v>5561</v>
      </c>
      <c r="L413" s="3" t="s">
        <v>3402</v>
      </c>
      <c r="M413" s="5">
        <v>3</v>
      </c>
      <c r="N413" s="21">
        <v>628.96090000000004</v>
      </c>
      <c r="O413" s="35" t="s">
        <v>4854</v>
      </c>
      <c r="P413" s="35" t="s">
        <v>4854</v>
      </c>
      <c r="Q413" s="35" t="s">
        <v>4854</v>
      </c>
      <c r="R413" s="35" t="s">
        <v>4854</v>
      </c>
      <c r="S413" s="36" t="str">
        <f>HYPERLINK("http://ms.phosphosite.org:5080/cgi-bin/plot-msms.cgi?MassType=1&amp;NumAxis=1&amp;Mod2=170&amp;Pep=GKADAGKDANNPAENGDAK&amp;Dta=/var/www/html/dta/S01/10562.1584.3.dta&amp;Global_Mod=CS57.0215", "1584")</f>
        <v>1584</v>
      </c>
      <c r="T413" s="35" t="s">
        <v>4854</v>
      </c>
      <c r="U413" s="35" t="s">
        <v>4854</v>
      </c>
      <c r="V413" s="35" t="s">
        <v>4854</v>
      </c>
      <c r="W413" s="3" t="s">
        <v>4854</v>
      </c>
      <c r="X413" s="3" t="s">
        <v>4854</v>
      </c>
      <c r="Y413" s="3" t="s">
        <v>4854</v>
      </c>
      <c r="Z413" s="3" t="s">
        <v>4854</v>
      </c>
      <c r="AA413" s="5">
        <v>1578</v>
      </c>
      <c r="AB413" s="3" t="s">
        <v>4854</v>
      </c>
      <c r="AC413" s="3" t="s">
        <v>4854</v>
      </c>
      <c r="AD413" s="3" t="s">
        <v>4854</v>
      </c>
      <c r="AE413" s="99" t="s">
        <v>4854</v>
      </c>
      <c r="AF413" s="99" t="s">
        <v>4854</v>
      </c>
      <c r="AG413" s="99" t="s">
        <v>4854</v>
      </c>
      <c r="AH413" s="99" t="s">
        <v>4854</v>
      </c>
      <c r="AI413" s="90">
        <v>2.875</v>
      </c>
      <c r="AJ413" s="99" t="s">
        <v>4854</v>
      </c>
      <c r="AK413" s="99" t="s">
        <v>4854</v>
      </c>
      <c r="AL413" s="99" t="s">
        <v>4854</v>
      </c>
      <c r="AM413" s="102" t="s">
        <v>4854</v>
      </c>
      <c r="AN413" s="102" t="s">
        <v>4854</v>
      </c>
      <c r="AO413" s="102" t="s">
        <v>4854</v>
      </c>
      <c r="AP413" s="102" t="s">
        <v>4854</v>
      </c>
      <c r="AQ413" s="21">
        <v>0.54569999999999996</v>
      </c>
      <c r="AR413" s="102" t="s">
        <v>4854</v>
      </c>
      <c r="AS413" s="102" t="s">
        <v>4854</v>
      </c>
      <c r="AT413" s="102" t="s">
        <v>4854</v>
      </c>
      <c r="AU413" s="102" t="s">
        <v>4854</v>
      </c>
      <c r="AV413" s="102" t="s">
        <v>4854</v>
      </c>
      <c r="AW413" s="102" t="s">
        <v>4854</v>
      </c>
      <c r="AX413" s="102" t="s">
        <v>4854</v>
      </c>
      <c r="AY413" s="21">
        <v>1.7999999999999999E-2</v>
      </c>
      <c r="AZ413" s="102" t="s">
        <v>4854</v>
      </c>
      <c r="BA413" s="102" t="s">
        <v>4854</v>
      </c>
      <c r="BB413" s="102" t="s">
        <v>4854</v>
      </c>
      <c r="BC413" s="3" t="s">
        <v>4854</v>
      </c>
      <c r="BD413" s="3" t="s">
        <v>4854</v>
      </c>
      <c r="BE413" s="3" t="s">
        <v>4854</v>
      </c>
      <c r="BF413" s="3" t="s">
        <v>4854</v>
      </c>
      <c r="BG413" s="5">
        <v>2</v>
      </c>
      <c r="BH413" s="3" t="s">
        <v>4854</v>
      </c>
      <c r="BI413" s="3" t="s">
        <v>4854</v>
      </c>
      <c r="BJ413" s="3" t="s">
        <v>4854</v>
      </c>
      <c r="BK413" s="99" t="s">
        <v>4854</v>
      </c>
      <c r="BL413" s="99" t="s">
        <v>4854</v>
      </c>
      <c r="BM413" s="99" t="s">
        <v>4854</v>
      </c>
      <c r="BN413" s="99" t="s">
        <v>4854</v>
      </c>
      <c r="BO413" s="90">
        <v>0.96599999999999997</v>
      </c>
      <c r="BP413" s="99" t="s">
        <v>4854</v>
      </c>
      <c r="BQ413" s="99" t="s">
        <v>4854</v>
      </c>
      <c r="BR413" s="99" t="s">
        <v>4854</v>
      </c>
      <c r="BS413" s="5" t="s">
        <v>4857</v>
      </c>
    </row>
    <row r="414" spans="1:71" s="30" customFormat="1" ht="17.100000000000001" customHeight="1">
      <c r="A414" s="10">
        <v>403</v>
      </c>
      <c r="B414" s="10" t="s">
        <v>3403</v>
      </c>
      <c r="C414" s="4" t="s">
        <v>3883</v>
      </c>
      <c r="D414" s="4" t="s">
        <v>3527</v>
      </c>
      <c r="E414" s="7" t="s">
        <v>3528</v>
      </c>
      <c r="F414" s="10" t="s">
        <v>5024</v>
      </c>
      <c r="G414" s="4" t="s">
        <v>3529</v>
      </c>
      <c r="H414" s="7" t="s">
        <v>3530</v>
      </c>
      <c r="I414" s="4" t="s">
        <v>3399</v>
      </c>
      <c r="J414" s="10" t="s">
        <v>4807</v>
      </c>
      <c r="K414" s="4" t="s">
        <v>5562</v>
      </c>
      <c r="L414" s="4" t="s">
        <v>3404</v>
      </c>
      <c r="M414" s="10">
        <v>2</v>
      </c>
      <c r="N414" s="95">
        <v>850.37950000000001</v>
      </c>
      <c r="O414" s="37" t="str">
        <f>HYPERLINK("http://ms.phosphosite.org:5080/cgi-bin/plot-msms.cgi?MassType=1&amp;NumAxis=1&amp;Mod5=170&amp;Pep=ADAGKDANNPAENGDAK&amp;Dta=/var/www/html/dta/S01/10558.1795.2.dta&amp;Global_Mod=CS57.0215", "1795")</f>
        <v>1795</v>
      </c>
      <c r="P414" s="37" t="str">
        <f>HYPERLINK("http://ms.phosphosite.org:5080/cgi-bin/plot-msms.cgi?MassType=1&amp;NumAxis=1&amp;Mod5=170&amp;Pep=ADAGKDANNPAENGDAK&amp;Dta=/var/www/html/dta/S01/10559.1751.2.dta&amp;Global_Mod=CS57.0215", "1751")</f>
        <v>1751</v>
      </c>
      <c r="Q414" s="37" t="str">
        <f>HYPERLINK("http://ms.phosphosite.org:5080/cgi-bin/plot-msms.cgi?MassType=1&amp;NumAxis=1&amp;Mod5=170&amp;Pep=ADAGKDANNPAENGDAK&amp;Dta=/var/www/html/dta/S01/10560.1733.2.dta&amp;Global_Mod=CS57.0215", "1733")</f>
        <v>1733</v>
      </c>
      <c r="R414" s="37" t="str">
        <f>HYPERLINK("http://ms.phosphosite.org:5080/cgi-bin/plot-msms.cgi?MassType=1&amp;NumAxis=1&amp;Mod5=170&amp;Pep=ADAGKDANNPAENGDAK&amp;Dta=/var/www/html/dta/S01/10561.1773.2.dta&amp;Global_Mod=CS57.0215", "1773")</f>
        <v>1773</v>
      </c>
      <c r="S414" s="37" t="str">
        <f>HYPERLINK("http://ms.phosphosite.org:5080/cgi-bin/plot-msms.cgi?MassType=1&amp;NumAxis=1&amp;Mod5=170&amp;Pep=ADAGKDANNPAENGDAK&amp;Dta=/var/www/html/dta/S01/10562.1808.2.dta&amp;Global_Mod=CS57.0215", "1808")</f>
        <v>1808</v>
      </c>
      <c r="T414" s="37" t="str">
        <f>HYPERLINK("http://ms.phosphosite.org:5080/cgi-bin/plot-msms.cgi?MassType=1&amp;NumAxis=1&amp;Mod5=170&amp;Pep=ADAGKDANNPAENGDAK&amp;Dta=/var/www/html/dta/S01/10563.1741.2.dta&amp;Global_Mod=CS57.0215", "1741")</f>
        <v>1741</v>
      </c>
      <c r="U414" s="37" t="str">
        <f>HYPERLINK("http://ms.phosphosite.org:5080/cgi-bin/plot-msms.cgi?MassType=1&amp;NumAxis=1&amp;Mod5=170&amp;Pep=ADAGKDANNPAENGDAK&amp;Dta=/var/www/html/dta/S01/10564.1988.2.dta&amp;Global_Mod=CS57.0215", "1988")</f>
        <v>1988</v>
      </c>
      <c r="V414" s="37" t="str">
        <f>HYPERLINK("http://ms.phosphosite.org:5080/cgi-bin/plot-msms.cgi?MassType=1&amp;NumAxis=1&amp;Mod5=170&amp;Pep=ADAGKDANNPAENGDAK&amp;Dta=/var/www/html/dta/S01/10565.2043.2.dta&amp;Global_Mod=CS57.0215", "2043")</f>
        <v>2043</v>
      </c>
      <c r="W414" s="10">
        <v>1807</v>
      </c>
      <c r="X414" s="10">
        <v>1777</v>
      </c>
      <c r="Y414" s="10">
        <v>1737</v>
      </c>
      <c r="Z414" s="10">
        <v>1797</v>
      </c>
      <c r="AA414" s="10">
        <v>1820</v>
      </c>
      <c r="AB414" s="10">
        <v>1746</v>
      </c>
      <c r="AC414" s="10">
        <v>2001</v>
      </c>
      <c r="AD414" s="10">
        <v>2059</v>
      </c>
      <c r="AE414" s="91">
        <v>4.2119999999999997</v>
      </c>
      <c r="AF414" s="91">
        <v>4.62</v>
      </c>
      <c r="AG414" s="91">
        <v>3.9870000000000001</v>
      </c>
      <c r="AH414" s="91">
        <v>3.621</v>
      </c>
      <c r="AI414" s="91">
        <v>3.76</v>
      </c>
      <c r="AJ414" s="91">
        <v>3.9689999999999999</v>
      </c>
      <c r="AK414" s="91">
        <v>3.778</v>
      </c>
      <c r="AL414" s="91">
        <v>4.7649999999999997</v>
      </c>
      <c r="AM414" s="95">
        <v>1.0286</v>
      </c>
      <c r="AN414" s="95">
        <v>0.68500000000000005</v>
      </c>
      <c r="AO414" s="95">
        <v>1.3515999999999999</v>
      </c>
      <c r="AP414" s="95">
        <v>1.121</v>
      </c>
      <c r="AQ414" s="95">
        <v>1.2244999999999999</v>
      </c>
      <c r="AR414" s="95">
        <v>0.87270000000000003</v>
      </c>
      <c r="AS414" s="95">
        <v>0.75090000000000001</v>
      </c>
      <c r="AT414" s="95">
        <v>-0.68579999999999997</v>
      </c>
      <c r="AU414" s="95">
        <v>0.52800000000000002</v>
      </c>
      <c r="AV414" s="95">
        <v>0.52300000000000002</v>
      </c>
      <c r="AW414" s="95">
        <v>0.56999999999999995</v>
      </c>
      <c r="AX414" s="95">
        <v>0.51100000000000001</v>
      </c>
      <c r="AY414" s="95">
        <v>0.48899999999999999</v>
      </c>
      <c r="AZ414" s="95">
        <v>0.57199999999999995</v>
      </c>
      <c r="BA414" s="95">
        <v>0.501</v>
      </c>
      <c r="BB414" s="95">
        <v>0.53200000000000003</v>
      </c>
      <c r="BC414" s="10">
        <v>1</v>
      </c>
      <c r="BD414" s="10">
        <v>1</v>
      </c>
      <c r="BE414" s="10">
        <v>1</v>
      </c>
      <c r="BF414" s="10">
        <v>1</v>
      </c>
      <c r="BG414" s="10">
        <v>1</v>
      </c>
      <c r="BH414" s="10">
        <v>1</v>
      </c>
      <c r="BI414" s="10">
        <v>1</v>
      </c>
      <c r="BJ414" s="10">
        <v>1</v>
      </c>
      <c r="BK414" s="91">
        <v>1</v>
      </c>
      <c r="BL414" s="91">
        <v>1</v>
      </c>
      <c r="BM414" s="91">
        <v>1</v>
      </c>
      <c r="BN414" s="91">
        <v>1</v>
      </c>
      <c r="BO414" s="91">
        <v>1</v>
      </c>
      <c r="BP414" s="91">
        <v>1</v>
      </c>
      <c r="BQ414" s="91">
        <v>1</v>
      </c>
      <c r="BR414" s="91">
        <v>1</v>
      </c>
      <c r="BS414" s="10" t="s">
        <v>4857</v>
      </c>
    </row>
    <row r="415" spans="1:71" s="30" customFormat="1" ht="17.100000000000001" customHeight="1">
      <c r="A415" s="10">
        <v>404</v>
      </c>
      <c r="B415" s="10" t="s">
        <v>3405</v>
      </c>
      <c r="C415" s="4" t="s">
        <v>3883</v>
      </c>
      <c r="D415" s="4" t="s">
        <v>3527</v>
      </c>
      <c r="E415" s="7" t="s">
        <v>3528</v>
      </c>
      <c r="F415" s="10" t="s">
        <v>5024</v>
      </c>
      <c r="G415" s="4" t="s">
        <v>3529</v>
      </c>
      <c r="H415" s="7" t="s">
        <v>3530</v>
      </c>
      <c r="I415" s="4" t="s">
        <v>3399</v>
      </c>
      <c r="J415" s="10" t="s">
        <v>4807</v>
      </c>
      <c r="K415" s="4" t="s">
        <v>5562</v>
      </c>
      <c r="L415" s="4" t="s">
        <v>3406</v>
      </c>
      <c r="M415" s="10">
        <v>3</v>
      </c>
      <c r="N415" s="95">
        <v>791.03009999999995</v>
      </c>
      <c r="O415" s="37" t="str">
        <f>HYPERLINK("http://ms.phosphosite.org:5080/cgi-bin/plot-msms.cgi?MassType=1&amp;NumAxis=1&amp;Mod5=170&amp;Pep=ADAGKDANNPAENGDAKTDQAQK&amp;Dta=/var/www/html/dta/S01/10558.1726.3.dta&amp;Global_Mod=CS57.0215", "1726")</f>
        <v>1726</v>
      </c>
      <c r="P415" s="38" t="s">
        <v>4854</v>
      </c>
      <c r="Q415" s="37" t="str">
        <f>HYPERLINK("http://ms.phosphosite.org:5080/cgi-bin/plot-msms.cgi?MassType=1&amp;NumAxis=1&amp;Mod5=170&amp;Pep=ADAGKDANNPAENGDAKTDQAQK&amp;Dta=/var/www/html/dta/S01/10560.1665.3.dta&amp;Global_Mod=CS57.0215", "1665")</f>
        <v>1665</v>
      </c>
      <c r="R415" s="38" t="s">
        <v>4854</v>
      </c>
      <c r="S415" s="37" t="str">
        <f>HYPERLINK("http://ms.phosphosite.org:5080/cgi-bin/plot-msms.cgi?MassType=1&amp;NumAxis=1&amp;Mod5=170&amp;Pep=ADAGKDANNPAENGDAKTDQAQK&amp;Dta=/var/www/html/dta/S01/10562.1740.3.dta&amp;Global_Mod=CS57.0215", "1740")</f>
        <v>1740</v>
      </c>
      <c r="T415" s="38" t="s">
        <v>4854</v>
      </c>
      <c r="U415" s="37" t="str">
        <f>HYPERLINK("http://ms.phosphosite.org:5080/cgi-bin/plot-msms.cgi?MassType=1&amp;NumAxis=1&amp;Mod5=170&amp;Pep=ADAGKDANNPAENGDAKTDQAQK&amp;Dta=/var/www/html/dta/S01/10564.1911.3.dta&amp;Global_Mod=CS57.0215", "1911")</f>
        <v>1911</v>
      </c>
      <c r="V415" s="37" t="str">
        <f>HYPERLINK("http://ms.phosphosite.org:5080/cgi-bin/plot-msms.cgi?MassType=1&amp;NumAxis=1&amp;Mod5=170&amp;Pep=ADAGKDANNPAENGDAKTDQAQK&amp;Dta=/var/www/html/dta/S01/10565.1939.3.dta&amp;Global_Mod=CS57.0215", "1939")</f>
        <v>1939</v>
      </c>
      <c r="W415" s="10">
        <v>1719</v>
      </c>
      <c r="X415" s="4" t="s">
        <v>4854</v>
      </c>
      <c r="Y415" s="10">
        <v>1660</v>
      </c>
      <c r="Z415" s="4" t="s">
        <v>4854</v>
      </c>
      <c r="AA415" s="10">
        <v>1732</v>
      </c>
      <c r="AB415" s="4" t="s">
        <v>4854</v>
      </c>
      <c r="AC415" s="10">
        <v>1913</v>
      </c>
      <c r="AD415" s="10">
        <v>1933</v>
      </c>
      <c r="AE415" s="91">
        <v>2.6469999999999998</v>
      </c>
      <c r="AF415" s="100" t="s">
        <v>4854</v>
      </c>
      <c r="AG415" s="91">
        <v>2.9260000000000002</v>
      </c>
      <c r="AH415" s="100" t="s">
        <v>4854</v>
      </c>
      <c r="AI415" s="91">
        <v>3.2050000000000001</v>
      </c>
      <c r="AJ415" s="100" t="s">
        <v>4854</v>
      </c>
      <c r="AK415" s="91">
        <v>3.012</v>
      </c>
      <c r="AL415" s="91">
        <v>2.605</v>
      </c>
      <c r="AM415" s="95">
        <v>0.39939999999999998</v>
      </c>
      <c r="AN415" s="103" t="s">
        <v>4854</v>
      </c>
      <c r="AO415" s="95">
        <v>0.75160000000000005</v>
      </c>
      <c r="AP415" s="103" t="s">
        <v>4854</v>
      </c>
      <c r="AQ415" s="95">
        <v>1.2362</v>
      </c>
      <c r="AR415" s="103" t="s">
        <v>4854</v>
      </c>
      <c r="AS415" s="95">
        <v>1.5639000000000001</v>
      </c>
      <c r="AT415" s="95">
        <v>1.8043</v>
      </c>
      <c r="AU415" s="95">
        <v>0.252</v>
      </c>
      <c r="AV415" s="103" t="s">
        <v>4854</v>
      </c>
      <c r="AW415" s="95">
        <v>0.33400000000000002</v>
      </c>
      <c r="AX415" s="103" t="s">
        <v>4854</v>
      </c>
      <c r="AY415" s="95">
        <v>0.38</v>
      </c>
      <c r="AZ415" s="103" t="s">
        <v>4854</v>
      </c>
      <c r="BA415" s="95">
        <v>0.26</v>
      </c>
      <c r="BB415" s="95">
        <v>0.106</v>
      </c>
      <c r="BC415" s="10">
        <v>1</v>
      </c>
      <c r="BD415" s="4" t="s">
        <v>4854</v>
      </c>
      <c r="BE415" s="10">
        <v>1</v>
      </c>
      <c r="BF415" s="4" t="s">
        <v>4854</v>
      </c>
      <c r="BG415" s="10">
        <v>1</v>
      </c>
      <c r="BH415" s="4" t="s">
        <v>4854</v>
      </c>
      <c r="BI415" s="10">
        <v>1</v>
      </c>
      <c r="BJ415" s="10">
        <v>29</v>
      </c>
      <c r="BK415" s="91">
        <v>0.999</v>
      </c>
      <c r="BL415" s="100" t="s">
        <v>4854</v>
      </c>
      <c r="BM415" s="91">
        <v>1</v>
      </c>
      <c r="BN415" s="100" t="s">
        <v>4854</v>
      </c>
      <c r="BO415" s="91">
        <v>1</v>
      </c>
      <c r="BP415" s="100" t="s">
        <v>4854</v>
      </c>
      <c r="BQ415" s="91">
        <v>0.999</v>
      </c>
      <c r="BR415" s="91">
        <v>0.95899999999999996</v>
      </c>
      <c r="BS415" s="10" t="s">
        <v>4857</v>
      </c>
    </row>
    <row r="416" spans="1:71" s="30" customFormat="1" ht="17.100000000000001" customHeight="1">
      <c r="A416" s="10">
        <v>405</v>
      </c>
      <c r="B416" s="10" t="s">
        <v>3407</v>
      </c>
      <c r="C416" s="4" t="s">
        <v>3883</v>
      </c>
      <c r="D416" s="4" t="s">
        <v>3527</v>
      </c>
      <c r="E416" s="7" t="s">
        <v>3528</v>
      </c>
      <c r="F416" s="10" t="s">
        <v>5024</v>
      </c>
      <c r="G416" s="4" t="s">
        <v>3529</v>
      </c>
      <c r="H416" s="7" t="s">
        <v>3530</v>
      </c>
      <c r="I416" s="4" t="s">
        <v>3399</v>
      </c>
      <c r="J416" s="10" t="s">
        <v>4807</v>
      </c>
      <c r="K416" s="4" t="s">
        <v>5562</v>
      </c>
      <c r="L416" s="4" t="s">
        <v>3408</v>
      </c>
      <c r="M416" s="10">
        <v>4</v>
      </c>
      <c r="N416" s="95">
        <v>768.35410000000002</v>
      </c>
      <c r="O416" s="38" t="s">
        <v>4854</v>
      </c>
      <c r="P416" s="38" t="s">
        <v>4854</v>
      </c>
      <c r="Q416" s="37" t="str">
        <f>HYPERLINK("http://ms.phosphosite.org:5080/cgi-bin/plot-msms.cgi?MassType=1&amp;NumAxis=1&amp;Mod5=170&amp;Pep=ADAGKDANNPAENGDAKTDQAQKAEGAGDAK&amp;Dta=/var/www/html/dta/S01/10560.1985.4.dta&amp;Global_Mod=CS57.0215", "1985")</f>
        <v>1985</v>
      </c>
      <c r="R416" s="37" t="str">
        <f>HYPERLINK("http://ms.phosphosite.org:5080/cgi-bin/plot-msms.cgi?MassType=1&amp;NumAxis=1&amp;Mod5=170&amp;Pep=ADAGKDANNPAENGDAKTDQAQKAEGAGDAK&amp;Dta=/var/www/html/dta/S01/10561.2043.4.dta&amp;Global_Mod=CS57.0215", "2043")</f>
        <v>2043</v>
      </c>
      <c r="S416" s="38" t="s">
        <v>4854</v>
      </c>
      <c r="T416" s="38" t="s">
        <v>4854</v>
      </c>
      <c r="U416" s="38" t="s">
        <v>4854</v>
      </c>
      <c r="V416" s="38" t="s">
        <v>4854</v>
      </c>
      <c r="W416" s="4" t="s">
        <v>4854</v>
      </c>
      <c r="X416" s="4" t="s">
        <v>4854</v>
      </c>
      <c r="Y416" s="4" t="s">
        <v>4854</v>
      </c>
      <c r="Z416" s="10">
        <v>2055</v>
      </c>
      <c r="AA416" s="4" t="s">
        <v>4854</v>
      </c>
      <c r="AB416" s="4" t="s">
        <v>4854</v>
      </c>
      <c r="AC416" s="4" t="s">
        <v>4854</v>
      </c>
      <c r="AD416" s="4" t="s">
        <v>4854</v>
      </c>
      <c r="AE416" s="100" t="s">
        <v>4854</v>
      </c>
      <c r="AF416" s="100" t="s">
        <v>4854</v>
      </c>
      <c r="AG416" s="91">
        <v>2.379</v>
      </c>
      <c r="AH416" s="91">
        <v>2.3370000000000002</v>
      </c>
      <c r="AI416" s="100" t="s">
        <v>4854</v>
      </c>
      <c r="AJ416" s="100" t="s">
        <v>4854</v>
      </c>
      <c r="AK416" s="100" t="s">
        <v>4854</v>
      </c>
      <c r="AL416" s="100" t="s">
        <v>4854</v>
      </c>
      <c r="AM416" s="103" t="s">
        <v>4854</v>
      </c>
      <c r="AN416" s="103" t="s">
        <v>4854</v>
      </c>
      <c r="AO416" s="95">
        <v>1.5588</v>
      </c>
      <c r="AP416" s="95">
        <v>0.26550000000000001</v>
      </c>
      <c r="AQ416" s="103" t="s">
        <v>4854</v>
      </c>
      <c r="AR416" s="103" t="s">
        <v>4854</v>
      </c>
      <c r="AS416" s="103" t="s">
        <v>4854</v>
      </c>
      <c r="AT416" s="103" t="s">
        <v>4854</v>
      </c>
      <c r="AU416" s="103" t="s">
        <v>4854</v>
      </c>
      <c r="AV416" s="103" t="s">
        <v>4854</v>
      </c>
      <c r="AW416" s="95">
        <v>4.0000000000000001E-3</v>
      </c>
      <c r="AX416" s="95">
        <v>0.20799999999999999</v>
      </c>
      <c r="AY416" s="103" t="s">
        <v>4854</v>
      </c>
      <c r="AZ416" s="103" t="s">
        <v>4854</v>
      </c>
      <c r="BA416" s="103" t="s">
        <v>4854</v>
      </c>
      <c r="BB416" s="103" t="s">
        <v>4854</v>
      </c>
      <c r="BC416" s="4" t="s">
        <v>4854</v>
      </c>
      <c r="BD416" s="4" t="s">
        <v>4854</v>
      </c>
      <c r="BE416" s="10">
        <v>93</v>
      </c>
      <c r="BF416" s="10">
        <v>3</v>
      </c>
      <c r="BG416" s="4" t="s">
        <v>4854</v>
      </c>
      <c r="BH416" s="4" t="s">
        <v>4854</v>
      </c>
      <c r="BI416" s="4" t="s">
        <v>4854</v>
      </c>
      <c r="BJ416" s="4" t="s">
        <v>4854</v>
      </c>
      <c r="BK416" s="100" t="s">
        <v>4854</v>
      </c>
      <c r="BL416" s="100" t="s">
        <v>4854</v>
      </c>
      <c r="BM416" s="91">
        <v>0.32100000000000001</v>
      </c>
      <c r="BN416" s="91">
        <v>0.99099999999999999</v>
      </c>
      <c r="BO416" s="100" t="s">
        <v>4854</v>
      </c>
      <c r="BP416" s="100" t="s">
        <v>4854</v>
      </c>
      <c r="BQ416" s="100" t="s">
        <v>4854</v>
      </c>
      <c r="BR416" s="100" t="s">
        <v>4854</v>
      </c>
      <c r="BS416" s="10" t="s">
        <v>4857</v>
      </c>
    </row>
    <row r="417" spans="1:71" s="30" customFormat="1" ht="17.100000000000001" customHeight="1">
      <c r="A417" s="10">
        <v>406</v>
      </c>
      <c r="B417" s="10" t="s">
        <v>3409</v>
      </c>
      <c r="C417" s="4" t="s">
        <v>3883</v>
      </c>
      <c r="D417" s="4" t="s">
        <v>3527</v>
      </c>
      <c r="E417" s="7" t="s">
        <v>3528</v>
      </c>
      <c r="F417" s="10" t="s">
        <v>5024</v>
      </c>
      <c r="G417" s="4" t="s">
        <v>3529</v>
      </c>
      <c r="H417" s="7" t="s">
        <v>3530</v>
      </c>
      <c r="I417" s="4" t="s">
        <v>3399</v>
      </c>
      <c r="J417" s="10" t="s">
        <v>4807</v>
      </c>
      <c r="K417" s="4" t="s">
        <v>5562</v>
      </c>
      <c r="L417" s="4" t="s">
        <v>3410</v>
      </c>
      <c r="M417" s="10">
        <v>3</v>
      </c>
      <c r="N417" s="95">
        <v>628.96090000000004</v>
      </c>
      <c r="O417" s="38" t="s">
        <v>4854</v>
      </c>
      <c r="P417" s="37" t="str">
        <f>HYPERLINK("http://ms.phosphosite.org:5080/cgi-bin/plot-msms.cgi?MassType=1&amp;NumAxis=1&amp;Mod7=170&amp;Pep=GKADAGKDANNPAENGDAK&amp;Dta=/var/www/html/dta/S01/10559.1520.3.dta&amp;Global_Mod=CS57.0215", "1520")</f>
        <v>1520</v>
      </c>
      <c r="Q417" s="37" t="str">
        <f>HYPERLINK("http://ms.phosphosite.org:5080/cgi-bin/plot-msms.cgi?MassType=1&amp;NumAxis=1&amp;Mod7=170&amp;Pep=GKADAGKDANNPAENGDAK&amp;Dta=/var/www/html/dta/S01/10560.1501.3.dta&amp;Global_Mod=CS57.0215", "1501")</f>
        <v>1501</v>
      </c>
      <c r="R417" s="37" t="str">
        <f>HYPERLINK("http://ms.phosphosite.org:5080/cgi-bin/plot-msms.cgi?MassType=1&amp;NumAxis=1&amp;Mod7=170&amp;Pep=GKADAGKDANNPAENGDAK&amp;Dta=/var/www/html/dta/S01/10561.1514.3.dta&amp;Global_Mod=CS57.0215", "1514")</f>
        <v>1514</v>
      </c>
      <c r="S417" s="38" t="s">
        <v>4854</v>
      </c>
      <c r="T417" s="37" t="str">
        <f>HYPERLINK("http://ms.phosphosite.org:5080/cgi-bin/plot-msms.cgi?MassType=1&amp;NumAxis=1&amp;Mod7=170&amp;Pep=GKADAGKDANNPAENGDAK&amp;Dta=/var/www/html/dta/S01/10563.1499.3.dta&amp;Global_Mod=CS57.0215", "1499")</f>
        <v>1499</v>
      </c>
      <c r="U417" s="38" t="s">
        <v>4854</v>
      </c>
      <c r="V417" s="37" t="str">
        <f>HYPERLINK("http://ms.phosphosite.org:5080/cgi-bin/plot-msms.cgi?MassType=1&amp;NumAxis=1&amp;Mod7=170&amp;Pep=GKADAGKDANNPAENGDAK&amp;Dta=/var/www/html/dta/S01/10565.1767.3.dta&amp;Global_Mod=CS57.0215", "1767")</f>
        <v>1767</v>
      </c>
      <c r="W417" s="4" t="s">
        <v>4854</v>
      </c>
      <c r="X417" s="10">
        <v>1524</v>
      </c>
      <c r="Y417" s="10">
        <v>1517</v>
      </c>
      <c r="Z417" s="10">
        <v>1511</v>
      </c>
      <c r="AA417" s="4" t="s">
        <v>4854</v>
      </c>
      <c r="AB417" s="4" t="s">
        <v>4854</v>
      </c>
      <c r="AC417" s="4" t="s">
        <v>4854</v>
      </c>
      <c r="AD417" s="10">
        <v>1775</v>
      </c>
      <c r="AE417" s="100" t="s">
        <v>4854</v>
      </c>
      <c r="AF417" s="91">
        <v>3.028</v>
      </c>
      <c r="AG417" s="91">
        <v>3.8530000000000002</v>
      </c>
      <c r="AH417" s="91">
        <v>4.1959999999999997</v>
      </c>
      <c r="AI417" s="100" t="s">
        <v>4854</v>
      </c>
      <c r="AJ417" s="91">
        <v>3.66</v>
      </c>
      <c r="AK417" s="100" t="s">
        <v>4854</v>
      </c>
      <c r="AL417" s="91">
        <v>2.8809999999999998</v>
      </c>
      <c r="AM417" s="103" t="s">
        <v>4854</v>
      </c>
      <c r="AN417" s="95">
        <v>0.26719999999999999</v>
      </c>
      <c r="AO417" s="95">
        <v>0.51759999999999995</v>
      </c>
      <c r="AP417" s="95">
        <v>0.80089999999999995</v>
      </c>
      <c r="AQ417" s="103" t="s">
        <v>4854</v>
      </c>
      <c r="AR417" s="95">
        <v>0.61099999999999999</v>
      </c>
      <c r="AS417" s="103" t="s">
        <v>4854</v>
      </c>
      <c r="AT417" s="95">
        <v>0.16850000000000001</v>
      </c>
      <c r="AU417" s="103" t="s">
        <v>4854</v>
      </c>
      <c r="AV417" s="95">
        <v>1E-3</v>
      </c>
      <c r="AW417" s="95">
        <v>4.5999999999999999E-2</v>
      </c>
      <c r="AX417" s="95">
        <v>2.8000000000000001E-2</v>
      </c>
      <c r="AY417" s="103" t="s">
        <v>4854</v>
      </c>
      <c r="AZ417" s="95">
        <v>6.4000000000000001E-2</v>
      </c>
      <c r="BA417" s="103" t="s">
        <v>4854</v>
      </c>
      <c r="BB417" s="95">
        <v>1.2E-2</v>
      </c>
      <c r="BC417" s="4" t="s">
        <v>4854</v>
      </c>
      <c r="BD417" s="10">
        <v>5</v>
      </c>
      <c r="BE417" s="10">
        <v>9</v>
      </c>
      <c r="BF417" s="10">
        <v>2</v>
      </c>
      <c r="BG417" s="4" t="s">
        <v>4854</v>
      </c>
      <c r="BH417" s="10">
        <v>2</v>
      </c>
      <c r="BI417" s="4" t="s">
        <v>4854</v>
      </c>
      <c r="BJ417" s="10">
        <v>4</v>
      </c>
      <c r="BK417" s="100" t="s">
        <v>4854</v>
      </c>
      <c r="BL417" s="91">
        <v>0.95399999999999996</v>
      </c>
      <c r="BM417" s="91">
        <v>0.98699999999999999</v>
      </c>
      <c r="BN417" s="91">
        <v>0.99199999999999999</v>
      </c>
      <c r="BO417" s="100" t="s">
        <v>4854</v>
      </c>
      <c r="BP417" s="91">
        <v>0.99199999999999999</v>
      </c>
      <c r="BQ417" s="100" t="s">
        <v>4854</v>
      </c>
      <c r="BR417" s="91">
        <v>0.95599999999999996</v>
      </c>
      <c r="BS417" s="10" t="s">
        <v>4857</v>
      </c>
    </row>
    <row r="418" spans="1:71" s="30" customFormat="1" ht="17.100000000000001" customHeight="1">
      <c r="A418" s="14">
        <v>407</v>
      </c>
      <c r="B418" s="5" t="s">
        <v>3411</v>
      </c>
      <c r="C418" s="3" t="s">
        <v>3883</v>
      </c>
      <c r="D418" s="3" t="s">
        <v>3412</v>
      </c>
      <c r="E418" s="3" t="s">
        <v>3413</v>
      </c>
      <c r="F418" s="5" t="s">
        <v>5311</v>
      </c>
      <c r="G418" s="3" t="s">
        <v>3414</v>
      </c>
      <c r="H418" s="6" t="s">
        <v>3415</v>
      </c>
      <c r="I418" s="3" t="s">
        <v>3416</v>
      </c>
      <c r="J418" s="5" t="s">
        <v>4003</v>
      </c>
      <c r="K418" s="3" t="s">
        <v>5563</v>
      </c>
      <c r="L418" s="3" t="s">
        <v>3417</v>
      </c>
      <c r="M418" s="5">
        <v>2</v>
      </c>
      <c r="N418" s="21">
        <v>490.31299999999999</v>
      </c>
      <c r="O418" s="36" t="str">
        <f>HYPERLINK("http://ms.phosphosite.org:5080/cgi-bin/plot-msms.cgi?MassType=1&amp;NumAxis=1&amp;Mod5=170&amp;Pep=LEPLKPLK&amp;Dta=/var/www/html/dta/S01/10558.6337.2.dta&amp;Global_Mod=CS57.0215", "6337")</f>
        <v>6337</v>
      </c>
      <c r="P418" s="35" t="s">
        <v>4854</v>
      </c>
      <c r="Q418" s="35" t="s">
        <v>4854</v>
      </c>
      <c r="R418" s="35" t="s">
        <v>4854</v>
      </c>
      <c r="S418" s="35" t="s">
        <v>4854</v>
      </c>
      <c r="T418" s="35" t="s">
        <v>4854</v>
      </c>
      <c r="U418" s="35" t="s">
        <v>4854</v>
      </c>
      <c r="V418" s="35" t="s">
        <v>4854</v>
      </c>
      <c r="W418" s="5">
        <v>6325</v>
      </c>
      <c r="X418" s="3" t="s">
        <v>4854</v>
      </c>
      <c r="Y418" s="3" t="s">
        <v>4854</v>
      </c>
      <c r="Z418" s="3" t="s">
        <v>4854</v>
      </c>
      <c r="AA418" s="3" t="s">
        <v>4854</v>
      </c>
      <c r="AB418" s="3" t="s">
        <v>4854</v>
      </c>
      <c r="AC418" s="3" t="s">
        <v>4854</v>
      </c>
      <c r="AD418" s="3" t="s">
        <v>4854</v>
      </c>
      <c r="AE418" s="90">
        <v>1.411</v>
      </c>
      <c r="AF418" s="99" t="s">
        <v>4854</v>
      </c>
      <c r="AG418" s="99" t="s">
        <v>4854</v>
      </c>
      <c r="AH418" s="99" t="s">
        <v>4854</v>
      </c>
      <c r="AI418" s="99" t="s">
        <v>4854</v>
      </c>
      <c r="AJ418" s="99" t="s">
        <v>4854</v>
      </c>
      <c r="AK418" s="99" t="s">
        <v>4854</v>
      </c>
      <c r="AL418" s="99" t="s">
        <v>4854</v>
      </c>
      <c r="AM418" s="21">
        <v>-0.2293</v>
      </c>
      <c r="AN418" s="102" t="s">
        <v>4854</v>
      </c>
      <c r="AO418" s="102" t="s">
        <v>4854</v>
      </c>
      <c r="AP418" s="102" t="s">
        <v>4854</v>
      </c>
      <c r="AQ418" s="102" t="s">
        <v>4854</v>
      </c>
      <c r="AR418" s="102" t="s">
        <v>4854</v>
      </c>
      <c r="AS418" s="102" t="s">
        <v>4854</v>
      </c>
      <c r="AT418" s="102" t="s">
        <v>4854</v>
      </c>
      <c r="AU418" s="21">
        <v>0.2</v>
      </c>
      <c r="AV418" s="102" t="s">
        <v>4854</v>
      </c>
      <c r="AW418" s="102" t="s">
        <v>4854</v>
      </c>
      <c r="AX418" s="102" t="s">
        <v>4854</v>
      </c>
      <c r="AY418" s="102" t="s">
        <v>4854</v>
      </c>
      <c r="AZ418" s="102" t="s">
        <v>4854</v>
      </c>
      <c r="BA418" s="102" t="s">
        <v>4854</v>
      </c>
      <c r="BB418" s="102" t="s">
        <v>4854</v>
      </c>
      <c r="BC418" s="5">
        <v>124</v>
      </c>
      <c r="BD418" s="3" t="s">
        <v>4854</v>
      </c>
      <c r="BE418" s="3" t="s">
        <v>4854</v>
      </c>
      <c r="BF418" s="3" t="s">
        <v>4854</v>
      </c>
      <c r="BG418" s="3" t="s">
        <v>4854</v>
      </c>
      <c r="BH418" s="3" t="s">
        <v>4854</v>
      </c>
      <c r="BI418" s="3" t="s">
        <v>4854</v>
      </c>
      <c r="BJ418" s="3" t="s">
        <v>4854</v>
      </c>
      <c r="BK418" s="90">
        <v>0.97499999999999998</v>
      </c>
      <c r="BL418" s="99" t="s">
        <v>4854</v>
      </c>
      <c r="BM418" s="99" t="s">
        <v>4854</v>
      </c>
      <c r="BN418" s="99" t="s">
        <v>4854</v>
      </c>
      <c r="BO418" s="99" t="s">
        <v>4854</v>
      </c>
      <c r="BP418" s="99" t="s">
        <v>4854</v>
      </c>
      <c r="BQ418" s="99" t="s">
        <v>4854</v>
      </c>
      <c r="BR418" s="99" t="s">
        <v>4854</v>
      </c>
      <c r="BS418" s="5" t="s">
        <v>4857</v>
      </c>
    </row>
    <row r="419" spans="1:71" s="30" customFormat="1" ht="17.100000000000001" customHeight="1">
      <c r="A419" s="10">
        <v>408</v>
      </c>
      <c r="B419" s="10" t="s">
        <v>3418</v>
      </c>
      <c r="C419" s="4" t="s">
        <v>3883</v>
      </c>
      <c r="D419" s="4" t="s">
        <v>3419</v>
      </c>
      <c r="E419" s="4" t="s">
        <v>3420</v>
      </c>
      <c r="F419" s="10" t="s">
        <v>5053</v>
      </c>
      <c r="G419" s="4" t="s">
        <v>3421</v>
      </c>
      <c r="H419" s="7" t="s">
        <v>3422</v>
      </c>
      <c r="I419" s="4" t="s">
        <v>3423</v>
      </c>
      <c r="J419" s="10" t="s">
        <v>4693</v>
      </c>
      <c r="K419" s="4" t="s">
        <v>5564</v>
      </c>
      <c r="L419" s="4" t="s">
        <v>3424</v>
      </c>
      <c r="M419" s="10">
        <v>3</v>
      </c>
      <c r="N419" s="95">
        <v>574.58150000000001</v>
      </c>
      <c r="O419" s="37" t="str">
        <f>HYPERLINK("http://ms.phosphosite.org:5080/cgi-bin/plot-msms.cgi?MassType=1&amp;NumAxis=1&amp;Mod6=160&amp;Mod7=170&amp;Mod12=147&amp;Pep=FGHTFCKYSEEMK&amp;Dta=/var/www/html/dta/S01/10558.4381.3.dta&amp;Global_Mod=CS57.0215", "4381")</f>
        <v>4381</v>
      </c>
      <c r="P419" s="38" t="s">
        <v>4854</v>
      </c>
      <c r="Q419" s="38" t="s">
        <v>4854</v>
      </c>
      <c r="R419" s="37" t="str">
        <f>HYPERLINK("http://ms.phosphosite.org:5080/cgi-bin/plot-msms.cgi?MassType=1&amp;NumAxis=1&amp;Mod6=160&amp;Mod7=170&amp;Mod12=147&amp;Pep=FGHTFCKYSEEMK&amp;Dta=/var/www/html/dta/S01/10561.4288.3.dta&amp;Global_Mod=CS57.0215", "4288")</f>
        <v>4288</v>
      </c>
      <c r="S419" s="37" t="str">
        <f>HYPERLINK("http://ms.phosphosite.org:5080/cgi-bin/plot-msms.cgi?MassType=1&amp;NumAxis=1&amp;Mod6=160&amp;Mod7=170&amp;Mod12=147&amp;Pep=FGHTFCKYSEEMK&amp;Dta=/var/www/html/dta/S01/10562.4439.3.dta&amp;Global_Mod=CS57.0215", "4439")</f>
        <v>4439</v>
      </c>
      <c r="T419" s="37" t="str">
        <f>HYPERLINK("http://ms.phosphosite.org:5080/cgi-bin/plot-msms.cgi?MassType=1&amp;NumAxis=1&amp;Mod6=160&amp;Mod7=170&amp;Mod12=147&amp;Pep=FGHTFCKYSEEMK&amp;Dta=/var/www/html/dta/S01/10563.4352.3.dta&amp;Global_Mod=CS57.0215", "4352")</f>
        <v>4352</v>
      </c>
      <c r="U419" s="38" t="s">
        <v>4854</v>
      </c>
      <c r="V419" s="37" t="str">
        <f>HYPERLINK("http://ms.phosphosite.org:5080/cgi-bin/plot-msms.cgi?MassType=1&amp;NumAxis=1&amp;Mod6=160&amp;Mod7=170&amp;Mod12=147&amp;Pep=FGHTFCKYSEEMK&amp;Dta=/var/www/html/dta/S01/10565.4788.3.dta&amp;Global_Mod=CS57.0215", "4788")</f>
        <v>4788</v>
      </c>
      <c r="W419" s="10">
        <v>4366</v>
      </c>
      <c r="X419" s="4" t="s">
        <v>4854</v>
      </c>
      <c r="Y419" s="4" t="s">
        <v>4854</v>
      </c>
      <c r="Z419" s="10">
        <v>4281</v>
      </c>
      <c r="AA419" s="10">
        <v>4421</v>
      </c>
      <c r="AB419" s="10">
        <v>4332</v>
      </c>
      <c r="AC419" s="4" t="s">
        <v>4854</v>
      </c>
      <c r="AD419" s="10">
        <v>4781</v>
      </c>
      <c r="AE419" s="91">
        <v>3.512</v>
      </c>
      <c r="AF419" s="100" t="s">
        <v>4854</v>
      </c>
      <c r="AG419" s="100" t="s">
        <v>4854</v>
      </c>
      <c r="AH419" s="91">
        <v>3.7410000000000001</v>
      </c>
      <c r="AI419" s="91">
        <v>2.6349999999999998</v>
      </c>
      <c r="AJ419" s="91">
        <v>2.653</v>
      </c>
      <c r="AK419" s="100" t="s">
        <v>4854</v>
      </c>
      <c r="AL419" s="91">
        <v>3.173</v>
      </c>
      <c r="AM419" s="95">
        <v>0.51849999999999996</v>
      </c>
      <c r="AN419" s="103" t="s">
        <v>4854</v>
      </c>
      <c r="AO419" s="103" t="s">
        <v>4854</v>
      </c>
      <c r="AP419" s="95">
        <v>0.53590000000000004</v>
      </c>
      <c r="AQ419" s="95">
        <v>0.41389999999999999</v>
      </c>
      <c r="AR419" s="95">
        <v>0.29720000000000002</v>
      </c>
      <c r="AS419" s="103" t="s">
        <v>4854</v>
      </c>
      <c r="AT419" s="95">
        <v>0.26519999999999999</v>
      </c>
      <c r="AU419" s="95">
        <v>0.42</v>
      </c>
      <c r="AV419" s="103" t="s">
        <v>4854</v>
      </c>
      <c r="AW419" s="103" t="s">
        <v>4854</v>
      </c>
      <c r="AX419" s="95">
        <v>0.13900000000000001</v>
      </c>
      <c r="AY419" s="95">
        <v>0.23699999999999999</v>
      </c>
      <c r="AZ419" s="95">
        <v>0.109</v>
      </c>
      <c r="BA419" s="103" t="s">
        <v>4854</v>
      </c>
      <c r="BB419" s="95">
        <v>0.33900000000000002</v>
      </c>
      <c r="BC419" s="10">
        <v>1</v>
      </c>
      <c r="BD419" s="4" t="s">
        <v>4854</v>
      </c>
      <c r="BE419" s="4" t="s">
        <v>4854</v>
      </c>
      <c r="BF419" s="10">
        <v>1</v>
      </c>
      <c r="BG419" s="10">
        <v>25</v>
      </c>
      <c r="BH419" s="10">
        <v>3</v>
      </c>
      <c r="BI419" s="4" t="s">
        <v>4854</v>
      </c>
      <c r="BJ419" s="10">
        <v>1</v>
      </c>
      <c r="BK419" s="91">
        <v>1</v>
      </c>
      <c r="BL419" s="100" t="s">
        <v>4854</v>
      </c>
      <c r="BM419" s="100" t="s">
        <v>4854</v>
      </c>
      <c r="BN419" s="91">
        <v>0.999</v>
      </c>
      <c r="BO419" s="91">
        <v>0.997</v>
      </c>
      <c r="BP419" s="91">
        <v>0.99099999999999999</v>
      </c>
      <c r="BQ419" s="100" t="s">
        <v>4854</v>
      </c>
      <c r="BR419" s="91">
        <v>1</v>
      </c>
      <c r="BS419" s="10" t="s">
        <v>4857</v>
      </c>
    </row>
    <row r="420" spans="1:71" s="30" customFormat="1" ht="17.100000000000001" customHeight="1">
      <c r="A420" s="10">
        <v>409</v>
      </c>
      <c r="B420" s="10" t="s">
        <v>3425</v>
      </c>
      <c r="C420" s="4" t="s">
        <v>3883</v>
      </c>
      <c r="D420" s="4" t="s">
        <v>3419</v>
      </c>
      <c r="E420" s="4" t="s">
        <v>3420</v>
      </c>
      <c r="F420" s="10" t="s">
        <v>5053</v>
      </c>
      <c r="G420" s="4" t="s">
        <v>3421</v>
      </c>
      <c r="H420" s="7" t="s">
        <v>3422</v>
      </c>
      <c r="I420" s="4" t="s">
        <v>3423</v>
      </c>
      <c r="J420" s="10" t="s">
        <v>4693</v>
      </c>
      <c r="K420" s="4" t="s">
        <v>5564</v>
      </c>
      <c r="L420" s="4" t="s">
        <v>3426</v>
      </c>
      <c r="M420" s="10">
        <v>4</v>
      </c>
      <c r="N420" s="95">
        <v>459.21289999999999</v>
      </c>
      <c r="O420" s="38" t="s">
        <v>4854</v>
      </c>
      <c r="P420" s="38" t="s">
        <v>4854</v>
      </c>
      <c r="Q420" s="38" t="s">
        <v>4854</v>
      </c>
      <c r="R420" s="38" t="s">
        <v>4854</v>
      </c>
      <c r="S420" s="38" t="s">
        <v>4854</v>
      </c>
      <c r="T420" s="38" t="s">
        <v>4854</v>
      </c>
      <c r="U420" s="37" t="str">
        <f>HYPERLINK("http://ms.phosphosite.org:5080/cgi-bin/plot-msms.cgi?MassType=1&amp;NumAxis=1&amp;Mod6=160&amp;Mod7=170&amp;Pep=FGHTFCKYSEEMKK&amp;Dta=/var/www/html/dta/S01/10564.4833.4.dta&amp;Global_Mod=CS57.0215", "4833")</f>
        <v>4833</v>
      </c>
      <c r="V420" s="38" t="s">
        <v>4854</v>
      </c>
      <c r="W420" s="4" t="s">
        <v>4854</v>
      </c>
      <c r="X420" s="4" t="s">
        <v>4854</v>
      </c>
      <c r="Y420" s="4" t="s">
        <v>4854</v>
      </c>
      <c r="Z420" s="4" t="s">
        <v>4854</v>
      </c>
      <c r="AA420" s="4" t="s">
        <v>4854</v>
      </c>
      <c r="AB420" s="4" t="s">
        <v>4854</v>
      </c>
      <c r="AC420" s="10">
        <v>4857</v>
      </c>
      <c r="AD420" s="4" t="s">
        <v>4854</v>
      </c>
      <c r="AE420" s="100" t="s">
        <v>4854</v>
      </c>
      <c r="AF420" s="100" t="s">
        <v>4854</v>
      </c>
      <c r="AG420" s="100" t="s">
        <v>4854</v>
      </c>
      <c r="AH420" s="100" t="s">
        <v>4854</v>
      </c>
      <c r="AI420" s="100" t="s">
        <v>4854</v>
      </c>
      <c r="AJ420" s="100" t="s">
        <v>4854</v>
      </c>
      <c r="AK420" s="91">
        <v>3.1190000000000002</v>
      </c>
      <c r="AL420" s="100" t="s">
        <v>4854</v>
      </c>
      <c r="AM420" s="103" t="s">
        <v>4854</v>
      </c>
      <c r="AN420" s="103" t="s">
        <v>4854</v>
      </c>
      <c r="AO420" s="103" t="s">
        <v>4854</v>
      </c>
      <c r="AP420" s="103" t="s">
        <v>4854</v>
      </c>
      <c r="AQ420" s="103" t="s">
        <v>4854</v>
      </c>
      <c r="AR420" s="103" t="s">
        <v>4854</v>
      </c>
      <c r="AS420" s="95">
        <v>0.16589999999999999</v>
      </c>
      <c r="AT420" s="103" t="s">
        <v>4854</v>
      </c>
      <c r="AU420" s="103" t="s">
        <v>4854</v>
      </c>
      <c r="AV420" s="103" t="s">
        <v>4854</v>
      </c>
      <c r="AW420" s="103" t="s">
        <v>4854</v>
      </c>
      <c r="AX420" s="103" t="s">
        <v>4854</v>
      </c>
      <c r="AY420" s="103" t="s">
        <v>4854</v>
      </c>
      <c r="AZ420" s="103" t="s">
        <v>4854</v>
      </c>
      <c r="BA420" s="95">
        <v>0.16800000000000001</v>
      </c>
      <c r="BB420" s="103" t="s">
        <v>4854</v>
      </c>
      <c r="BC420" s="4" t="s">
        <v>4854</v>
      </c>
      <c r="BD420" s="4" t="s">
        <v>4854</v>
      </c>
      <c r="BE420" s="4" t="s">
        <v>4854</v>
      </c>
      <c r="BF420" s="4" t="s">
        <v>4854</v>
      </c>
      <c r="BG420" s="4" t="s">
        <v>4854</v>
      </c>
      <c r="BH420" s="4" t="s">
        <v>4854</v>
      </c>
      <c r="BI420" s="10">
        <v>1</v>
      </c>
      <c r="BJ420" s="4" t="s">
        <v>4854</v>
      </c>
      <c r="BK420" s="100" t="s">
        <v>4854</v>
      </c>
      <c r="BL420" s="100" t="s">
        <v>4854</v>
      </c>
      <c r="BM420" s="100" t="s">
        <v>4854</v>
      </c>
      <c r="BN420" s="100" t="s">
        <v>4854</v>
      </c>
      <c r="BO420" s="100" t="s">
        <v>4854</v>
      </c>
      <c r="BP420" s="100" t="s">
        <v>4854</v>
      </c>
      <c r="BQ420" s="91">
        <v>0.999</v>
      </c>
      <c r="BR420" s="100" t="s">
        <v>4854</v>
      </c>
      <c r="BS420" s="10" t="s">
        <v>4857</v>
      </c>
    </row>
    <row r="421" spans="1:71" s="30" customFormat="1" ht="17.100000000000001" customHeight="1">
      <c r="A421" s="14">
        <v>410</v>
      </c>
      <c r="B421" s="5" t="s">
        <v>3427</v>
      </c>
      <c r="C421" s="3" t="s">
        <v>3883</v>
      </c>
      <c r="D421" s="3" t="s">
        <v>3428</v>
      </c>
      <c r="E421" s="3" t="s">
        <v>3429</v>
      </c>
      <c r="F421" s="5" t="s">
        <v>3430</v>
      </c>
      <c r="G421" s="3" t="s">
        <v>3431</v>
      </c>
      <c r="H421" s="6" t="s">
        <v>3432</v>
      </c>
      <c r="I421" s="3" t="s">
        <v>3433</v>
      </c>
      <c r="J421" s="5" t="s">
        <v>3434</v>
      </c>
      <c r="K421" s="3" t="s">
        <v>5565</v>
      </c>
      <c r="L421" s="3" t="s">
        <v>3435</v>
      </c>
      <c r="M421" s="5">
        <v>3</v>
      </c>
      <c r="N421" s="21">
        <v>426.58109999999999</v>
      </c>
      <c r="O421" s="35" t="s">
        <v>4854</v>
      </c>
      <c r="P421" s="35" t="s">
        <v>4854</v>
      </c>
      <c r="Q421" s="36" t="str">
        <f>HYPERLINK("http://ms.phosphosite.org:5080/cgi-bin/plot-msms.cgi?MassType=1&amp;NumAxis=1&amp;Mod9=170&amp;Pep=NFVVVMVTKAK&amp;Dta=/var/www/html/dta/S01/10560.4904.3.dta&amp;Global_Mod=CS57.0215", "4904")</f>
        <v>4904</v>
      </c>
      <c r="R421" s="35" t="s">
        <v>4854</v>
      </c>
      <c r="S421" s="36" t="str">
        <f>HYPERLINK("http://ms.phosphosite.org:5080/cgi-bin/plot-msms.cgi?MassType=1&amp;NumAxis=1&amp;Mod9=170&amp;Pep=NFVVVMVTKAK&amp;Dta=/var/www/html/dta/S01/10562.5044.3.dta&amp;Global_Mod=CS57.0215", "5044")</f>
        <v>5044</v>
      </c>
      <c r="T421" s="35" t="s">
        <v>4854</v>
      </c>
      <c r="U421" s="35" t="s">
        <v>4854</v>
      </c>
      <c r="V421" s="35" t="s">
        <v>4854</v>
      </c>
      <c r="W421" s="3" t="s">
        <v>4854</v>
      </c>
      <c r="X421" s="3" t="s">
        <v>4854</v>
      </c>
      <c r="Y421" s="5">
        <v>4947</v>
      </c>
      <c r="Z421" s="3" t="s">
        <v>4854</v>
      </c>
      <c r="AA421" s="3" t="s">
        <v>4854</v>
      </c>
      <c r="AB421" s="3" t="s">
        <v>4854</v>
      </c>
      <c r="AC421" s="3" t="s">
        <v>4854</v>
      </c>
      <c r="AD421" s="3" t="s">
        <v>4854</v>
      </c>
      <c r="AE421" s="99" t="s">
        <v>4854</v>
      </c>
      <c r="AF421" s="99" t="s">
        <v>4854</v>
      </c>
      <c r="AG421" s="90">
        <v>1.9359999999999999</v>
      </c>
      <c r="AH421" s="99" t="s">
        <v>4854</v>
      </c>
      <c r="AI421" s="90">
        <v>1.639</v>
      </c>
      <c r="AJ421" s="99" t="s">
        <v>4854</v>
      </c>
      <c r="AK421" s="99" t="s">
        <v>4854</v>
      </c>
      <c r="AL421" s="99" t="s">
        <v>4854</v>
      </c>
      <c r="AM421" s="102" t="s">
        <v>4854</v>
      </c>
      <c r="AN421" s="102" t="s">
        <v>4854</v>
      </c>
      <c r="AO421" s="21">
        <v>0.13950000000000001</v>
      </c>
      <c r="AP421" s="102" t="s">
        <v>4854</v>
      </c>
      <c r="AQ421" s="21">
        <v>0.13789999999999999</v>
      </c>
      <c r="AR421" s="102" t="s">
        <v>4854</v>
      </c>
      <c r="AS421" s="102" t="s">
        <v>4854</v>
      </c>
      <c r="AT421" s="102" t="s">
        <v>4854</v>
      </c>
      <c r="AU421" s="102" t="s">
        <v>4854</v>
      </c>
      <c r="AV421" s="102" t="s">
        <v>4854</v>
      </c>
      <c r="AW421" s="21">
        <v>0.26600000000000001</v>
      </c>
      <c r="AX421" s="102" t="s">
        <v>4854</v>
      </c>
      <c r="AY421" s="21">
        <v>3.5000000000000003E-2</v>
      </c>
      <c r="AZ421" s="102" t="s">
        <v>4854</v>
      </c>
      <c r="BA421" s="102" t="s">
        <v>4854</v>
      </c>
      <c r="BB421" s="102" t="s">
        <v>4854</v>
      </c>
      <c r="BC421" s="3" t="s">
        <v>4854</v>
      </c>
      <c r="BD421" s="3" t="s">
        <v>4854</v>
      </c>
      <c r="BE421" s="5">
        <v>39</v>
      </c>
      <c r="BF421" s="3" t="s">
        <v>4854</v>
      </c>
      <c r="BG421" s="5">
        <v>36</v>
      </c>
      <c r="BH421" s="3" t="s">
        <v>4854</v>
      </c>
      <c r="BI421" s="3" t="s">
        <v>4854</v>
      </c>
      <c r="BJ421" s="3" t="s">
        <v>4854</v>
      </c>
      <c r="BK421" s="99" t="s">
        <v>4854</v>
      </c>
      <c r="BL421" s="99" t="s">
        <v>4854</v>
      </c>
      <c r="BM421" s="90">
        <v>0.99399999999999999</v>
      </c>
      <c r="BN421" s="99" t="s">
        <v>4854</v>
      </c>
      <c r="BO421" s="90">
        <v>0.79800000000000004</v>
      </c>
      <c r="BP421" s="99" t="s">
        <v>4854</v>
      </c>
      <c r="BQ421" s="99" t="s">
        <v>4854</v>
      </c>
      <c r="BR421" s="99" t="s">
        <v>4854</v>
      </c>
      <c r="BS421" s="5" t="s">
        <v>4857</v>
      </c>
    </row>
    <row r="422" spans="1:71" s="30" customFormat="1" ht="17.100000000000001" customHeight="1">
      <c r="A422" s="10">
        <v>411</v>
      </c>
      <c r="B422" s="10" t="s">
        <v>3436</v>
      </c>
      <c r="C422" s="4" t="s">
        <v>3883</v>
      </c>
      <c r="D422" s="4" t="s">
        <v>3428</v>
      </c>
      <c r="E422" s="4" t="s">
        <v>3429</v>
      </c>
      <c r="F422" s="10" t="s">
        <v>3437</v>
      </c>
      <c r="G422" s="4" t="s">
        <v>3431</v>
      </c>
      <c r="H422" s="7" t="s">
        <v>3432</v>
      </c>
      <c r="I422" s="4" t="s">
        <v>3433</v>
      </c>
      <c r="J422" s="10" t="s">
        <v>3434</v>
      </c>
      <c r="K422" s="4" t="s">
        <v>5566</v>
      </c>
      <c r="L422" s="4" t="s">
        <v>3438</v>
      </c>
      <c r="M422" s="10">
        <v>3</v>
      </c>
      <c r="N422" s="95">
        <v>426.58109999999999</v>
      </c>
      <c r="O422" s="37" t="str">
        <f>HYPERLINK("http://ms.phosphosite.org:5080/cgi-bin/plot-msms.cgi?MassType=1&amp;NumAxis=1&amp;Mod11=170&amp;Pep=NFVVVMVTKAK&amp;Dta=/var/www/html/dta/S01/10558.5011.3.dta&amp;Global_Mod=CS57.0215", "5011")</f>
        <v>5011</v>
      </c>
      <c r="P422" s="38" t="s">
        <v>4854</v>
      </c>
      <c r="Q422" s="38" t="s">
        <v>4854</v>
      </c>
      <c r="R422" s="38" t="s">
        <v>4854</v>
      </c>
      <c r="S422" s="38" t="s">
        <v>4854</v>
      </c>
      <c r="T422" s="38" t="s">
        <v>4854</v>
      </c>
      <c r="U422" s="37" t="str">
        <f>HYPERLINK("http://ms.phosphosite.org:5080/cgi-bin/plot-msms.cgi?MassType=1&amp;NumAxis=1&amp;Mod11=170&amp;Pep=NFVVVMVTKAK&amp;Dta=/var/www/html/dta/S01/10564.5309.3.dta&amp;Global_Mod=CS57.0215", "5309")</f>
        <v>5309</v>
      </c>
      <c r="V422" s="38" t="s">
        <v>4854</v>
      </c>
      <c r="W422" s="4" t="s">
        <v>4854</v>
      </c>
      <c r="X422" s="4" t="s">
        <v>4854</v>
      </c>
      <c r="Y422" s="4" t="s">
        <v>4854</v>
      </c>
      <c r="Z422" s="4" t="s">
        <v>4854</v>
      </c>
      <c r="AA422" s="4" t="s">
        <v>4854</v>
      </c>
      <c r="AB422" s="4" t="s">
        <v>4854</v>
      </c>
      <c r="AC422" s="10">
        <v>5319</v>
      </c>
      <c r="AD422" s="4" t="s">
        <v>4854</v>
      </c>
      <c r="AE422" s="91">
        <v>1.694</v>
      </c>
      <c r="AF422" s="100" t="s">
        <v>4854</v>
      </c>
      <c r="AG422" s="100" t="s">
        <v>4854</v>
      </c>
      <c r="AH422" s="100" t="s">
        <v>4854</v>
      </c>
      <c r="AI422" s="100" t="s">
        <v>4854</v>
      </c>
      <c r="AJ422" s="100" t="s">
        <v>4854</v>
      </c>
      <c r="AK422" s="91">
        <v>2</v>
      </c>
      <c r="AL422" s="100" t="s">
        <v>4854</v>
      </c>
      <c r="AM422" s="95">
        <v>0.2999</v>
      </c>
      <c r="AN422" s="103" t="s">
        <v>4854</v>
      </c>
      <c r="AO422" s="103" t="s">
        <v>4854</v>
      </c>
      <c r="AP422" s="103" t="s">
        <v>4854</v>
      </c>
      <c r="AQ422" s="103" t="s">
        <v>4854</v>
      </c>
      <c r="AR422" s="103" t="s">
        <v>4854</v>
      </c>
      <c r="AS422" s="95">
        <v>1.35E-2</v>
      </c>
      <c r="AT422" s="103" t="s">
        <v>4854</v>
      </c>
      <c r="AU422" s="95">
        <v>1.4999999999999999E-2</v>
      </c>
      <c r="AV422" s="103" t="s">
        <v>4854</v>
      </c>
      <c r="AW422" s="103" t="s">
        <v>4854</v>
      </c>
      <c r="AX422" s="103" t="s">
        <v>4854</v>
      </c>
      <c r="AY422" s="103" t="s">
        <v>4854</v>
      </c>
      <c r="AZ422" s="103" t="s">
        <v>4854</v>
      </c>
      <c r="BA422" s="95">
        <v>8.5000000000000006E-2</v>
      </c>
      <c r="BB422" s="103" t="s">
        <v>4854</v>
      </c>
      <c r="BC422" s="10">
        <v>6</v>
      </c>
      <c r="BD422" s="4" t="s">
        <v>4854</v>
      </c>
      <c r="BE422" s="4" t="s">
        <v>4854</v>
      </c>
      <c r="BF422" s="4" t="s">
        <v>4854</v>
      </c>
      <c r="BG422" s="4" t="s">
        <v>4854</v>
      </c>
      <c r="BH422" s="4" t="s">
        <v>4854</v>
      </c>
      <c r="BI422" s="10">
        <v>5</v>
      </c>
      <c r="BJ422" s="4" t="s">
        <v>4854</v>
      </c>
      <c r="BK422" s="91">
        <v>0.83599999999999997</v>
      </c>
      <c r="BL422" s="100" t="s">
        <v>4854</v>
      </c>
      <c r="BM422" s="100" t="s">
        <v>4854</v>
      </c>
      <c r="BN422" s="100" t="s">
        <v>4854</v>
      </c>
      <c r="BO422" s="100" t="s">
        <v>4854</v>
      </c>
      <c r="BP422" s="100" t="s">
        <v>4854</v>
      </c>
      <c r="BQ422" s="91">
        <v>0.96099999999999997</v>
      </c>
      <c r="BR422" s="100" t="s">
        <v>4854</v>
      </c>
      <c r="BS422" s="10" t="s">
        <v>4857</v>
      </c>
    </row>
    <row r="423" spans="1:71" s="30" customFormat="1" ht="17.100000000000001" customHeight="1">
      <c r="A423" s="14">
        <v>412</v>
      </c>
      <c r="B423" s="5" t="s">
        <v>3439</v>
      </c>
      <c r="C423" s="3" t="s">
        <v>3883</v>
      </c>
      <c r="D423" s="3" t="s">
        <v>3440</v>
      </c>
      <c r="E423" s="3" t="s">
        <v>3441</v>
      </c>
      <c r="F423" s="5" t="s">
        <v>4780</v>
      </c>
      <c r="G423" s="3" t="s">
        <v>3442</v>
      </c>
      <c r="H423" s="6" t="s">
        <v>3443</v>
      </c>
      <c r="I423" s="3" t="s">
        <v>3444</v>
      </c>
      <c r="J423" s="5" t="s">
        <v>4685</v>
      </c>
      <c r="K423" s="3" t="s">
        <v>5567</v>
      </c>
      <c r="L423" s="3" t="s">
        <v>3445</v>
      </c>
      <c r="M423" s="5">
        <v>3</v>
      </c>
      <c r="N423" s="21">
        <v>488.28410000000002</v>
      </c>
      <c r="O423" s="35" t="s">
        <v>4854</v>
      </c>
      <c r="P423" s="35" t="s">
        <v>4854</v>
      </c>
      <c r="Q423" s="35" t="s">
        <v>4854</v>
      </c>
      <c r="R423" s="35" t="s">
        <v>4854</v>
      </c>
      <c r="S423" s="35" t="s">
        <v>4854</v>
      </c>
      <c r="T423" s="36" t="str">
        <f>HYPERLINK("http://ms.phosphosite.org:5080/cgi-bin/plot-msms.cgi?MassType=1&amp;NumAxis=1&amp;Mod9=170&amp;Pep=KPRPAAAPKLEDK&amp;Dta=/var/www/html/dta/S01/10563.1709.3.dta&amp;Global_Mod=CS57.0215", "1709")</f>
        <v>1709</v>
      </c>
      <c r="U423" s="36" t="str">
        <f>HYPERLINK("http://ms.phosphosite.org:5080/cgi-bin/plot-msms.cgi?MassType=1&amp;NumAxis=1&amp;Mod9=170&amp;Pep=KPRPAAAPKLEDK&amp;Dta=/var/www/html/dta/S01/10564.1955.3.dta&amp;Global_Mod=CS57.0215", "1955")</f>
        <v>1955</v>
      </c>
      <c r="V423" s="35" t="s">
        <v>4854</v>
      </c>
      <c r="W423" s="3" t="s">
        <v>4854</v>
      </c>
      <c r="X423" s="3" t="s">
        <v>4854</v>
      </c>
      <c r="Y423" s="3" t="s">
        <v>4854</v>
      </c>
      <c r="Z423" s="3" t="s">
        <v>4854</v>
      </c>
      <c r="AA423" s="3" t="s">
        <v>4854</v>
      </c>
      <c r="AB423" s="5">
        <v>1713</v>
      </c>
      <c r="AC423" s="5">
        <v>1957</v>
      </c>
      <c r="AD423" s="3" t="s">
        <v>4854</v>
      </c>
      <c r="AE423" s="99" t="s">
        <v>4854</v>
      </c>
      <c r="AF423" s="99" t="s">
        <v>4854</v>
      </c>
      <c r="AG423" s="99" t="s">
        <v>4854</v>
      </c>
      <c r="AH423" s="99" t="s">
        <v>4854</v>
      </c>
      <c r="AI423" s="99" t="s">
        <v>4854</v>
      </c>
      <c r="AJ423" s="90">
        <v>2.3340000000000001</v>
      </c>
      <c r="AK423" s="90">
        <v>2.819</v>
      </c>
      <c r="AL423" s="99" t="s">
        <v>4854</v>
      </c>
      <c r="AM423" s="102" t="s">
        <v>4854</v>
      </c>
      <c r="AN423" s="102" t="s">
        <v>4854</v>
      </c>
      <c r="AO423" s="102" t="s">
        <v>4854</v>
      </c>
      <c r="AP423" s="102" t="s">
        <v>4854</v>
      </c>
      <c r="AQ423" s="102" t="s">
        <v>4854</v>
      </c>
      <c r="AR423" s="21">
        <v>0.61939999999999995</v>
      </c>
      <c r="AS423" s="21">
        <v>0.36780000000000002</v>
      </c>
      <c r="AT423" s="102" t="s">
        <v>4854</v>
      </c>
      <c r="AU423" s="102" t="s">
        <v>4854</v>
      </c>
      <c r="AV423" s="102" t="s">
        <v>4854</v>
      </c>
      <c r="AW423" s="102" t="s">
        <v>4854</v>
      </c>
      <c r="AX423" s="102" t="s">
        <v>4854</v>
      </c>
      <c r="AY423" s="102" t="s">
        <v>4854</v>
      </c>
      <c r="AZ423" s="21">
        <v>0.22800000000000001</v>
      </c>
      <c r="BA423" s="21">
        <v>0.23200000000000001</v>
      </c>
      <c r="BB423" s="102" t="s">
        <v>4854</v>
      </c>
      <c r="BC423" s="3" t="s">
        <v>4854</v>
      </c>
      <c r="BD423" s="3" t="s">
        <v>4854</v>
      </c>
      <c r="BE423" s="3" t="s">
        <v>4854</v>
      </c>
      <c r="BF423" s="3" t="s">
        <v>4854</v>
      </c>
      <c r="BG423" s="3" t="s">
        <v>4854</v>
      </c>
      <c r="BH423" s="5">
        <v>5</v>
      </c>
      <c r="BI423" s="5">
        <v>2</v>
      </c>
      <c r="BJ423" s="3" t="s">
        <v>4854</v>
      </c>
      <c r="BK423" s="99" t="s">
        <v>4854</v>
      </c>
      <c r="BL423" s="99" t="s">
        <v>4854</v>
      </c>
      <c r="BM423" s="99" t="s">
        <v>4854</v>
      </c>
      <c r="BN423" s="99" t="s">
        <v>4854</v>
      </c>
      <c r="BO423" s="99" t="s">
        <v>4854</v>
      </c>
      <c r="BP423" s="90">
        <v>0.997</v>
      </c>
      <c r="BQ423" s="90">
        <v>0.999</v>
      </c>
      <c r="BR423" s="99" t="s">
        <v>4854</v>
      </c>
      <c r="BS423" s="5" t="s">
        <v>4857</v>
      </c>
    </row>
    <row r="424" spans="1:71" s="30" customFormat="1" ht="17.100000000000001" customHeight="1">
      <c r="A424" s="10">
        <v>413</v>
      </c>
      <c r="B424" s="10" t="s">
        <v>3446</v>
      </c>
      <c r="C424" s="4" t="s">
        <v>3883</v>
      </c>
      <c r="D424" s="4" t="s">
        <v>3447</v>
      </c>
      <c r="E424" s="4" t="s">
        <v>3448</v>
      </c>
      <c r="F424" s="10" t="s">
        <v>5306</v>
      </c>
      <c r="G424" s="4" t="s">
        <v>3442</v>
      </c>
      <c r="H424" s="7" t="s">
        <v>3449</v>
      </c>
      <c r="I424" s="4" t="s">
        <v>3444</v>
      </c>
      <c r="J424" s="10" t="s">
        <v>3450</v>
      </c>
      <c r="K424" s="4" t="s">
        <v>5568</v>
      </c>
      <c r="L424" s="4" t="s">
        <v>3451</v>
      </c>
      <c r="M424" s="10">
        <v>3</v>
      </c>
      <c r="N424" s="95">
        <v>421.24369999999999</v>
      </c>
      <c r="O424" s="38" t="s">
        <v>4854</v>
      </c>
      <c r="P424" s="38" t="s">
        <v>4854</v>
      </c>
      <c r="Q424" s="38" t="s">
        <v>4854</v>
      </c>
      <c r="R424" s="38" t="s">
        <v>4854</v>
      </c>
      <c r="S424" s="37" t="str">
        <f>HYPERLINK("http://ms.phosphosite.org:5080/cgi-bin/plot-msms.cgi?MassType=1&amp;NumAxis=1&amp;Mod8=170&amp;Pep=LRQPFFQKR&amp;Dta=/var/www/html/dta/S01/10562.5340.3.dta&amp;Global_Mod=CS57.0215", "5340")</f>
        <v>5340</v>
      </c>
      <c r="T424" s="38" t="s">
        <v>4854</v>
      </c>
      <c r="U424" s="37" t="str">
        <f>HYPERLINK("http://ms.phosphosite.org:5080/cgi-bin/plot-msms.cgi?MassType=1&amp;NumAxis=1&amp;Mod8=170&amp;Pep=LRQPFFQKR&amp;Dta=/var/www/html/dta/S01/10564.5630.3.dta&amp;Global_Mod=CS57.0215", "5630")</f>
        <v>5630</v>
      </c>
      <c r="V424" s="38" t="s">
        <v>4854</v>
      </c>
      <c r="W424" s="4" t="s">
        <v>4854</v>
      </c>
      <c r="X424" s="4" t="s">
        <v>4854</v>
      </c>
      <c r="Y424" s="4" t="s">
        <v>4854</v>
      </c>
      <c r="Z424" s="4" t="s">
        <v>4854</v>
      </c>
      <c r="AA424" s="10">
        <v>5336</v>
      </c>
      <c r="AB424" s="4" t="s">
        <v>4854</v>
      </c>
      <c r="AC424" s="10">
        <v>5638</v>
      </c>
      <c r="AD424" s="4" t="s">
        <v>4854</v>
      </c>
      <c r="AE424" s="100" t="s">
        <v>4854</v>
      </c>
      <c r="AF424" s="100" t="s">
        <v>4854</v>
      </c>
      <c r="AG424" s="100" t="s">
        <v>4854</v>
      </c>
      <c r="AH424" s="100" t="s">
        <v>4854</v>
      </c>
      <c r="AI424" s="91">
        <v>2.3610000000000002</v>
      </c>
      <c r="AJ424" s="100" t="s">
        <v>4854</v>
      </c>
      <c r="AK424" s="91">
        <v>1.8779999999999999</v>
      </c>
      <c r="AL424" s="100" t="s">
        <v>4854</v>
      </c>
      <c r="AM424" s="103" t="s">
        <v>4854</v>
      </c>
      <c r="AN424" s="103" t="s">
        <v>4854</v>
      </c>
      <c r="AO424" s="103" t="s">
        <v>4854</v>
      </c>
      <c r="AP424" s="103" t="s">
        <v>4854</v>
      </c>
      <c r="AQ424" s="95">
        <v>1.9785999999999999</v>
      </c>
      <c r="AR424" s="103" t="s">
        <v>4854</v>
      </c>
      <c r="AS424" s="95">
        <v>1.8106</v>
      </c>
      <c r="AT424" s="103" t="s">
        <v>4854</v>
      </c>
      <c r="AU424" s="103" t="s">
        <v>4854</v>
      </c>
      <c r="AV424" s="103" t="s">
        <v>4854</v>
      </c>
      <c r="AW424" s="103" t="s">
        <v>4854</v>
      </c>
      <c r="AX424" s="103" t="s">
        <v>4854</v>
      </c>
      <c r="AY424" s="95">
        <v>7.6999999999999999E-2</v>
      </c>
      <c r="AZ424" s="103" t="s">
        <v>4854</v>
      </c>
      <c r="BA424" s="95">
        <v>0.19700000000000001</v>
      </c>
      <c r="BB424" s="103" t="s">
        <v>4854</v>
      </c>
      <c r="BC424" s="4" t="s">
        <v>4854</v>
      </c>
      <c r="BD424" s="4" t="s">
        <v>4854</v>
      </c>
      <c r="BE424" s="4" t="s">
        <v>4854</v>
      </c>
      <c r="BF424" s="4" t="s">
        <v>4854</v>
      </c>
      <c r="BG424" s="10">
        <v>3</v>
      </c>
      <c r="BH424" s="4" t="s">
        <v>4854</v>
      </c>
      <c r="BI424" s="10">
        <v>3</v>
      </c>
      <c r="BJ424" s="4" t="s">
        <v>4854</v>
      </c>
      <c r="BK424" s="100" t="s">
        <v>4854</v>
      </c>
      <c r="BL424" s="100" t="s">
        <v>4854</v>
      </c>
      <c r="BM424" s="100" t="s">
        <v>4854</v>
      </c>
      <c r="BN424" s="100" t="s">
        <v>4854</v>
      </c>
      <c r="BO424" s="91">
        <v>0.98399999999999999</v>
      </c>
      <c r="BP424" s="100" t="s">
        <v>4854</v>
      </c>
      <c r="BQ424" s="91">
        <v>0.99299999999999999</v>
      </c>
      <c r="BR424" s="100" t="s">
        <v>4854</v>
      </c>
      <c r="BS424" s="10" t="s">
        <v>4857</v>
      </c>
    </row>
    <row r="425" spans="1:71" s="30" customFormat="1" ht="17.100000000000001" customHeight="1">
      <c r="A425" s="14">
        <v>414</v>
      </c>
      <c r="B425" s="5" t="s">
        <v>3452</v>
      </c>
      <c r="C425" s="3" t="s">
        <v>3883</v>
      </c>
      <c r="D425" s="3" t="s">
        <v>3453</v>
      </c>
      <c r="E425" s="3" t="s">
        <v>3454</v>
      </c>
      <c r="F425" s="5" t="s">
        <v>3455</v>
      </c>
      <c r="G425" s="3" t="s">
        <v>3456</v>
      </c>
      <c r="H425" s="6" t="s">
        <v>3457</v>
      </c>
      <c r="I425" s="3" t="s">
        <v>3458</v>
      </c>
      <c r="J425" s="5" t="s">
        <v>3459</v>
      </c>
      <c r="K425" s="3" t="s">
        <v>5569</v>
      </c>
      <c r="L425" s="3" t="s">
        <v>3460</v>
      </c>
      <c r="M425" s="5">
        <v>2</v>
      </c>
      <c r="N425" s="21">
        <v>691.37530000000004</v>
      </c>
      <c r="O425" s="35" t="s">
        <v>4854</v>
      </c>
      <c r="P425" s="35" t="s">
        <v>4854</v>
      </c>
      <c r="Q425" s="35" t="s">
        <v>4854</v>
      </c>
      <c r="R425" s="35" t="s">
        <v>4854</v>
      </c>
      <c r="S425" s="35" t="s">
        <v>4854</v>
      </c>
      <c r="T425" s="36" t="str">
        <f>HYPERLINK("http://ms.phosphosite.org:5080/cgi-bin/plot-msms.cgi?MassType=1&amp;NumAxis=1&amp;Mod7=170&amp;Pep=TSVGPSKPVSQPR&amp;Dta=/var/www/html/dta/S01/10563.3183.2.dta&amp;Global_Mod=CS57.0215", "3183")</f>
        <v>3183</v>
      </c>
      <c r="U425" s="35" t="s">
        <v>4854</v>
      </c>
      <c r="V425" s="35" t="s">
        <v>4854</v>
      </c>
      <c r="W425" s="3" t="s">
        <v>4854</v>
      </c>
      <c r="X425" s="3" t="s">
        <v>4854</v>
      </c>
      <c r="Y425" s="3" t="s">
        <v>4854</v>
      </c>
      <c r="Z425" s="3" t="s">
        <v>4854</v>
      </c>
      <c r="AA425" s="3" t="s">
        <v>4854</v>
      </c>
      <c r="AB425" s="5">
        <v>3174</v>
      </c>
      <c r="AC425" s="3" t="s">
        <v>4854</v>
      </c>
      <c r="AD425" s="3" t="s">
        <v>4854</v>
      </c>
      <c r="AE425" s="99" t="s">
        <v>4854</v>
      </c>
      <c r="AF425" s="99" t="s">
        <v>4854</v>
      </c>
      <c r="AG425" s="99" t="s">
        <v>4854</v>
      </c>
      <c r="AH425" s="99" t="s">
        <v>4854</v>
      </c>
      <c r="AI425" s="99" t="s">
        <v>4854</v>
      </c>
      <c r="AJ425" s="90">
        <v>2.5179999999999998</v>
      </c>
      <c r="AK425" s="99" t="s">
        <v>4854</v>
      </c>
      <c r="AL425" s="99" t="s">
        <v>4854</v>
      </c>
      <c r="AM425" s="102" t="s">
        <v>4854</v>
      </c>
      <c r="AN425" s="102" t="s">
        <v>4854</v>
      </c>
      <c r="AO425" s="102" t="s">
        <v>4854</v>
      </c>
      <c r="AP425" s="102" t="s">
        <v>4854</v>
      </c>
      <c r="AQ425" s="102" t="s">
        <v>4854</v>
      </c>
      <c r="AR425" s="21">
        <v>0.89800000000000002</v>
      </c>
      <c r="AS425" s="102" t="s">
        <v>4854</v>
      </c>
      <c r="AT425" s="102" t="s">
        <v>4854</v>
      </c>
      <c r="AU425" s="102" t="s">
        <v>4854</v>
      </c>
      <c r="AV425" s="102" t="s">
        <v>4854</v>
      </c>
      <c r="AW425" s="102" t="s">
        <v>4854</v>
      </c>
      <c r="AX425" s="102" t="s">
        <v>4854</v>
      </c>
      <c r="AY425" s="102" t="s">
        <v>4854</v>
      </c>
      <c r="AZ425" s="21">
        <v>0.13800000000000001</v>
      </c>
      <c r="BA425" s="102" t="s">
        <v>4854</v>
      </c>
      <c r="BB425" s="102" t="s">
        <v>4854</v>
      </c>
      <c r="BC425" s="3" t="s">
        <v>4854</v>
      </c>
      <c r="BD425" s="3" t="s">
        <v>4854</v>
      </c>
      <c r="BE425" s="3" t="s">
        <v>4854</v>
      </c>
      <c r="BF425" s="3" t="s">
        <v>4854</v>
      </c>
      <c r="BG425" s="3" t="s">
        <v>4854</v>
      </c>
      <c r="BH425" s="5">
        <v>2</v>
      </c>
      <c r="BI425" s="3" t="s">
        <v>4854</v>
      </c>
      <c r="BJ425" s="3" t="s">
        <v>4854</v>
      </c>
      <c r="BK425" s="99" t="s">
        <v>4854</v>
      </c>
      <c r="BL425" s="99" t="s">
        <v>4854</v>
      </c>
      <c r="BM425" s="99" t="s">
        <v>4854</v>
      </c>
      <c r="BN425" s="99" t="s">
        <v>4854</v>
      </c>
      <c r="BO425" s="99" t="s">
        <v>4854</v>
      </c>
      <c r="BP425" s="90">
        <v>0.999</v>
      </c>
      <c r="BQ425" s="99" t="s">
        <v>4854</v>
      </c>
      <c r="BR425" s="99" t="s">
        <v>4854</v>
      </c>
      <c r="BS425" s="5" t="s">
        <v>4857</v>
      </c>
    </row>
    <row r="426" spans="1:71" s="30" customFormat="1" ht="17.100000000000001" customHeight="1">
      <c r="A426" s="10">
        <v>415</v>
      </c>
      <c r="B426" s="10" t="s">
        <v>3461</v>
      </c>
      <c r="C426" s="4" t="s">
        <v>3883</v>
      </c>
      <c r="D426" s="4" t="s">
        <v>3462</v>
      </c>
      <c r="E426" s="7" t="s">
        <v>3463</v>
      </c>
      <c r="F426" s="10" t="s">
        <v>3464</v>
      </c>
      <c r="G426" s="4" t="s">
        <v>3465</v>
      </c>
      <c r="H426" s="7" t="s">
        <v>3466</v>
      </c>
      <c r="I426" s="4" t="s">
        <v>3467</v>
      </c>
      <c r="J426" s="10" t="s">
        <v>4724</v>
      </c>
      <c r="K426" s="4" t="s">
        <v>5570</v>
      </c>
      <c r="L426" s="4" t="s">
        <v>3328</v>
      </c>
      <c r="M426" s="10">
        <v>4</v>
      </c>
      <c r="N426" s="95">
        <v>699.36900000000003</v>
      </c>
      <c r="O426" s="38" t="s">
        <v>4854</v>
      </c>
      <c r="P426" s="38" t="s">
        <v>4854</v>
      </c>
      <c r="Q426" s="38" t="s">
        <v>4854</v>
      </c>
      <c r="R426" s="38" t="s">
        <v>4854</v>
      </c>
      <c r="S426" s="37" t="str">
        <f>HYPERLINK("http://ms.phosphosite.org:5080/cgi-bin/plot-msms.cgi?MassType=1&amp;NumAxis=1&amp;Mod19=170&amp;Mod25=170&amp;Pep=VGDVLSEKSSTFLMKAATKVVENEK&amp;Dta=/var/www/html/dta/S01/10562.15930.4.dta&amp;Global_Mod=CS57.0215", "15930")</f>
        <v>15930</v>
      </c>
      <c r="T426" s="38" t="s">
        <v>4854</v>
      </c>
      <c r="U426" s="38" t="s">
        <v>4854</v>
      </c>
      <c r="V426" s="38" t="s">
        <v>4854</v>
      </c>
      <c r="W426" s="4" t="s">
        <v>4854</v>
      </c>
      <c r="X426" s="4" t="s">
        <v>4854</v>
      </c>
      <c r="Y426" s="4" t="s">
        <v>4854</v>
      </c>
      <c r="Z426" s="4" t="s">
        <v>4854</v>
      </c>
      <c r="AA426" s="4" t="s">
        <v>4854</v>
      </c>
      <c r="AB426" s="4" t="s">
        <v>4854</v>
      </c>
      <c r="AC426" s="4" t="s">
        <v>4854</v>
      </c>
      <c r="AD426" s="4" t="s">
        <v>4854</v>
      </c>
      <c r="AE426" s="100" t="s">
        <v>4854</v>
      </c>
      <c r="AF426" s="100" t="s">
        <v>4854</v>
      </c>
      <c r="AG426" s="100" t="s">
        <v>4854</v>
      </c>
      <c r="AH426" s="100" t="s">
        <v>4854</v>
      </c>
      <c r="AI426" s="91">
        <v>2.3239999999999998</v>
      </c>
      <c r="AJ426" s="100" t="s">
        <v>4854</v>
      </c>
      <c r="AK426" s="100" t="s">
        <v>4854</v>
      </c>
      <c r="AL426" s="100" t="s">
        <v>4854</v>
      </c>
      <c r="AM426" s="103" t="s">
        <v>4854</v>
      </c>
      <c r="AN426" s="103" t="s">
        <v>4854</v>
      </c>
      <c r="AO426" s="103" t="s">
        <v>4854</v>
      </c>
      <c r="AP426" s="103" t="s">
        <v>4854</v>
      </c>
      <c r="AQ426" s="95">
        <v>1.0491999999999999</v>
      </c>
      <c r="AR426" s="103" t="s">
        <v>4854</v>
      </c>
      <c r="AS426" s="103" t="s">
        <v>4854</v>
      </c>
      <c r="AT426" s="103" t="s">
        <v>4854</v>
      </c>
      <c r="AU426" s="103" t="s">
        <v>4854</v>
      </c>
      <c r="AV426" s="103" t="s">
        <v>4854</v>
      </c>
      <c r="AW426" s="103" t="s">
        <v>4854</v>
      </c>
      <c r="AX426" s="103" t="s">
        <v>4854</v>
      </c>
      <c r="AY426" s="95">
        <v>0.122</v>
      </c>
      <c r="AZ426" s="103" t="s">
        <v>4854</v>
      </c>
      <c r="BA426" s="103" t="s">
        <v>4854</v>
      </c>
      <c r="BB426" s="103" t="s">
        <v>4854</v>
      </c>
      <c r="BC426" s="4" t="s">
        <v>4854</v>
      </c>
      <c r="BD426" s="4" t="s">
        <v>4854</v>
      </c>
      <c r="BE426" s="4" t="s">
        <v>4854</v>
      </c>
      <c r="BF426" s="4" t="s">
        <v>4854</v>
      </c>
      <c r="BG426" s="10">
        <v>4</v>
      </c>
      <c r="BH426" s="4" t="s">
        <v>4854</v>
      </c>
      <c r="BI426" s="4" t="s">
        <v>4854</v>
      </c>
      <c r="BJ426" s="4" t="s">
        <v>4854</v>
      </c>
      <c r="BK426" s="100" t="s">
        <v>4854</v>
      </c>
      <c r="BL426" s="100" t="s">
        <v>4854</v>
      </c>
      <c r="BM426" s="100" t="s">
        <v>4854</v>
      </c>
      <c r="BN426" s="100" t="s">
        <v>4854</v>
      </c>
      <c r="BO426" s="91">
        <v>0.06</v>
      </c>
      <c r="BP426" s="100" t="s">
        <v>4854</v>
      </c>
      <c r="BQ426" s="100" t="s">
        <v>4854</v>
      </c>
      <c r="BR426" s="100" t="s">
        <v>4854</v>
      </c>
      <c r="BS426" s="10" t="s">
        <v>4857</v>
      </c>
    </row>
    <row r="427" spans="1:71" s="30" customFormat="1" ht="17.100000000000001" customHeight="1">
      <c r="A427" s="14">
        <v>416</v>
      </c>
      <c r="B427" s="5" t="s">
        <v>3329</v>
      </c>
      <c r="C427" s="3" t="s">
        <v>3883</v>
      </c>
      <c r="D427" s="6" t="s">
        <v>3330</v>
      </c>
      <c r="E427" s="6" t="s">
        <v>3331</v>
      </c>
      <c r="F427" s="5" t="s">
        <v>3332</v>
      </c>
      <c r="G427" s="3" t="s">
        <v>3333</v>
      </c>
      <c r="H427" s="6" t="s">
        <v>3334</v>
      </c>
      <c r="I427" s="3" t="s">
        <v>3335</v>
      </c>
      <c r="J427" s="5" t="s">
        <v>4475</v>
      </c>
      <c r="K427" s="3" t="s">
        <v>5571</v>
      </c>
      <c r="L427" s="3" t="s">
        <v>3336</v>
      </c>
      <c r="M427" s="5">
        <v>4</v>
      </c>
      <c r="N427" s="21">
        <v>465.97190000000001</v>
      </c>
      <c r="O427" s="35" t="s">
        <v>4854</v>
      </c>
      <c r="P427" s="35" t="s">
        <v>4854</v>
      </c>
      <c r="Q427" s="35" t="s">
        <v>4854</v>
      </c>
      <c r="R427" s="35" t="s">
        <v>4854</v>
      </c>
      <c r="S427" s="36" t="str">
        <f>HYPERLINK("http://ms.phosphosite.org:5080/cgi-bin/plot-msms.cgi?MassType=1&amp;NumAxis=1&amp;Mod11=170&amp;Mod14=170&amp;Pep=MRHLETHDTDKEHK&amp;Dta=/var/www/html/dta/S01/10562.4296.4.dta&amp;Global_Mod=CS57.0215", "4296")</f>
        <v>4296</v>
      </c>
      <c r="T427" s="35" t="s">
        <v>4854</v>
      </c>
      <c r="U427" s="35" t="s">
        <v>4854</v>
      </c>
      <c r="V427" s="35" t="s">
        <v>4854</v>
      </c>
      <c r="W427" s="3" t="s">
        <v>4854</v>
      </c>
      <c r="X427" s="3" t="s">
        <v>4854</v>
      </c>
      <c r="Y427" s="3" t="s">
        <v>4854</v>
      </c>
      <c r="Z427" s="3" t="s">
        <v>4854</v>
      </c>
      <c r="AA427" s="3" t="s">
        <v>4854</v>
      </c>
      <c r="AB427" s="3" t="s">
        <v>4854</v>
      </c>
      <c r="AC427" s="3" t="s">
        <v>4854</v>
      </c>
      <c r="AD427" s="3" t="s">
        <v>4854</v>
      </c>
      <c r="AE427" s="99" t="s">
        <v>4854</v>
      </c>
      <c r="AF427" s="99" t="s">
        <v>4854</v>
      </c>
      <c r="AG427" s="99" t="s">
        <v>4854</v>
      </c>
      <c r="AH427" s="99" t="s">
        <v>4854</v>
      </c>
      <c r="AI427" s="90">
        <v>2.2370000000000001</v>
      </c>
      <c r="AJ427" s="99" t="s">
        <v>4854</v>
      </c>
      <c r="AK427" s="99" t="s">
        <v>4854</v>
      </c>
      <c r="AL427" s="99" t="s">
        <v>4854</v>
      </c>
      <c r="AM427" s="102" t="s">
        <v>4854</v>
      </c>
      <c r="AN427" s="102" t="s">
        <v>4854</v>
      </c>
      <c r="AO427" s="102" t="s">
        <v>4854</v>
      </c>
      <c r="AP427" s="102" t="s">
        <v>4854</v>
      </c>
      <c r="AQ427" s="21">
        <v>2.6440000000000001</v>
      </c>
      <c r="AR427" s="102" t="s">
        <v>4854</v>
      </c>
      <c r="AS427" s="102" t="s">
        <v>4854</v>
      </c>
      <c r="AT427" s="102" t="s">
        <v>4854</v>
      </c>
      <c r="AU427" s="102" t="s">
        <v>4854</v>
      </c>
      <c r="AV427" s="102" t="s">
        <v>4854</v>
      </c>
      <c r="AW427" s="102" t="s">
        <v>4854</v>
      </c>
      <c r="AX427" s="102" t="s">
        <v>4854</v>
      </c>
      <c r="AY427" s="21">
        <v>7.3999999999999996E-2</v>
      </c>
      <c r="AZ427" s="102" t="s">
        <v>4854</v>
      </c>
      <c r="BA427" s="102" t="s">
        <v>4854</v>
      </c>
      <c r="BB427" s="102" t="s">
        <v>4854</v>
      </c>
      <c r="BC427" s="3" t="s">
        <v>4854</v>
      </c>
      <c r="BD427" s="3" t="s">
        <v>4854</v>
      </c>
      <c r="BE427" s="3" t="s">
        <v>4854</v>
      </c>
      <c r="BF427" s="3" t="s">
        <v>4854</v>
      </c>
      <c r="BG427" s="5">
        <v>103</v>
      </c>
      <c r="BH427" s="3" t="s">
        <v>4854</v>
      </c>
      <c r="BI427" s="3" t="s">
        <v>4854</v>
      </c>
      <c r="BJ427" s="3" t="s">
        <v>4854</v>
      </c>
      <c r="BK427" s="99" t="s">
        <v>4854</v>
      </c>
      <c r="BL427" s="99" t="s">
        <v>4854</v>
      </c>
      <c r="BM427" s="99" t="s">
        <v>4854</v>
      </c>
      <c r="BN427" s="99" t="s">
        <v>4854</v>
      </c>
      <c r="BO427" s="90">
        <v>0.88900000000000001</v>
      </c>
      <c r="BP427" s="99" t="s">
        <v>4854</v>
      </c>
      <c r="BQ427" s="99" t="s">
        <v>4854</v>
      </c>
      <c r="BR427" s="99" t="s">
        <v>4854</v>
      </c>
      <c r="BS427" s="5" t="s">
        <v>4857</v>
      </c>
    </row>
    <row r="428" spans="1:71" s="30" customFormat="1" ht="17.100000000000001" customHeight="1">
      <c r="A428" s="10">
        <v>417</v>
      </c>
      <c r="B428" s="10" t="s">
        <v>3337</v>
      </c>
      <c r="C428" s="4" t="s">
        <v>3883</v>
      </c>
      <c r="D428" s="4" t="s">
        <v>3338</v>
      </c>
      <c r="E428" s="4" t="s">
        <v>3339</v>
      </c>
      <c r="F428" s="10" t="s">
        <v>4986</v>
      </c>
      <c r="G428" s="4" t="s">
        <v>3340</v>
      </c>
      <c r="H428" s="7" t="s">
        <v>3341</v>
      </c>
      <c r="I428" s="4" t="s">
        <v>3342</v>
      </c>
      <c r="J428" s="10" t="s">
        <v>4669</v>
      </c>
      <c r="K428" s="4" t="s">
        <v>5572</v>
      </c>
      <c r="L428" s="4" t="s">
        <v>3343</v>
      </c>
      <c r="M428" s="10">
        <v>2</v>
      </c>
      <c r="N428" s="95">
        <v>599.29089999999997</v>
      </c>
      <c r="O428" s="38" t="s">
        <v>4854</v>
      </c>
      <c r="P428" s="38" t="s">
        <v>4854</v>
      </c>
      <c r="Q428" s="38" t="s">
        <v>4854</v>
      </c>
      <c r="R428" s="38" t="s">
        <v>4854</v>
      </c>
      <c r="S428" s="38" t="s">
        <v>4854</v>
      </c>
      <c r="T428" s="37" t="str">
        <f>HYPERLINK("http://ms.phosphosite.org:5080/cgi-bin/plot-msms.cgi?MassType=1&amp;NumAxis=1&amp;Mod6=170&amp;Pep=SASQGKAYESK&amp;Dta=/var/www/html/dta/S01/10563.1586.2.dta&amp;Global_Mod=CS57.0215", "1586")</f>
        <v>1586</v>
      </c>
      <c r="U428" s="38" t="s">
        <v>4854</v>
      </c>
      <c r="V428" s="38" t="s">
        <v>4854</v>
      </c>
      <c r="W428" s="4" t="s">
        <v>4854</v>
      </c>
      <c r="X428" s="4" t="s">
        <v>4854</v>
      </c>
      <c r="Y428" s="4" t="s">
        <v>4854</v>
      </c>
      <c r="Z428" s="4" t="s">
        <v>4854</v>
      </c>
      <c r="AA428" s="4" t="s">
        <v>4854</v>
      </c>
      <c r="AB428" s="10">
        <v>1581</v>
      </c>
      <c r="AC428" s="4" t="s">
        <v>4854</v>
      </c>
      <c r="AD428" s="4" t="s">
        <v>4854</v>
      </c>
      <c r="AE428" s="100" t="s">
        <v>4854</v>
      </c>
      <c r="AF428" s="100" t="s">
        <v>4854</v>
      </c>
      <c r="AG428" s="100" t="s">
        <v>4854</v>
      </c>
      <c r="AH428" s="100" t="s">
        <v>4854</v>
      </c>
      <c r="AI428" s="100" t="s">
        <v>4854</v>
      </c>
      <c r="AJ428" s="91">
        <v>2.4089999999999998</v>
      </c>
      <c r="AK428" s="100" t="s">
        <v>4854</v>
      </c>
      <c r="AL428" s="100" t="s">
        <v>4854</v>
      </c>
      <c r="AM428" s="103" t="s">
        <v>4854</v>
      </c>
      <c r="AN428" s="103" t="s">
        <v>4854</v>
      </c>
      <c r="AO428" s="103" t="s">
        <v>4854</v>
      </c>
      <c r="AP428" s="103" t="s">
        <v>4854</v>
      </c>
      <c r="AQ428" s="103" t="s">
        <v>4854</v>
      </c>
      <c r="AR428" s="95">
        <v>-4.9700000000000001E-2</v>
      </c>
      <c r="AS428" s="103" t="s">
        <v>4854</v>
      </c>
      <c r="AT428" s="103" t="s">
        <v>4854</v>
      </c>
      <c r="AU428" s="103" t="s">
        <v>4854</v>
      </c>
      <c r="AV428" s="103" t="s">
        <v>4854</v>
      </c>
      <c r="AW428" s="103" t="s">
        <v>4854</v>
      </c>
      <c r="AX428" s="103" t="s">
        <v>4854</v>
      </c>
      <c r="AY428" s="103" t="s">
        <v>4854</v>
      </c>
      <c r="AZ428" s="95">
        <v>0.249</v>
      </c>
      <c r="BA428" s="103" t="s">
        <v>4854</v>
      </c>
      <c r="BB428" s="103" t="s">
        <v>4854</v>
      </c>
      <c r="BC428" s="4" t="s">
        <v>4854</v>
      </c>
      <c r="BD428" s="4" t="s">
        <v>4854</v>
      </c>
      <c r="BE428" s="4" t="s">
        <v>4854</v>
      </c>
      <c r="BF428" s="4" t="s">
        <v>4854</v>
      </c>
      <c r="BG428" s="4" t="s">
        <v>4854</v>
      </c>
      <c r="BH428" s="10">
        <v>1</v>
      </c>
      <c r="BI428" s="4" t="s">
        <v>4854</v>
      </c>
      <c r="BJ428" s="4" t="s">
        <v>4854</v>
      </c>
      <c r="BK428" s="100" t="s">
        <v>4854</v>
      </c>
      <c r="BL428" s="100" t="s">
        <v>4854</v>
      </c>
      <c r="BM428" s="100" t="s">
        <v>4854</v>
      </c>
      <c r="BN428" s="100" t="s">
        <v>4854</v>
      </c>
      <c r="BO428" s="100" t="s">
        <v>4854</v>
      </c>
      <c r="BP428" s="91">
        <v>0.999</v>
      </c>
      <c r="BQ428" s="100" t="s">
        <v>4854</v>
      </c>
      <c r="BR428" s="100" t="s">
        <v>4854</v>
      </c>
      <c r="BS428" s="10" t="s">
        <v>4857</v>
      </c>
    </row>
    <row r="429" spans="1:71" ht="17.100000000000001" customHeight="1">
      <c r="A429" s="31">
        <v>418</v>
      </c>
      <c r="B429" s="2" t="s">
        <v>3344</v>
      </c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94"/>
      <c r="O429" s="34"/>
      <c r="P429" s="34"/>
      <c r="Q429" s="34"/>
      <c r="R429" s="34"/>
      <c r="S429" s="34"/>
      <c r="T429" s="34"/>
      <c r="U429" s="34"/>
      <c r="V429" s="34"/>
      <c r="W429" s="1"/>
      <c r="X429" s="1"/>
      <c r="Y429" s="1"/>
      <c r="Z429" s="1"/>
      <c r="AA429" s="1"/>
      <c r="AB429" s="1"/>
      <c r="AC429" s="1"/>
      <c r="AD429" s="1"/>
      <c r="AE429" s="89"/>
      <c r="AF429" s="89"/>
      <c r="AG429" s="89"/>
      <c r="AH429" s="89"/>
      <c r="AI429" s="89"/>
      <c r="AJ429" s="89"/>
      <c r="AK429" s="89"/>
      <c r="AL429" s="89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1"/>
      <c r="BD429" s="1"/>
      <c r="BE429" s="1"/>
      <c r="BF429" s="1"/>
      <c r="BG429" s="1"/>
      <c r="BH429" s="1"/>
      <c r="BI429" s="1"/>
      <c r="BJ429" s="1"/>
      <c r="BK429" s="89"/>
      <c r="BL429" s="89"/>
      <c r="BM429" s="89"/>
      <c r="BN429" s="89"/>
      <c r="BO429" s="89"/>
      <c r="BP429" s="89"/>
      <c r="BQ429" s="89"/>
      <c r="BR429" s="89"/>
      <c r="BS429" s="1"/>
    </row>
    <row r="430" spans="1:71" s="30" customFormat="1" ht="17.100000000000001" customHeight="1">
      <c r="A430" s="14">
        <v>419</v>
      </c>
      <c r="B430" s="5" t="s">
        <v>3345</v>
      </c>
      <c r="C430" s="3" t="s">
        <v>3344</v>
      </c>
      <c r="D430" s="3" t="s">
        <v>3346</v>
      </c>
      <c r="E430" s="3" t="s">
        <v>3347</v>
      </c>
      <c r="F430" s="5" t="s">
        <v>5189</v>
      </c>
      <c r="G430" s="3" t="s">
        <v>3348</v>
      </c>
      <c r="H430" s="6" t="s">
        <v>3349</v>
      </c>
      <c r="I430" s="3" t="s">
        <v>3350</v>
      </c>
      <c r="J430" s="5" t="s">
        <v>4713</v>
      </c>
      <c r="K430" s="3" t="s">
        <v>5573</v>
      </c>
      <c r="L430" s="3" t="s">
        <v>3351</v>
      </c>
      <c r="M430" s="5">
        <v>2</v>
      </c>
      <c r="N430" s="21">
        <v>613.31029999999998</v>
      </c>
      <c r="O430" s="35" t="s">
        <v>4854</v>
      </c>
      <c r="P430" s="36" t="str">
        <f>HYPERLINK("http://ms.phosphosite.org:5080/cgi-bin/plot-msms.cgi?MassType=1&amp;NumAxis=1&amp;Mod8=170&amp;Pep=EEMVLSGKYK&amp;Dta=/var/www/html/dta/S01/10559.5697.2.dta&amp;Global_Mod=CS57.0215", "5697")</f>
        <v>5697</v>
      </c>
      <c r="Q430" s="35" t="s">
        <v>4854</v>
      </c>
      <c r="R430" s="35" t="s">
        <v>4854</v>
      </c>
      <c r="S430" s="36" t="str">
        <f>HYPERLINK("http://ms.phosphosite.org:5080/cgi-bin/plot-msms.cgi?MassType=1&amp;NumAxis=1&amp;Mod8=170&amp;Pep=EEMVLSGKYK&amp;Dta=/var/www/html/dta/S01/10562.5838.2.dta&amp;Global_Mod=CS57.0215", "5838")</f>
        <v>5838</v>
      </c>
      <c r="T430" s="36" t="str">
        <f>HYPERLINK("http://ms.phosphosite.org:5080/cgi-bin/plot-msms.cgi?MassType=1&amp;NumAxis=1&amp;Mod8=170&amp;Pep=EEMVLSGKYK&amp;Dta=/var/www/html/dta/S01/10563.5792.2.dta&amp;Global_Mod=CS57.0215", "5792")</f>
        <v>5792</v>
      </c>
      <c r="U430" s="36" t="str">
        <f>HYPERLINK("http://ms.phosphosite.org:5080/cgi-bin/plot-msms.cgi?MassType=1&amp;NumAxis=1&amp;Mod8=170&amp;Pep=EEMVLSGKYK&amp;Dta=/var/www/html/dta/S01/10564.6151.2.dta&amp;Global_Mod=CS57.0215", "6151")</f>
        <v>6151</v>
      </c>
      <c r="V430" s="36" t="str">
        <f>HYPERLINK("http://ms.phosphosite.org:5080/cgi-bin/plot-msms.cgi?MassType=1&amp;NumAxis=1&amp;Mod8=170&amp;Pep=EEMVLSGKYK&amp;Dta=/var/www/html/dta/S01/10565.6238.2.dta&amp;Global_Mod=CS57.0215", "6238")</f>
        <v>6238</v>
      </c>
      <c r="W430" s="3" t="s">
        <v>4854</v>
      </c>
      <c r="X430" s="5">
        <v>5711</v>
      </c>
      <c r="Y430" s="3" t="s">
        <v>4854</v>
      </c>
      <c r="Z430" s="3" t="s">
        <v>4854</v>
      </c>
      <c r="AA430" s="5">
        <v>5842</v>
      </c>
      <c r="AB430" s="5">
        <v>5815</v>
      </c>
      <c r="AC430" s="5">
        <v>6177</v>
      </c>
      <c r="AD430" s="5">
        <v>6262</v>
      </c>
      <c r="AE430" s="99" t="s">
        <v>4854</v>
      </c>
      <c r="AF430" s="90">
        <v>2.536</v>
      </c>
      <c r="AG430" s="99" t="s">
        <v>4854</v>
      </c>
      <c r="AH430" s="99" t="s">
        <v>4854</v>
      </c>
      <c r="AI430" s="90">
        <v>3.0259999999999998</v>
      </c>
      <c r="AJ430" s="90">
        <v>2.6760000000000002</v>
      </c>
      <c r="AK430" s="90">
        <v>2.6269999999999998</v>
      </c>
      <c r="AL430" s="90">
        <v>1.9990000000000001</v>
      </c>
      <c r="AM430" s="102" t="s">
        <v>4854</v>
      </c>
      <c r="AN430" s="21">
        <v>-1.1620999999999999</v>
      </c>
      <c r="AO430" s="102" t="s">
        <v>4854</v>
      </c>
      <c r="AP430" s="102" t="s">
        <v>4854</v>
      </c>
      <c r="AQ430" s="21">
        <v>-1.0388999999999999</v>
      </c>
      <c r="AR430" s="21">
        <v>-0.49709999999999999</v>
      </c>
      <c r="AS430" s="21">
        <v>-0.2727</v>
      </c>
      <c r="AT430" s="21">
        <v>-0.62680000000000002</v>
      </c>
      <c r="AU430" s="102" t="s">
        <v>4854</v>
      </c>
      <c r="AV430" s="21">
        <v>0.29599999999999999</v>
      </c>
      <c r="AW430" s="102" t="s">
        <v>4854</v>
      </c>
      <c r="AX430" s="102" t="s">
        <v>4854</v>
      </c>
      <c r="AY430" s="21">
        <v>0.38300000000000001</v>
      </c>
      <c r="AZ430" s="21">
        <v>0.33200000000000002</v>
      </c>
      <c r="BA430" s="21">
        <v>0.28399999999999997</v>
      </c>
      <c r="BB430" s="21">
        <v>0.26900000000000002</v>
      </c>
      <c r="BC430" s="3" t="s">
        <v>4854</v>
      </c>
      <c r="BD430" s="5">
        <v>3</v>
      </c>
      <c r="BE430" s="3" t="s">
        <v>4854</v>
      </c>
      <c r="BF430" s="3" t="s">
        <v>4854</v>
      </c>
      <c r="BG430" s="5">
        <v>1</v>
      </c>
      <c r="BH430" s="5">
        <v>1</v>
      </c>
      <c r="BI430" s="5">
        <v>1</v>
      </c>
      <c r="BJ430" s="5">
        <v>1</v>
      </c>
      <c r="BK430" s="99" t="s">
        <v>4854</v>
      </c>
      <c r="BL430" s="90">
        <v>0.998</v>
      </c>
      <c r="BM430" s="99" t="s">
        <v>4854</v>
      </c>
      <c r="BN430" s="99" t="s">
        <v>4854</v>
      </c>
      <c r="BO430" s="90">
        <v>1</v>
      </c>
      <c r="BP430" s="90">
        <v>0.999</v>
      </c>
      <c r="BQ430" s="90">
        <v>0.999</v>
      </c>
      <c r="BR430" s="90">
        <v>0.99399999999999999</v>
      </c>
      <c r="BS430" s="5" t="s">
        <v>4857</v>
      </c>
    </row>
    <row r="431" spans="1:71" s="30" customFormat="1" ht="17.100000000000001" customHeight="1">
      <c r="A431" s="14">
        <v>420</v>
      </c>
      <c r="B431" s="5" t="s">
        <v>3352</v>
      </c>
      <c r="C431" s="3" t="s">
        <v>3344</v>
      </c>
      <c r="D431" s="3" t="s">
        <v>3346</v>
      </c>
      <c r="E431" s="3" t="s">
        <v>3347</v>
      </c>
      <c r="F431" s="5" t="s">
        <v>5189</v>
      </c>
      <c r="G431" s="3" t="s">
        <v>3348</v>
      </c>
      <c r="H431" s="6" t="s">
        <v>3349</v>
      </c>
      <c r="I431" s="3" t="s">
        <v>3350</v>
      </c>
      <c r="J431" s="5" t="s">
        <v>4713</v>
      </c>
      <c r="K431" s="3" t="s">
        <v>5573</v>
      </c>
      <c r="L431" s="3" t="s">
        <v>3353</v>
      </c>
      <c r="M431" s="5">
        <v>2</v>
      </c>
      <c r="N431" s="21">
        <v>621.30780000000004</v>
      </c>
      <c r="O431" s="35" t="s">
        <v>4854</v>
      </c>
      <c r="P431" s="36" t="str">
        <f>HYPERLINK("http://ms.phosphosite.org:5080/cgi-bin/plot-msms.cgi?MassType=1&amp;NumAxis=1&amp;Mod3=147&amp;Mod8=170&amp;Pep=EEMVLSGKYK&amp;Dta=/var/www/html/dta/S01/10559.4247.2.dta&amp;Global_Mod=CS57.0215", "4247")</f>
        <v>4247</v>
      </c>
      <c r="Q431" s="36" t="str">
        <f>HYPERLINK("http://ms.phosphosite.org:5080/cgi-bin/plot-msms.cgi?MassType=1&amp;NumAxis=1&amp;Mod3=147&amp;Mod8=170&amp;Pep=EEMVLSGKYK&amp;Dta=/var/www/html/dta/S01/10560.4244.2.dta&amp;Global_Mod=CS57.0215", "4244")</f>
        <v>4244</v>
      </c>
      <c r="R431" s="36" t="str">
        <f>HYPERLINK("http://ms.phosphosite.org:5080/cgi-bin/plot-msms.cgi?MassType=1&amp;NumAxis=1&amp;Mod3=147&amp;Mod8=170&amp;Pep=EEMVLSGKYK&amp;Dta=/var/www/html/dta/S01/10561.4255.2.dta&amp;Global_Mod=CS57.0215", "4255")</f>
        <v>4255</v>
      </c>
      <c r="S431" s="36" t="str">
        <f>HYPERLINK("http://ms.phosphosite.org:5080/cgi-bin/plot-msms.cgi?MassType=1&amp;NumAxis=1&amp;Mod3=147&amp;Mod8=170&amp;Pep=EEMVLSGKYK&amp;Dta=/var/www/html/dta/S01/10562.4386.2.dta&amp;Global_Mod=CS57.0215", "4386")</f>
        <v>4386</v>
      </c>
      <c r="T431" s="35" t="s">
        <v>4854</v>
      </c>
      <c r="U431" s="35" t="s">
        <v>4854</v>
      </c>
      <c r="V431" s="35" t="s">
        <v>4854</v>
      </c>
      <c r="W431" s="3" t="s">
        <v>4854</v>
      </c>
      <c r="X431" s="5">
        <v>4261</v>
      </c>
      <c r="Y431" s="5">
        <v>4268</v>
      </c>
      <c r="Z431" s="5">
        <v>4281</v>
      </c>
      <c r="AA431" s="3" t="s">
        <v>4854</v>
      </c>
      <c r="AB431" s="3" t="s">
        <v>4854</v>
      </c>
      <c r="AC431" s="3" t="s">
        <v>4854</v>
      </c>
      <c r="AD431" s="3" t="s">
        <v>4854</v>
      </c>
      <c r="AE431" s="99" t="s">
        <v>4854</v>
      </c>
      <c r="AF431" s="90">
        <v>2.0150000000000001</v>
      </c>
      <c r="AG431" s="90">
        <v>2.0289999999999999</v>
      </c>
      <c r="AH431" s="90">
        <v>2.0219999999999998</v>
      </c>
      <c r="AI431" s="90">
        <v>1.8660000000000001</v>
      </c>
      <c r="AJ431" s="99" t="s">
        <v>4854</v>
      </c>
      <c r="AK431" s="99" t="s">
        <v>4854</v>
      </c>
      <c r="AL431" s="99" t="s">
        <v>4854</v>
      </c>
      <c r="AM431" s="102" t="s">
        <v>4854</v>
      </c>
      <c r="AN431" s="21">
        <v>3.3099999999999997E-2</v>
      </c>
      <c r="AO431" s="21">
        <v>0.61219999999999997</v>
      </c>
      <c r="AP431" s="21">
        <v>0.42049999999999998</v>
      </c>
      <c r="AQ431" s="21">
        <v>0.90780000000000005</v>
      </c>
      <c r="AR431" s="102" t="s">
        <v>4854</v>
      </c>
      <c r="AS431" s="102" t="s">
        <v>4854</v>
      </c>
      <c r="AT431" s="102" t="s">
        <v>4854</v>
      </c>
      <c r="AU431" s="102" t="s">
        <v>4854</v>
      </c>
      <c r="AV431" s="21">
        <v>0.14199999999999999</v>
      </c>
      <c r="AW431" s="21">
        <v>0.20799999999999999</v>
      </c>
      <c r="AX431" s="21">
        <v>0.20200000000000001</v>
      </c>
      <c r="AY431" s="21">
        <v>0.123</v>
      </c>
      <c r="AZ431" s="102" t="s">
        <v>4854</v>
      </c>
      <c r="BA431" s="102" t="s">
        <v>4854</v>
      </c>
      <c r="BB431" s="102" t="s">
        <v>4854</v>
      </c>
      <c r="BC431" s="3" t="s">
        <v>4854</v>
      </c>
      <c r="BD431" s="5">
        <v>2</v>
      </c>
      <c r="BE431" s="5">
        <v>1</v>
      </c>
      <c r="BF431" s="5">
        <v>3</v>
      </c>
      <c r="BG431" s="5">
        <v>179</v>
      </c>
      <c r="BH431" s="3" t="s">
        <v>4854</v>
      </c>
      <c r="BI431" s="3" t="s">
        <v>4854</v>
      </c>
      <c r="BJ431" s="3" t="s">
        <v>4854</v>
      </c>
      <c r="BK431" s="99" t="s">
        <v>4854</v>
      </c>
      <c r="BL431" s="90">
        <v>0.98599999999999999</v>
      </c>
      <c r="BM431" s="90">
        <v>0.995</v>
      </c>
      <c r="BN431" s="90">
        <v>0.99199999999999999</v>
      </c>
      <c r="BO431" s="90">
        <v>0.89600000000000002</v>
      </c>
      <c r="BP431" s="99" t="s">
        <v>4854</v>
      </c>
      <c r="BQ431" s="99" t="s">
        <v>4854</v>
      </c>
      <c r="BR431" s="99" t="s">
        <v>4854</v>
      </c>
      <c r="BS431" s="5" t="s">
        <v>4857</v>
      </c>
    </row>
    <row r="432" spans="1:71" s="30" customFormat="1" ht="17.100000000000001" customHeight="1">
      <c r="A432" s="10">
        <v>421</v>
      </c>
      <c r="B432" s="10" t="s">
        <v>3354</v>
      </c>
      <c r="C432" s="4" t="s">
        <v>3344</v>
      </c>
      <c r="D432" s="4" t="s">
        <v>3355</v>
      </c>
      <c r="E432" s="4" t="s">
        <v>3356</v>
      </c>
      <c r="F432" s="10" t="s">
        <v>5227</v>
      </c>
      <c r="G432" s="4" t="s">
        <v>3357</v>
      </c>
      <c r="H432" s="7" t="s">
        <v>3358</v>
      </c>
      <c r="I432" s="4" t="s">
        <v>3359</v>
      </c>
      <c r="J432" s="10" t="s">
        <v>4623</v>
      </c>
      <c r="K432" s="4" t="s">
        <v>5574</v>
      </c>
      <c r="L432" s="4" t="s">
        <v>3360</v>
      </c>
      <c r="M432" s="10">
        <v>2</v>
      </c>
      <c r="N432" s="95">
        <v>695.85730000000001</v>
      </c>
      <c r="O432" s="37" t="str">
        <f>HYPERLINK("http://ms.phosphosite.org:5080/cgi-bin/plot-msms.cgi?MassType=1&amp;NumAxis=1&amp;Mod2=170&amp;Pep=SKFANLNEQAAR&amp;Dta=/var/www/html/dta/S01/10558.5182.2.dta&amp;Global_Mod=CS57.0215", "5182")</f>
        <v>5182</v>
      </c>
      <c r="P432" s="37" t="str">
        <f>HYPERLINK("http://ms.phosphosite.org:5080/cgi-bin/plot-msms.cgi?MassType=1&amp;NumAxis=1&amp;Mod2=170&amp;Pep=SKFANLNEQAAR&amp;Dta=/var/www/html/dta/S01/10559.5059.2.dta&amp;Global_Mod=CS57.0215", "5059")</f>
        <v>5059</v>
      </c>
      <c r="Q432" s="37" t="str">
        <f>HYPERLINK("http://ms.phosphosite.org:5080/cgi-bin/plot-msms.cgi?MassType=1&amp;NumAxis=1&amp;Mod2=170&amp;Pep=SKFANLNEQAAR&amp;Dta=/var/www/html/dta/S01/10560.5061.2.dta&amp;Global_Mod=CS57.0215", "5061")</f>
        <v>5061</v>
      </c>
      <c r="R432" s="37" t="str">
        <f>HYPERLINK("http://ms.phosphosite.org:5080/cgi-bin/plot-msms.cgi?MassType=1&amp;NumAxis=1&amp;Mod2=170&amp;Pep=SKFANLNEQAAR&amp;Dta=/var/www/html/dta/S01/10561.5083.2.dta&amp;Global_Mod=CS57.0215", "5083")</f>
        <v>5083</v>
      </c>
      <c r="S432" s="37" t="str">
        <f>HYPERLINK("http://ms.phosphosite.org:5080/cgi-bin/plot-msms.cgi?MassType=1&amp;NumAxis=1&amp;Mod2=170&amp;Pep=SKFANLNEQAAR&amp;Dta=/var/www/html/dta/S01/10562.5192.2.dta&amp;Global_Mod=CS57.0215", "5192")</f>
        <v>5192</v>
      </c>
      <c r="T432" s="37" t="str">
        <f>HYPERLINK("http://ms.phosphosite.org:5080/cgi-bin/plot-msms.cgi?MassType=1&amp;NumAxis=1&amp;Mod2=170&amp;Pep=SKFANLNEQAAR&amp;Dta=/var/www/html/dta/S01/10563.5131.2.dta&amp;Global_Mod=CS57.0215", "5131")</f>
        <v>5131</v>
      </c>
      <c r="U432" s="37" t="str">
        <f>HYPERLINK("http://ms.phosphosite.org:5080/cgi-bin/plot-msms.cgi?MassType=1&amp;NumAxis=1&amp;Mod2=170&amp;Pep=SKFANLNEQAAR&amp;Dta=/var/www/html/dta/S01/10564.5478.2.dta&amp;Global_Mod=CS57.0215", "5478")</f>
        <v>5478</v>
      </c>
      <c r="V432" s="37" t="str">
        <f>HYPERLINK("http://ms.phosphosite.org:5080/cgi-bin/plot-msms.cgi?MassType=1&amp;NumAxis=1&amp;Mod2=170&amp;Pep=SKFANLNEQAAR&amp;Dta=/var/www/html/dta/S01/10565.5590.2.dta&amp;Global_Mod=CS57.0215", "5590")</f>
        <v>5590</v>
      </c>
      <c r="W432" s="10">
        <v>5184</v>
      </c>
      <c r="X432" s="10">
        <v>5075</v>
      </c>
      <c r="Y432" s="10">
        <v>5068</v>
      </c>
      <c r="Z432" s="10">
        <v>5095</v>
      </c>
      <c r="AA432" s="10">
        <v>5196</v>
      </c>
      <c r="AB432" s="10">
        <v>5133</v>
      </c>
      <c r="AC432" s="10">
        <v>5484</v>
      </c>
      <c r="AD432" s="10">
        <v>5581</v>
      </c>
      <c r="AE432" s="91">
        <v>3.6419999999999999</v>
      </c>
      <c r="AF432" s="91">
        <v>3.9470000000000001</v>
      </c>
      <c r="AG432" s="91">
        <v>4.29</v>
      </c>
      <c r="AH432" s="91">
        <v>3.9369999999999998</v>
      </c>
      <c r="AI432" s="91">
        <v>4.0110000000000001</v>
      </c>
      <c r="AJ432" s="91">
        <v>4.1479999999999997</v>
      </c>
      <c r="AK432" s="91">
        <v>3.9769999999999999</v>
      </c>
      <c r="AL432" s="91">
        <v>3.4569999999999999</v>
      </c>
      <c r="AM432" s="95">
        <v>-0.30280000000000001</v>
      </c>
      <c r="AN432" s="95">
        <v>0.37819999999999998</v>
      </c>
      <c r="AO432" s="95">
        <v>0.47889999999999999</v>
      </c>
      <c r="AP432" s="95">
        <v>0.50690000000000002</v>
      </c>
      <c r="AQ432" s="95">
        <v>0.12720000000000001</v>
      </c>
      <c r="AR432" s="95">
        <v>0.30049999999999999</v>
      </c>
      <c r="AS432" s="95">
        <v>0.11360000000000001</v>
      </c>
      <c r="AT432" s="95">
        <v>6.3299999999999995E-2</v>
      </c>
      <c r="AU432" s="95">
        <v>0.29599999999999999</v>
      </c>
      <c r="AV432" s="95">
        <v>0.30499999999999999</v>
      </c>
      <c r="AW432" s="95">
        <v>0.33700000000000002</v>
      </c>
      <c r="AX432" s="95">
        <v>0.33</v>
      </c>
      <c r="AY432" s="95">
        <v>0.33500000000000002</v>
      </c>
      <c r="AZ432" s="95">
        <v>0.29499999999999998</v>
      </c>
      <c r="BA432" s="95">
        <v>0.33200000000000002</v>
      </c>
      <c r="BB432" s="95">
        <v>0.32300000000000001</v>
      </c>
      <c r="BC432" s="10">
        <v>1</v>
      </c>
      <c r="BD432" s="10">
        <v>1</v>
      </c>
      <c r="BE432" s="10">
        <v>1</v>
      </c>
      <c r="BF432" s="10">
        <v>1</v>
      </c>
      <c r="BG432" s="10">
        <v>1</v>
      </c>
      <c r="BH432" s="10">
        <v>1</v>
      </c>
      <c r="BI432" s="10">
        <v>1</v>
      </c>
      <c r="BJ432" s="10">
        <v>1</v>
      </c>
      <c r="BK432" s="91">
        <v>1</v>
      </c>
      <c r="BL432" s="91">
        <v>1</v>
      </c>
      <c r="BM432" s="91">
        <v>1</v>
      </c>
      <c r="BN432" s="91">
        <v>1</v>
      </c>
      <c r="BO432" s="91">
        <v>1</v>
      </c>
      <c r="BP432" s="91">
        <v>1</v>
      </c>
      <c r="BQ432" s="91">
        <v>1</v>
      </c>
      <c r="BR432" s="91">
        <v>1</v>
      </c>
      <c r="BS432" s="10" t="s">
        <v>4857</v>
      </c>
    </row>
    <row r="433" spans="1:71" s="30" customFormat="1" ht="17.100000000000001" customHeight="1">
      <c r="A433" s="14">
        <v>422</v>
      </c>
      <c r="B433" s="5" t="s">
        <v>3361</v>
      </c>
      <c r="C433" s="3" t="s">
        <v>3344</v>
      </c>
      <c r="D433" s="3" t="s">
        <v>3362</v>
      </c>
      <c r="E433" s="3" t="s">
        <v>3363</v>
      </c>
      <c r="F433" s="5" t="s">
        <v>3364</v>
      </c>
      <c r="G433" s="3" t="s">
        <v>3365</v>
      </c>
      <c r="H433" s="6" t="s">
        <v>3366</v>
      </c>
      <c r="I433" s="3" t="s">
        <v>3367</v>
      </c>
      <c r="J433" s="5" t="s">
        <v>4146</v>
      </c>
      <c r="K433" s="3" t="s">
        <v>5575</v>
      </c>
      <c r="L433" s="3" t="s">
        <v>3368</v>
      </c>
      <c r="M433" s="5">
        <v>4</v>
      </c>
      <c r="N433" s="21">
        <v>535.30550000000005</v>
      </c>
      <c r="O433" s="35" t="s">
        <v>4854</v>
      </c>
      <c r="P433" s="35" t="s">
        <v>4854</v>
      </c>
      <c r="Q433" s="35" t="s">
        <v>4854</v>
      </c>
      <c r="R433" s="35" t="s">
        <v>4854</v>
      </c>
      <c r="S433" s="35" t="s">
        <v>4854</v>
      </c>
      <c r="T433" s="35" t="s">
        <v>4854</v>
      </c>
      <c r="U433" s="35" t="s">
        <v>4854</v>
      </c>
      <c r="V433" s="36" t="str">
        <f>HYPERLINK("http://ms.phosphosite.org:5080/cgi-bin/plot-msms.cgi?MassType=1&amp;NumAxis=1&amp;Mod7=170&amp;Mod15=170&amp;Pep=LIVNIAKVNEDMNAKLIR&amp;Dta=/var/www/html/dta/S01/10565.9897.4.dta&amp;Global_Mod=CS57.0215", "9897")</f>
        <v>9897</v>
      </c>
      <c r="W433" s="3" t="s">
        <v>4854</v>
      </c>
      <c r="X433" s="3" t="s">
        <v>4854</v>
      </c>
      <c r="Y433" s="3" t="s">
        <v>4854</v>
      </c>
      <c r="Z433" s="3" t="s">
        <v>4854</v>
      </c>
      <c r="AA433" s="3" t="s">
        <v>4854</v>
      </c>
      <c r="AB433" s="3" t="s">
        <v>4854</v>
      </c>
      <c r="AC433" s="3" t="s">
        <v>4854</v>
      </c>
      <c r="AD433" s="3" t="s">
        <v>4854</v>
      </c>
      <c r="AE433" s="99" t="s">
        <v>4854</v>
      </c>
      <c r="AF433" s="99" t="s">
        <v>4854</v>
      </c>
      <c r="AG433" s="99" t="s">
        <v>4854</v>
      </c>
      <c r="AH433" s="99" t="s">
        <v>4854</v>
      </c>
      <c r="AI433" s="99" t="s">
        <v>4854</v>
      </c>
      <c r="AJ433" s="99" t="s">
        <v>4854</v>
      </c>
      <c r="AK433" s="99" t="s">
        <v>4854</v>
      </c>
      <c r="AL433" s="90">
        <v>1.9350000000000001</v>
      </c>
      <c r="AM433" s="102" t="s">
        <v>4854</v>
      </c>
      <c r="AN433" s="102" t="s">
        <v>4854</v>
      </c>
      <c r="AO433" s="102" t="s">
        <v>4854</v>
      </c>
      <c r="AP433" s="102" t="s">
        <v>4854</v>
      </c>
      <c r="AQ433" s="102" t="s">
        <v>4854</v>
      </c>
      <c r="AR433" s="102" t="s">
        <v>4854</v>
      </c>
      <c r="AS433" s="102" t="s">
        <v>4854</v>
      </c>
      <c r="AT433" s="21">
        <v>0.28999999999999998</v>
      </c>
      <c r="AU433" s="102" t="s">
        <v>4854</v>
      </c>
      <c r="AV433" s="102" t="s">
        <v>4854</v>
      </c>
      <c r="AW433" s="102" t="s">
        <v>4854</v>
      </c>
      <c r="AX433" s="102" t="s">
        <v>4854</v>
      </c>
      <c r="AY433" s="102" t="s">
        <v>4854</v>
      </c>
      <c r="AZ433" s="102" t="s">
        <v>4854</v>
      </c>
      <c r="BA433" s="102" t="s">
        <v>4854</v>
      </c>
      <c r="BB433" s="21">
        <v>2.4E-2</v>
      </c>
      <c r="BC433" s="3" t="s">
        <v>4854</v>
      </c>
      <c r="BD433" s="3" t="s">
        <v>4854</v>
      </c>
      <c r="BE433" s="3" t="s">
        <v>4854</v>
      </c>
      <c r="BF433" s="3" t="s">
        <v>4854</v>
      </c>
      <c r="BG433" s="3" t="s">
        <v>4854</v>
      </c>
      <c r="BH433" s="3" t="s">
        <v>4854</v>
      </c>
      <c r="BI433" s="3" t="s">
        <v>4854</v>
      </c>
      <c r="BJ433" s="5">
        <v>160</v>
      </c>
      <c r="BK433" s="99" t="s">
        <v>4854</v>
      </c>
      <c r="BL433" s="99" t="s">
        <v>4854</v>
      </c>
      <c r="BM433" s="99" t="s">
        <v>4854</v>
      </c>
      <c r="BN433" s="99" t="s">
        <v>4854</v>
      </c>
      <c r="BO433" s="99" t="s">
        <v>4854</v>
      </c>
      <c r="BP433" s="99" t="s">
        <v>4854</v>
      </c>
      <c r="BQ433" s="99" t="s">
        <v>4854</v>
      </c>
      <c r="BR433" s="90">
        <v>0.74199999999999999</v>
      </c>
      <c r="BS433" s="5" t="s">
        <v>4857</v>
      </c>
    </row>
    <row r="434" spans="1:71" s="30" customFormat="1" ht="17.100000000000001" customHeight="1">
      <c r="A434" s="10">
        <v>423</v>
      </c>
      <c r="B434" s="10" t="s">
        <v>3369</v>
      </c>
      <c r="C434" s="4" t="s">
        <v>3344</v>
      </c>
      <c r="D434" s="4" t="s">
        <v>3370</v>
      </c>
      <c r="E434" s="4" t="s">
        <v>3371</v>
      </c>
      <c r="F434" s="10" t="s">
        <v>3372</v>
      </c>
      <c r="G434" s="4" t="s">
        <v>3373</v>
      </c>
      <c r="H434" s="7" t="s">
        <v>3374</v>
      </c>
      <c r="I434" s="4" t="s">
        <v>3375</v>
      </c>
      <c r="J434" s="10" t="s">
        <v>4362</v>
      </c>
      <c r="K434" s="4" t="s">
        <v>5576</v>
      </c>
      <c r="L434" s="4" t="s">
        <v>3376</v>
      </c>
      <c r="M434" s="10">
        <v>2</v>
      </c>
      <c r="N434" s="95">
        <v>567.27530000000002</v>
      </c>
      <c r="O434" s="38" t="s">
        <v>4854</v>
      </c>
      <c r="P434" s="37" t="str">
        <f>HYPERLINK("http://ms.phosphosite.org:5080/cgi-bin/plot-msms.cgi?MassType=1&amp;NumAxis=1&amp;Mod7=170&amp;Pep=SQEVEDKTR&amp;Dta=/var/www/html/dta/S01/10559.1710.2.dta&amp;Global_Mod=CS57.0215", "1710")</f>
        <v>1710</v>
      </c>
      <c r="Q434" s="37" t="str">
        <f>HYPERLINK("http://ms.phosphosite.org:5080/cgi-bin/plot-msms.cgi?MassType=1&amp;NumAxis=1&amp;Mod7=170&amp;Pep=SQEVEDKTR&amp;Dta=/var/www/html/dta/S01/10560.1703.2.dta&amp;Global_Mod=CS57.0215", "1703")</f>
        <v>1703</v>
      </c>
      <c r="R434" s="38" t="s">
        <v>4854</v>
      </c>
      <c r="S434" s="38" t="s">
        <v>4854</v>
      </c>
      <c r="T434" s="38" t="s">
        <v>4854</v>
      </c>
      <c r="U434" s="38" t="s">
        <v>4854</v>
      </c>
      <c r="V434" s="38" t="s">
        <v>4854</v>
      </c>
      <c r="W434" s="4" t="s">
        <v>4854</v>
      </c>
      <c r="X434" s="4" t="s">
        <v>4854</v>
      </c>
      <c r="Y434" s="4" t="s">
        <v>4854</v>
      </c>
      <c r="Z434" s="4" t="s">
        <v>4854</v>
      </c>
      <c r="AA434" s="4" t="s">
        <v>4854</v>
      </c>
      <c r="AB434" s="4" t="s">
        <v>4854</v>
      </c>
      <c r="AC434" s="4" t="s">
        <v>4854</v>
      </c>
      <c r="AD434" s="4" t="s">
        <v>4854</v>
      </c>
      <c r="AE434" s="100" t="s">
        <v>4854</v>
      </c>
      <c r="AF434" s="91">
        <v>1.776</v>
      </c>
      <c r="AG434" s="91">
        <v>1.7050000000000001</v>
      </c>
      <c r="AH434" s="100" t="s">
        <v>4854</v>
      </c>
      <c r="AI434" s="100" t="s">
        <v>4854</v>
      </c>
      <c r="AJ434" s="100" t="s">
        <v>4854</v>
      </c>
      <c r="AK434" s="100" t="s">
        <v>4854</v>
      </c>
      <c r="AL434" s="100" t="s">
        <v>4854</v>
      </c>
      <c r="AM434" s="103" t="s">
        <v>4854</v>
      </c>
      <c r="AN434" s="95">
        <v>-1.0509999999999999</v>
      </c>
      <c r="AO434" s="95">
        <v>5.6099999999999997E-2</v>
      </c>
      <c r="AP434" s="103" t="s">
        <v>4854</v>
      </c>
      <c r="AQ434" s="103" t="s">
        <v>4854</v>
      </c>
      <c r="AR434" s="103" t="s">
        <v>4854</v>
      </c>
      <c r="AS434" s="103" t="s">
        <v>4854</v>
      </c>
      <c r="AT434" s="103" t="s">
        <v>4854</v>
      </c>
      <c r="AU434" s="103" t="s">
        <v>4854</v>
      </c>
      <c r="AV434" s="95">
        <v>4.1000000000000002E-2</v>
      </c>
      <c r="AW434" s="95">
        <v>5.0000000000000001E-3</v>
      </c>
      <c r="AX434" s="103" t="s">
        <v>4854</v>
      </c>
      <c r="AY434" s="103" t="s">
        <v>4854</v>
      </c>
      <c r="AZ434" s="103" t="s">
        <v>4854</v>
      </c>
      <c r="BA434" s="103" t="s">
        <v>4854</v>
      </c>
      <c r="BB434" s="103" t="s">
        <v>4854</v>
      </c>
      <c r="BC434" s="4" t="s">
        <v>4854</v>
      </c>
      <c r="BD434" s="10">
        <v>3</v>
      </c>
      <c r="BE434" s="10">
        <v>1</v>
      </c>
      <c r="BF434" s="4" t="s">
        <v>4854</v>
      </c>
      <c r="BG434" s="4" t="s">
        <v>4854</v>
      </c>
      <c r="BH434" s="4" t="s">
        <v>4854</v>
      </c>
      <c r="BI434" s="4" t="s">
        <v>4854</v>
      </c>
      <c r="BJ434" s="4" t="s">
        <v>4854</v>
      </c>
      <c r="BK434" s="100" t="s">
        <v>4854</v>
      </c>
      <c r="BL434" s="91">
        <v>0.83099999999999996</v>
      </c>
      <c r="BM434" s="91">
        <v>0.88800000000000001</v>
      </c>
      <c r="BN434" s="100" t="s">
        <v>4854</v>
      </c>
      <c r="BO434" s="100" t="s">
        <v>4854</v>
      </c>
      <c r="BP434" s="100" t="s">
        <v>4854</v>
      </c>
      <c r="BQ434" s="100" t="s">
        <v>4854</v>
      </c>
      <c r="BR434" s="100" t="s">
        <v>4854</v>
      </c>
      <c r="BS434" s="10" t="s">
        <v>4857</v>
      </c>
    </row>
    <row r="435" spans="1:71" s="30" customFormat="1" ht="17.100000000000001" customHeight="1">
      <c r="A435" s="14">
        <v>424</v>
      </c>
      <c r="B435" s="5" t="s">
        <v>3377</v>
      </c>
      <c r="C435" s="3" t="s">
        <v>3344</v>
      </c>
      <c r="D435" s="3" t="s">
        <v>3378</v>
      </c>
      <c r="E435" s="6" t="s">
        <v>3379</v>
      </c>
      <c r="F435" s="5" t="s">
        <v>4383</v>
      </c>
      <c r="G435" s="3" t="s">
        <v>3380</v>
      </c>
      <c r="H435" s="6" t="s">
        <v>3381</v>
      </c>
      <c r="I435" s="3" t="s">
        <v>3382</v>
      </c>
      <c r="J435" s="5" t="s">
        <v>4535</v>
      </c>
      <c r="K435" s="3" t="s">
        <v>5577</v>
      </c>
      <c r="L435" s="3" t="s">
        <v>3383</v>
      </c>
      <c r="M435" s="5">
        <v>3</v>
      </c>
      <c r="N435" s="21">
        <v>577.97370000000001</v>
      </c>
      <c r="O435" s="35" t="s">
        <v>4854</v>
      </c>
      <c r="P435" s="35" t="s">
        <v>4854</v>
      </c>
      <c r="Q435" s="35" t="s">
        <v>4854</v>
      </c>
      <c r="R435" s="35" t="s">
        <v>4854</v>
      </c>
      <c r="S435" s="35" t="s">
        <v>4854</v>
      </c>
      <c r="T435" s="35" t="s">
        <v>4854</v>
      </c>
      <c r="U435" s="36" t="str">
        <f>HYPERLINK("http://ms.phosphosite.org:5080/cgi-bin/plot-msms.cgi?MassType=1&amp;NumAxis=1&amp;Mod2=170&amp;Pep=FKAEHDQLLLNYAK&amp;Dta=/var/www/html/dta/S01/10564.7833.3.dta&amp;Global_Mod=CS57.0215", "7833")</f>
        <v>7833</v>
      </c>
      <c r="V435" s="36" t="str">
        <f>HYPERLINK("http://ms.phosphosite.org:5080/cgi-bin/plot-msms.cgi?MassType=1&amp;NumAxis=1&amp;Mod2=170&amp;Pep=FKAEHDQLLLNYAK&amp;Dta=/var/www/html/dta/S01/10565.7899.3.dta&amp;Global_Mod=CS57.0215", "7899")</f>
        <v>7899</v>
      </c>
      <c r="W435" s="3" t="s">
        <v>4854</v>
      </c>
      <c r="X435" s="3" t="s">
        <v>4854</v>
      </c>
      <c r="Y435" s="3" t="s">
        <v>4854</v>
      </c>
      <c r="Z435" s="3" t="s">
        <v>4854</v>
      </c>
      <c r="AA435" s="3" t="s">
        <v>4854</v>
      </c>
      <c r="AB435" s="3" t="s">
        <v>4854</v>
      </c>
      <c r="AC435" s="5">
        <v>7838</v>
      </c>
      <c r="AD435" s="5">
        <v>7879</v>
      </c>
      <c r="AE435" s="99" t="s">
        <v>4854</v>
      </c>
      <c r="AF435" s="99" t="s">
        <v>4854</v>
      </c>
      <c r="AG435" s="99" t="s">
        <v>4854</v>
      </c>
      <c r="AH435" s="99" t="s">
        <v>4854</v>
      </c>
      <c r="AI435" s="99" t="s">
        <v>4854</v>
      </c>
      <c r="AJ435" s="99" t="s">
        <v>4854</v>
      </c>
      <c r="AK435" s="90">
        <v>3.4329999999999998</v>
      </c>
      <c r="AL435" s="90">
        <v>3.0819999999999999</v>
      </c>
      <c r="AM435" s="102" t="s">
        <v>4854</v>
      </c>
      <c r="AN435" s="102" t="s">
        <v>4854</v>
      </c>
      <c r="AO435" s="102" t="s">
        <v>4854</v>
      </c>
      <c r="AP435" s="102" t="s">
        <v>4854</v>
      </c>
      <c r="AQ435" s="102" t="s">
        <v>4854</v>
      </c>
      <c r="AR435" s="102" t="s">
        <v>4854</v>
      </c>
      <c r="AS435" s="21">
        <v>1.1052999999999999</v>
      </c>
      <c r="AT435" s="21">
        <v>1.9101999999999999</v>
      </c>
      <c r="AU435" s="102" t="s">
        <v>4854</v>
      </c>
      <c r="AV435" s="102" t="s">
        <v>4854</v>
      </c>
      <c r="AW435" s="102" t="s">
        <v>4854</v>
      </c>
      <c r="AX435" s="102" t="s">
        <v>4854</v>
      </c>
      <c r="AY435" s="102" t="s">
        <v>4854</v>
      </c>
      <c r="AZ435" s="102" t="s">
        <v>4854</v>
      </c>
      <c r="BA435" s="21">
        <v>0.25600000000000001</v>
      </c>
      <c r="BB435" s="21">
        <v>0.20699999999999999</v>
      </c>
      <c r="BC435" s="3" t="s">
        <v>4854</v>
      </c>
      <c r="BD435" s="3" t="s">
        <v>4854</v>
      </c>
      <c r="BE435" s="3" t="s">
        <v>4854</v>
      </c>
      <c r="BF435" s="3" t="s">
        <v>4854</v>
      </c>
      <c r="BG435" s="3" t="s">
        <v>4854</v>
      </c>
      <c r="BH435" s="3" t="s">
        <v>4854</v>
      </c>
      <c r="BI435" s="5">
        <v>1</v>
      </c>
      <c r="BJ435" s="5">
        <v>1</v>
      </c>
      <c r="BK435" s="99" t="s">
        <v>4854</v>
      </c>
      <c r="BL435" s="99" t="s">
        <v>4854</v>
      </c>
      <c r="BM435" s="99" t="s">
        <v>4854</v>
      </c>
      <c r="BN435" s="99" t="s">
        <v>4854</v>
      </c>
      <c r="BO435" s="99" t="s">
        <v>4854</v>
      </c>
      <c r="BP435" s="99" t="s">
        <v>4854</v>
      </c>
      <c r="BQ435" s="90">
        <v>1</v>
      </c>
      <c r="BR435" s="90">
        <v>0.999</v>
      </c>
      <c r="BS435" s="5" t="s">
        <v>4857</v>
      </c>
    </row>
    <row r="436" spans="1:71" s="30" customFormat="1" ht="17.100000000000001" customHeight="1">
      <c r="A436" s="10">
        <v>425</v>
      </c>
      <c r="B436" s="10" t="s">
        <v>3384</v>
      </c>
      <c r="C436" s="4" t="s">
        <v>3344</v>
      </c>
      <c r="D436" s="4" t="s">
        <v>3378</v>
      </c>
      <c r="E436" s="7" t="s">
        <v>3379</v>
      </c>
      <c r="F436" s="10" t="s">
        <v>3800</v>
      </c>
      <c r="G436" s="4" t="s">
        <v>3380</v>
      </c>
      <c r="H436" s="7" t="s">
        <v>3381</v>
      </c>
      <c r="I436" s="4" t="s">
        <v>3382</v>
      </c>
      <c r="J436" s="10" t="s">
        <v>4535</v>
      </c>
      <c r="K436" s="4" t="s">
        <v>5578</v>
      </c>
      <c r="L436" s="4" t="s">
        <v>3385</v>
      </c>
      <c r="M436" s="10">
        <v>3</v>
      </c>
      <c r="N436" s="95">
        <v>565.28589999999997</v>
      </c>
      <c r="O436" s="38" t="s">
        <v>4854</v>
      </c>
      <c r="P436" s="38" t="s">
        <v>4854</v>
      </c>
      <c r="Q436" s="37" t="str">
        <f>HYPERLINK("http://ms.phosphosite.org:5080/cgi-bin/plot-msms.cgi?MassType=1&amp;NumAxis=1&amp;Mod3=170&amp;Pep=LYKEELEQTYHAK&amp;Dta=/var/www/html/dta/S01/10560.5911.3.dta&amp;Global_Mod=CS57.0215", "5911")</f>
        <v>5911</v>
      </c>
      <c r="R436" s="38" t="s">
        <v>4854</v>
      </c>
      <c r="S436" s="38" t="s">
        <v>4854</v>
      </c>
      <c r="T436" s="38" t="s">
        <v>4854</v>
      </c>
      <c r="U436" s="38" t="s">
        <v>4854</v>
      </c>
      <c r="V436" s="38" t="s">
        <v>4854</v>
      </c>
      <c r="W436" s="4" t="s">
        <v>4854</v>
      </c>
      <c r="X436" s="4" t="s">
        <v>4854</v>
      </c>
      <c r="Y436" s="4" t="s">
        <v>4854</v>
      </c>
      <c r="Z436" s="4" t="s">
        <v>4854</v>
      </c>
      <c r="AA436" s="4" t="s">
        <v>4854</v>
      </c>
      <c r="AB436" s="4" t="s">
        <v>4854</v>
      </c>
      <c r="AC436" s="4" t="s">
        <v>4854</v>
      </c>
      <c r="AD436" s="4" t="s">
        <v>4854</v>
      </c>
      <c r="AE436" s="100" t="s">
        <v>4854</v>
      </c>
      <c r="AF436" s="100" t="s">
        <v>4854</v>
      </c>
      <c r="AG436" s="91">
        <v>1.514</v>
      </c>
      <c r="AH436" s="100" t="s">
        <v>4854</v>
      </c>
      <c r="AI436" s="100" t="s">
        <v>4854</v>
      </c>
      <c r="AJ436" s="100" t="s">
        <v>4854</v>
      </c>
      <c r="AK436" s="100" t="s">
        <v>4854</v>
      </c>
      <c r="AL436" s="100" t="s">
        <v>4854</v>
      </c>
      <c r="AM436" s="103" t="s">
        <v>4854</v>
      </c>
      <c r="AN436" s="103" t="s">
        <v>4854</v>
      </c>
      <c r="AO436" s="95">
        <v>-0.89610000000000001</v>
      </c>
      <c r="AP436" s="103" t="s">
        <v>4854</v>
      </c>
      <c r="AQ436" s="103" t="s">
        <v>4854</v>
      </c>
      <c r="AR436" s="103" t="s">
        <v>4854</v>
      </c>
      <c r="AS436" s="103" t="s">
        <v>4854</v>
      </c>
      <c r="AT436" s="103" t="s">
        <v>4854</v>
      </c>
      <c r="AU436" s="103" t="s">
        <v>4854</v>
      </c>
      <c r="AV436" s="103" t="s">
        <v>4854</v>
      </c>
      <c r="AW436" s="95">
        <v>1.7999999999999999E-2</v>
      </c>
      <c r="AX436" s="103" t="s">
        <v>4854</v>
      </c>
      <c r="AY436" s="103" t="s">
        <v>4854</v>
      </c>
      <c r="AZ436" s="103" t="s">
        <v>4854</v>
      </c>
      <c r="BA436" s="103" t="s">
        <v>4854</v>
      </c>
      <c r="BB436" s="103" t="s">
        <v>4854</v>
      </c>
      <c r="BC436" s="4" t="s">
        <v>4854</v>
      </c>
      <c r="BD436" s="4" t="s">
        <v>4854</v>
      </c>
      <c r="BE436" s="10">
        <v>238</v>
      </c>
      <c r="BF436" s="4" t="s">
        <v>4854</v>
      </c>
      <c r="BG436" s="4" t="s">
        <v>4854</v>
      </c>
      <c r="BH436" s="4" t="s">
        <v>4854</v>
      </c>
      <c r="BI436" s="4" t="s">
        <v>4854</v>
      </c>
      <c r="BJ436" s="4" t="s">
        <v>4854</v>
      </c>
      <c r="BK436" s="100" t="s">
        <v>4854</v>
      </c>
      <c r="BL436" s="100" t="s">
        <v>4854</v>
      </c>
      <c r="BM436" s="91">
        <v>0.14099999999999999</v>
      </c>
      <c r="BN436" s="100" t="s">
        <v>4854</v>
      </c>
      <c r="BO436" s="100" t="s">
        <v>4854</v>
      </c>
      <c r="BP436" s="100" t="s">
        <v>4854</v>
      </c>
      <c r="BQ436" s="100" t="s">
        <v>4854</v>
      </c>
      <c r="BR436" s="100" t="s">
        <v>4854</v>
      </c>
      <c r="BS436" s="10" t="s">
        <v>4857</v>
      </c>
    </row>
    <row r="437" spans="1:71" s="30" customFormat="1" ht="17.100000000000001" customHeight="1">
      <c r="A437" s="14">
        <v>426</v>
      </c>
      <c r="B437" s="5" t="s">
        <v>3386</v>
      </c>
      <c r="C437" s="3" t="s">
        <v>3344</v>
      </c>
      <c r="D437" s="3" t="s">
        <v>3378</v>
      </c>
      <c r="E437" s="6" t="s">
        <v>3379</v>
      </c>
      <c r="F437" s="5" t="s">
        <v>5053</v>
      </c>
      <c r="G437" s="3" t="s">
        <v>3380</v>
      </c>
      <c r="H437" s="6" t="s">
        <v>3381</v>
      </c>
      <c r="I437" s="3" t="s">
        <v>3382</v>
      </c>
      <c r="J437" s="5" t="s">
        <v>4535</v>
      </c>
      <c r="K437" s="3" t="s">
        <v>5579</v>
      </c>
      <c r="L437" s="3" t="s">
        <v>3387</v>
      </c>
      <c r="M437" s="5">
        <v>3</v>
      </c>
      <c r="N437" s="21">
        <v>759.72190000000001</v>
      </c>
      <c r="O437" s="36" t="str">
        <f>HYPERLINK("http://ms.phosphosite.org:5080/cgi-bin/plot-msms.cgi?MassType=1&amp;NumAxis=1&amp;Mod13=170&amp;Pep=LYKEELEQTYHAKLENAR&amp;Dta=/var/www/html/dta/S01/10558.7070.3.dta&amp;Global_Mod=CS57.0215", "7070")</f>
        <v>7070</v>
      </c>
      <c r="P437" s="36" t="str">
        <f>HYPERLINK("http://ms.phosphosite.org:5080/cgi-bin/plot-msms.cgi?MassType=1&amp;NumAxis=1&amp;Mod13=170&amp;Pep=LYKEELEQTYHAKLENAR&amp;Dta=/var/www/html/dta/S01/10559.7006.3.dta&amp;Global_Mod=CS57.0215", "7006")</f>
        <v>7006</v>
      </c>
      <c r="Q437" s="36" t="str">
        <f>HYPERLINK("http://ms.phosphosite.org:5080/cgi-bin/plot-msms.cgi?MassType=1&amp;NumAxis=1&amp;Mod13=170&amp;Pep=LYKEELEQTYHAKLENAR&amp;Dta=/var/www/html/dta/S01/10560.6969.3.dta&amp;Global_Mod=CS57.0215", "6969")</f>
        <v>6969</v>
      </c>
      <c r="R437" s="36" t="str">
        <f>HYPERLINK("http://ms.phosphosite.org:5080/cgi-bin/plot-msms.cgi?MassType=1&amp;NumAxis=1&amp;Mod13=170&amp;Pep=LYKEELEQTYHAKLENAR&amp;Dta=/var/www/html/dta/S01/10561.7029.3.dta&amp;Global_Mod=CS57.0215", "7029")</f>
        <v>7029</v>
      </c>
      <c r="S437" s="36" t="str">
        <f>HYPERLINK("http://ms.phosphosite.org:5080/cgi-bin/plot-msms.cgi?MassType=1&amp;NumAxis=1&amp;Mod13=170&amp;Pep=LYKEELEQTYHAKLENAR&amp;Dta=/var/www/html/dta/S01/10562.7141.3.dta&amp;Global_Mod=CS57.0215", "7141")</f>
        <v>7141</v>
      </c>
      <c r="T437" s="35" t="s">
        <v>4854</v>
      </c>
      <c r="U437" s="35" t="s">
        <v>4854</v>
      </c>
      <c r="V437" s="36" t="str">
        <f>HYPERLINK("http://ms.phosphosite.org:5080/cgi-bin/plot-msms.cgi?MassType=1&amp;NumAxis=1&amp;Mod13=170&amp;Pep=LYKEELEQTYHAKLENAR&amp;Dta=/var/www/html/dta/S01/10565.7514.3.dta&amp;Global_Mod=CS57.0215", "7514")</f>
        <v>7514</v>
      </c>
      <c r="W437" s="5">
        <v>7061</v>
      </c>
      <c r="X437" s="5">
        <v>7009</v>
      </c>
      <c r="Y437" s="5">
        <v>7004</v>
      </c>
      <c r="Z437" s="3" t="s">
        <v>4854</v>
      </c>
      <c r="AA437" s="5">
        <v>7159</v>
      </c>
      <c r="AB437" s="3" t="s">
        <v>4854</v>
      </c>
      <c r="AC437" s="3" t="s">
        <v>4854</v>
      </c>
      <c r="AD437" s="5">
        <v>7505</v>
      </c>
      <c r="AE437" s="90">
        <v>2.7360000000000002</v>
      </c>
      <c r="AF437" s="90">
        <v>2.4729999999999999</v>
      </c>
      <c r="AG437" s="90">
        <v>2.1219999999999999</v>
      </c>
      <c r="AH437" s="90">
        <v>2.0920000000000001</v>
      </c>
      <c r="AI437" s="90">
        <v>3.3359999999999999</v>
      </c>
      <c r="AJ437" s="99" t="s">
        <v>4854</v>
      </c>
      <c r="AK437" s="99" t="s">
        <v>4854</v>
      </c>
      <c r="AL437" s="90">
        <v>2.4700000000000002</v>
      </c>
      <c r="AM437" s="21">
        <v>-9.0999999999999998E-2</v>
      </c>
      <c r="AN437" s="21">
        <v>-7.6899999999999996E-2</v>
      </c>
      <c r="AO437" s="21">
        <v>0.94059999999999999</v>
      </c>
      <c r="AP437" s="21">
        <v>0.89180000000000004</v>
      </c>
      <c r="AQ437" s="21">
        <v>0.27879999999999999</v>
      </c>
      <c r="AR437" s="102" t="s">
        <v>4854</v>
      </c>
      <c r="AS437" s="102" t="s">
        <v>4854</v>
      </c>
      <c r="AT437" s="21">
        <v>0.1883</v>
      </c>
      <c r="AU437" s="21">
        <v>0.14699999999999999</v>
      </c>
      <c r="AV437" s="21">
        <v>0.318</v>
      </c>
      <c r="AW437" s="21">
        <v>0.13300000000000001</v>
      </c>
      <c r="AX437" s="21">
        <v>2.9000000000000001E-2</v>
      </c>
      <c r="AY437" s="21">
        <v>0.313</v>
      </c>
      <c r="AZ437" s="102" t="s">
        <v>4854</v>
      </c>
      <c r="BA437" s="102" t="s">
        <v>4854</v>
      </c>
      <c r="BB437" s="21">
        <v>0.30399999999999999</v>
      </c>
      <c r="BC437" s="5">
        <v>1</v>
      </c>
      <c r="BD437" s="5">
        <v>1</v>
      </c>
      <c r="BE437" s="5">
        <v>1</v>
      </c>
      <c r="BF437" s="5">
        <v>1</v>
      </c>
      <c r="BG437" s="5">
        <v>1</v>
      </c>
      <c r="BH437" s="3" t="s">
        <v>4854</v>
      </c>
      <c r="BI437" s="3" t="s">
        <v>4854</v>
      </c>
      <c r="BJ437" s="5">
        <v>2</v>
      </c>
      <c r="BK437" s="90">
        <v>0.995</v>
      </c>
      <c r="BL437" s="90">
        <v>0.999</v>
      </c>
      <c r="BM437" s="90">
        <v>0.98499999999999999</v>
      </c>
      <c r="BN437" s="90">
        <v>0.93500000000000005</v>
      </c>
      <c r="BO437" s="90">
        <v>1</v>
      </c>
      <c r="BP437" s="99" t="s">
        <v>4854</v>
      </c>
      <c r="BQ437" s="99" t="s">
        <v>4854</v>
      </c>
      <c r="BR437" s="90">
        <v>0.999</v>
      </c>
      <c r="BS437" s="5" t="s">
        <v>4857</v>
      </c>
    </row>
    <row r="438" spans="1:71" s="30" customFormat="1" ht="17.100000000000001" customHeight="1">
      <c r="A438" s="14">
        <v>427</v>
      </c>
      <c r="B438" s="5" t="s">
        <v>3388</v>
      </c>
      <c r="C438" s="3" t="s">
        <v>3344</v>
      </c>
      <c r="D438" s="3" t="s">
        <v>3378</v>
      </c>
      <c r="E438" s="6" t="s">
        <v>3379</v>
      </c>
      <c r="F438" s="5" t="s">
        <v>5053</v>
      </c>
      <c r="G438" s="3" t="s">
        <v>3380</v>
      </c>
      <c r="H438" s="6" t="s">
        <v>3381</v>
      </c>
      <c r="I438" s="3" t="s">
        <v>3382</v>
      </c>
      <c r="J438" s="5" t="s">
        <v>4535</v>
      </c>
      <c r="K438" s="3" t="s">
        <v>5579</v>
      </c>
      <c r="L438" s="3" t="s">
        <v>3387</v>
      </c>
      <c r="M438" s="5">
        <v>4</v>
      </c>
      <c r="N438" s="21">
        <v>570.04319999999996</v>
      </c>
      <c r="O438" s="35" t="s">
        <v>4854</v>
      </c>
      <c r="P438" s="35" t="s">
        <v>4854</v>
      </c>
      <c r="Q438" s="36" t="str">
        <f>HYPERLINK("http://ms.phosphosite.org:5080/cgi-bin/plot-msms.cgi?MassType=1&amp;NumAxis=1&amp;Mod13=170&amp;Pep=LYKEELEQTYHAKLENAR&amp;Dta=/var/www/html/dta/S01/10560.6984.4.dta&amp;Global_Mod=CS57.0215", "6984")</f>
        <v>6984</v>
      </c>
      <c r="R438" s="36" t="str">
        <f>HYPERLINK("http://ms.phosphosite.org:5080/cgi-bin/plot-msms.cgi?MassType=1&amp;NumAxis=1&amp;Mod13=170&amp;Pep=LYKEELEQTYHAKLENAR&amp;Dta=/var/www/html/dta/S01/10561.7006.4.dta&amp;Global_Mod=CS57.0215", "7006")</f>
        <v>7006</v>
      </c>
      <c r="S438" s="35" t="s">
        <v>4854</v>
      </c>
      <c r="T438" s="35" t="s">
        <v>4854</v>
      </c>
      <c r="U438" s="36" t="str">
        <f>HYPERLINK("http://ms.phosphosite.org:5080/cgi-bin/plot-msms.cgi?MassType=1&amp;NumAxis=1&amp;Mod13=170&amp;Pep=LYKEELEQTYHAKLENAR&amp;Dta=/var/www/html/dta/S01/10564.7412.4.dta&amp;Global_Mod=CS57.0215", "7412")</f>
        <v>7412</v>
      </c>
      <c r="V438" s="36" t="str">
        <f>HYPERLINK("http://ms.phosphosite.org:5080/cgi-bin/plot-msms.cgi?MassType=1&amp;NumAxis=1&amp;Mod13=170&amp;Pep=LYKEELEQTYHAKLENAR&amp;Dta=/var/www/html/dta/S01/10565.7493.4.dta&amp;Global_Mod=CS57.0215", "7493")</f>
        <v>7493</v>
      </c>
      <c r="W438" s="3" t="s">
        <v>4854</v>
      </c>
      <c r="X438" s="3" t="s">
        <v>4854</v>
      </c>
      <c r="Y438" s="5">
        <v>6971</v>
      </c>
      <c r="Z438" s="5">
        <v>7031</v>
      </c>
      <c r="AA438" s="3" t="s">
        <v>4854</v>
      </c>
      <c r="AB438" s="3" t="s">
        <v>4854</v>
      </c>
      <c r="AC438" s="5">
        <v>7453</v>
      </c>
      <c r="AD438" s="5">
        <v>7527</v>
      </c>
      <c r="AE438" s="99" t="s">
        <v>4854</v>
      </c>
      <c r="AF438" s="99" t="s">
        <v>4854</v>
      </c>
      <c r="AG438" s="90">
        <v>3.6720000000000002</v>
      </c>
      <c r="AH438" s="90">
        <v>3.7679999999999998</v>
      </c>
      <c r="AI438" s="99" t="s">
        <v>4854</v>
      </c>
      <c r="AJ438" s="99" t="s">
        <v>4854</v>
      </c>
      <c r="AK438" s="90">
        <v>3.3570000000000002</v>
      </c>
      <c r="AL438" s="90">
        <v>3.1640000000000001</v>
      </c>
      <c r="AM438" s="102" t="s">
        <v>4854</v>
      </c>
      <c r="AN438" s="102" t="s">
        <v>4854</v>
      </c>
      <c r="AO438" s="21">
        <v>0.3785</v>
      </c>
      <c r="AP438" s="21">
        <v>0.74690000000000001</v>
      </c>
      <c r="AQ438" s="102" t="s">
        <v>4854</v>
      </c>
      <c r="AR438" s="102" t="s">
        <v>4854</v>
      </c>
      <c r="AS438" s="21">
        <v>0.34599999999999997</v>
      </c>
      <c r="AT438" s="21">
        <v>-0.1547</v>
      </c>
      <c r="AU438" s="102" t="s">
        <v>4854</v>
      </c>
      <c r="AV438" s="102" t="s">
        <v>4854</v>
      </c>
      <c r="AW438" s="21">
        <v>8.1000000000000003E-2</v>
      </c>
      <c r="AX438" s="21">
        <v>0.25800000000000001</v>
      </c>
      <c r="AY438" s="102" t="s">
        <v>4854</v>
      </c>
      <c r="AZ438" s="102" t="s">
        <v>4854</v>
      </c>
      <c r="BA438" s="21">
        <v>7.9000000000000001E-2</v>
      </c>
      <c r="BB438" s="21">
        <v>0.17399999999999999</v>
      </c>
      <c r="BC438" s="3" t="s">
        <v>4854</v>
      </c>
      <c r="BD438" s="3" t="s">
        <v>4854</v>
      </c>
      <c r="BE438" s="5">
        <v>31</v>
      </c>
      <c r="BF438" s="5">
        <v>2</v>
      </c>
      <c r="BG438" s="3" t="s">
        <v>4854</v>
      </c>
      <c r="BH438" s="3" t="s">
        <v>4854</v>
      </c>
      <c r="BI438" s="5">
        <v>6</v>
      </c>
      <c r="BJ438" s="5">
        <v>1</v>
      </c>
      <c r="BK438" s="99" t="s">
        <v>4854</v>
      </c>
      <c r="BL438" s="99" t="s">
        <v>4854</v>
      </c>
      <c r="BM438" s="90">
        <v>0.96199999999999997</v>
      </c>
      <c r="BN438" s="90">
        <v>1</v>
      </c>
      <c r="BO438" s="99" t="s">
        <v>4854</v>
      </c>
      <c r="BP438" s="99" t="s">
        <v>4854</v>
      </c>
      <c r="BQ438" s="90">
        <v>0.98599999999999999</v>
      </c>
      <c r="BR438" s="90">
        <v>0.999</v>
      </c>
      <c r="BS438" s="5" t="s">
        <v>4857</v>
      </c>
    </row>
    <row r="439" spans="1:71" s="30" customFormat="1" ht="17.100000000000001" customHeight="1">
      <c r="A439" s="10">
        <v>428</v>
      </c>
      <c r="B439" s="10" t="s">
        <v>3389</v>
      </c>
      <c r="C439" s="4" t="s">
        <v>3344</v>
      </c>
      <c r="D439" s="4" t="s">
        <v>3378</v>
      </c>
      <c r="E439" s="7" t="s">
        <v>3379</v>
      </c>
      <c r="F439" s="10" t="s">
        <v>5277</v>
      </c>
      <c r="G439" s="4" t="s">
        <v>3380</v>
      </c>
      <c r="H439" s="7" t="s">
        <v>3381</v>
      </c>
      <c r="I439" s="4" t="s">
        <v>3382</v>
      </c>
      <c r="J439" s="10" t="s">
        <v>4535</v>
      </c>
      <c r="K439" s="4" t="s">
        <v>5580</v>
      </c>
      <c r="L439" s="4" t="s">
        <v>3390</v>
      </c>
      <c r="M439" s="10">
        <v>3</v>
      </c>
      <c r="N439" s="95">
        <v>549.61770000000001</v>
      </c>
      <c r="O439" s="38" t="s">
        <v>4854</v>
      </c>
      <c r="P439" s="38" t="s">
        <v>4854</v>
      </c>
      <c r="Q439" s="38" t="s">
        <v>4854</v>
      </c>
      <c r="R439" s="38" t="s">
        <v>4854</v>
      </c>
      <c r="S439" s="38" t="s">
        <v>4854</v>
      </c>
      <c r="T439" s="38" t="s">
        <v>4854</v>
      </c>
      <c r="U439" s="38" t="s">
        <v>4854</v>
      </c>
      <c r="V439" s="37" t="str">
        <f>HYPERLINK("http://ms.phosphosite.org:5080/cgi-bin/plot-msms.cgi?MassType=1&amp;NumAxis=1&amp;Mod10=170&amp;Pep=KIGDTSVSYKYTSR&amp;Dta=/var/www/html/dta/S01/10565.4773.3.dta&amp;Global_Mod=CS57.0215", "4773")</f>
        <v>4773</v>
      </c>
      <c r="W439" s="4" t="s">
        <v>4854</v>
      </c>
      <c r="X439" s="4" t="s">
        <v>4854</v>
      </c>
      <c r="Y439" s="4" t="s">
        <v>4854</v>
      </c>
      <c r="Z439" s="4" t="s">
        <v>4854</v>
      </c>
      <c r="AA439" s="4" t="s">
        <v>4854</v>
      </c>
      <c r="AB439" s="4" t="s">
        <v>4854</v>
      </c>
      <c r="AC439" s="4" t="s">
        <v>4854</v>
      </c>
      <c r="AD439" s="10">
        <v>4792</v>
      </c>
      <c r="AE439" s="100" t="s">
        <v>4854</v>
      </c>
      <c r="AF439" s="100" t="s">
        <v>4854</v>
      </c>
      <c r="AG439" s="100" t="s">
        <v>4854</v>
      </c>
      <c r="AH439" s="100" t="s">
        <v>4854</v>
      </c>
      <c r="AI439" s="100" t="s">
        <v>4854</v>
      </c>
      <c r="AJ439" s="100" t="s">
        <v>4854</v>
      </c>
      <c r="AK439" s="100" t="s">
        <v>4854</v>
      </c>
      <c r="AL439" s="91">
        <v>2.8220000000000001</v>
      </c>
      <c r="AM439" s="103" t="s">
        <v>4854</v>
      </c>
      <c r="AN439" s="103" t="s">
        <v>4854</v>
      </c>
      <c r="AO439" s="103" t="s">
        <v>4854</v>
      </c>
      <c r="AP439" s="103" t="s">
        <v>4854</v>
      </c>
      <c r="AQ439" s="103" t="s">
        <v>4854</v>
      </c>
      <c r="AR439" s="103" t="s">
        <v>4854</v>
      </c>
      <c r="AS439" s="103" t="s">
        <v>4854</v>
      </c>
      <c r="AT439" s="95">
        <v>2.9348000000000001</v>
      </c>
      <c r="AU439" s="103" t="s">
        <v>4854</v>
      </c>
      <c r="AV439" s="103" t="s">
        <v>4854</v>
      </c>
      <c r="AW439" s="103" t="s">
        <v>4854</v>
      </c>
      <c r="AX439" s="103" t="s">
        <v>4854</v>
      </c>
      <c r="AY439" s="103" t="s">
        <v>4854</v>
      </c>
      <c r="AZ439" s="103" t="s">
        <v>4854</v>
      </c>
      <c r="BA439" s="103" t="s">
        <v>4854</v>
      </c>
      <c r="BB439" s="95">
        <v>0.106</v>
      </c>
      <c r="BC439" s="4" t="s">
        <v>4854</v>
      </c>
      <c r="BD439" s="4" t="s">
        <v>4854</v>
      </c>
      <c r="BE439" s="4" t="s">
        <v>4854</v>
      </c>
      <c r="BF439" s="4" t="s">
        <v>4854</v>
      </c>
      <c r="BG439" s="4" t="s">
        <v>4854</v>
      </c>
      <c r="BH439" s="4" t="s">
        <v>4854</v>
      </c>
      <c r="BI439" s="4" t="s">
        <v>4854</v>
      </c>
      <c r="BJ439" s="10">
        <v>2</v>
      </c>
      <c r="BK439" s="100" t="s">
        <v>4854</v>
      </c>
      <c r="BL439" s="100" t="s">
        <v>4854</v>
      </c>
      <c r="BM439" s="100" t="s">
        <v>4854</v>
      </c>
      <c r="BN439" s="100" t="s">
        <v>4854</v>
      </c>
      <c r="BO439" s="100" t="s">
        <v>4854</v>
      </c>
      <c r="BP439" s="100" t="s">
        <v>4854</v>
      </c>
      <c r="BQ439" s="100" t="s">
        <v>4854</v>
      </c>
      <c r="BR439" s="91">
        <v>0.97199999999999998</v>
      </c>
      <c r="BS439" s="10" t="s">
        <v>4857</v>
      </c>
    </row>
    <row r="440" spans="1:71" s="30" customFormat="1" ht="17.100000000000001" customHeight="1">
      <c r="A440" s="14">
        <v>429</v>
      </c>
      <c r="B440" s="5" t="s">
        <v>3391</v>
      </c>
      <c r="C440" s="3" t="s">
        <v>3344</v>
      </c>
      <c r="D440" s="3" t="s">
        <v>3392</v>
      </c>
      <c r="E440" s="3" t="s">
        <v>3393</v>
      </c>
      <c r="F440" s="5" t="s">
        <v>3832</v>
      </c>
      <c r="G440" s="3" t="s">
        <v>3394</v>
      </c>
      <c r="H440" s="6" t="s">
        <v>3395</v>
      </c>
      <c r="I440" s="3" t="s">
        <v>3396</v>
      </c>
      <c r="J440" s="5" t="s">
        <v>4696</v>
      </c>
      <c r="K440" s="3" t="s">
        <v>5581</v>
      </c>
      <c r="L440" s="3" t="s">
        <v>3397</v>
      </c>
      <c r="M440" s="5">
        <v>3</v>
      </c>
      <c r="N440" s="21">
        <v>789.41139999999996</v>
      </c>
      <c r="O440" s="36" t="str">
        <f>HYPERLINK("http://ms.phosphosite.org:5080/cgi-bin/plot-msms.cgi?MassType=1&amp;NumAxis=1&amp;Mod3=170&amp;Pep=SDKDLETQVIQLNEQVHSLK&amp;Dta=/var/www/html/dta/S01/10558.10639.3.dta&amp;Global_Mod=CS57.0215", "10639")</f>
        <v>10639</v>
      </c>
      <c r="P440" s="36" t="str">
        <f>HYPERLINK("http://ms.phosphosite.org:5080/cgi-bin/plot-msms.cgi?MassType=1&amp;NumAxis=1&amp;Mod3=170&amp;Pep=SDKDLETQVIQLNEQVHSLK&amp;Dta=/var/www/html/dta/S01/10559.10623.3.dta&amp;Global_Mod=CS57.0215", "10623")</f>
        <v>10623</v>
      </c>
      <c r="Q440" s="36" t="str">
        <f>HYPERLINK("http://ms.phosphosite.org:5080/cgi-bin/plot-msms.cgi?MassType=1&amp;NumAxis=1&amp;Mod3=170&amp;Pep=SDKDLETQVIQLNEQVHSLK&amp;Dta=/var/www/html/dta/S01/10560.10665.3.dta&amp;Global_Mod=CS57.0215", "10665")</f>
        <v>10665</v>
      </c>
      <c r="R440" s="36" t="str">
        <f>HYPERLINK("http://ms.phosphosite.org:5080/cgi-bin/plot-msms.cgi?MassType=1&amp;NumAxis=1&amp;Mod3=170&amp;Pep=SDKDLETQVIQLNEQVHSLK&amp;Dta=/var/www/html/dta/S01/10561.10677.3.dta&amp;Global_Mod=CS57.0215", "10677")</f>
        <v>10677</v>
      </c>
      <c r="S440" s="36" t="str">
        <f>HYPERLINK("http://ms.phosphosite.org:5080/cgi-bin/plot-msms.cgi?MassType=1&amp;NumAxis=1&amp;Mod3=170&amp;Pep=SDKDLETQVIQLNEQVHSLK&amp;Dta=/var/www/html/dta/S01/10562.10848.3.dta&amp;Global_Mod=CS57.0215", "10848")</f>
        <v>10848</v>
      </c>
      <c r="T440" s="36" t="str">
        <f>HYPERLINK("http://ms.phosphosite.org:5080/cgi-bin/plot-msms.cgi?MassType=1&amp;NumAxis=1&amp;Mod3=170&amp;Pep=SDKDLETQVIQLNEQVHSLK&amp;Dta=/var/www/html/dta/S01/10563.10793.3.dta&amp;Global_Mod=CS57.0215", "10793")</f>
        <v>10793</v>
      </c>
      <c r="U440" s="36" t="str">
        <f>HYPERLINK("http://ms.phosphosite.org:5080/cgi-bin/plot-msms.cgi?MassType=1&amp;NumAxis=1&amp;Mod3=170&amp;Pep=SDKDLETQVIQLNEQVHSLK&amp;Dta=/var/www/html/dta/S01/10564.11298.3.dta&amp;Global_Mod=CS57.0215", "11298")</f>
        <v>11298</v>
      </c>
      <c r="V440" s="36" t="str">
        <f>HYPERLINK("http://ms.phosphosite.org:5080/cgi-bin/plot-msms.cgi?MassType=1&amp;NumAxis=1&amp;Mod3=170&amp;Pep=SDKDLETQVIQLNEQVHSLK&amp;Dta=/var/www/html/dta/S01/10565.11260.3.dta&amp;Global_Mod=CS57.0215", "11260")</f>
        <v>11260</v>
      </c>
      <c r="W440" s="3" t="s">
        <v>4854</v>
      </c>
      <c r="X440" s="3" t="s">
        <v>4854</v>
      </c>
      <c r="Y440" s="5">
        <v>10678</v>
      </c>
      <c r="Z440" s="3" t="s">
        <v>4854</v>
      </c>
      <c r="AA440" s="3" t="s">
        <v>4854</v>
      </c>
      <c r="AB440" s="5">
        <v>10809</v>
      </c>
      <c r="AC440" s="5">
        <v>11314</v>
      </c>
      <c r="AD440" s="5">
        <v>11256</v>
      </c>
      <c r="AE440" s="90">
        <v>2.629</v>
      </c>
      <c r="AF440" s="90">
        <v>2.1120000000000001</v>
      </c>
      <c r="AG440" s="90">
        <v>2.7730000000000001</v>
      </c>
      <c r="AH440" s="90">
        <v>2.391</v>
      </c>
      <c r="AI440" s="90">
        <v>2.9790000000000001</v>
      </c>
      <c r="AJ440" s="90">
        <v>2.968</v>
      </c>
      <c r="AK440" s="90">
        <v>2.9359999999999999</v>
      </c>
      <c r="AL440" s="90">
        <v>2.8860000000000001</v>
      </c>
      <c r="AM440" s="21">
        <v>-1.1089</v>
      </c>
      <c r="AN440" s="21">
        <v>-0.90910000000000002</v>
      </c>
      <c r="AO440" s="21">
        <v>-0.74590000000000001</v>
      </c>
      <c r="AP440" s="21">
        <v>-0.91410000000000002</v>
      </c>
      <c r="AQ440" s="21">
        <v>-1.21</v>
      </c>
      <c r="AR440" s="21">
        <v>-1.0857000000000001</v>
      </c>
      <c r="AS440" s="21">
        <v>-1.1541999999999999</v>
      </c>
      <c r="AT440" s="21">
        <v>-1.4073</v>
      </c>
      <c r="AU440" s="21">
        <v>0.16600000000000001</v>
      </c>
      <c r="AV440" s="21">
        <v>3.5999999999999997E-2</v>
      </c>
      <c r="AW440" s="21">
        <v>0.19600000000000001</v>
      </c>
      <c r="AX440" s="21">
        <v>0.218</v>
      </c>
      <c r="AY440" s="21">
        <v>0.23699999999999999</v>
      </c>
      <c r="AZ440" s="21">
        <v>0.25</v>
      </c>
      <c r="BA440" s="21">
        <v>0.29499999999999998</v>
      </c>
      <c r="BB440" s="21">
        <v>0.29599999999999999</v>
      </c>
      <c r="BC440" s="5">
        <v>3</v>
      </c>
      <c r="BD440" s="5">
        <v>97</v>
      </c>
      <c r="BE440" s="5">
        <v>7</v>
      </c>
      <c r="BF440" s="5">
        <v>27</v>
      </c>
      <c r="BG440" s="5">
        <v>49</v>
      </c>
      <c r="BH440" s="5">
        <v>8</v>
      </c>
      <c r="BI440" s="5">
        <v>49</v>
      </c>
      <c r="BJ440" s="5">
        <v>19</v>
      </c>
      <c r="BK440" s="90">
        <v>0.88400000000000001</v>
      </c>
      <c r="BL440" s="90">
        <v>0.30399999999999999</v>
      </c>
      <c r="BM440" s="90">
        <v>0.95299999999999996</v>
      </c>
      <c r="BN440" s="90">
        <v>0.92100000000000004</v>
      </c>
      <c r="BO440" s="90">
        <v>0.94</v>
      </c>
      <c r="BP440" s="90">
        <v>0.96799999999999997</v>
      </c>
      <c r="BQ440" s="90">
        <v>0.97199999999999998</v>
      </c>
      <c r="BR440" s="90">
        <v>0.97699999999999998</v>
      </c>
      <c r="BS440" s="5" t="s">
        <v>4857</v>
      </c>
    </row>
    <row r="441" spans="1:71" s="30" customFormat="1" ht="17.100000000000001" customHeight="1">
      <c r="A441" s="10">
        <v>430</v>
      </c>
      <c r="B441" s="10" t="s">
        <v>3398</v>
      </c>
      <c r="C441" s="4" t="s">
        <v>3344</v>
      </c>
      <c r="D441" s="4" t="s">
        <v>3258</v>
      </c>
      <c r="E441" s="7" t="s">
        <v>3259</v>
      </c>
      <c r="F441" s="10" t="s">
        <v>3260</v>
      </c>
      <c r="G441" s="4" t="s">
        <v>3261</v>
      </c>
      <c r="H441" s="7" t="s">
        <v>3262</v>
      </c>
      <c r="I441" s="4" t="s">
        <v>3263</v>
      </c>
      <c r="J441" s="10" t="s">
        <v>3264</v>
      </c>
      <c r="K441" s="4" t="s">
        <v>5582</v>
      </c>
      <c r="L441" s="4" t="s">
        <v>3265</v>
      </c>
      <c r="M441" s="10">
        <v>2</v>
      </c>
      <c r="N441" s="95">
        <v>715.91629999999998</v>
      </c>
      <c r="O441" s="37" t="str">
        <f>HYPERLINK("http://ms.phosphosite.org:5080/cgi-bin/plot-msms.cgi?MassType=1&amp;NumAxis=1&amp;Mod6=170&amp;Pep=VQIVYKPVDLSK&amp;Dta=/var/www/html/dta/S01/10558.8451.2.dta&amp;Global_Mod=CS57.0215", "8451")</f>
        <v>8451</v>
      </c>
      <c r="P441" s="37" t="str">
        <f>HYPERLINK("http://ms.phosphosite.org:5080/cgi-bin/plot-msms.cgi?MassType=1&amp;NumAxis=1&amp;Mod6=170&amp;Pep=VQIVYKPVDLSK&amp;Dta=/var/www/html/dta/S01/10559.8434.2.dta&amp;Global_Mod=CS57.0215", "8434")</f>
        <v>8434</v>
      </c>
      <c r="Q441" s="37" t="str">
        <f>HYPERLINK("http://ms.phosphosite.org:5080/cgi-bin/plot-msms.cgi?MassType=1&amp;NumAxis=1&amp;Mod6=170&amp;Pep=VQIVYKPVDLSK&amp;Dta=/var/www/html/dta/S01/10560.8440.2.dta&amp;Global_Mod=CS57.0215", "8440")</f>
        <v>8440</v>
      </c>
      <c r="R441" s="37" t="str">
        <f>HYPERLINK("http://ms.phosphosite.org:5080/cgi-bin/plot-msms.cgi?MassType=1&amp;NumAxis=1&amp;Mod6=170&amp;Pep=VQIVYKPVDLSK&amp;Dta=/var/www/html/dta/S01/10561.8488.2.dta&amp;Global_Mod=CS57.0215", "8488")</f>
        <v>8488</v>
      </c>
      <c r="S441" s="37" t="str">
        <f>HYPERLINK("http://ms.phosphosite.org:5080/cgi-bin/plot-msms.cgi?MassType=1&amp;NumAxis=1&amp;Mod6=170&amp;Pep=VQIVYKPVDLSK&amp;Dta=/var/www/html/dta/S01/10562.8596.2.dta&amp;Global_Mod=CS57.0215", "8596")</f>
        <v>8596</v>
      </c>
      <c r="T441" s="37" t="str">
        <f>HYPERLINK("http://ms.phosphosite.org:5080/cgi-bin/plot-msms.cgi?MassType=1&amp;NumAxis=1&amp;Mod6=170&amp;Pep=VQIVYKPVDLSK&amp;Dta=/var/www/html/dta/S01/10563.8568.2.dta&amp;Global_Mod=CS57.0215", "8568")</f>
        <v>8568</v>
      </c>
      <c r="U441" s="37" t="str">
        <f>HYPERLINK("http://ms.phosphosite.org:5080/cgi-bin/plot-msms.cgi?MassType=1&amp;NumAxis=1&amp;Mod6=170&amp;Pep=VQIVYKPVDLSK&amp;Dta=/var/www/html/dta/S01/10564.8997.2.dta&amp;Global_Mod=CS57.0215", "8997")</f>
        <v>8997</v>
      </c>
      <c r="V441" s="37" t="str">
        <f>HYPERLINK("http://ms.phosphosite.org:5080/cgi-bin/plot-msms.cgi?MassType=1&amp;NumAxis=1&amp;Mod6=170&amp;Pep=VQIVYKPVDLSK&amp;Dta=/var/www/html/dta/S01/10565.8977.2.dta&amp;Global_Mod=CS57.0215", "8977")</f>
        <v>8977</v>
      </c>
      <c r="W441" s="10">
        <v>8502</v>
      </c>
      <c r="X441" s="10">
        <v>8483</v>
      </c>
      <c r="Y441" s="10">
        <v>8489</v>
      </c>
      <c r="Z441" s="10">
        <v>8527</v>
      </c>
      <c r="AA441" s="10">
        <v>8633</v>
      </c>
      <c r="AB441" s="10">
        <v>8598</v>
      </c>
      <c r="AC441" s="10">
        <v>9004</v>
      </c>
      <c r="AD441" s="10">
        <v>9012</v>
      </c>
      <c r="AE441" s="91">
        <v>3.0230000000000001</v>
      </c>
      <c r="AF441" s="91">
        <v>3.0990000000000002</v>
      </c>
      <c r="AG441" s="91">
        <v>3.1360000000000001</v>
      </c>
      <c r="AH441" s="91">
        <v>3.298</v>
      </c>
      <c r="AI441" s="91">
        <v>3.2149999999999999</v>
      </c>
      <c r="AJ441" s="91">
        <v>3.343</v>
      </c>
      <c r="AK441" s="91">
        <v>3.6659999999999999</v>
      </c>
      <c r="AL441" s="91">
        <v>3.706</v>
      </c>
      <c r="AM441" s="95">
        <v>0.2097</v>
      </c>
      <c r="AN441" s="95">
        <v>0.42499999999999999</v>
      </c>
      <c r="AO441" s="95">
        <v>0.51719999999999999</v>
      </c>
      <c r="AP441" s="95">
        <v>0.56620000000000004</v>
      </c>
      <c r="AQ441" s="95">
        <v>0.2419</v>
      </c>
      <c r="AR441" s="95">
        <v>0.39910000000000001</v>
      </c>
      <c r="AS441" s="95">
        <v>0.2412</v>
      </c>
      <c r="AT441" s="95">
        <v>-0.18090000000000001</v>
      </c>
      <c r="AU441" s="95">
        <v>0.3</v>
      </c>
      <c r="AV441" s="95">
        <v>0.33600000000000002</v>
      </c>
      <c r="AW441" s="95">
        <v>0.34899999999999998</v>
      </c>
      <c r="AX441" s="95">
        <v>0.39100000000000001</v>
      </c>
      <c r="AY441" s="95">
        <v>0.376</v>
      </c>
      <c r="AZ441" s="95">
        <v>0.34100000000000003</v>
      </c>
      <c r="BA441" s="95">
        <v>0.34699999999999998</v>
      </c>
      <c r="BB441" s="95">
        <v>0.36099999999999999</v>
      </c>
      <c r="BC441" s="10">
        <v>1</v>
      </c>
      <c r="BD441" s="10">
        <v>1</v>
      </c>
      <c r="BE441" s="10">
        <v>1</v>
      </c>
      <c r="BF441" s="10">
        <v>1</v>
      </c>
      <c r="BG441" s="10">
        <v>1</v>
      </c>
      <c r="BH441" s="10">
        <v>1</v>
      </c>
      <c r="BI441" s="10">
        <v>1</v>
      </c>
      <c r="BJ441" s="10">
        <v>1</v>
      </c>
      <c r="BK441" s="91">
        <v>0.99199999999999999</v>
      </c>
      <c r="BL441" s="91">
        <v>0.995</v>
      </c>
      <c r="BM441" s="91">
        <v>0.996</v>
      </c>
      <c r="BN441" s="91">
        <v>0.998</v>
      </c>
      <c r="BO441" s="91">
        <v>0.997</v>
      </c>
      <c r="BP441" s="91">
        <v>0.996</v>
      </c>
      <c r="BQ441" s="91">
        <v>0.998</v>
      </c>
      <c r="BR441" s="91">
        <v>0.998</v>
      </c>
      <c r="BS441" s="10" t="s">
        <v>4857</v>
      </c>
    </row>
    <row r="442" spans="1:71" s="30" customFormat="1" ht="17.100000000000001" customHeight="1">
      <c r="A442" s="10">
        <v>431</v>
      </c>
      <c r="B442" s="10" t="s">
        <v>3266</v>
      </c>
      <c r="C442" s="4" t="s">
        <v>3344</v>
      </c>
      <c r="D442" s="4" t="s">
        <v>3258</v>
      </c>
      <c r="E442" s="7" t="s">
        <v>3259</v>
      </c>
      <c r="F442" s="10" t="s">
        <v>3260</v>
      </c>
      <c r="G442" s="4" t="s">
        <v>3261</v>
      </c>
      <c r="H442" s="7" t="s">
        <v>3262</v>
      </c>
      <c r="I442" s="4" t="s">
        <v>3263</v>
      </c>
      <c r="J442" s="10" t="s">
        <v>3264</v>
      </c>
      <c r="K442" s="4" t="s">
        <v>5582</v>
      </c>
      <c r="L442" s="4" t="s">
        <v>3265</v>
      </c>
      <c r="M442" s="10">
        <v>2</v>
      </c>
      <c r="N442" s="95">
        <v>715.91629999999998</v>
      </c>
      <c r="O442" s="37" t="str">
        <f>HYPERLINK("http://ms.phosphosite.org:5080/cgi-bin/plot-msms.cgi?MassType=1&amp;NumAxis=1&amp;Mod6=170&amp;Pep=VQIVYKPVDLSK&amp;Dta=/var/www/html/dta/S01/10558.8540.2.dta&amp;Global_Mod=CS57.0215", "8540")</f>
        <v>8540</v>
      </c>
      <c r="P442" s="38" t="s">
        <v>4854</v>
      </c>
      <c r="Q442" s="37" t="str">
        <f>HYPERLINK("http://ms.phosphosite.org:5080/cgi-bin/plot-msms.cgi?MassType=1&amp;NumAxis=1&amp;Mod6=170&amp;Pep=VQIVYKPVDLSK&amp;Dta=/var/www/html/dta/S01/10560.8524.2.dta&amp;Global_Mod=CS57.0215", "8524")</f>
        <v>8524</v>
      </c>
      <c r="R442" s="38" t="s">
        <v>4854</v>
      </c>
      <c r="S442" s="38" t="s">
        <v>4854</v>
      </c>
      <c r="T442" s="38" t="s">
        <v>4854</v>
      </c>
      <c r="U442" s="37" t="str">
        <f>HYPERLINK("http://ms.phosphosite.org:5080/cgi-bin/plot-msms.cgi?MassType=1&amp;NumAxis=1&amp;Mod6=170&amp;Pep=VQIVYKPVDLSK&amp;Dta=/var/www/html/dta/S01/10564.9041.2.dta&amp;Global_Mod=CS57.0215", "9041")</f>
        <v>9041</v>
      </c>
      <c r="V442" s="38" t="s">
        <v>4854</v>
      </c>
      <c r="W442" s="10">
        <v>8502</v>
      </c>
      <c r="X442" s="4" t="s">
        <v>4854</v>
      </c>
      <c r="Y442" s="10">
        <v>8489</v>
      </c>
      <c r="Z442" s="4" t="s">
        <v>4854</v>
      </c>
      <c r="AA442" s="4" t="s">
        <v>4854</v>
      </c>
      <c r="AB442" s="4" t="s">
        <v>4854</v>
      </c>
      <c r="AC442" s="10">
        <v>9004</v>
      </c>
      <c r="AD442" s="4" t="s">
        <v>4854</v>
      </c>
      <c r="AE442" s="91">
        <v>2.8119999999999998</v>
      </c>
      <c r="AF442" s="100" t="s">
        <v>4854</v>
      </c>
      <c r="AG442" s="91">
        <v>3.1070000000000002</v>
      </c>
      <c r="AH442" s="100" t="s">
        <v>4854</v>
      </c>
      <c r="AI442" s="100" t="s">
        <v>4854</v>
      </c>
      <c r="AJ442" s="100" t="s">
        <v>4854</v>
      </c>
      <c r="AK442" s="91">
        <v>3.4209999999999998</v>
      </c>
      <c r="AL442" s="100" t="s">
        <v>4854</v>
      </c>
      <c r="AM442" s="95">
        <v>0.20830000000000001</v>
      </c>
      <c r="AN442" s="103" t="s">
        <v>4854</v>
      </c>
      <c r="AO442" s="95">
        <v>0.52210000000000001</v>
      </c>
      <c r="AP442" s="103" t="s">
        <v>4854</v>
      </c>
      <c r="AQ442" s="103" t="s">
        <v>4854</v>
      </c>
      <c r="AR442" s="103" t="s">
        <v>4854</v>
      </c>
      <c r="AS442" s="95">
        <v>0.2412</v>
      </c>
      <c r="AT442" s="103" t="s">
        <v>4854</v>
      </c>
      <c r="AU442" s="95">
        <v>0.32600000000000001</v>
      </c>
      <c r="AV442" s="103" t="s">
        <v>4854</v>
      </c>
      <c r="AW442" s="95">
        <v>0.35299999999999998</v>
      </c>
      <c r="AX442" s="103" t="s">
        <v>4854</v>
      </c>
      <c r="AY442" s="103" t="s">
        <v>4854</v>
      </c>
      <c r="AZ442" s="103" t="s">
        <v>4854</v>
      </c>
      <c r="BA442" s="95">
        <v>0.41799999999999998</v>
      </c>
      <c r="BB442" s="103" t="s">
        <v>4854</v>
      </c>
      <c r="BC442" s="10">
        <v>1</v>
      </c>
      <c r="BD442" s="4" t="s">
        <v>4854</v>
      </c>
      <c r="BE442" s="10">
        <v>1</v>
      </c>
      <c r="BF442" s="4" t="s">
        <v>4854</v>
      </c>
      <c r="BG442" s="4" t="s">
        <v>4854</v>
      </c>
      <c r="BH442" s="4" t="s">
        <v>4854</v>
      </c>
      <c r="BI442" s="10">
        <v>1</v>
      </c>
      <c r="BJ442" s="4" t="s">
        <v>4854</v>
      </c>
      <c r="BK442" s="91">
        <v>0.99199999999999999</v>
      </c>
      <c r="BL442" s="100" t="s">
        <v>4854</v>
      </c>
      <c r="BM442" s="91">
        <v>0.996</v>
      </c>
      <c r="BN442" s="100" t="s">
        <v>4854</v>
      </c>
      <c r="BO442" s="100" t="s">
        <v>4854</v>
      </c>
      <c r="BP442" s="100" t="s">
        <v>4854</v>
      </c>
      <c r="BQ442" s="91">
        <v>0.998</v>
      </c>
      <c r="BR442" s="100" t="s">
        <v>4854</v>
      </c>
      <c r="BS442" s="10" t="s">
        <v>4857</v>
      </c>
    </row>
    <row r="443" spans="1:71" s="30" customFormat="1" ht="17.100000000000001" customHeight="1">
      <c r="A443" s="14">
        <v>432</v>
      </c>
      <c r="B443" s="5" t="s">
        <v>3267</v>
      </c>
      <c r="C443" s="3" t="s">
        <v>3344</v>
      </c>
      <c r="D443" s="3" t="s">
        <v>3268</v>
      </c>
      <c r="E443" s="6" t="s">
        <v>3269</v>
      </c>
      <c r="F443" s="5" t="s">
        <v>3270</v>
      </c>
      <c r="G443" s="3" t="s">
        <v>3271</v>
      </c>
      <c r="H443" s="6" t="s">
        <v>3272</v>
      </c>
      <c r="I443" s="3" t="s">
        <v>3273</v>
      </c>
      <c r="J443" s="5" t="s">
        <v>3274</v>
      </c>
      <c r="K443" s="3" t="s">
        <v>5583</v>
      </c>
      <c r="L443" s="3" t="s">
        <v>3275</v>
      </c>
      <c r="M443" s="5">
        <v>3</v>
      </c>
      <c r="N443" s="21">
        <v>867.08429999999998</v>
      </c>
      <c r="O443" s="36" t="str">
        <f>HYPERLINK("http://ms.phosphosite.org:5080/cgi-bin/plot-msms.cgi?MassType=1&amp;NumAxis=1&amp;Mod7=170&amp;Pep=NEGHEEKPLPPAQSQTQEGGPAAGK&amp;Dta=/var/www/html/dta/S01/10558.3235.3.dta&amp;Global_Mod=CS57.0215", "3235")</f>
        <v>3235</v>
      </c>
      <c r="P443" s="36" t="str">
        <f>HYPERLINK("http://ms.phosphosite.org:5080/cgi-bin/plot-msms.cgi?MassType=1&amp;NumAxis=1&amp;Mod7=170&amp;Pep=NEGHEEKPLPPAQSQTQEGGPAAGK&amp;Dta=/var/www/html/dta/S01/10559.3182.3.dta&amp;Global_Mod=CS57.0215", "3182")</f>
        <v>3182</v>
      </c>
      <c r="Q443" s="36" t="str">
        <f>HYPERLINK("http://ms.phosphosite.org:5080/cgi-bin/plot-msms.cgi?MassType=1&amp;NumAxis=1&amp;Mod7=170&amp;Pep=NEGHEEKPLPPAQSQTQEGGPAAGK&amp;Dta=/var/www/html/dta/S01/10560.3178.3.dta&amp;Global_Mod=CS57.0215", "3178")</f>
        <v>3178</v>
      </c>
      <c r="R443" s="36" t="str">
        <f>HYPERLINK("http://ms.phosphosite.org:5080/cgi-bin/plot-msms.cgi?MassType=1&amp;NumAxis=1&amp;Mod7=170&amp;Pep=NEGHEEKPLPPAQSQTQEGGPAAGK&amp;Dta=/var/www/html/dta/S01/10561.3182.3.dta&amp;Global_Mod=CS57.0215", "3182")</f>
        <v>3182</v>
      </c>
      <c r="S443" s="36" t="str">
        <f>HYPERLINK("http://ms.phosphosite.org:5080/cgi-bin/plot-msms.cgi?MassType=1&amp;NumAxis=1&amp;Mod7=170&amp;Pep=NEGHEEKPLPPAQSQTQEGGPAAGK&amp;Dta=/var/www/html/dta/S01/10562.3293.3.dta&amp;Global_Mod=CS57.0215", "3293")</f>
        <v>3293</v>
      </c>
      <c r="T443" s="36" t="str">
        <f>HYPERLINK("http://ms.phosphosite.org:5080/cgi-bin/plot-msms.cgi?MassType=1&amp;NumAxis=1&amp;Mod7=170&amp;Pep=NEGHEEKPLPPAQSQTQEGGPAAGK&amp;Dta=/var/www/html/dta/S01/10563.3217.3.dta&amp;Global_Mod=CS57.0215", "3217")</f>
        <v>3217</v>
      </c>
      <c r="U443" s="36" t="str">
        <f>HYPERLINK("http://ms.phosphosite.org:5080/cgi-bin/plot-msms.cgi?MassType=1&amp;NumAxis=1&amp;Mod7=170&amp;Pep=NEGHEEKPLPPAQSQTQEGGPAAGK&amp;Dta=/var/www/html/dta/S01/10564.3505.3.dta&amp;Global_Mod=CS57.0215", "3505")</f>
        <v>3505</v>
      </c>
      <c r="V443" s="36" t="str">
        <f>HYPERLINK("http://ms.phosphosite.org:5080/cgi-bin/plot-msms.cgi?MassType=1&amp;NumAxis=1&amp;Mod7=170&amp;Pep=NEGHEEKPLPPAQSQTQEGGPAAGK&amp;Dta=/var/www/html/dta/S01/10565.3574.3.dta&amp;Global_Mod=CS57.0215", "3574")</f>
        <v>3574</v>
      </c>
      <c r="W443" s="5">
        <v>3272</v>
      </c>
      <c r="X443" s="5">
        <v>3209</v>
      </c>
      <c r="Y443" s="5">
        <v>3201</v>
      </c>
      <c r="Z443" s="5">
        <v>3185</v>
      </c>
      <c r="AA443" s="5">
        <v>3306</v>
      </c>
      <c r="AB443" s="5">
        <v>3251</v>
      </c>
      <c r="AC443" s="5">
        <v>3528</v>
      </c>
      <c r="AD443" s="5">
        <v>3597</v>
      </c>
      <c r="AE443" s="90">
        <v>4.3689999999999998</v>
      </c>
      <c r="AF443" s="90">
        <v>3.8319999999999999</v>
      </c>
      <c r="AG443" s="90">
        <v>3.9319999999999999</v>
      </c>
      <c r="AH443" s="90">
        <v>4.5149999999999997</v>
      </c>
      <c r="AI443" s="90">
        <v>4.17</v>
      </c>
      <c r="AJ443" s="90">
        <v>4.4329999999999998</v>
      </c>
      <c r="AK443" s="90">
        <v>4.423</v>
      </c>
      <c r="AL443" s="90">
        <v>4.3109999999999999</v>
      </c>
      <c r="AM443" s="21">
        <v>0.69840000000000002</v>
      </c>
      <c r="AN443" s="21">
        <v>0.80379999999999996</v>
      </c>
      <c r="AO443" s="21">
        <v>0.64839999999999998</v>
      </c>
      <c r="AP443" s="21">
        <v>1.3075000000000001</v>
      </c>
      <c r="AQ443" s="21">
        <v>0.68540000000000001</v>
      </c>
      <c r="AR443" s="21">
        <v>0.85729999999999995</v>
      </c>
      <c r="AS443" s="21">
        <v>0.71499999999999997</v>
      </c>
      <c r="AT443" s="21">
        <v>0.39529999999999998</v>
      </c>
      <c r="AU443" s="21">
        <v>0.35499999999999998</v>
      </c>
      <c r="AV443" s="21">
        <v>0.48899999999999999</v>
      </c>
      <c r="AW443" s="21">
        <v>0.34</v>
      </c>
      <c r="AX443" s="21">
        <v>0.45600000000000002</v>
      </c>
      <c r="AY443" s="21">
        <v>0.46500000000000002</v>
      </c>
      <c r="AZ443" s="21">
        <v>0.436</v>
      </c>
      <c r="BA443" s="21">
        <v>0.45500000000000002</v>
      </c>
      <c r="BB443" s="21">
        <v>0.45300000000000001</v>
      </c>
      <c r="BC443" s="5">
        <v>1</v>
      </c>
      <c r="BD443" s="5">
        <v>1</v>
      </c>
      <c r="BE443" s="5">
        <v>1</v>
      </c>
      <c r="BF443" s="5">
        <v>1</v>
      </c>
      <c r="BG443" s="5">
        <v>1</v>
      </c>
      <c r="BH443" s="5">
        <v>1</v>
      </c>
      <c r="BI443" s="5">
        <v>1</v>
      </c>
      <c r="BJ443" s="5">
        <v>1</v>
      </c>
      <c r="BK443" s="90">
        <v>1</v>
      </c>
      <c r="BL443" s="90">
        <v>1</v>
      </c>
      <c r="BM443" s="90">
        <v>1</v>
      </c>
      <c r="BN443" s="90">
        <v>1</v>
      </c>
      <c r="BO443" s="90">
        <v>1</v>
      </c>
      <c r="BP443" s="90">
        <v>1</v>
      </c>
      <c r="BQ443" s="90">
        <v>1</v>
      </c>
      <c r="BR443" s="90">
        <v>1</v>
      </c>
      <c r="BS443" s="5" t="s">
        <v>4857</v>
      </c>
    </row>
    <row r="444" spans="1:71" s="30" customFormat="1" ht="17.100000000000001" customHeight="1">
      <c r="A444" s="14">
        <v>433</v>
      </c>
      <c r="B444" s="5" t="s">
        <v>3276</v>
      </c>
      <c r="C444" s="3" t="s">
        <v>3344</v>
      </c>
      <c r="D444" s="3" t="s">
        <v>3268</v>
      </c>
      <c r="E444" s="6" t="s">
        <v>3269</v>
      </c>
      <c r="F444" s="5" t="s">
        <v>3270</v>
      </c>
      <c r="G444" s="3" t="s">
        <v>3271</v>
      </c>
      <c r="H444" s="6" t="s">
        <v>3272</v>
      </c>
      <c r="I444" s="3" t="s">
        <v>3273</v>
      </c>
      <c r="J444" s="5" t="s">
        <v>3274</v>
      </c>
      <c r="K444" s="3" t="s">
        <v>5583</v>
      </c>
      <c r="L444" s="3" t="s">
        <v>3275</v>
      </c>
      <c r="M444" s="5">
        <v>3</v>
      </c>
      <c r="N444" s="21">
        <v>867.08429999999998</v>
      </c>
      <c r="O444" s="36" t="str">
        <f>HYPERLINK("http://ms.phosphosite.org:5080/cgi-bin/plot-msms.cgi?MassType=1&amp;NumAxis=1&amp;Mod7=170&amp;Pep=NEGHEEKPLPPAQSQTQEGGPAAGK&amp;Dta=/var/www/html/dta/S01/10558.3335.3.dta&amp;Global_Mod=CS57.0215", "3335")</f>
        <v>3335</v>
      </c>
      <c r="P444" s="36" t="str">
        <f>HYPERLINK("http://ms.phosphosite.org:5080/cgi-bin/plot-msms.cgi?MassType=1&amp;NumAxis=1&amp;Mod7=170&amp;Pep=NEGHEEKPLPPAQSQTQEGGPAAGK&amp;Dta=/var/www/html/dta/S01/10559.3285.3.dta&amp;Global_Mod=CS57.0215", "3285")</f>
        <v>3285</v>
      </c>
      <c r="Q444" s="36" t="str">
        <f>HYPERLINK("http://ms.phosphosite.org:5080/cgi-bin/plot-msms.cgi?MassType=1&amp;NumAxis=1&amp;Mod7=170&amp;Pep=NEGHEEKPLPPAQSQTQEGGPAAGK&amp;Dta=/var/www/html/dta/S01/10560.3261.3.dta&amp;Global_Mod=CS57.0215", "3261")</f>
        <v>3261</v>
      </c>
      <c r="R444" s="36" t="str">
        <f>HYPERLINK("http://ms.phosphosite.org:5080/cgi-bin/plot-msms.cgi?MassType=1&amp;NumAxis=1&amp;Mod7=170&amp;Pep=NEGHEEKPLPPAQSQTQEGGPAAGK&amp;Dta=/var/www/html/dta/S01/10561.3270.3.dta&amp;Global_Mod=CS57.0215", "3270")</f>
        <v>3270</v>
      </c>
      <c r="S444" s="35" t="s">
        <v>4854</v>
      </c>
      <c r="T444" s="35" t="s">
        <v>4854</v>
      </c>
      <c r="U444" s="35" t="s">
        <v>4854</v>
      </c>
      <c r="V444" s="35" t="s">
        <v>4854</v>
      </c>
      <c r="W444" s="5">
        <v>3272</v>
      </c>
      <c r="X444" s="5">
        <v>3209</v>
      </c>
      <c r="Y444" s="5">
        <v>3201</v>
      </c>
      <c r="Z444" s="5">
        <v>3185</v>
      </c>
      <c r="AA444" s="3" t="s">
        <v>4854</v>
      </c>
      <c r="AB444" s="3" t="s">
        <v>4854</v>
      </c>
      <c r="AC444" s="3" t="s">
        <v>4854</v>
      </c>
      <c r="AD444" s="3" t="s">
        <v>4854</v>
      </c>
      <c r="AE444" s="90">
        <v>4.117</v>
      </c>
      <c r="AF444" s="90">
        <v>2.859</v>
      </c>
      <c r="AG444" s="90">
        <v>3.7360000000000002</v>
      </c>
      <c r="AH444" s="90">
        <v>3.8610000000000002</v>
      </c>
      <c r="AI444" s="99" t="s">
        <v>4854</v>
      </c>
      <c r="AJ444" s="99" t="s">
        <v>4854</v>
      </c>
      <c r="AK444" s="99" t="s">
        <v>4854</v>
      </c>
      <c r="AL444" s="99" t="s">
        <v>4854</v>
      </c>
      <c r="AM444" s="21">
        <v>0.48070000000000002</v>
      </c>
      <c r="AN444" s="21">
        <v>0.53300000000000003</v>
      </c>
      <c r="AO444" s="21">
        <v>0.63070000000000004</v>
      </c>
      <c r="AP444" s="21">
        <v>0.81810000000000005</v>
      </c>
      <c r="AQ444" s="102" t="s">
        <v>4854</v>
      </c>
      <c r="AR444" s="102" t="s">
        <v>4854</v>
      </c>
      <c r="AS444" s="102" t="s">
        <v>4854</v>
      </c>
      <c r="AT444" s="102" t="s">
        <v>4854</v>
      </c>
      <c r="AU444" s="21">
        <v>0.33700000000000002</v>
      </c>
      <c r="AV444" s="21">
        <v>0.33</v>
      </c>
      <c r="AW444" s="21">
        <v>0.33500000000000002</v>
      </c>
      <c r="AX444" s="21">
        <v>0.38200000000000001</v>
      </c>
      <c r="AY444" s="102" t="s">
        <v>4854</v>
      </c>
      <c r="AZ444" s="102" t="s">
        <v>4854</v>
      </c>
      <c r="BA444" s="102" t="s">
        <v>4854</v>
      </c>
      <c r="BB444" s="102" t="s">
        <v>4854</v>
      </c>
      <c r="BC444" s="5">
        <v>1</v>
      </c>
      <c r="BD444" s="5">
        <v>1</v>
      </c>
      <c r="BE444" s="5">
        <v>1</v>
      </c>
      <c r="BF444" s="5">
        <v>1</v>
      </c>
      <c r="BG444" s="3" t="s">
        <v>4854</v>
      </c>
      <c r="BH444" s="3" t="s">
        <v>4854</v>
      </c>
      <c r="BI444" s="3" t="s">
        <v>4854</v>
      </c>
      <c r="BJ444" s="3" t="s">
        <v>4854</v>
      </c>
      <c r="BK444" s="90">
        <v>1</v>
      </c>
      <c r="BL444" s="90">
        <v>1</v>
      </c>
      <c r="BM444" s="90">
        <v>1</v>
      </c>
      <c r="BN444" s="90">
        <v>1</v>
      </c>
      <c r="BO444" s="99" t="s">
        <v>4854</v>
      </c>
      <c r="BP444" s="99" t="s">
        <v>4854</v>
      </c>
      <c r="BQ444" s="99" t="s">
        <v>4854</v>
      </c>
      <c r="BR444" s="99" t="s">
        <v>4854</v>
      </c>
      <c r="BS444" s="5" t="s">
        <v>4857</v>
      </c>
    </row>
    <row r="445" spans="1:71" s="30" customFormat="1" ht="17.100000000000001" customHeight="1">
      <c r="A445" s="14">
        <v>434</v>
      </c>
      <c r="B445" s="5" t="s">
        <v>3277</v>
      </c>
      <c r="C445" s="3" t="s">
        <v>3344</v>
      </c>
      <c r="D445" s="3" t="s">
        <v>3268</v>
      </c>
      <c r="E445" s="6" t="s">
        <v>3269</v>
      </c>
      <c r="F445" s="5" t="s">
        <v>3270</v>
      </c>
      <c r="G445" s="3" t="s">
        <v>3271</v>
      </c>
      <c r="H445" s="6" t="s">
        <v>3272</v>
      </c>
      <c r="I445" s="3" t="s">
        <v>3273</v>
      </c>
      <c r="J445" s="5" t="s">
        <v>3274</v>
      </c>
      <c r="K445" s="3" t="s">
        <v>5583</v>
      </c>
      <c r="L445" s="3" t="s">
        <v>3275</v>
      </c>
      <c r="M445" s="5">
        <v>3</v>
      </c>
      <c r="N445" s="21">
        <v>867.08429999999998</v>
      </c>
      <c r="O445" s="36" t="str">
        <f>HYPERLINK("http://ms.phosphosite.org:5080/cgi-bin/plot-msms.cgi?MassType=1&amp;NumAxis=1&amp;Mod7=170&amp;Pep=NEGHEEKPLPPAQSQTQEGGPAAGK&amp;Dta=/var/www/html/dta/S01/10558.3248.3.dta&amp;Global_Mod=CS57.0215", "3248")</f>
        <v>3248</v>
      </c>
      <c r="P445" s="35" t="s">
        <v>4854</v>
      </c>
      <c r="Q445" s="35" t="s">
        <v>4854</v>
      </c>
      <c r="R445" s="35" t="s">
        <v>4854</v>
      </c>
      <c r="S445" s="35" t="s">
        <v>4854</v>
      </c>
      <c r="T445" s="35" t="s">
        <v>4854</v>
      </c>
      <c r="U445" s="35" t="s">
        <v>4854</v>
      </c>
      <c r="V445" s="35" t="s">
        <v>4854</v>
      </c>
      <c r="W445" s="5">
        <v>3272</v>
      </c>
      <c r="X445" s="3" t="s">
        <v>4854</v>
      </c>
      <c r="Y445" s="3" t="s">
        <v>4854</v>
      </c>
      <c r="Z445" s="3" t="s">
        <v>4854</v>
      </c>
      <c r="AA445" s="3" t="s">
        <v>4854</v>
      </c>
      <c r="AB445" s="3" t="s">
        <v>4854</v>
      </c>
      <c r="AC445" s="3" t="s">
        <v>4854</v>
      </c>
      <c r="AD445" s="3" t="s">
        <v>4854</v>
      </c>
      <c r="AE445" s="90">
        <v>4.0090000000000003</v>
      </c>
      <c r="AF445" s="99" t="s">
        <v>4854</v>
      </c>
      <c r="AG445" s="99" t="s">
        <v>4854</v>
      </c>
      <c r="AH445" s="99" t="s">
        <v>4854</v>
      </c>
      <c r="AI445" s="99" t="s">
        <v>4854</v>
      </c>
      <c r="AJ445" s="99" t="s">
        <v>4854</v>
      </c>
      <c r="AK445" s="99" t="s">
        <v>4854</v>
      </c>
      <c r="AL445" s="99" t="s">
        <v>4854</v>
      </c>
      <c r="AM445" s="21">
        <v>0.67500000000000004</v>
      </c>
      <c r="AN445" s="102" t="s">
        <v>4854</v>
      </c>
      <c r="AO445" s="102" t="s">
        <v>4854</v>
      </c>
      <c r="AP445" s="102" t="s">
        <v>4854</v>
      </c>
      <c r="AQ445" s="102" t="s">
        <v>4854</v>
      </c>
      <c r="AR445" s="102" t="s">
        <v>4854</v>
      </c>
      <c r="AS445" s="102" t="s">
        <v>4854</v>
      </c>
      <c r="AT445" s="102" t="s">
        <v>4854</v>
      </c>
      <c r="AU445" s="21">
        <v>0.49099999999999999</v>
      </c>
      <c r="AV445" s="102" t="s">
        <v>4854</v>
      </c>
      <c r="AW445" s="102" t="s">
        <v>4854</v>
      </c>
      <c r="AX445" s="102" t="s">
        <v>4854</v>
      </c>
      <c r="AY445" s="102" t="s">
        <v>4854</v>
      </c>
      <c r="AZ445" s="102" t="s">
        <v>4854</v>
      </c>
      <c r="BA445" s="102" t="s">
        <v>4854</v>
      </c>
      <c r="BB445" s="102" t="s">
        <v>4854</v>
      </c>
      <c r="BC445" s="5">
        <v>1</v>
      </c>
      <c r="BD445" s="3" t="s">
        <v>4854</v>
      </c>
      <c r="BE445" s="3" t="s">
        <v>4854</v>
      </c>
      <c r="BF445" s="3" t="s">
        <v>4854</v>
      </c>
      <c r="BG445" s="3" t="s">
        <v>4854</v>
      </c>
      <c r="BH445" s="3" t="s">
        <v>4854</v>
      </c>
      <c r="BI445" s="3" t="s">
        <v>4854</v>
      </c>
      <c r="BJ445" s="3" t="s">
        <v>4854</v>
      </c>
      <c r="BK445" s="90">
        <v>1</v>
      </c>
      <c r="BL445" s="99" t="s">
        <v>4854</v>
      </c>
      <c r="BM445" s="99" t="s">
        <v>4854</v>
      </c>
      <c r="BN445" s="99" t="s">
        <v>4854</v>
      </c>
      <c r="BO445" s="99" t="s">
        <v>4854</v>
      </c>
      <c r="BP445" s="99" t="s">
        <v>4854</v>
      </c>
      <c r="BQ445" s="99" t="s">
        <v>4854</v>
      </c>
      <c r="BR445" s="99" t="s">
        <v>4854</v>
      </c>
      <c r="BS445" s="5" t="s">
        <v>4857</v>
      </c>
    </row>
    <row r="446" spans="1:71" s="30" customFormat="1" ht="17.100000000000001" customHeight="1">
      <c r="A446" s="10">
        <v>435</v>
      </c>
      <c r="B446" s="10" t="s">
        <v>3278</v>
      </c>
      <c r="C446" s="4" t="s">
        <v>3344</v>
      </c>
      <c r="D446" s="4" t="s">
        <v>3268</v>
      </c>
      <c r="E446" s="7" t="s">
        <v>3269</v>
      </c>
      <c r="F446" s="10" t="s">
        <v>3279</v>
      </c>
      <c r="G446" s="4" t="s">
        <v>3271</v>
      </c>
      <c r="H446" s="7" t="s">
        <v>3272</v>
      </c>
      <c r="I446" s="4" t="s">
        <v>3273</v>
      </c>
      <c r="J446" s="10" t="s">
        <v>3274</v>
      </c>
      <c r="K446" s="4" t="s">
        <v>5584</v>
      </c>
      <c r="L446" s="4" t="s">
        <v>3280</v>
      </c>
      <c r="M446" s="10">
        <v>3</v>
      </c>
      <c r="N446" s="95">
        <v>858.0806</v>
      </c>
      <c r="O446" s="37" t="str">
        <f>HYPERLINK("http://ms.phosphosite.org:5080/cgi-bin/plot-msms.cgi?MassType=1&amp;NumAxis=1&amp;Mod7=170&amp;Pep=SEGHEEKPLPPAQSQTQEGGPAAGK&amp;Dta=/var/www/html/dta/S01/10558.3259.3.dta&amp;Global_Mod=CS57.0215", "3259")</f>
        <v>3259</v>
      </c>
      <c r="P446" s="37" t="str">
        <f>HYPERLINK("http://ms.phosphosite.org:5080/cgi-bin/plot-msms.cgi?MassType=1&amp;NumAxis=1&amp;Mod7=170&amp;Pep=SEGHEEKPLPPAQSQTQEGGPAAGK&amp;Dta=/var/www/html/dta/S01/10559.3208.3.dta&amp;Global_Mod=CS57.0215", "3208")</f>
        <v>3208</v>
      </c>
      <c r="Q446" s="37" t="str">
        <f>HYPERLINK("http://ms.phosphosite.org:5080/cgi-bin/plot-msms.cgi?MassType=1&amp;NumAxis=1&amp;Mod7=170&amp;Pep=SEGHEEKPLPPAQSQTQEGGPAAGK&amp;Dta=/var/www/html/dta/S01/10560.3210.3.dta&amp;Global_Mod=CS57.0215", "3210")</f>
        <v>3210</v>
      </c>
      <c r="R446" s="37" t="str">
        <f>HYPERLINK("http://ms.phosphosite.org:5080/cgi-bin/plot-msms.cgi?MassType=1&amp;NumAxis=1&amp;Mod7=170&amp;Pep=SEGHEEKPLPPAQSQTQEGGPAAGK&amp;Dta=/var/www/html/dta/S01/10561.3206.3.dta&amp;Global_Mod=CS57.0215", "3206")</f>
        <v>3206</v>
      </c>
      <c r="S446" s="37" t="str">
        <f>HYPERLINK("http://ms.phosphosite.org:5080/cgi-bin/plot-msms.cgi?MassType=1&amp;NumAxis=1&amp;Mod7=170&amp;Pep=SEGHEEKPLPPAQSQTQEGGPAAGK&amp;Dta=/var/www/html/dta/S01/10562.3313.3.dta&amp;Global_Mod=CS57.0215", "3313")</f>
        <v>3313</v>
      </c>
      <c r="T446" s="37" t="str">
        <f>HYPERLINK("http://ms.phosphosite.org:5080/cgi-bin/plot-msms.cgi?MassType=1&amp;NumAxis=1&amp;Mod7=170&amp;Pep=SEGHEEKPLPPAQSQTQEGGPAAGK&amp;Dta=/var/www/html/dta/S01/10563.3239.3.dta&amp;Global_Mod=CS57.0215", "3239")</f>
        <v>3239</v>
      </c>
      <c r="U446" s="37" t="str">
        <f>HYPERLINK("http://ms.phosphosite.org:5080/cgi-bin/plot-msms.cgi?MassType=1&amp;NumAxis=1&amp;Mod7=170&amp;Pep=SEGHEEKPLPPAQSQTQEGGPAAGK&amp;Dta=/var/www/html/dta/S01/10564.3516.3.dta&amp;Global_Mod=CS57.0215", "3516")</f>
        <v>3516</v>
      </c>
      <c r="V446" s="37" t="str">
        <f>HYPERLINK("http://ms.phosphosite.org:5080/cgi-bin/plot-msms.cgi?MassType=1&amp;NumAxis=1&amp;Mod7=170&amp;Pep=SEGHEEKPLPPAQSQTQEGGPAAGK&amp;Dta=/var/www/html/dta/S01/10565.3595.3.dta&amp;Global_Mod=CS57.0215", "3595")</f>
        <v>3595</v>
      </c>
      <c r="W446" s="10">
        <v>3305</v>
      </c>
      <c r="X446" s="10">
        <v>3231</v>
      </c>
      <c r="Y446" s="10">
        <v>3223</v>
      </c>
      <c r="Z446" s="10">
        <v>3262</v>
      </c>
      <c r="AA446" s="10">
        <v>3339</v>
      </c>
      <c r="AB446" s="10">
        <v>3306</v>
      </c>
      <c r="AC446" s="10">
        <v>3572</v>
      </c>
      <c r="AD446" s="10">
        <v>3608</v>
      </c>
      <c r="AE446" s="91">
        <v>4.1059999999999999</v>
      </c>
      <c r="AF446" s="91">
        <v>4.88</v>
      </c>
      <c r="AG446" s="91">
        <v>4.5389999999999997</v>
      </c>
      <c r="AH446" s="91">
        <v>3.0270000000000001</v>
      </c>
      <c r="AI446" s="91">
        <v>3.992</v>
      </c>
      <c r="AJ446" s="91">
        <v>3.6030000000000002</v>
      </c>
      <c r="AK446" s="91">
        <v>4.391</v>
      </c>
      <c r="AL446" s="91">
        <v>3.9449999999999998</v>
      </c>
      <c r="AM446" s="95">
        <v>-5.9700000000000003E-2</v>
      </c>
      <c r="AN446" s="95">
        <v>0.33800000000000002</v>
      </c>
      <c r="AO446" s="95">
        <v>0.26300000000000001</v>
      </c>
      <c r="AP446" s="95">
        <v>0.21199999999999999</v>
      </c>
      <c r="AQ446" s="95">
        <v>0.15179999999999999</v>
      </c>
      <c r="AR446" s="95">
        <v>0.191</v>
      </c>
      <c r="AS446" s="95">
        <v>0.25009999999999999</v>
      </c>
      <c r="AT446" s="95">
        <v>0.1086</v>
      </c>
      <c r="AU446" s="95">
        <v>0.40600000000000003</v>
      </c>
      <c r="AV446" s="95">
        <v>0.55500000000000005</v>
      </c>
      <c r="AW446" s="95">
        <v>0.51900000000000002</v>
      </c>
      <c r="AX446" s="95">
        <v>0.36499999999999999</v>
      </c>
      <c r="AY446" s="95">
        <v>0.34300000000000003</v>
      </c>
      <c r="AZ446" s="95">
        <v>0.36899999999999999</v>
      </c>
      <c r="BA446" s="95">
        <v>0.40100000000000002</v>
      </c>
      <c r="BB446" s="95">
        <v>0.32</v>
      </c>
      <c r="BC446" s="10">
        <v>1</v>
      </c>
      <c r="BD446" s="10">
        <v>1</v>
      </c>
      <c r="BE446" s="10">
        <v>1</v>
      </c>
      <c r="BF446" s="10">
        <v>3</v>
      </c>
      <c r="BG446" s="10">
        <v>2</v>
      </c>
      <c r="BH446" s="10">
        <v>1</v>
      </c>
      <c r="BI446" s="10">
        <v>1</v>
      </c>
      <c r="BJ446" s="10">
        <v>1</v>
      </c>
      <c r="BK446" s="91">
        <v>1</v>
      </c>
      <c r="BL446" s="91">
        <v>1</v>
      </c>
      <c r="BM446" s="91">
        <v>1</v>
      </c>
      <c r="BN446" s="91">
        <v>1</v>
      </c>
      <c r="BO446" s="91">
        <v>1</v>
      </c>
      <c r="BP446" s="91">
        <v>1</v>
      </c>
      <c r="BQ446" s="91">
        <v>1</v>
      </c>
      <c r="BR446" s="91">
        <v>1</v>
      </c>
      <c r="BS446" s="10" t="s">
        <v>4857</v>
      </c>
    </row>
    <row r="447" spans="1:71" s="30" customFormat="1" ht="17.100000000000001" customHeight="1">
      <c r="A447" s="10">
        <v>436</v>
      </c>
      <c r="B447" s="10" t="s">
        <v>3281</v>
      </c>
      <c r="C447" s="4" t="s">
        <v>3344</v>
      </c>
      <c r="D447" s="4" t="s">
        <v>3268</v>
      </c>
      <c r="E447" s="7" t="s">
        <v>3269</v>
      </c>
      <c r="F447" s="10" t="s">
        <v>3279</v>
      </c>
      <c r="G447" s="4" t="s">
        <v>3271</v>
      </c>
      <c r="H447" s="7" t="s">
        <v>3272</v>
      </c>
      <c r="I447" s="4" t="s">
        <v>3273</v>
      </c>
      <c r="J447" s="10" t="s">
        <v>3274</v>
      </c>
      <c r="K447" s="4" t="s">
        <v>5584</v>
      </c>
      <c r="L447" s="4" t="s">
        <v>3280</v>
      </c>
      <c r="M447" s="10">
        <v>3</v>
      </c>
      <c r="N447" s="95">
        <v>858.0806</v>
      </c>
      <c r="O447" s="38" t="s">
        <v>4854</v>
      </c>
      <c r="P447" s="38" t="s">
        <v>4854</v>
      </c>
      <c r="Q447" s="38" t="s">
        <v>4854</v>
      </c>
      <c r="R447" s="38" t="s">
        <v>4854</v>
      </c>
      <c r="S447" s="38" t="s">
        <v>4854</v>
      </c>
      <c r="T447" s="37" t="str">
        <f>HYPERLINK("http://ms.phosphosite.org:5080/cgi-bin/plot-msms.cgi?MassType=1&amp;NumAxis=1&amp;Mod7=170&amp;Pep=SEGHEEKPLPPAQSQTQEGGPAAGK&amp;Dta=/var/www/html/dta/S01/10563.3248.3.dta&amp;Global_Mod=CS57.0215", "3248")</f>
        <v>3248</v>
      </c>
      <c r="U447" s="38" t="s">
        <v>4854</v>
      </c>
      <c r="V447" s="37" t="str">
        <f>HYPERLINK("http://ms.phosphosite.org:5080/cgi-bin/plot-msms.cgi?MassType=1&amp;NumAxis=1&amp;Mod7=170&amp;Pep=SEGHEEKPLPPAQSQTQEGGPAAGK&amp;Dta=/var/www/html/dta/S01/10565.3596.3.dta&amp;Global_Mod=CS57.0215", "3596")</f>
        <v>3596</v>
      </c>
      <c r="W447" s="4" t="s">
        <v>4854</v>
      </c>
      <c r="X447" s="4" t="s">
        <v>4854</v>
      </c>
      <c r="Y447" s="4" t="s">
        <v>4854</v>
      </c>
      <c r="Z447" s="4" t="s">
        <v>4854</v>
      </c>
      <c r="AA447" s="4" t="s">
        <v>4854</v>
      </c>
      <c r="AB447" s="10">
        <v>3306</v>
      </c>
      <c r="AC447" s="4" t="s">
        <v>4854</v>
      </c>
      <c r="AD447" s="10">
        <v>3608</v>
      </c>
      <c r="AE447" s="100" t="s">
        <v>4854</v>
      </c>
      <c r="AF447" s="100" t="s">
        <v>4854</v>
      </c>
      <c r="AG447" s="100" t="s">
        <v>4854</v>
      </c>
      <c r="AH447" s="100" t="s">
        <v>4854</v>
      </c>
      <c r="AI447" s="100" t="s">
        <v>4854</v>
      </c>
      <c r="AJ447" s="91">
        <v>3.169</v>
      </c>
      <c r="AK447" s="100" t="s">
        <v>4854</v>
      </c>
      <c r="AL447" s="91">
        <v>3.508</v>
      </c>
      <c r="AM447" s="103" t="s">
        <v>4854</v>
      </c>
      <c r="AN447" s="103" t="s">
        <v>4854</v>
      </c>
      <c r="AO447" s="103" t="s">
        <v>4854</v>
      </c>
      <c r="AP447" s="103" t="s">
        <v>4854</v>
      </c>
      <c r="AQ447" s="103" t="s">
        <v>4854</v>
      </c>
      <c r="AR447" s="95">
        <v>0.191</v>
      </c>
      <c r="AS447" s="103" t="s">
        <v>4854</v>
      </c>
      <c r="AT447" s="95">
        <v>0.1086</v>
      </c>
      <c r="AU447" s="103" t="s">
        <v>4854</v>
      </c>
      <c r="AV447" s="103" t="s">
        <v>4854</v>
      </c>
      <c r="AW447" s="103" t="s">
        <v>4854</v>
      </c>
      <c r="AX447" s="103" t="s">
        <v>4854</v>
      </c>
      <c r="AY447" s="103" t="s">
        <v>4854</v>
      </c>
      <c r="AZ447" s="95">
        <v>0.22700000000000001</v>
      </c>
      <c r="BA447" s="103" t="s">
        <v>4854</v>
      </c>
      <c r="BB447" s="95">
        <v>0.189</v>
      </c>
      <c r="BC447" s="4" t="s">
        <v>4854</v>
      </c>
      <c r="BD447" s="4" t="s">
        <v>4854</v>
      </c>
      <c r="BE447" s="4" t="s">
        <v>4854</v>
      </c>
      <c r="BF447" s="4" t="s">
        <v>4854</v>
      </c>
      <c r="BG447" s="4" t="s">
        <v>4854</v>
      </c>
      <c r="BH447" s="10">
        <v>1</v>
      </c>
      <c r="BI447" s="4" t="s">
        <v>4854</v>
      </c>
      <c r="BJ447" s="10">
        <v>1</v>
      </c>
      <c r="BK447" s="100" t="s">
        <v>4854</v>
      </c>
      <c r="BL447" s="100" t="s">
        <v>4854</v>
      </c>
      <c r="BM447" s="100" t="s">
        <v>4854</v>
      </c>
      <c r="BN447" s="100" t="s">
        <v>4854</v>
      </c>
      <c r="BO447" s="100" t="s">
        <v>4854</v>
      </c>
      <c r="BP447" s="91">
        <v>1</v>
      </c>
      <c r="BQ447" s="100" t="s">
        <v>4854</v>
      </c>
      <c r="BR447" s="91">
        <v>1</v>
      </c>
      <c r="BS447" s="10" t="s">
        <v>4857</v>
      </c>
    </row>
    <row r="448" spans="1:71" s="30" customFormat="1" ht="17.100000000000001" customHeight="1">
      <c r="A448" s="14">
        <v>437</v>
      </c>
      <c r="B448" s="5" t="s">
        <v>3282</v>
      </c>
      <c r="C448" s="3" t="s">
        <v>3344</v>
      </c>
      <c r="D448" s="3" t="s">
        <v>3268</v>
      </c>
      <c r="E448" s="6" t="s">
        <v>3269</v>
      </c>
      <c r="F448" s="5" t="s">
        <v>3283</v>
      </c>
      <c r="G448" s="3" t="s">
        <v>3271</v>
      </c>
      <c r="H448" s="6" t="s">
        <v>3272</v>
      </c>
      <c r="I448" s="3" t="s">
        <v>3273</v>
      </c>
      <c r="J448" s="5" t="s">
        <v>3274</v>
      </c>
      <c r="K448" s="3" t="s">
        <v>5585</v>
      </c>
      <c r="L448" s="3" t="s">
        <v>3284</v>
      </c>
      <c r="M448" s="5">
        <v>2</v>
      </c>
      <c r="N448" s="21">
        <v>664.84590000000003</v>
      </c>
      <c r="O448" s="35" t="s">
        <v>4854</v>
      </c>
      <c r="P448" s="36" t="str">
        <f>HYPERLINK("http://ms.phosphosite.org:5080/cgi-bin/plot-msms.cgi?MassType=1&amp;NumAxis=1&amp;Mod6=170&amp;Pep=AKPQYKPPDDK&amp;Dta=/var/www/html/dta/S01/10559.1873.2.dta&amp;Global_Mod=CS57.0215", "1873")</f>
        <v>1873</v>
      </c>
      <c r="Q448" s="35" t="s">
        <v>4854</v>
      </c>
      <c r="R448" s="35" t="s">
        <v>4854</v>
      </c>
      <c r="S448" s="35" t="s">
        <v>4854</v>
      </c>
      <c r="T448" s="35" t="s">
        <v>4854</v>
      </c>
      <c r="U448" s="35" t="s">
        <v>4854</v>
      </c>
      <c r="V448" s="35" t="s">
        <v>4854</v>
      </c>
      <c r="W448" s="3" t="s">
        <v>4854</v>
      </c>
      <c r="X448" s="3" t="s">
        <v>4854</v>
      </c>
      <c r="Y448" s="3" t="s">
        <v>4854</v>
      </c>
      <c r="Z448" s="3" t="s">
        <v>4854</v>
      </c>
      <c r="AA448" s="3" t="s">
        <v>4854</v>
      </c>
      <c r="AB448" s="3" t="s">
        <v>4854</v>
      </c>
      <c r="AC448" s="3" t="s">
        <v>4854</v>
      </c>
      <c r="AD448" s="3" t="s">
        <v>4854</v>
      </c>
      <c r="AE448" s="99" t="s">
        <v>4854</v>
      </c>
      <c r="AF448" s="90">
        <v>1.399</v>
      </c>
      <c r="AG448" s="99" t="s">
        <v>4854</v>
      </c>
      <c r="AH448" s="99" t="s">
        <v>4854</v>
      </c>
      <c r="AI448" s="99" t="s">
        <v>4854</v>
      </c>
      <c r="AJ448" s="99" t="s">
        <v>4854</v>
      </c>
      <c r="AK448" s="99" t="s">
        <v>4854</v>
      </c>
      <c r="AL448" s="99" t="s">
        <v>4854</v>
      </c>
      <c r="AM448" s="102" t="s">
        <v>4854</v>
      </c>
      <c r="AN448" s="21">
        <v>2.6865999999999999</v>
      </c>
      <c r="AO448" s="102" t="s">
        <v>4854</v>
      </c>
      <c r="AP448" s="102" t="s">
        <v>4854</v>
      </c>
      <c r="AQ448" s="102" t="s">
        <v>4854</v>
      </c>
      <c r="AR448" s="102" t="s">
        <v>4854</v>
      </c>
      <c r="AS448" s="102" t="s">
        <v>4854</v>
      </c>
      <c r="AT448" s="102" t="s">
        <v>4854</v>
      </c>
      <c r="AU448" s="102" t="s">
        <v>4854</v>
      </c>
      <c r="AV448" s="21">
        <v>9.6000000000000002E-2</v>
      </c>
      <c r="AW448" s="102" t="s">
        <v>4854</v>
      </c>
      <c r="AX448" s="102" t="s">
        <v>4854</v>
      </c>
      <c r="AY448" s="102" t="s">
        <v>4854</v>
      </c>
      <c r="AZ448" s="102" t="s">
        <v>4854</v>
      </c>
      <c r="BA448" s="102" t="s">
        <v>4854</v>
      </c>
      <c r="BB448" s="102" t="s">
        <v>4854</v>
      </c>
      <c r="BC448" s="3" t="s">
        <v>4854</v>
      </c>
      <c r="BD448" s="5">
        <v>6</v>
      </c>
      <c r="BE448" s="3" t="s">
        <v>4854</v>
      </c>
      <c r="BF448" s="3" t="s">
        <v>4854</v>
      </c>
      <c r="BG448" s="3" t="s">
        <v>4854</v>
      </c>
      <c r="BH448" s="3" t="s">
        <v>4854</v>
      </c>
      <c r="BI448" s="3" t="s">
        <v>4854</v>
      </c>
      <c r="BJ448" s="3" t="s">
        <v>4854</v>
      </c>
      <c r="BK448" s="99" t="s">
        <v>4854</v>
      </c>
      <c r="BL448" s="90">
        <v>0.439</v>
      </c>
      <c r="BM448" s="99" t="s">
        <v>4854</v>
      </c>
      <c r="BN448" s="99" t="s">
        <v>4854</v>
      </c>
      <c r="BO448" s="99" t="s">
        <v>4854</v>
      </c>
      <c r="BP448" s="99" t="s">
        <v>4854</v>
      </c>
      <c r="BQ448" s="99" t="s">
        <v>4854</v>
      </c>
      <c r="BR448" s="99" t="s">
        <v>4854</v>
      </c>
      <c r="BS448" s="5" t="s">
        <v>4857</v>
      </c>
    </row>
    <row r="449" spans="1:71" s="30" customFormat="1" ht="17.100000000000001" customHeight="1">
      <c r="A449" s="10">
        <v>438</v>
      </c>
      <c r="B449" s="10" t="s">
        <v>4493</v>
      </c>
      <c r="C449" s="4" t="s">
        <v>3344</v>
      </c>
      <c r="D449" s="4" t="s">
        <v>3285</v>
      </c>
      <c r="E449" s="4" t="s">
        <v>3286</v>
      </c>
      <c r="F449" s="10" t="s">
        <v>3287</v>
      </c>
      <c r="G449" s="4" t="s">
        <v>3288</v>
      </c>
      <c r="H449" s="7" t="s">
        <v>3289</v>
      </c>
      <c r="I449" s="4" t="s">
        <v>3290</v>
      </c>
      <c r="J449" s="10" t="s">
        <v>4578</v>
      </c>
      <c r="K449" s="4" t="s">
        <v>5586</v>
      </c>
      <c r="L449" s="4" t="s">
        <v>3291</v>
      </c>
      <c r="M449" s="10">
        <v>2</v>
      </c>
      <c r="N449" s="95">
        <v>430.7636</v>
      </c>
      <c r="O449" s="38" t="s">
        <v>4854</v>
      </c>
      <c r="P449" s="38" t="s">
        <v>4854</v>
      </c>
      <c r="Q449" s="38" t="s">
        <v>4854</v>
      </c>
      <c r="R449" s="37" t="str">
        <f>HYPERLINK("http://ms.phosphosite.org:5080/cgi-bin/plot-msms.cgi?MassType=1&amp;NumAxis=1&amp;Mod8=170&amp;Pep=KGSKLSAK&amp;Dta=/var/www/html/dta/S01/10561.4706.2.dta&amp;Global_Mod=CS57.0215", "4706")</f>
        <v>4706</v>
      </c>
      <c r="S449" s="38" t="s">
        <v>4854</v>
      </c>
      <c r="T449" s="38" t="s">
        <v>4854</v>
      </c>
      <c r="U449" s="38" t="s">
        <v>4854</v>
      </c>
      <c r="V449" s="38" t="s">
        <v>4854</v>
      </c>
      <c r="W449" s="4" t="s">
        <v>4854</v>
      </c>
      <c r="X449" s="4" t="s">
        <v>4854</v>
      </c>
      <c r="Y449" s="4" t="s">
        <v>4854</v>
      </c>
      <c r="Z449" s="4" t="s">
        <v>4854</v>
      </c>
      <c r="AA449" s="4" t="s">
        <v>4854</v>
      </c>
      <c r="AB449" s="4" t="s">
        <v>4854</v>
      </c>
      <c r="AC449" s="4" t="s">
        <v>4854</v>
      </c>
      <c r="AD449" s="4" t="s">
        <v>4854</v>
      </c>
      <c r="AE449" s="100" t="s">
        <v>4854</v>
      </c>
      <c r="AF449" s="100" t="s">
        <v>4854</v>
      </c>
      <c r="AG449" s="100" t="s">
        <v>4854</v>
      </c>
      <c r="AH449" s="91">
        <v>1.847</v>
      </c>
      <c r="AI449" s="100" t="s">
        <v>4854</v>
      </c>
      <c r="AJ449" s="100" t="s">
        <v>4854</v>
      </c>
      <c r="AK449" s="100" t="s">
        <v>4854</v>
      </c>
      <c r="AL449" s="100" t="s">
        <v>4854</v>
      </c>
      <c r="AM449" s="103" t="s">
        <v>4854</v>
      </c>
      <c r="AN449" s="103" t="s">
        <v>4854</v>
      </c>
      <c r="AO449" s="103" t="s">
        <v>4854</v>
      </c>
      <c r="AP449" s="95">
        <v>0.3775</v>
      </c>
      <c r="AQ449" s="103" t="s">
        <v>4854</v>
      </c>
      <c r="AR449" s="103" t="s">
        <v>4854</v>
      </c>
      <c r="AS449" s="103" t="s">
        <v>4854</v>
      </c>
      <c r="AT449" s="103" t="s">
        <v>4854</v>
      </c>
      <c r="AU449" s="103" t="s">
        <v>4854</v>
      </c>
      <c r="AV449" s="103" t="s">
        <v>4854</v>
      </c>
      <c r="AW449" s="103" t="s">
        <v>4854</v>
      </c>
      <c r="AX449" s="95">
        <v>2.8000000000000001E-2</v>
      </c>
      <c r="AY449" s="103" t="s">
        <v>4854</v>
      </c>
      <c r="AZ449" s="103" t="s">
        <v>4854</v>
      </c>
      <c r="BA449" s="103" t="s">
        <v>4854</v>
      </c>
      <c r="BB449" s="103" t="s">
        <v>4854</v>
      </c>
      <c r="BC449" s="4" t="s">
        <v>4854</v>
      </c>
      <c r="BD449" s="4" t="s">
        <v>4854</v>
      </c>
      <c r="BE449" s="4" t="s">
        <v>4854</v>
      </c>
      <c r="BF449" s="10">
        <v>3</v>
      </c>
      <c r="BG449" s="4" t="s">
        <v>4854</v>
      </c>
      <c r="BH449" s="4" t="s">
        <v>4854</v>
      </c>
      <c r="BI449" s="4" t="s">
        <v>4854</v>
      </c>
      <c r="BJ449" s="4" t="s">
        <v>4854</v>
      </c>
      <c r="BK449" s="100" t="s">
        <v>4854</v>
      </c>
      <c r="BL449" s="100" t="s">
        <v>4854</v>
      </c>
      <c r="BM449" s="100" t="s">
        <v>4854</v>
      </c>
      <c r="BN449" s="91">
        <v>9.4E-2</v>
      </c>
      <c r="BO449" s="100" t="s">
        <v>4854</v>
      </c>
      <c r="BP449" s="100" t="s">
        <v>4854</v>
      </c>
      <c r="BQ449" s="100" t="s">
        <v>4854</v>
      </c>
      <c r="BR449" s="100" t="s">
        <v>4854</v>
      </c>
      <c r="BS449" s="10" t="s">
        <v>4857</v>
      </c>
    </row>
    <row r="450" spans="1:71" s="30" customFormat="1" ht="17.100000000000001" customHeight="1">
      <c r="A450" s="14">
        <v>439</v>
      </c>
      <c r="B450" s="5" t="s">
        <v>3292</v>
      </c>
      <c r="C450" s="3" t="s">
        <v>3344</v>
      </c>
      <c r="D450" s="3" t="s">
        <v>3293</v>
      </c>
      <c r="E450" s="6" t="s">
        <v>3294</v>
      </c>
      <c r="F450" s="5" t="s">
        <v>4340</v>
      </c>
      <c r="G450" s="3" t="s">
        <v>3295</v>
      </c>
      <c r="H450" s="6" t="s">
        <v>3296</v>
      </c>
      <c r="I450" s="3" t="s">
        <v>3297</v>
      </c>
      <c r="J450" s="5" t="s">
        <v>4413</v>
      </c>
      <c r="K450" s="3" t="s">
        <v>5587</v>
      </c>
      <c r="L450" s="3" t="s">
        <v>3298</v>
      </c>
      <c r="M450" s="5">
        <v>2</v>
      </c>
      <c r="N450" s="21">
        <v>704.35940000000005</v>
      </c>
      <c r="O450" s="36" t="str">
        <f>HYPERLINK("http://ms.phosphosite.org:5080/cgi-bin/plot-msms.cgi?MassType=1&amp;NumAxis=1&amp;Mod3=170&amp;Pep=YAKLTEAAEQNK&amp;Dta=/var/www/html/dta/S01/10558.4111.2.dta&amp;Global_Mod=CS57.0215", "4111")</f>
        <v>4111</v>
      </c>
      <c r="P450" s="36" t="str">
        <f>HYPERLINK("http://ms.phosphosite.org:5080/cgi-bin/plot-msms.cgi?MassType=1&amp;NumAxis=1&amp;Mod3=170&amp;Pep=YAKLTEAAEQNK&amp;Dta=/var/www/html/dta/S01/10559.4027.2.dta&amp;Global_Mod=CS57.0215", "4027")</f>
        <v>4027</v>
      </c>
      <c r="Q450" s="36" t="str">
        <f>HYPERLINK("http://ms.phosphosite.org:5080/cgi-bin/plot-msms.cgi?MassType=1&amp;NumAxis=1&amp;Mod3=170&amp;Pep=YAKLTEAAEQNK&amp;Dta=/var/www/html/dta/S01/10560.4025.2.dta&amp;Global_Mod=CS57.0215", "4025")</f>
        <v>4025</v>
      </c>
      <c r="R450" s="36" t="str">
        <f>HYPERLINK("http://ms.phosphosite.org:5080/cgi-bin/plot-msms.cgi?MassType=1&amp;NumAxis=1&amp;Mod3=170&amp;Pep=YAKLTEAAEQNK&amp;Dta=/var/www/html/dta/S01/10561.4041.2.dta&amp;Global_Mod=CS57.0215", "4041")</f>
        <v>4041</v>
      </c>
      <c r="S450" s="36" t="str">
        <f>HYPERLINK("http://ms.phosphosite.org:5080/cgi-bin/plot-msms.cgi?MassType=1&amp;NumAxis=1&amp;Mod3=170&amp;Pep=YAKLTEAAEQNK&amp;Dta=/var/www/html/dta/S01/10562.4166.2.dta&amp;Global_Mod=CS57.0215", "4166")</f>
        <v>4166</v>
      </c>
      <c r="T450" s="35" t="s">
        <v>4854</v>
      </c>
      <c r="U450" s="35" t="s">
        <v>4854</v>
      </c>
      <c r="V450" s="35" t="s">
        <v>4854</v>
      </c>
      <c r="W450" s="5">
        <v>4124</v>
      </c>
      <c r="X450" s="5">
        <v>4030</v>
      </c>
      <c r="Y450" s="5">
        <v>4026</v>
      </c>
      <c r="Z450" s="5">
        <v>4039</v>
      </c>
      <c r="AA450" s="3" t="s">
        <v>4854</v>
      </c>
      <c r="AB450" s="3" t="s">
        <v>4854</v>
      </c>
      <c r="AC450" s="3" t="s">
        <v>4854</v>
      </c>
      <c r="AD450" s="3" t="s">
        <v>4854</v>
      </c>
      <c r="AE450" s="90">
        <v>3.4380000000000002</v>
      </c>
      <c r="AF450" s="90">
        <v>3.827</v>
      </c>
      <c r="AG450" s="90">
        <v>3.4079999999999999</v>
      </c>
      <c r="AH450" s="90">
        <v>3.4830000000000001</v>
      </c>
      <c r="AI450" s="90">
        <v>2.3130000000000002</v>
      </c>
      <c r="AJ450" s="99" t="s">
        <v>4854</v>
      </c>
      <c r="AK450" s="99" t="s">
        <v>4854</v>
      </c>
      <c r="AL450" s="99" t="s">
        <v>4854</v>
      </c>
      <c r="AM450" s="21">
        <v>0.6</v>
      </c>
      <c r="AN450" s="21">
        <v>1.169</v>
      </c>
      <c r="AO450" s="21">
        <v>0.93459999999999999</v>
      </c>
      <c r="AP450" s="21">
        <v>1.3466</v>
      </c>
      <c r="AQ450" s="21">
        <v>2.4079000000000002</v>
      </c>
      <c r="AR450" s="102" t="s">
        <v>4854</v>
      </c>
      <c r="AS450" s="102" t="s">
        <v>4854</v>
      </c>
      <c r="AT450" s="102" t="s">
        <v>4854</v>
      </c>
      <c r="AU450" s="21">
        <v>0.32700000000000001</v>
      </c>
      <c r="AV450" s="21">
        <v>0.28599999999999998</v>
      </c>
      <c r="AW450" s="21">
        <v>0.27800000000000002</v>
      </c>
      <c r="AX450" s="21">
        <v>0.34399999999999997</v>
      </c>
      <c r="AY450" s="21">
        <v>5.6000000000000001E-2</v>
      </c>
      <c r="AZ450" s="102" t="s">
        <v>4854</v>
      </c>
      <c r="BA450" s="102" t="s">
        <v>4854</v>
      </c>
      <c r="BB450" s="102" t="s">
        <v>4854</v>
      </c>
      <c r="BC450" s="5">
        <v>1</v>
      </c>
      <c r="BD450" s="5">
        <v>1</v>
      </c>
      <c r="BE450" s="5">
        <v>1</v>
      </c>
      <c r="BF450" s="5">
        <v>1</v>
      </c>
      <c r="BG450" s="5">
        <v>1</v>
      </c>
      <c r="BH450" s="3" t="s">
        <v>4854</v>
      </c>
      <c r="BI450" s="3" t="s">
        <v>4854</v>
      </c>
      <c r="BJ450" s="3" t="s">
        <v>4854</v>
      </c>
      <c r="BK450" s="90">
        <v>1</v>
      </c>
      <c r="BL450" s="90">
        <v>1</v>
      </c>
      <c r="BM450" s="90">
        <v>1</v>
      </c>
      <c r="BN450" s="90">
        <v>1</v>
      </c>
      <c r="BO450" s="90">
        <v>0.94399999999999995</v>
      </c>
      <c r="BP450" s="99" t="s">
        <v>4854</v>
      </c>
      <c r="BQ450" s="99" t="s">
        <v>4854</v>
      </c>
      <c r="BR450" s="99" t="s">
        <v>4854</v>
      </c>
      <c r="BS450" s="5" t="s">
        <v>4857</v>
      </c>
    </row>
    <row r="451" spans="1:71" s="30" customFormat="1" ht="17.100000000000001" customHeight="1">
      <c r="A451" s="14">
        <v>440</v>
      </c>
      <c r="B451" s="5" t="s">
        <v>3299</v>
      </c>
      <c r="C451" s="3" t="s">
        <v>3344</v>
      </c>
      <c r="D451" s="3" t="s">
        <v>3293</v>
      </c>
      <c r="E451" s="6" t="s">
        <v>3294</v>
      </c>
      <c r="F451" s="5" t="s">
        <v>4340</v>
      </c>
      <c r="G451" s="3" t="s">
        <v>3295</v>
      </c>
      <c r="H451" s="6" t="s">
        <v>3296</v>
      </c>
      <c r="I451" s="3" t="s">
        <v>3297</v>
      </c>
      <c r="J451" s="5" t="s">
        <v>4413</v>
      </c>
      <c r="K451" s="3" t="s">
        <v>5587</v>
      </c>
      <c r="L451" s="3" t="s">
        <v>3300</v>
      </c>
      <c r="M451" s="5">
        <v>3</v>
      </c>
      <c r="N451" s="21">
        <v>626.33029999999997</v>
      </c>
      <c r="O451" s="35" t="s">
        <v>4854</v>
      </c>
      <c r="P451" s="35" t="s">
        <v>4854</v>
      </c>
      <c r="Q451" s="36" t="str">
        <f>HYPERLINK("http://ms.phosphosite.org:5080/cgi-bin/plot-msms.cgi?MassType=1&amp;NumAxis=1&amp;Mod3=170&amp;Pep=YAKLTEAAEQNKEAIR&amp;Dta=/var/www/html/dta/S01/10560.4780.3.dta&amp;Global_Mod=CS57.0215", "4780")</f>
        <v>4780</v>
      </c>
      <c r="R451" s="35" t="s">
        <v>4854</v>
      </c>
      <c r="S451" s="35" t="s">
        <v>4854</v>
      </c>
      <c r="T451" s="35" t="s">
        <v>4854</v>
      </c>
      <c r="U451" s="35" t="s">
        <v>4854</v>
      </c>
      <c r="V451" s="35" t="s">
        <v>4854</v>
      </c>
      <c r="W451" s="3" t="s">
        <v>4854</v>
      </c>
      <c r="X451" s="3" t="s">
        <v>4854</v>
      </c>
      <c r="Y451" s="3" t="s">
        <v>4854</v>
      </c>
      <c r="Z451" s="3" t="s">
        <v>4854</v>
      </c>
      <c r="AA451" s="3" t="s">
        <v>4854</v>
      </c>
      <c r="AB451" s="3" t="s">
        <v>4854</v>
      </c>
      <c r="AC451" s="3" t="s">
        <v>4854</v>
      </c>
      <c r="AD451" s="3" t="s">
        <v>4854</v>
      </c>
      <c r="AE451" s="99" t="s">
        <v>4854</v>
      </c>
      <c r="AF451" s="99" t="s">
        <v>4854</v>
      </c>
      <c r="AG451" s="90">
        <v>1.9950000000000001</v>
      </c>
      <c r="AH451" s="99" t="s">
        <v>4854</v>
      </c>
      <c r="AI451" s="99" t="s">
        <v>4854</v>
      </c>
      <c r="AJ451" s="99" t="s">
        <v>4854</v>
      </c>
      <c r="AK451" s="99" t="s">
        <v>4854</v>
      </c>
      <c r="AL451" s="99" t="s">
        <v>4854</v>
      </c>
      <c r="AM451" s="102" t="s">
        <v>4854</v>
      </c>
      <c r="AN451" s="102" t="s">
        <v>4854</v>
      </c>
      <c r="AO451" s="21">
        <v>9.5799999999999996E-2</v>
      </c>
      <c r="AP451" s="102" t="s">
        <v>4854</v>
      </c>
      <c r="AQ451" s="102" t="s">
        <v>4854</v>
      </c>
      <c r="AR451" s="102" t="s">
        <v>4854</v>
      </c>
      <c r="AS451" s="102" t="s">
        <v>4854</v>
      </c>
      <c r="AT451" s="102" t="s">
        <v>4854</v>
      </c>
      <c r="AU451" s="102" t="s">
        <v>4854</v>
      </c>
      <c r="AV451" s="102" t="s">
        <v>4854</v>
      </c>
      <c r="AW451" s="21">
        <v>3.3000000000000002E-2</v>
      </c>
      <c r="AX451" s="102" t="s">
        <v>4854</v>
      </c>
      <c r="AY451" s="102" t="s">
        <v>4854</v>
      </c>
      <c r="AZ451" s="102" t="s">
        <v>4854</v>
      </c>
      <c r="BA451" s="102" t="s">
        <v>4854</v>
      </c>
      <c r="BB451" s="102" t="s">
        <v>4854</v>
      </c>
      <c r="BC451" s="3" t="s">
        <v>4854</v>
      </c>
      <c r="BD451" s="3" t="s">
        <v>4854</v>
      </c>
      <c r="BE451" s="5">
        <v>28</v>
      </c>
      <c r="BF451" s="3" t="s">
        <v>4854</v>
      </c>
      <c r="BG451" s="3" t="s">
        <v>4854</v>
      </c>
      <c r="BH451" s="3" t="s">
        <v>4854</v>
      </c>
      <c r="BI451" s="3" t="s">
        <v>4854</v>
      </c>
      <c r="BJ451" s="3" t="s">
        <v>4854</v>
      </c>
      <c r="BK451" s="99" t="s">
        <v>4854</v>
      </c>
      <c r="BL451" s="99" t="s">
        <v>4854</v>
      </c>
      <c r="BM451" s="90">
        <v>0.86099999999999999</v>
      </c>
      <c r="BN451" s="99" t="s">
        <v>4854</v>
      </c>
      <c r="BO451" s="99" t="s">
        <v>4854</v>
      </c>
      <c r="BP451" s="99" t="s">
        <v>4854</v>
      </c>
      <c r="BQ451" s="99" t="s">
        <v>4854</v>
      </c>
      <c r="BR451" s="99" t="s">
        <v>4854</v>
      </c>
      <c r="BS451" s="5" t="s">
        <v>4857</v>
      </c>
    </row>
    <row r="452" spans="1:71" s="30" customFormat="1" ht="17.100000000000001" customHeight="1">
      <c r="A452" s="10">
        <v>441</v>
      </c>
      <c r="B452" s="10" t="s">
        <v>3301</v>
      </c>
      <c r="C452" s="4" t="s">
        <v>3344</v>
      </c>
      <c r="D452" s="4" t="s">
        <v>3302</v>
      </c>
      <c r="E452" s="7" t="s">
        <v>3303</v>
      </c>
      <c r="F452" s="10" t="s">
        <v>5067</v>
      </c>
      <c r="G452" s="4" t="s">
        <v>3304</v>
      </c>
      <c r="H452" s="7" t="s">
        <v>3305</v>
      </c>
      <c r="I452" s="4" t="s">
        <v>3306</v>
      </c>
      <c r="J452" s="10" t="s">
        <v>4729</v>
      </c>
      <c r="K452" s="4" t="s">
        <v>5588</v>
      </c>
      <c r="L452" s="4" t="s">
        <v>3307</v>
      </c>
      <c r="M452" s="10">
        <v>2</v>
      </c>
      <c r="N452" s="95">
        <v>594.8057</v>
      </c>
      <c r="O452" s="37" t="str">
        <f>HYPERLINK("http://ms.phosphosite.org:5080/cgi-bin/plot-msms.cgi?MassType=1&amp;NumAxis=1&amp;Mod7=170&amp;Pep=EAQMAAKLER&amp;Dta=/var/www/html/dta/S01/10558.4803.2.dta&amp;Global_Mod=CS57.0215", "4803")</f>
        <v>4803</v>
      </c>
      <c r="P452" s="38" t="s">
        <v>4854</v>
      </c>
      <c r="Q452" s="38" t="s">
        <v>4854</v>
      </c>
      <c r="R452" s="37" t="str">
        <f>HYPERLINK("http://ms.phosphosite.org:5080/cgi-bin/plot-msms.cgi?MassType=1&amp;NumAxis=1&amp;Mod7=170&amp;Pep=EAQMAAKLER&amp;Dta=/var/www/html/dta/S01/10561.4769.2.dta&amp;Global_Mod=CS57.0215", "4769")</f>
        <v>4769</v>
      </c>
      <c r="S452" s="37" t="str">
        <f>HYPERLINK("http://ms.phosphosite.org:5080/cgi-bin/plot-msms.cgi?MassType=1&amp;NumAxis=1&amp;Mod7=170&amp;Pep=EAQMAAKLER&amp;Dta=/var/www/html/dta/S01/10562.4868.2.dta&amp;Global_Mod=CS57.0215", "4868")</f>
        <v>4868</v>
      </c>
      <c r="T452" s="38" t="s">
        <v>4854</v>
      </c>
      <c r="U452" s="37" t="str">
        <f>HYPERLINK("http://ms.phosphosite.org:5080/cgi-bin/plot-msms.cgi?MassType=1&amp;NumAxis=1&amp;Mod7=170&amp;Pep=EAQMAAKLER&amp;Dta=/var/www/html/dta/S01/10564.5112.2.dta&amp;Global_Mod=CS57.0215", "5112")</f>
        <v>5112</v>
      </c>
      <c r="V452" s="37" t="str">
        <f>HYPERLINK("http://ms.phosphosite.org:5080/cgi-bin/plot-msms.cgi?MassType=1&amp;NumAxis=1&amp;Mod7=170&amp;Pep=EAQMAAKLER&amp;Dta=/var/www/html/dta/S01/10565.5239.2.dta&amp;Global_Mod=CS57.0215", "5239")</f>
        <v>5239</v>
      </c>
      <c r="W452" s="10">
        <v>4801</v>
      </c>
      <c r="X452" s="4" t="s">
        <v>4854</v>
      </c>
      <c r="Y452" s="4" t="s">
        <v>4854</v>
      </c>
      <c r="Z452" s="10">
        <v>4743</v>
      </c>
      <c r="AA452" s="10">
        <v>4845</v>
      </c>
      <c r="AB452" s="4" t="s">
        <v>4854</v>
      </c>
      <c r="AC452" s="10">
        <v>5143</v>
      </c>
      <c r="AD452" s="10">
        <v>5240</v>
      </c>
      <c r="AE452" s="91">
        <v>3.0830000000000002</v>
      </c>
      <c r="AF452" s="100" t="s">
        <v>4854</v>
      </c>
      <c r="AG452" s="100" t="s">
        <v>4854</v>
      </c>
      <c r="AH452" s="91">
        <v>2.9060000000000001</v>
      </c>
      <c r="AI452" s="91">
        <v>2.9529999999999998</v>
      </c>
      <c r="AJ452" s="100" t="s">
        <v>4854</v>
      </c>
      <c r="AK452" s="91">
        <v>2.778</v>
      </c>
      <c r="AL452" s="91">
        <v>2.851</v>
      </c>
      <c r="AM452" s="95">
        <v>6.4299999999999996E-2</v>
      </c>
      <c r="AN452" s="103" t="s">
        <v>4854</v>
      </c>
      <c r="AO452" s="103" t="s">
        <v>4854</v>
      </c>
      <c r="AP452" s="95">
        <v>0.14849999999999999</v>
      </c>
      <c r="AQ452" s="95">
        <v>0.31840000000000002</v>
      </c>
      <c r="AR452" s="103" t="s">
        <v>4854</v>
      </c>
      <c r="AS452" s="95">
        <v>2.0999999999999999E-3</v>
      </c>
      <c r="AT452" s="95">
        <v>-0.2402</v>
      </c>
      <c r="AU452" s="95">
        <v>0.22500000000000001</v>
      </c>
      <c r="AV452" s="103" t="s">
        <v>4854</v>
      </c>
      <c r="AW452" s="103" t="s">
        <v>4854</v>
      </c>
      <c r="AX452" s="95">
        <v>0.21199999999999999</v>
      </c>
      <c r="AY452" s="95">
        <v>0.19500000000000001</v>
      </c>
      <c r="AZ452" s="103" t="s">
        <v>4854</v>
      </c>
      <c r="BA452" s="95">
        <v>0.22600000000000001</v>
      </c>
      <c r="BB452" s="95">
        <v>0.126</v>
      </c>
      <c r="BC452" s="10">
        <v>1</v>
      </c>
      <c r="BD452" s="4" t="s">
        <v>4854</v>
      </c>
      <c r="BE452" s="4" t="s">
        <v>4854</v>
      </c>
      <c r="BF452" s="10">
        <v>1</v>
      </c>
      <c r="BG452" s="10">
        <v>1</v>
      </c>
      <c r="BH452" s="4" t="s">
        <v>4854</v>
      </c>
      <c r="BI452" s="10">
        <v>1</v>
      </c>
      <c r="BJ452" s="10">
        <v>1</v>
      </c>
      <c r="BK452" s="91">
        <v>0.999</v>
      </c>
      <c r="BL452" s="100" t="s">
        <v>4854</v>
      </c>
      <c r="BM452" s="100" t="s">
        <v>4854</v>
      </c>
      <c r="BN452" s="91">
        <v>0.999</v>
      </c>
      <c r="BO452" s="91">
        <v>0.999</v>
      </c>
      <c r="BP452" s="100" t="s">
        <v>4854</v>
      </c>
      <c r="BQ452" s="91">
        <v>0.999</v>
      </c>
      <c r="BR452" s="91">
        <v>0.998</v>
      </c>
      <c r="BS452" s="10" t="s">
        <v>4857</v>
      </c>
    </row>
    <row r="453" spans="1:71" s="30" customFormat="1" ht="17.100000000000001" customHeight="1">
      <c r="A453" s="10">
        <v>442</v>
      </c>
      <c r="B453" s="10" t="s">
        <v>3308</v>
      </c>
      <c r="C453" s="4" t="s">
        <v>3344</v>
      </c>
      <c r="D453" s="4" t="s">
        <v>3302</v>
      </c>
      <c r="E453" s="7" t="s">
        <v>3303</v>
      </c>
      <c r="F453" s="10" t="s">
        <v>5067</v>
      </c>
      <c r="G453" s="4" t="s">
        <v>3304</v>
      </c>
      <c r="H453" s="7" t="s">
        <v>3305</v>
      </c>
      <c r="I453" s="4" t="s">
        <v>3306</v>
      </c>
      <c r="J453" s="10" t="s">
        <v>4729</v>
      </c>
      <c r="K453" s="4" t="s">
        <v>5588</v>
      </c>
      <c r="L453" s="4" t="s">
        <v>3309</v>
      </c>
      <c r="M453" s="10">
        <v>2</v>
      </c>
      <c r="N453" s="95">
        <v>602.80319999999995</v>
      </c>
      <c r="O453" s="37" t="str">
        <f>HYPERLINK("http://ms.phosphosite.org:5080/cgi-bin/plot-msms.cgi?MassType=1&amp;NumAxis=1&amp;Mod4=147&amp;Mod7=170&amp;Pep=EAQMAAKLER&amp;Dta=/var/www/html/dta/S01/10558.2481.2.dta&amp;Global_Mod=CS57.0215", "2481")</f>
        <v>2481</v>
      </c>
      <c r="P453" s="38" t="s">
        <v>4854</v>
      </c>
      <c r="Q453" s="37" t="str">
        <f>HYPERLINK("http://ms.phosphosite.org:5080/cgi-bin/plot-msms.cgi?MassType=1&amp;NumAxis=1&amp;Mod4=147&amp;Mod7=170&amp;Pep=EAQMAAKLER&amp;Dta=/var/www/html/dta/S01/10560.2431.2.dta&amp;Global_Mod=CS57.0215", "2431")</f>
        <v>2431</v>
      </c>
      <c r="R453" s="37" t="str">
        <f>HYPERLINK("http://ms.phosphosite.org:5080/cgi-bin/plot-msms.cgi?MassType=1&amp;NumAxis=1&amp;Mod4=147&amp;Mod7=170&amp;Pep=EAQMAAKLER&amp;Dta=/var/www/html/dta/S01/10561.2490.2.dta&amp;Global_Mod=CS57.0215", "2490")</f>
        <v>2490</v>
      </c>
      <c r="S453" s="37" t="str">
        <f>HYPERLINK("http://ms.phosphosite.org:5080/cgi-bin/plot-msms.cgi?MassType=1&amp;NumAxis=1&amp;Mod4=147&amp;Mod7=170&amp;Pep=EAQMAAKLER&amp;Dta=/var/www/html/dta/S01/10562.2540.2.dta&amp;Global_Mod=CS57.0215", "2540")</f>
        <v>2540</v>
      </c>
      <c r="T453" s="37" t="str">
        <f>HYPERLINK("http://ms.phosphosite.org:5080/cgi-bin/plot-msms.cgi?MassType=1&amp;NumAxis=1&amp;Mod4=147&amp;Mod7=170&amp;Pep=EAQMAAKLER&amp;Dta=/var/www/html/dta/S01/10563.2473.2.dta&amp;Global_Mod=CS57.0215", "2473")</f>
        <v>2473</v>
      </c>
      <c r="U453" s="37" t="str">
        <f>HYPERLINK("http://ms.phosphosite.org:5080/cgi-bin/plot-msms.cgi?MassType=1&amp;NumAxis=1&amp;Mod4=147&amp;Mod7=170&amp;Pep=EAQMAAKLER&amp;Dta=/var/www/html/dta/S01/10564.2812.2.dta&amp;Global_Mod=CS57.0215", "2812")</f>
        <v>2812</v>
      </c>
      <c r="V453" s="37" t="str">
        <f>HYPERLINK("http://ms.phosphosite.org:5080/cgi-bin/plot-msms.cgi?MassType=1&amp;NumAxis=1&amp;Mod4=147&amp;Mod7=170&amp;Pep=EAQMAAKLER&amp;Dta=/var/www/html/dta/S01/10565.2901.2.dta&amp;Global_Mod=CS57.0215", "2901")</f>
        <v>2901</v>
      </c>
      <c r="W453" s="10">
        <v>2510</v>
      </c>
      <c r="X453" s="4" t="s">
        <v>4854</v>
      </c>
      <c r="Y453" s="10">
        <v>2428</v>
      </c>
      <c r="Z453" s="10">
        <v>2465</v>
      </c>
      <c r="AA453" s="10">
        <v>2536</v>
      </c>
      <c r="AB453" s="10">
        <v>2478</v>
      </c>
      <c r="AC453" s="4" t="s">
        <v>4854</v>
      </c>
      <c r="AD453" s="4" t="s">
        <v>4854</v>
      </c>
      <c r="AE453" s="91">
        <v>2.0609999999999999</v>
      </c>
      <c r="AF453" s="100" t="s">
        <v>4854</v>
      </c>
      <c r="AG453" s="91">
        <v>2.1339999999999999</v>
      </c>
      <c r="AH453" s="91">
        <v>2.3370000000000002</v>
      </c>
      <c r="AI453" s="91">
        <v>2.1909999999999998</v>
      </c>
      <c r="AJ453" s="91">
        <v>2.3340000000000001</v>
      </c>
      <c r="AK453" s="91">
        <v>2.2709999999999999</v>
      </c>
      <c r="AL453" s="91">
        <v>2.028</v>
      </c>
      <c r="AM453" s="95">
        <v>1.8100000000000002E-2</v>
      </c>
      <c r="AN453" s="103" t="s">
        <v>4854</v>
      </c>
      <c r="AO453" s="95">
        <v>0.46560000000000001</v>
      </c>
      <c r="AP453" s="95">
        <v>0.31619999999999998</v>
      </c>
      <c r="AQ453" s="95">
        <v>0.26550000000000001</v>
      </c>
      <c r="AR453" s="95">
        <v>0.39340000000000003</v>
      </c>
      <c r="AS453" s="95">
        <v>-0.41189999999999999</v>
      </c>
      <c r="AT453" s="95">
        <v>-0.5323</v>
      </c>
      <c r="AU453" s="95">
        <v>8.7999999999999995E-2</v>
      </c>
      <c r="AV453" s="103" t="s">
        <v>4854</v>
      </c>
      <c r="AW453" s="95">
        <v>0.112</v>
      </c>
      <c r="AX453" s="95">
        <v>0.217</v>
      </c>
      <c r="AY453" s="95">
        <v>0.10299999999999999</v>
      </c>
      <c r="AZ453" s="95">
        <v>0.185</v>
      </c>
      <c r="BA453" s="95">
        <v>9.5000000000000001E-2</v>
      </c>
      <c r="BB453" s="95">
        <v>9.0999999999999998E-2</v>
      </c>
      <c r="BC453" s="10">
        <v>8</v>
      </c>
      <c r="BD453" s="4" t="s">
        <v>4854</v>
      </c>
      <c r="BE453" s="10">
        <v>14</v>
      </c>
      <c r="BF453" s="10">
        <v>22</v>
      </c>
      <c r="BG453" s="10">
        <v>7</v>
      </c>
      <c r="BH453" s="10">
        <v>8</v>
      </c>
      <c r="BI453" s="10">
        <v>13</v>
      </c>
      <c r="BJ453" s="10">
        <v>22</v>
      </c>
      <c r="BK453" s="91">
        <v>0.96299999999999997</v>
      </c>
      <c r="BL453" s="100" t="s">
        <v>4854</v>
      </c>
      <c r="BM453" s="91">
        <v>0.97199999999999998</v>
      </c>
      <c r="BN453" s="91">
        <v>0.99399999999999999</v>
      </c>
      <c r="BO453" s="91">
        <v>0.97799999999999998</v>
      </c>
      <c r="BP453" s="91">
        <v>0.99399999999999999</v>
      </c>
      <c r="BQ453" s="91">
        <v>0.94899999999999995</v>
      </c>
      <c r="BR453" s="91">
        <v>0.89200000000000002</v>
      </c>
      <c r="BS453" s="10" t="s">
        <v>4857</v>
      </c>
    </row>
    <row r="454" spans="1:71" s="30" customFormat="1" ht="17.100000000000001" customHeight="1">
      <c r="A454" s="14">
        <v>443</v>
      </c>
      <c r="B454" s="5" t="s">
        <v>3310</v>
      </c>
      <c r="C454" s="3" t="s">
        <v>3344</v>
      </c>
      <c r="D454" s="3" t="s">
        <v>3302</v>
      </c>
      <c r="E454" s="6" t="s">
        <v>3303</v>
      </c>
      <c r="F454" s="5" t="s">
        <v>4234</v>
      </c>
      <c r="G454" s="3" t="s">
        <v>3304</v>
      </c>
      <c r="H454" s="6" t="s">
        <v>3305</v>
      </c>
      <c r="I454" s="3" t="s">
        <v>3306</v>
      </c>
      <c r="J454" s="5" t="s">
        <v>4729</v>
      </c>
      <c r="K454" s="3" t="s">
        <v>5589</v>
      </c>
      <c r="L454" s="3" t="s">
        <v>3311</v>
      </c>
      <c r="M454" s="5">
        <v>2</v>
      </c>
      <c r="N454" s="21">
        <v>795.84190000000001</v>
      </c>
      <c r="O454" s="36" t="str">
        <f>HYPERLINK("http://ms.phosphosite.org:5080/cgi-bin/plot-msms.cgi?MassType=1&amp;NumAxis=1&amp;Mod2=170&amp;Pep=NKESKDPADETEAD&amp;Dta=/var/www/html/dta/S01/10558.1914.2.dta&amp;Global_Mod=CS57.0215", "1914")</f>
        <v>1914</v>
      </c>
      <c r="P454" s="36" t="str">
        <f>HYPERLINK("http://ms.phosphosite.org:5080/cgi-bin/plot-msms.cgi?MassType=1&amp;NumAxis=1&amp;Mod2=170&amp;Pep=NKESKDPADETEAD&amp;Dta=/var/www/html/dta/S01/10559.1885.2.dta&amp;Global_Mod=CS57.0215", "1885")</f>
        <v>1885</v>
      </c>
      <c r="Q454" s="36" t="str">
        <f>HYPERLINK("http://ms.phosphosite.org:5080/cgi-bin/plot-msms.cgi?MassType=1&amp;NumAxis=1&amp;Mod2=170&amp;Pep=NKESKDPADETEAD&amp;Dta=/var/www/html/dta/S01/10560.1832.2.dta&amp;Global_Mod=CS57.0215", "1832")</f>
        <v>1832</v>
      </c>
      <c r="R454" s="36" t="str">
        <f>HYPERLINK("http://ms.phosphosite.org:5080/cgi-bin/plot-msms.cgi?MassType=1&amp;NumAxis=1&amp;Mod2=170&amp;Pep=NKESKDPADETEAD&amp;Dta=/var/www/html/dta/S01/10561.1883.2.dta&amp;Global_Mod=CS57.0215", "1883")</f>
        <v>1883</v>
      </c>
      <c r="S454" s="36" t="str">
        <f>HYPERLINK("http://ms.phosphosite.org:5080/cgi-bin/plot-msms.cgi?MassType=1&amp;NumAxis=1&amp;Mod2=170&amp;Pep=NKESKDPADETEAD&amp;Dta=/var/www/html/dta/S01/10562.1956.2.dta&amp;Global_Mod=CS57.0215", "1956")</f>
        <v>1956</v>
      </c>
      <c r="T454" s="36" t="str">
        <f>HYPERLINK("http://ms.phosphosite.org:5080/cgi-bin/plot-msms.cgi?MassType=1&amp;NumAxis=1&amp;Mod2=170&amp;Pep=NKESKDPADETEAD&amp;Dta=/var/www/html/dta/S01/10563.1871.2.dta&amp;Global_Mod=CS57.0215", "1871")</f>
        <v>1871</v>
      </c>
      <c r="U454" s="36" t="str">
        <f>HYPERLINK("http://ms.phosphosite.org:5080/cgi-bin/plot-msms.cgi?MassType=1&amp;NumAxis=1&amp;Mod2=170&amp;Pep=NKESKDPADETEAD&amp;Dta=/var/www/html/dta/S01/10564.2130.2.dta&amp;Global_Mod=CS57.0215", "2130")</f>
        <v>2130</v>
      </c>
      <c r="V454" s="36" t="str">
        <f>HYPERLINK("http://ms.phosphosite.org:5080/cgi-bin/plot-msms.cgi?MassType=1&amp;NumAxis=1&amp;Mod2=170&amp;Pep=NKESKDPADETEAD&amp;Dta=/var/www/html/dta/S01/10565.2174.2.dta&amp;Global_Mod=CS57.0215", "2174")</f>
        <v>2174</v>
      </c>
      <c r="W454" s="5">
        <v>1906</v>
      </c>
      <c r="X454" s="5">
        <v>1898</v>
      </c>
      <c r="Y454" s="5">
        <v>1847</v>
      </c>
      <c r="Z454" s="5">
        <v>1885</v>
      </c>
      <c r="AA454" s="5">
        <v>1952</v>
      </c>
      <c r="AB454" s="5">
        <v>1876</v>
      </c>
      <c r="AC454" s="5">
        <v>2133</v>
      </c>
      <c r="AD454" s="5">
        <v>2180</v>
      </c>
      <c r="AE454" s="90">
        <v>3.0009999999999999</v>
      </c>
      <c r="AF454" s="90">
        <v>2.782</v>
      </c>
      <c r="AG454" s="90">
        <v>2.6349999999999998</v>
      </c>
      <c r="AH454" s="90">
        <v>2.6080000000000001</v>
      </c>
      <c r="AI454" s="90">
        <v>2.5339999999999998</v>
      </c>
      <c r="AJ454" s="90">
        <v>3.1840000000000002</v>
      </c>
      <c r="AK454" s="90">
        <v>2.7410000000000001</v>
      </c>
      <c r="AL454" s="90">
        <v>3.6640000000000001</v>
      </c>
      <c r="AM454" s="21">
        <v>0.33260000000000001</v>
      </c>
      <c r="AN454" s="21">
        <v>0.9355</v>
      </c>
      <c r="AO454" s="21">
        <v>1.0561</v>
      </c>
      <c r="AP454" s="21">
        <v>1.1423000000000001</v>
      </c>
      <c r="AQ454" s="21">
        <v>0.77829999999999999</v>
      </c>
      <c r="AR454" s="21">
        <v>1.0474000000000001</v>
      </c>
      <c r="AS454" s="21">
        <v>0.52310000000000001</v>
      </c>
      <c r="AT454" s="21">
        <v>-0.1075</v>
      </c>
      <c r="AU454" s="21">
        <v>0.45</v>
      </c>
      <c r="AV454" s="21">
        <v>0.48599999999999999</v>
      </c>
      <c r="AW454" s="21">
        <v>0.4</v>
      </c>
      <c r="AX454" s="21">
        <v>0.44800000000000001</v>
      </c>
      <c r="AY454" s="21">
        <v>0.41</v>
      </c>
      <c r="AZ454" s="21">
        <v>0.45</v>
      </c>
      <c r="BA454" s="21">
        <v>0.441</v>
      </c>
      <c r="BB454" s="21">
        <v>0.40799999999999997</v>
      </c>
      <c r="BC454" s="5">
        <v>1</v>
      </c>
      <c r="BD454" s="5">
        <v>1</v>
      </c>
      <c r="BE454" s="5">
        <v>1</v>
      </c>
      <c r="BF454" s="5">
        <v>1</v>
      </c>
      <c r="BG454" s="5">
        <v>2</v>
      </c>
      <c r="BH454" s="5">
        <v>1</v>
      </c>
      <c r="BI454" s="5">
        <v>1</v>
      </c>
      <c r="BJ454" s="5">
        <v>1</v>
      </c>
      <c r="BK454" s="90">
        <v>1</v>
      </c>
      <c r="BL454" s="90">
        <v>1</v>
      </c>
      <c r="BM454" s="90">
        <v>1</v>
      </c>
      <c r="BN454" s="90">
        <v>1</v>
      </c>
      <c r="BO454" s="90">
        <v>1</v>
      </c>
      <c r="BP454" s="90">
        <v>1</v>
      </c>
      <c r="BQ454" s="90">
        <v>1</v>
      </c>
      <c r="BR454" s="90">
        <v>1</v>
      </c>
      <c r="BS454" s="5" t="s">
        <v>4857</v>
      </c>
    </row>
    <row r="455" spans="1:71" s="30" customFormat="1" ht="17.100000000000001" customHeight="1">
      <c r="A455" s="10">
        <v>444</v>
      </c>
      <c r="B455" s="10" t="s">
        <v>3312</v>
      </c>
      <c r="C455" s="4" t="s">
        <v>3344</v>
      </c>
      <c r="D455" s="4" t="s">
        <v>3313</v>
      </c>
      <c r="E455" s="4" t="s">
        <v>3314</v>
      </c>
      <c r="F455" s="10" t="s">
        <v>4631</v>
      </c>
      <c r="G455" s="4" t="s">
        <v>3315</v>
      </c>
      <c r="H455" s="7" t="s">
        <v>3316</v>
      </c>
      <c r="I455" s="4" t="s">
        <v>3317</v>
      </c>
      <c r="J455" s="10" t="s">
        <v>4823</v>
      </c>
      <c r="K455" s="4" t="s">
        <v>5590</v>
      </c>
      <c r="L455" s="4" t="s">
        <v>3318</v>
      </c>
      <c r="M455" s="10">
        <v>2</v>
      </c>
      <c r="N455" s="95">
        <v>971.98649999999998</v>
      </c>
      <c r="O455" s="37" t="str">
        <f>HYPERLINK("http://ms.phosphosite.org:5080/cgi-bin/plot-msms.cgi?MassType=1&amp;NumAxis=1&amp;Mod12=170&amp;Pep=INVYYNEATGNKYVPR&amp;Dta=/var/www/html/dta/S01/10558.7696.2.dta&amp;Global_Mod=CS57.0215", "7696")</f>
        <v>7696</v>
      </c>
      <c r="P455" s="37" t="str">
        <f>HYPERLINK("http://ms.phosphosite.org:5080/cgi-bin/plot-msms.cgi?MassType=1&amp;NumAxis=1&amp;Mod12=170&amp;Pep=INVYYNEATGNKYVPR&amp;Dta=/var/www/html/dta/S01/10559.7661.2.dta&amp;Global_Mod=CS57.0215", "7661")</f>
        <v>7661</v>
      </c>
      <c r="Q455" s="37" t="str">
        <f>HYPERLINK("http://ms.phosphosite.org:5080/cgi-bin/plot-msms.cgi?MassType=1&amp;NumAxis=1&amp;Mod12=170&amp;Pep=INVYYNEATGNKYVPR&amp;Dta=/var/www/html/dta/S01/10560.7640.2.dta&amp;Global_Mod=CS57.0215", "7640")</f>
        <v>7640</v>
      </c>
      <c r="R455" s="37" t="str">
        <f>HYPERLINK("http://ms.phosphosite.org:5080/cgi-bin/plot-msms.cgi?MassType=1&amp;NumAxis=1&amp;Mod12=170&amp;Pep=INVYYNEATGNKYVPR&amp;Dta=/var/www/html/dta/S01/10561.7667.2.dta&amp;Global_Mod=CS57.0215", "7667")</f>
        <v>7667</v>
      </c>
      <c r="S455" s="37" t="str">
        <f>HYPERLINK("http://ms.phosphosite.org:5080/cgi-bin/plot-msms.cgi?MassType=1&amp;NumAxis=1&amp;Mod12=170&amp;Pep=INVYYNEATGNKYVPR&amp;Dta=/var/www/html/dta/S01/10562.7789.2.dta&amp;Global_Mod=CS57.0215", "7789")</f>
        <v>7789</v>
      </c>
      <c r="T455" s="37" t="str">
        <f>HYPERLINK("http://ms.phosphosite.org:5080/cgi-bin/plot-msms.cgi?MassType=1&amp;NumAxis=1&amp;Mod12=170&amp;Pep=INVYYNEATGNKYVPR&amp;Dta=/var/www/html/dta/S01/10563.7760.2.dta&amp;Global_Mod=CS57.0215", "7760")</f>
        <v>7760</v>
      </c>
      <c r="U455" s="37" t="str">
        <f>HYPERLINK("http://ms.phosphosite.org:5080/cgi-bin/plot-msms.cgi?MassType=1&amp;NumAxis=1&amp;Mod12=170&amp;Pep=INVYYNEATGNKYVPR&amp;Dta=/var/www/html/dta/S01/10564.8132.2.dta&amp;Global_Mod=CS57.0215", "8132")</f>
        <v>8132</v>
      </c>
      <c r="V455" s="37" t="str">
        <f>HYPERLINK("http://ms.phosphosite.org:5080/cgi-bin/plot-msms.cgi?MassType=1&amp;NumAxis=1&amp;Mod12=170&amp;Pep=INVYYNEATGNKYVPR&amp;Dta=/var/www/html/dta/S01/10565.8168.2.dta&amp;Global_Mod=CS57.0215", "8168")</f>
        <v>8168</v>
      </c>
      <c r="W455" s="10">
        <v>7721</v>
      </c>
      <c r="X455" s="10">
        <v>7669</v>
      </c>
      <c r="Y455" s="10">
        <v>7653</v>
      </c>
      <c r="Z455" s="10">
        <v>7680</v>
      </c>
      <c r="AA455" s="10">
        <v>7797</v>
      </c>
      <c r="AB455" s="10">
        <v>7784</v>
      </c>
      <c r="AC455" s="10">
        <v>8157</v>
      </c>
      <c r="AD455" s="10">
        <v>8176</v>
      </c>
      <c r="AE455" s="91">
        <v>4.37</v>
      </c>
      <c r="AF455" s="91">
        <v>4.3520000000000003</v>
      </c>
      <c r="AG455" s="91">
        <v>4.601</v>
      </c>
      <c r="AH455" s="91">
        <v>4.2140000000000004</v>
      </c>
      <c r="AI455" s="91">
        <v>3.6850000000000001</v>
      </c>
      <c r="AJ455" s="91">
        <v>4.6909999999999998</v>
      </c>
      <c r="AK455" s="91">
        <v>4.306</v>
      </c>
      <c r="AL455" s="91">
        <v>4.4909999999999997</v>
      </c>
      <c r="AM455" s="95">
        <v>1.1171</v>
      </c>
      <c r="AN455" s="95">
        <v>1.0851999999999999</v>
      </c>
      <c r="AO455" s="95">
        <v>0.86439999999999995</v>
      </c>
      <c r="AP455" s="95">
        <v>1.2215</v>
      </c>
      <c r="AQ455" s="95">
        <v>0.9163</v>
      </c>
      <c r="AR455" s="95">
        <v>0.54730000000000001</v>
      </c>
      <c r="AS455" s="95">
        <v>0.44030000000000002</v>
      </c>
      <c r="AT455" s="95">
        <v>0.2087</v>
      </c>
      <c r="AU455" s="95">
        <v>0.52</v>
      </c>
      <c r="AV455" s="95">
        <v>0.50800000000000001</v>
      </c>
      <c r="AW455" s="95">
        <v>0.52900000000000003</v>
      </c>
      <c r="AX455" s="95">
        <v>0.505</v>
      </c>
      <c r="AY455" s="95">
        <v>0.51300000000000001</v>
      </c>
      <c r="AZ455" s="95">
        <v>0.52</v>
      </c>
      <c r="BA455" s="95">
        <v>0.49399999999999999</v>
      </c>
      <c r="BB455" s="95">
        <v>0.49299999999999999</v>
      </c>
      <c r="BC455" s="10">
        <v>1</v>
      </c>
      <c r="BD455" s="10">
        <v>1</v>
      </c>
      <c r="BE455" s="10">
        <v>1</v>
      </c>
      <c r="BF455" s="10">
        <v>1</v>
      </c>
      <c r="BG455" s="10">
        <v>1</v>
      </c>
      <c r="BH455" s="10">
        <v>1</v>
      </c>
      <c r="BI455" s="10">
        <v>1</v>
      </c>
      <c r="BJ455" s="10">
        <v>1</v>
      </c>
      <c r="BK455" s="91">
        <v>1</v>
      </c>
      <c r="BL455" s="91">
        <v>1</v>
      </c>
      <c r="BM455" s="91">
        <v>1</v>
      </c>
      <c r="BN455" s="91">
        <v>1</v>
      </c>
      <c r="BO455" s="91">
        <v>1</v>
      </c>
      <c r="BP455" s="91">
        <v>1</v>
      </c>
      <c r="BQ455" s="91">
        <v>1</v>
      </c>
      <c r="BR455" s="91">
        <v>1</v>
      </c>
      <c r="BS455" s="10" t="s">
        <v>4857</v>
      </c>
    </row>
    <row r="456" spans="1:71" s="30" customFormat="1" ht="17.100000000000001" customHeight="1">
      <c r="A456" s="10">
        <v>445</v>
      </c>
      <c r="B456" s="10" t="s">
        <v>3319</v>
      </c>
      <c r="C456" s="4" t="s">
        <v>3344</v>
      </c>
      <c r="D456" s="4" t="s">
        <v>3313</v>
      </c>
      <c r="E456" s="4" t="s">
        <v>3314</v>
      </c>
      <c r="F456" s="10" t="s">
        <v>4631</v>
      </c>
      <c r="G456" s="4" t="s">
        <v>3315</v>
      </c>
      <c r="H456" s="7" t="s">
        <v>3316</v>
      </c>
      <c r="I456" s="4" t="s">
        <v>3317</v>
      </c>
      <c r="J456" s="10" t="s">
        <v>4823</v>
      </c>
      <c r="K456" s="4" t="s">
        <v>5590</v>
      </c>
      <c r="L456" s="4" t="s">
        <v>3318</v>
      </c>
      <c r="M456" s="10">
        <v>3</v>
      </c>
      <c r="N456" s="95">
        <v>648.32680000000005</v>
      </c>
      <c r="O456" s="38" t="s">
        <v>4854</v>
      </c>
      <c r="P456" s="38" t="s">
        <v>4854</v>
      </c>
      <c r="Q456" s="37" t="str">
        <f>HYPERLINK("http://ms.phosphosite.org:5080/cgi-bin/plot-msms.cgi?MassType=1&amp;NumAxis=1&amp;Mod12=170&amp;Pep=INVYYNEATGNKYVPR&amp;Dta=/var/www/html/dta/S01/10560.7629.3.dta&amp;Global_Mod=CS57.0215", "7629")</f>
        <v>7629</v>
      </c>
      <c r="R456" s="37" t="str">
        <f>HYPERLINK("http://ms.phosphosite.org:5080/cgi-bin/plot-msms.cgi?MassType=1&amp;NumAxis=1&amp;Mod12=170&amp;Pep=INVYYNEATGNKYVPR&amp;Dta=/var/www/html/dta/S01/10561.7664.3.dta&amp;Global_Mod=CS57.0215", "7664")</f>
        <v>7664</v>
      </c>
      <c r="S456" s="37" t="str">
        <f>HYPERLINK("http://ms.phosphosite.org:5080/cgi-bin/plot-msms.cgi?MassType=1&amp;NumAxis=1&amp;Mod12=170&amp;Pep=INVYYNEATGNKYVPR&amp;Dta=/var/www/html/dta/S01/10562.7781.3.dta&amp;Global_Mod=CS57.0215", "7781")</f>
        <v>7781</v>
      </c>
      <c r="T456" s="37" t="str">
        <f>HYPERLINK("http://ms.phosphosite.org:5080/cgi-bin/plot-msms.cgi?MassType=1&amp;NumAxis=1&amp;Mod12=170&amp;Pep=INVYYNEATGNKYVPR&amp;Dta=/var/www/html/dta/S01/10563.7746.3.dta&amp;Global_Mod=CS57.0215", "7746")</f>
        <v>7746</v>
      </c>
      <c r="U456" s="38" t="s">
        <v>4854</v>
      </c>
      <c r="V456" s="37" t="str">
        <f>HYPERLINK("http://ms.phosphosite.org:5080/cgi-bin/plot-msms.cgi?MassType=1&amp;NumAxis=1&amp;Mod12=170&amp;Pep=INVYYNEATGNKYVPR&amp;Dta=/var/www/html/dta/S01/10565.8167.3.dta&amp;Global_Mod=CS57.0215", "8167")</f>
        <v>8167</v>
      </c>
      <c r="W456" s="4" t="s">
        <v>4854</v>
      </c>
      <c r="X456" s="4" t="s">
        <v>4854</v>
      </c>
      <c r="Y456" s="10">
        <v>7653</v>
      </c>
      <c r="Z456" s="10">
        <v>7680</v>
      </c>
      <c r="AA456" s="10">
        <v>7797</v>
      </c>
      <c r="AB456" s="10">
        <v>7784</v>
      </c>
      <c r="AC456" s="4" t="s">
        <v>4854</v>
      </c>
      <c r="AD456" s="10">
        <v>8187</v>
      </c>
      <c r="AE456" s="100" t="s">
        <v>4854</v>
      </c>
      <c r="AF456" s="100" t="s">
        <v>4854</v>
      </c>
      <c r="AG456" s="91">
        <v>3.645</v>
      </c>
      <c r="AH456" s="91">
        <v>3.121</v>
      </c>
      <c r="AI456" s="91">
        <v>2.9990000000000001</v>
      </c>
      <c r="AJ456" s="91">
        <v>3.2170000000000001</v>
      </c>
      <c r="AK456" s="100" t="s">
        <v>4854</v>
      </c>
      <c r="AL456" s="91">
        <v>3.7320000000000002</v>
      </c>
      <c r="AM456" s="103" t="s">
        <v>4854</v>
      </c>
      <c r="AN456" s="103" t="s">
        <v>4854</v>
      </c>
      <c r="AO456" s="95">
        <v>0.29409999999999997</v>
      </c>
      <c r="AP456" s="95">
        <v>0.69299999999999995</v>
      </c>
      <c r="AQ456" s="95">
        <v>0.29670000000000002</v>
      </c>
      <c r="AR456" s="95">
        <v>0.43669999999999998</v>
      </c>
      <c r="AS456" s="103" t="s">
        <v>4854</v>
      </c>
      <c r="AT456" s="95">
        <v>0.24010000000000001</v>
      </c>
      <c r="AU456" s="103" t="s">
        <v>4854</v>
      </c>
      <c r="AV456" s="103" t="s">
        <v>4854</v>
      </c>
      <c r="AW456" s="95">
        <v>0.371</v>
      </c>
      <c r="AX456" s="95">
        <v>0.307</v>
      </c>
      <c r="AY456" s="95">
        <v>0.33300000000000002</v>
      </c>
      <c r="AZ456" s="95">
        <v>0.29199999999999998</v>
      </c>
      <c r="BA456" s="103" t="s">
        <v>4854</v>
      </c>
      <c r="BB456" s="95">
        <v>0.441</v>
      </c>
      <c r="BC456" s="4" t="s">
        <v>4854</v>
      </c>
      <c r="BD456" s="4" t="s">
        <v>4854</v>
      </c>
      <c r="BE456" s="10">
        <v>1</v>
      </c>
      <c r="BF456" s="10">
        <v>1</v>
      </c>
      <c r="BG456" s="10">
        <v>1</v>
      </c>
      <c r="BH456" s="10">
        <v>1</v>
      </c>
      <c r="BI456" s="4" t="s">
        <v>4854</v>
      </c>
      <c r="BJ456" s="10">
        <v>1</v>
      </c>
      <c r="BK456" s="100" t="s">
        <v>4854</v>
      </c>
      <c r="BL456" s="100" t="s">
        <v>4854</v>
      </c>
      <c r="BM456" s="91">
        <v>1</v>
      </c>
      <c r="BN456" s="91">
        <v>1</v>
      </c>
      <c r="BO456" s="91">
        <v>1</v>
      </c>
      <c r="BP456" s="91">
        <v>1</v>
      </c>
      <c r="BQ456" s="100" t="s">
        <v>4854</v>
      </c>
      <c r="BR456" s="91">
        <v>1</v>
      </c>
      <c r="BS456" s="10" t="s">
        <v>4857</v>
      </c>
    </row>
    <row r="457" spans="1:71" s="30" customFormat="1" ht="17.100000000000001" customHeight="1">
      <c r="A457" s="10">
        <v>446</v>
      </c>
      <c r="B457" s="10" t="s">
        <v>3320</v>
      </c>
      <c r="C457" s="4" t="s">
        <v>3344</v>
      </c>
      <c r="D457" s="4" t="s">
        <v>3313</v>
      </c>
      <c r="E457" s="4" t="s">
        <v>3314</v>
      </c>
      <c r="F457" s="10" t="s">
        <v>4631</v>
      </c>
      <c r="G457" s="4" t="s">
        <v>3315</v>
      </c>
      <c r="H457" s="7" t="s">
        <v>3316</v>
      </c>
      <c r="I457" s="4" t="s">
        <v>3317</v>
      </c>
      <c r="J457" s="10" t="s">
        <v>4823</v>
      </c>
      <c r="K457" s="4" t="s">
        <v>5590</v>
      </c>
      <c r="L457" s="4" t="s">
        <v>3318</v>
      </c>
      <c r="M457" s="10">
        <v>3</v>
      </c>
      <c r="N457" s="95">
        <v>648.32680000000005</v>
      </c>
      <c r="O457" s="38" t="s">
        <v>4854</v>
      </c>
      <c r="P457" s="38" t="s">
        <v>4854</v>
      </c>
      <c r="Q457" s="38" t="s">
        <v>4854</v>
      </c>
      <c r="R457" s="38" t="s">
        <v>4854</v>
      </c>
      <c r="S457" s="38" t="s">
        <v>4854</v>
      </c>
      <c r="T457" s="38" t="s">
        <v>4854</v>
      </c>
      <c r="U457" s="38" t="s">
        <v>4854</v>
      </c>
      <c r="V457" s="37" t="str">
        <f>HYPERLINK("http://ms.phosphosite.org:5080/cgi-bin/plot-msms.cgi?MassType=1&amp;NumAxis=1&amp;Mod12=170&amp;Pep=INVYYNEATGNKYVPR&amp;Dta=/var/www/html/dta/S01/10565.8190.3.dta&amp;Global_Mod=CS57.0215", "8190")</f>
        <v>8190</v>
      </c>
      <c r="W457" s="4" t="s">
        <v>4854</v>
      </c>
      <c r="X457" s="4" t="s">
        <v>4854</v>
      </c>
      <c r="Y457" s="4" t="s">
        <v>4854</v>
      </c>
      <c r="Z457" s="4" t="s">
        <v>4854</v>
      </c>
      <c r="AA457" s="4" t="s">
        <v>4854</v>
      </c>
      <c r="AB457" s="4" t="s">
        <v>4854</v>
      </c>
      <c r="AC457" s="4" t="s">
        <v>4854</v>
      </c>
      <c r="AD457" s="10">
        <v>8187</v>
      </c>
      <c r="AE457" s="100" t="s">
        <v>4854</v>
      </c>
      <c r="AF457" s="100" t="s">
        <v>4854</v>
      </c>
      <c r="AG457" s="100" t="s">
        <v>4854</v>
      </c>
      <c r="AH457" s="100" t="s">
        <v>4854</v>
      </c>
      <c r="AI457" s="100" t="s">
        <v>4854</v>
      </c>
      <c r="AJ457" s="100" t="s">
        <v>4854</v>
      </c>
      <c r="AK457" s="100" t="s">
        <v>4854</v>
      </c>
      <c r="AL457" s="91">
        <v>3.3820000000000001</v>
      </c>
      <c r="AM457" s="103" t="s">
        <v>4854</v>
      </c>
      <c r="AN457" s="103" t="s">
        <v>4854</v>
      </c>
      <c r="AO457" s="103" t="s">
        <v>4854</v>
      </c>
      <c r="AP457" s="103" t="s">
        <v>4854</v>
      </c>
      <c r="AQ457" s="103" t="s">
        <v>4854</v>
      </c>
      <c r="AR457" s="103" t="s">
        <v>4854</v>
      </c>
      <c r="AS457" s="103" t="s">
        <v>4854</v>
      </c>
      <c r="AT457" s="95">
        <v>0.24010000000000001</v>
      </c>
      <c r="AU457" s="103" t="s">
        <v>4854</v>
      </c>
      <c r="AV457" s="103" t="s">
        <v>4854</v>
      </c>
      <c r="AW457" s="103" t="s">
        <v>4854</v>
      </c>
      <c r="AX457" s="103" t="s">
        <v>4854</v>
      </c>
      <c r="AY457" s="103" t="s">
        <v>4854</v>
      </c>
      <c r="AZ457" s="103" t="s">
        <v>4854</v>
      </c>
      <c r="BA457" s="103" t="s">
        <v>4854</v>
      </c>
      <c r="BB457" s="95">
        <v>0.34399999999999997</v>
      </c>
      <c r="BC457" s="4" t="s">
        <v>4854</v>
      </c>
      <c r="BD457" s="4" t="s">
        <v>4854</v>
      </c>
      <c r="BE457" s="4" t="s">
        <v>4854</v>
      </c>
      <c r="BF457" s="4" t="s">
        <v>4854</v>
      </c>
      <c r="BG457" s="4" t="s">
        <v>4854</v>
      </c>
      <c r="BH457" s="4" t="s">
        <v>4854</v>
      </c>
      <c r="BI457" s="4" t="s">
        <v>4854</v>
      </c>
      <c r="BJ457" s="10">
        <v>1</v>
      </c>
      <c r="BK457" s="100" t="s">
        <v>4854</v>
      </c>
      <c r="BL457" s="100" t="s">
        <v>4854</v>
      </c>
      <c r="BM457" s="100" t="s">
        <v>4854</v>
      </c>
      <c r="BN457" s="100" t="s">
        <v>4854</v>
      </c>
      <c r="BO457" s="100" t="s">
        <v>4854</v>
      </c>
      <c r="BP457" s="100" t="s">
        <v>4854</v>
      </c>
      <c r="BQ457" s="100" t="s">
        <v>4854</v>
      </c>
      <c r="BR457" s="91">
        <v>1</v>
      </c>
      <c r="BS457" s="10" t="s">
        <v>4857</v>
      </c>
    </row>
    <row r="458" spans="1:71" ht="17.100000000000001" customHeight="1">
      <c r="A458" s="31">
        <v>447</v>
      </c>
      <c r="B458" s="2" t="s">
        <v>3321</v>
      </c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94"/>
      <c r="O458" s="34"/>
      <c r="P458" s="34"/>
      <c r="Q458" s="34"/>
      <c r="R458" s="34"/>
      <c r="S458" s="34"/>
      <c r="T458" s="34"/>
      <c r="U458" s="34"/>
      <c r="V458" s="34"/>
      <c r="W458" s="1"/>
      <c r="X458" s="1"/>
      <c r="Y458" s="1"/>
      <c r="Z458" s="1"/>
      <c r="AA458" s="1"/>
      <c r="AB458" s="1"/>
      <c r="AC458" s="1"/>
      <c r="AD458" s="1"/>
      <c r="AE458" s="89"/>
      <c r="AF458" s="89"/>
      <c r="AG458" s="89"/>
      <c r="AH458" s="89"/>
      <c r="AI458" s="89"/>
      <c r="AJ458" s="89"/>
      <c r="AK458" s="89"/>
      <c r="AL458" s="89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1"/>
      <c r="BD458" s="1"/>
      <c r="BE458" s="1"/>
      <c r="BF458" s="1"/>
      <c r="BG458" s="1"/>
      <c r="BH458" s="1"/>
      <c r="BI458" s="1"/>
      <c r="BJ458" s="1"/>
      <c r="BK458" s="89"/>
      <c r="BL458" s="89"/>
      <c r="BM458" s="89"/>
      <c r="BN458" s="89"/>
      <c r="BO458" s="89"/>
      <c r="BP458" s="89"/>
      <c r="BQ458" s="89"/>
      <c r="BR458" s="89"/>
      <c r="BS458" s="1"/>
    </row>
    <row r="459" spans="1:71" s="30" customFormat="1" ht="17.100000000000001" customHeight="1">
      <c r="A459" s="14">
        <v>448</v>
      </c>
      <c r="B459" s="5" t="s">
        <v>3322</v>
      </c>
      <c r="C459" s="3" t="s">
        <v>3321</v>
      </c>
      <c r="D459" s="3" t="s">
        <v>3323</v>
      </c>
      <c r="E459" s="3" t="s">
        <v>3324</v>
      </c>
      <c r="F459" s="5" t="s">
        <v>5123</v>
      </c>
      <c r="G459" s="3" t="s">
        <v>3325</v>
      </c>
      <c r="H459" s="6" t="s">
        <v>3326</v>
      </c>
      <c r="I459" s="3" t="s">
        <v>3327</v>
      </c>
      <c r="J459" s="5" t="s">
        <v>4711</v>
      </c>
      <c r="K459" s="3" t="s">
        <v>5591</v>
      </c>
      <c r="L459" s="3" t="s">
        <v>3191</v>
      </c>
      <c r="M459" s="5">
        <v>2</v>
      </c>
      <c r="N459" s="21">
        <v>851.47469999999998</v>
      </c>
      <c r="O459" s="35" t="s">
        <v>4854</v>
      </c>
      <c r="P459" s="35" t="s">
        <v>4854</v>
      </c>
      <c r="Q459" s="36" t="str">
        <f>HYPERLINK("http://ms.phosphosite.org:5080/cgi-bin/plot-msms.cgi?MassType=1&amp;NumAxis=1&amp;Mod9=170&amp;Pep=GATPYGGVKLEDLIVK&amp;Dta=/var/www/html/dta/S01/10560.11381.2.dta&amp;Global_Mod=CS57.0215", "11381")</f>
        <v>11381</v>
      </c>
      <c r="R459" s="36" t="str">
        <f>HYPERLINK("http://ms.phosphosite.org:5080/cgi-bin/plot-msms.cgi?MassType=1&amp;NumAxis=1&amp;Mod9=170&amp;Pep=GATPYGGVKLEDLIVK&amp;Dta=/var/www/html/dta/S01/10561.11419.2.dta&amp;Global_Mod=CS57.0215", "11419")</f>
        <v>11419</v>
      </c>
      <c r="S459" s="35" t="s">
        <v>4854</v>
      </c>
      <c r="T459" s="36" t="str">
        <f>HYPERLINK("http://ms.phosphosite.org:5080/cgi-bin/plot-msms.cgi?MassType=1&amp;NumAxis=1&amp;Mod9=170&amp;Pep=GATPYGGVKLEDLIVK&amp;Dta=/var/www/html/dta/S01/10563.11521.2.dta&amp;Global_Mod=CS57.0215", "11521")</f>
        <v>11521</v>
      </c>
      <c r="U459" s="36" t="str">
        <f>HYPERLINK("http://ms.phosphosite.org:5080/cgi-bin/plot-msms.cgi?MassType=1&amp;NumAxis=1&amp;Mod9=170&amp;Pep=GATPYGGVKLEDLIVK&amp;Dta=/var/www/html/dta/S01/10564.12070.2.dta&amp;Global_Mod=CS57.0215", "12070")</f>
        <v>12070</v>
      </c>
      <c r="V459" s="36" t="str">
        <f>HYPERLINK("http://ms.phosphosite.org:5080/cgi-bin/plot-msms.cgi?MassType=1&amp;NumAxis=1&amp;Mod9=170&amp;Pep=GATPYGGVKLEDLIVK&amp;Dta=/var/www/html/dta/S01/10565.11988.2.dta&amp;Global_Mod=CS57.0215", "11988")</f>
        <v>11988</v>
      </c>
      <c r="W459" s="3" t="s">
        <v>4854</v>
      </c>
      <c r="X459" s="3" t="s">
        <v>4854</v>
      </c>
      <c r="Y459" s="5">
        <v>11406</v>
      </c>
      <c r="Z459" s="5">
        <v>11456</v>
      </c>
      <c r="AA459" s="3" t="s">
        <v>4854</v>
      </c>
      <c r="AB459" s="3" t="s">
        <v>4854</v>
      </c>
      <c r="AC459" s="5">
        <v>12087</v>
      </c>
      <c r="AD459" s="5">
        <v>12019</v>
      </c>
      <c r="AE459" s="99" t="s">
        <v>4854</v>
      </c>
      <c r="AF459" s="99" t="s">
        <v>4854</v>
      </c>
      <c r="AG459" s="90">
        <v>1.732</v>
      </c>
      <c r="AH459" s="90">
        <v>1.63</v>
      </c>
      <c r="AI459" s="99" t="s">
        <v>4854</v>
      </c>
      <c r="AJ459" s="90">
        <v>1.627</v>
      </c>
      <c r="AK459" s="90">
        <v>3.7440000000000002</v>
      </c>
      <c r="AL459" s="90">
        <v>2.8730000000000002</v>
      </c>
      <c r="AM459" s="102" t="s">
        <v>4854</v>
      </c>
      <c r="AN459" s="102" t="s">
        <v>4854</v>
      </c>
      <c r="AO459" s="21">
        <v>0.79459999999999997</v>
      </c>
      <c r="AP459" s="21">
        <v>0.89980000000000004</v>
      </c>
      <c r="AQ459" s="102" t="s">
        <v>4854</v>
      </c>
      <c r="AR459" s="21">
        <v>0.88160000000000005</v>
      </c>
      <c r="AS459" s="21">
        <v>0.53900000000000003</v>
      </c>
      <c r="AT459" s="21">
        <v>0.37390000000000001</v>
      </c>
      <c r="AU459" s="102" t="s">
        <v>4854</v>
      </c>
      <c r="AV459" s="102" t="s">
        <v>4854</v>
      </c>
      <c r="AW459" s="21">
        <v>0.13600000000000001</v>
      </c>
      <c r="AX459" s="21">
        <v>0.20799999999999999</v>
      </c>
      <c r="AY459" s="102" t="s">
        <v>4854</v>
      </c>
      <c r="AZ459" s="21">
        <v>0.19500000000000001</v>
      </c>
      <c r="BA459" s="21">
        <v>0.36599999999999999</v>
      </c>
      <c r="BB459" s="21">
        <v>0.26100000000000001</v>
      </c>
      <c r="BC459" s="3" t="s">
        <v>4854</v>
      </c>
      <c r="BD459" s="3" t="s">
        <v>4854</v>
      </c>
      <c r="BE459" s="5">
        <v>1</v>
      </c>
      <c r="BF459" s="5">
        <v>5</v>
      </c>
      <c r="BG459" s="3" t="s">
        <v>4854</v>
      </c>
      <c r="BH459" s="5">
        <v>26</v>
      </c>
      <c r="BI459" s="5">
        <v>1</v>
      </c>
      <c r="BJ459" s="5">
        <v>1</v>
      </c>
      <c r="BK459" s="99" t="s">
        <v>4854</v>
      </c>
      <c r="BL459" s="99" t="s">
        <v>4854</v>
      </c>
      <c r="BM459" s="90">
        <v>0.96399999999999997</v>
      </c>
      <c r="BN459" s="90">
        <v>0.96699999999999997</v>
      </c>
      <c r="BO459" s="99" t="s">
        <v>4854</v>
      </c>
      <c r="BP459" s="90">
        <v>0.93400000000000005</v>
      </c>
      <c r="BQ459" s="90">
        <v>1</v>
      </c>
      <c r="BR459" s="90">
        <v>0.999</v>
      </c>
      <c r="BS459" s="5" t="s">
        <v>4857</v>
      </c>
    </row>
    <row r="460" spans="1:71" s="30" customFormat="1" ht="17.100000000000001" customHeight="1">
      <c r="A460" s="14">
        <v>449</v>
      </c>
      <c r="B460" s="5" t="s">
        <v>3192</v>
      </c>
      <c r="C460" s="3" t="s">
        <v>3321</v>
      </c>
      <c r="D460" s="3" t="s">
        <v>3323</v>
      </c>
      <c r="E460" s="3" t="s">
        <v>3324</v>
      </c>
      <c r="F460" s="5" t="s">
        <v>5123</v>
      </c>
      <c r="G460" s="3" t="s">
        <v>3325</v>
      </c>
      <c r="H460" s="6" t="s">
        <v>3326</v>
      </c>
      <c r="I460" s="3" t="s">
        <v>3327</v>
      </c>
      <c r="J460" s="5" t="s">
        <v>4711</v>
      </c>
      <c r="K460" s="3" t="s">
        <v>5591</v>
      </c>
      <c r="L460" s="3" t="s">
        <v>3191</v>
      </c>
      <c r="M460" s="5">
        <v>3</v>
      </c>
      <c r="N460" s="21">
        <v>567.98559999999998</v>
      </c>
      <c r="O460" s="35" t="s">
        <v>4854</v>
      </c>
      <c r="P460" s="35" t="s">
        <v>4854</v>
      </c>
      <c r="Q460" s="35" t="s">
        <v>4854</v>
      </c>
      <c r="R460" s="35" t="s">
        <v>4854</v>
      </c>
      <c r="S460" s="35" t="s">
        <v>4854</v>
      </c>
      <c r="T460" s="35" t="s">
        <v>4854</v>
      </c>
      <c r="U460" s="36" t="str">
        <f>HYPERLINK("http://ms.phosphosite.org:5080/cgi-bin/plot-msms.cgi?MassType=1&amp;NumAxis=1&amp;Mod9=170&amp;Pep=GATPYGGVKLEDLIVK&amp;Dta=/var/www/html/dta/S01/10564.12091.3.dta&amp;Global_Mod=CS57.0215", "12091")</f>
        <v>12091</v>
      </c>
      <c r="V460" s="35" t="s">
        <v>4854</v>
      </c>
      <c r="W460" s="3" t="s">
        <v>4854</v>
      </c>
      <c r="X460" s="3" t="s">
        <v>4854</v>
      </c>
      <c r="Y460" s="3" t="s">
        <v>4854</v>
      </c>
      <c r="Z460" s="3" t="s">
        <v>4854</v>
      </c>
      <c r="AA460" s="3" t="s">
        <v>4854</v>
      </c>
      <c r="AB460" s="3" t="s">
        <v>4854</v>
      </c>
      <c r="AC460" s="3" t="s">
        <v>4854</v>
      </c>
      <c r="AD460" s="3" t="s">
        <v>4854</v>
      </c>
      <c r="AE460" s="99" t="s">
        <v>4854</v>
      </c>
      <c r="AF460" s="99" t="s">
        <v>4854</v>
      </c>
      <c r="AG460" s="99" t="s">
        <v>4854</v>
      </c>
      <c r="AH460" s="99" t="s">
        <v>4854</v>
      </c>
      <c r="AI460" s="99" t="s">
        <v>4854</v>
      </c>
      <c r="AJ460" s="99" t="s">
        <v>4854</v>
      </c>
      <c r="AK460" s="90">
        <v>2.1909999999999998</v>
      </c>
      <c r="AL460" s="99" t="s">
        <v>4854</v>
      </c>
      <c r="AM460" s="102" t="s">
        <v>4854</v>
      </c>
      <c r="AN460" s="102" t="s">
        <v>4854</v>
      </c>
      <c r="AO460" s="102" t="s">
        <v>4854</v>
      </c>
      <c r="AP460" s="102" t="s">
        <v>4854</v>
      </c>
      <c r="AQ460" s="102" t="s">
        <v>4854</v>
      </c>
      <c r="AR460" s="102" t="s">
        <v>4854</v>
      </c>
      <c r="AS460" s="21">
        <v>0.49609999999999999</v>
      </c>
      <c r="AT460" s="102" t="s">
        <v>4854</v>
      </c>
      <c r="AU460" s="102" t="s">
        <v>4854</v>
      </c>
      <c r="AV460" s="102" t="s">
        <v>4854</v>
      </c>
      <c r="AW460" s="102" t="s">
        <v>4854</v>
      </c>
      <c r="AX460" s="102" t="s">
        <v>4854</v>
      </c>
      <c r="AY460" s="102" t="s">
        <v>4854</v>
      </c>
      <c r="AZ460" s="102" t="s">
        <v>4854</v>
      </c>
      <c r="BA460" s="21">
        <v>6.5000000000000002E-2</v>
      </c>
      <c r="BB460" s="102" t="s">
        <v>4854</v>
      </c>
      <c r="BC460" s="3" t="s">
        <v>4854</v>
      </c>
      <c r="BD460" s="3" t="s">
        <v>4854</v>
      </c>
      <c r="BE460" s="3" t="s">
        <v>4854</v>
      </c>
      <c r="BF460" s="3" t="s">
        <v>4854</v>
      </c>
      <c r="BG460" s="3" t="s">
        <v>4854</v>
      </c>
      <c r="BH460" s="3" t="s">
        <v>4854</v>
      </c>
      <c r="BI460" s="5">
        <v>22</v>
      </c>
      <c r="BJ460" s="3" t="s">
        <v>4854</v>
      </c>
      <c r="BK460" s="99" t="s">
        <v>4854</v>
      </c>
      <c r="BL460" s="99" t="s">
        <v>4854</v>
      </c>
      <c r="BM460" s="99" t="s">
        <v>4854</v>
      </c>
      <c r="BN460" s="99" t="s">
        <v>4854</v>
      </c>
      <c r="BO460" s="99" t="s">
        <v>4854</v>
      </c>
      <c r="BP460" s="99" t="s">
        <v>4854</v>
      </c>
      <c r="BQ460" s="90">
        <v>0.93100000000000005</v>
      </c>
      <c r="BR460" s="99" t="s">
        <v>4854</v>
      </c>
      <c r="BS460" s="5" t="s">
        <v>4857</v>
      </c>
    </row>
    <row r="461" spans="1:71" s="30" customFormat="1" ht="17.100000000000001" customHeight="1">
      <c r="A461" s="14">
        <v>450</v>
      </c>
      <c r="B461" s="5" t="s">
        <v>3193</v>
      </c>
      <c r="C461" s="3" t="s">
        <v>3321</v>
      </c>
      <c r="D461" s="3" t="s">
        <v>3323</v>
      </c>
      <c r="E461" s="3" t="s">
        <v>3324</v>
      </c>
      <c r="F461" s="5" t="s">
        <v>5123</v>
      </c>
      <c r="G461" s="3" t="s">
        <v>3325</v>
      </c>
      <c r="H461" s="6" t="s">
        <v>3326</v>
      </c>
      <c r="I461" s="3" t="s">
        <v>3327</v>
      </c>
      <c r="J461" s="5" t="s">
        <v>4711</v>
      </c>
      <c r="K461" s="3" t="s">
        <v>5591</v>
      </c>
      <c r="L461" s="3" t="s">
        <v>3194</v>
      </c>
      <c r="M461" s="5">
        <v>3</v>
      </c>
      <c r="N461" s="21">
        <v>903.14449999999999</v>
      </c>
      <c r="O461" s="36" t="str">
        <f>HYPERLINK("http://ms.phosphosite.org:5080/cgi-bin/plot-msms.cgi?MassType=1&amp;NumAxis=1&amp;Mod9=170&amp;Pep=GATPYGGVKLEDLIVKDGLTDVYNK&amp;Dta=/var/www/html/dta/S01/10558.12662.3.dta&amp;Global_Mod=CS57.0215", "12662")</f>
        <v>12662</v>
      </c>
      <c r="P461" s="36" t="str">
        <f>HYPERLINK("http://ms.phosphosite.org:5080/cgi-bin/plot-msms.cgi?MassType=1&amp;NumAxis=1&amp;Mod9=170&amp;Pep=GATPYGGVKLEDLIVKDGLTDVYNK&amp;Dta=/var/www/html/dta/S01/10559.12668.3.dta&amp;Global_Mod=CS57.0215", "12668")</f>
        <v>12668</v>
      </c>
      <c r="Q461" s="36" t="str">
        <f>HYPERLINK("http://ms.phosphosite.org:5080/cgi-bin/plot-msms.cgi?MassType=1&amp;NumAxis=1&amp;Mod9=170&amp;Pep=GATPYGGVKLEDLIVKDGLTDVYNK&amp;Dta=/var/www/html/dta/S01/10560.12717.3.dta&amp;Global_Mod=CS57.0215", "12717")</f>
        <v>12717</v>
      </c>
      <c r="R461" s="36" t="str">
        <f>HYPERLINK("http://ms.phosphosite.org:5080/cgi-bin/plot-msms.cgi?MassType=1&amp;NumAxis=1&amp;Mod9=170&amp;Pep=GATPYGGVKLEDLIVKDGLTDVYNK&amp;Dta=/var/www/html/dta/S01/10561.12759.3.dta&amp;Global_Mod=CS57.0215", "12759")</f>
        <v>12759</v>
      </c>
      <c r="S461" s="36" t="str">
        <f>HYPERLINK("http://ms.phosphosite.org:5080/cgi-bin/plot-msms.cgi?MassType=1&amp;NumAxis=1&amp;Mod9=170&amp;Pep=GATPYGGVKLEDLIVKDGLTDVYNK&amp;Dta=/var/www/html/dta/S01/10562.12926.3.dta&amp;Global_Mod=CS57.0215", "12926")</f>
        <v>12926</v>
      </c>
      <c r="T461" s="36" t="str">
        <f>HYPERLINK("http://ms.phosphosite.org:5080/cgi-bin/plot-msms.cgi?MassType=1&amp;NumAxis=1&amp;Mod9=170&amp;Pep=GATPYGGVKLEDLIVKDGLTDVYNK&amp;Dta=/var/www/html/dta/S01/10563.12854.3.dta&amp;Global_Mod=CS57.0215", "12854")</f>
        <v>12854</v>
      </c>
      <c r="U461" s="36" t="str">
        <f>HYPERLINK("http://ms.phosphosite.org:5080/cgi-bin/plot-msms.cgi?MassType=1&amp;NumAxis=1&amp;Mod9=170&amp;Pep=GATPYGGVKLEDLIVKDGLTDVYNK&amp;Dta=/var/www/html/dta/S01/10564.13433.3.dta&amp;Global_Mod=CS57.0215", "13433")</f>
        <v>13433</v>
      </c>
      <c r="V461" s="36" t="str">
        <f>HYPERLINK("http://ms.phosphosite.org:5080/cgi-bin/plot-msms.cgi?MassType=1&amp;NumAxis=1&amp;Mod9=170&amp;Pep=GATPYGGVKLEDLIVKDGLTDVYNK&amp;Dta=/var/www/html/dta/S01/10565.13355.3.dta&amp;Global_Mod=CS57.0215", "13355")</f>
        <v>13355</v>
      </c>
      <c r="W461" s="5">
        <v>12681</v>
      </c>
      <c r="X461" s="5">
        <v>12681</v>
      </c>
      <c r="Y461" s="5">
        <v>12737</v>
      </c>
      <c r="Z461" s="5">
        <v>12776</v>
      </c>
      <c r="AA461" s="5">
        <v>12952</v>
      </c>
      <c r="AB461" s="5">
        <v>12862</v>
      </c>
      <c r="AC461" s="5">
        <v>13451</v>
      </c>
      <c r="AD461" s="5">
        <v>13372</v>
      </c>
      <c r="AE461" s="90">
        <v>3.093</v>
      </c>
      <c r="AF461" s="90">
        <v>2.9159999999999999</v>
      </c>
      <c r="AG461" s="90">
        <v>4.0540000000000003</v>
      </c>
      <c r="AH461" s="90">
        <v>2.891</v>
      </c>
      <c r="AI461" s="90">
        <v>2.72</v>
      </c>
      <c r="AJ461" s="90">
        <v>3.0030000000000001</v>
      </c>
      <c r="AK461" s="90">
        <v>2.73</v>
      </c>
      <c r="AL461" s="90">
        <v>3.02</v>
      </c>
      <c r="AM461" s="21">
        <v>1.3112999999999999</v>
      </c>
      <c r="AN461" s="21">
        <v>1.1536</v>
      </c>
      <c r="AO461" s="21">
        <v>1.3755999999999999</v>
      </c>
      <c r="AP461" s="21">
        <v>1.4613</v>
      </c>
      <c r="AQ461" s="21">
        <v>0.8256</v>
      </c>
      <c r="AR461" s="21">
        <v>1.1882999999999999</v>
      </c>
      <c r="AS461" s="21">
        <v>0.88839999999999997</v>
      </c>
      <c r="AT461" s="21">
        <v>0.55489999999999995</v>
      </c>
      <c r="AU461" s="21">
        <v>0.39100000000000001</v>
      </c>
      <c r="AV461" s="21">
        <v>0.308</v>
      </c>
      <c r="AW461" s="21">
        <v>0.48599999999999999</v>
      </c>
      <c r="AX461" s="21">
        <v>0.44400000000000001</v>
      </c>
      <c r="AY461" s="21">
        <v>0.32200000000000001</v>
      </c>
      <c r="AZ461" s="21">
        <v>0.33900000000000002</v>
      </c>
      <c r="BA461" s="21">
        <v>0.39200000000000002</v>
      </c>
      <c r="BB461" s="21">
        <v>0.39300000000000002</v>
      </c>
      <c r="BC461" s="5">
        <v>1</v>
      </c>
      <c r="BD461" s="5">
        <v>1</v>
      </c>
      <c r="BE461" s="5">
        <v>1</v>
      </c>
      <c r="BF461" s="5">
        <v>1</v>
      </c>
      <c r="BG461" s="5">
        <v>1</v>
      </c>
      <c r="BH461" s="5">
        <v>1</v>
      </c>
      <c r="BI461" s="5">
        <v>1</v>
      </c>
      <c r="BJ461" s="5">
        <v>1</v>
      </c>
      <c r="BK461" s="90">
        <v>1</v>
      </c>
      <c r="BL461" s="90">
        <v>1</v>
      </c>
      <c r="BM461" s="90">
        <v>1</v>
      </c>
      <c r="BN461" s="90">
        <v>1</v>
      </c>
      <c r="BO461" s="90">
        <v>1</v>
      </c>
      <c r="BP461" s="90">
        <v>1</v>
      </c>
      <c r="BQ461" s="90">
        <v>1</v>
      </c>
      <c r="BR461" s="90">
        <v>1</v>
      </c>
      <c r="BS461" s="5" t="s">
        <v>4857</v>
      </c>
    </row>
    <row r="462" spans="1:71" s="30" customFormat="1" ht="17.100000000000001" customHeight="1">
      <c r="A462" s="14">
        <v>451</v>
      </c>
      <c r="B462" s="5" t="s">
        <v>3195</v>
      </c>
      <c r="C462" s="3" t="s">
        <v>3321</v>
      </c>
      <c r="D462" s="3" t="s">
        <v>3323</v>
      </c>
      <c r="E462" s="3" t="s">
        <v>3324</v>
      </c>
      <c r="F462" s="5" t="s">
        <v>5123</v>
      </c>
      <c r="G462" s="3" t="s">
        <v>3325</v>
      </c>
      <c r="H462" s="6" t="s">
        <v>3326</v>
      </c>
      <c r="I462" s="3" t="s">
        <v>3327</v>
      </c>
      <c r="J462" s="5" t="s">
        <v>4711</v>
      </c>
      <c r="K462" s="3" t="s">
        <v>5591</v>
      </c>
      <c r="L462" s="3" t="s">
        <v>3194</v>
      </c>
      <c r="M462" s="5">
        <v>3</v>
      </c>
      <c r="N462" s="21">
        <v>903.14449999999999</v>
      </c>
      <c r="O462" s="35" t="s">
        <v>4854</v>
      </c>
      <c r="P462" s="35" t="s">
        <v>4854</v>
      </c>
      <c r="Q462" s="36" t="str">
        <f>HYPERLINK("http://ms.phosphosite.org:5080/cgi-bin/plot-msms.cgi?MassType=1&amp;NumAxis=1&amp;Mod9=170&amp;Pep=GATPYGGVKLEDLIVKDGLTDVYNK&amp;Dta=/var/www/html/dta/S01/10560.12740.3.dta&amp;Global_Mod=CS57.0215", "12740")</f>
        <v>12740</v>
      </c>
      <c r="R462" s="35" t="s">
        <v>4854</v>
      </c>
      <c r="S462" s="35" t="s">
        <v>4854</v>
      </c>
      <c r="T462" s="35" t="s">
        <v>4854</v>
      </c>
      <c r="U462" s="35" t="s">
        <v>4854</v>
      </c>
      <c r="V462" s="35" t="s">
        <v>4854</v>
      </c>
      <c r="W462" s="3" t="s">
        <v>4854</v>
      </c>
      <c r="X462" s="3" t="s">
        <v>4854</v>
      </c>
      <c r="Y462" s="5">
        <v>12737</v>
      </c>
      <c r="Z462" s="3" t="s">
        <v>4854</v>
      </c>
      <c r="AA462" s="3" t="s">
        <v>4854</v>
      </c>
      <c r="AB462" s="3" t="s">
        <v>4854</v>
      </c>
      <c r="AC462" s="3" t="s">
        <v>4854</v>
      </c>
      <c r="AD462" s="3" t="s">
        <v>4854</v>
      </c>
      <c r="AE462" s="99" t="s">
        <v>4854</v>
      </c>
      <c r="AF462" s="99" t="s">
        <v>4854</v>
      </c>
      <c r="AG462" s="90">
        <v>2.77</v>
      </c>
      <c r="AH462" s="99" t="s">
        <v>4854</v>
      </c>
      <c r="AI462" s="99" t="s">
        <v>4854</v>
      </c>
      <c r="AJ462" s="99" t="s">
        <v>4854</v>
      </c>
      <c r="AK462" s="99" t="s">
        <v>4854</v>
      </c>
      <c r="AL462" s="99" t="s">
        <v>4854</v>
      </c>
      <c r="AM462" s="102" t="s">
        <v>4854</v>
      </c>
      <c r="AN462" s="102" t="s">
        <v>4854</v>
      </c>
      <c r="AO462" s="21">
        <v>1.3755999999999999</v>
      </c>
      <c r="AP462" s="102" t="s">
        <v>4854</v>
      </c>
      <c r="AQ462" s="102" t="s">
        <v>4854</v>
      </c>
      <c r="AR462" s="102" t="s">
        <v>4854</v>
      </c>
      <c r="AS462" s="102" t="s">
        <v>4854</v>
      </c>
      <c r="AT462" s="102" t="s">
        <v>4854</v>
      </c>
      <c r="AU462" s="102" t="s">
        <v>4854</v>
      </c>
      <c r="AV462" s="102" t="s">
        <v>4854</v>
      </c>
      <c r="AW462" s="21">
        <v>0.34699999999999998</v>
      </c>
      <c r="AX462" s="102" t="s">
        <v>4854</v>
      </c>
      <c r="AY462" s="102" t="s">
        <v>4854</v>
      </c>
      <c r="AZ462" s="102" t="s">
        <v>4854</v>
      </c>
      <c r="BA462" s="102" t="s">
        <v>4854</v>
      </c>
      <c r="BB462" s="102" t="s">
        <v>4854</v>
      </c>
      <c r="BC462" s="3" t="s">
        <v>4854</v>
      </c>
      <c r="BD462" s="3" t="s">
        <v>4854</v>
      </c>
      <c r="BE462" s="5">
        <v>6</v>
      </c>
      <c r="BF462" s="3" t="s">
        <v>4854</v>
      </c>
      <c r="BG462" s="3" t="s">
        <v>4854</v>
      </c>
      <c r="BH462" s="3" t="s">
        <v>4854</v>
      </c>
      <c r="BI462" s="3" t="s">
        <v>4854</v>
      </c>
      <c r="BJ462" s="3" t="s">
        <v>4854</v>
      </c>
      <c r="BK462" s="99" t="s">
        <v>4854</v>
      </c>
      <c r="BL462" s="99" t="s">
        <v>4854</v>
      </c>
      <c r="BM462" s="90">
        <v>0.999</v>
      </c>
      <c r="BN462" s="99" t="s">
        <v>4854</v>
      </c>
      <c r="BO462" s="99" t="s">
        <v>4854</v>
      </c>
      <c r="BP462" s="99" t="s">
        <v>4854</v>
      </c>
      <c r="BQ462" s="99" t="s">
        <v>4854</v>
      </c>
      <c r="BR462" s="99" t="s">
        <v>4854</v>
      </c>
      <c r="BS462" s="5" t="s">
        <v>4857</v>
      </c>
    </row>
    <row r="463" spans="1:71" s="30" customFormat="1" ht="17.100000000000001" customHeight="1">
      <c r="A463" s="10">
        <v>452</v>
      </c>
      <c r="B463" s="10" t="s">
        <v>3196</v>
      </c>
      <c r="C463" s="4" t="s">
        <v>3321</v>
      </c>
      <c r="D463" s="4" t="s">
        <v>3323</v>
      </c>
      <c r="E463" s="4" t="s">
        <v>3324</v>
      </c>
      <c r="F463" s="10" t="s">
        <v>4964</v>
      </c>
      <c r="G463" s="4" t="s">
        <v>3325</v>
      </c>
      <c r="H463" s="7" t="s">
        <v>3326</v>
      </c>
      <c r="I463" s="4" t="s">
        <v>3327</v>
      </c>
      <c r="J463" s="10" t="s">
        <v>4711</v>
      </c>
      <c r="K463" s="4" t="s">
        <v>5592</v>
      </c>
      <c r="L463" s="4" t="s">
        <v>3197</v>
      </c>
      <c r="M463" s="10">
        <v>3</v>
      </c>
      <c r="N463" s="95">
        <v>803.69849999999997</v>
      </c>
      <c r="O463" s="37" t="str">
        <f>HYPERLINK("http://ms.phosphosite.org:5080/cgi-bin/plot-msms.cgi?MassType=1&amp;NumAxis=1&amp;Mod9=170&amp;Mod12=147&amp;Mod15=160&amp;Pep=DGLTDVYNKIHMGNCAENTAK&amp;Dta=/var/www/html/dta/S01/10558.8817.3.dta&amp;Global_Mod=CS57.0215", "8817")</f>
        <v>8817</v>
      </c>
      <c r="P463" s="37" t="str">
        <f>HYPERLINK("http://ms.phosphosite.org:5080/cgi-bin/plot-msms.cgi?MassType=1&amp;NumAxis=1&amp;Mod9=170&amp;Mod12=147&amp;Mod15=160&amp;Pep=DGLTDVYNKIHMGNCAENTAK&amp;Dta=/var/www/html/dta/S01/10559.8756.3.dta&amp;Global_Mod=CS57.0215", "8756")</f>
        <v>8756</v>
      </c>
      <c r="Q463" s="37" t="str">
        <f>HYPERLINK("http://ms.phosphosite.org:5080/cgi-bin/plot-msms.cgi?MassType=1&amp;NumAxis=1&amp;Mod9=170&amp;Mod12=147&amp;Mod15=160&amp;Pep=DGLTDVYNKIHMGNCAENTAK&amp;Dta=/var/www/html/dta/S01/10560.8748.3.dta&amp;Global_Mod=CS57.0215", "8748")</f>
        <v>8748</v>
      </c>
      <c r="R463" s="37" t="str">
        <f>HYPERLINK("http://ms.phosphosite.org:5080/cgi-bin/plot-msms.cgi?MassType=1&amp;NumAxis=1&amp;Mod9=170&amp;Mod12=147&amp;Mod15=160&amp;Pep=DGLTDVYNKIHMGNCAENTAK&amp;Dta=/var/www/html/dta/S01/10561.8800.3.dta&amp;Global_Mod=CS57.0215", "8800")</f>
        <v>8800</v>
      </c>
      <c r="S463" s="37" t="str">
        <f>HYPERLINK("http://ms.phosphosite.org:5080/cgi-bin/plot-msms.cgi?MassType=1&amp;NumAxis=1&amp;Mod9=170&amp;Mod12=147&amp;Mod15=160&amp;Pep=DGLTDVYNKIHMGNCAENTAK&amp;Dta=/var/www/html/dta/S01/10562.8923.3.dta&amp;Global_Mod=CS57.0215", "8923")</f>
        <v>8923</v>
      </c>
      <c r="T463" s="37" t="str">
        <f>HYPERLINK("http://ms.phosphosite.org:5080/cgi-bin/plot-msms.cgi?MassType=1&amp;NumAxis=1&amp;Mod9=170&amp;Mod12=147&amp;Mod15=160&amp;Pep=DGLTDVYNKIHMGNCAENTAK&amp;Dta=/var/www/html/dta/S01/10563.8900.3.dta&amp;Global_Mod=CS57.0215", "8900")</f>
        <v>8900</v>
      </c>
      <c r="U463" s="37" t="str">
        <f>HYPERLINK("http://ms.phosphosite.org:5080/cgi-bin/plot-msms.cgi?MassType=1&amp;NumAxis=1&amp;Mod9=170&amp;Mod12=147&amp;Mod15=160&amp;Pep=DGLTDVYNKIHMGNCAENTAK&amp;Dta=/var/www/html/dta/S01/10564.9370.3.dta&amp;Global_Mod=CS57.0215", "9370")</f>
        <v>9370</v>
      </c>
      <c r="V463" s="37" t="str">
        <f>HYPERLINK("http://ms.phosphosite.org:5080/cgi-bin/plot-msms.cgi?MassType=1&amp;NumAxis=1&amp;Mod9=170&amp;Mod12=147&amp;Mod15=160&amp;Pep=DGLTDVYNKIHMGNCAENTAK&amp;Dta=/var/www/html/dta/S01/10565.9319.3.dta&amp;Global_Mod=CS57.0215", "9319")</f>
        <v>9319</v>
      </c>
      <c r="W463" s="10">
        <v>8821</v>
      </c>
      <c r="X463" s="10">
        <v>8769</v>
      </c>
      <c r="Y463" s="10">
        <v>8764</v>
      </c>
      <c r="Z463" s="10">
        <v>8813</v>
      </c>
      <c r="AA463" s="10">
        <v>8941</v>
      </c>
      <c r="AB463" s="10">
        <v>8917</v>
      </c>
      <c r="AC463" s="10">
        <v>9367</v>
      </c>
      <c r="AD463" s="10">
        <v>9320</v>
      </c>
      <c r="AE463" s="91">
        <v>2.5449999999999999</v>
      </c>
      <c r="AF463" s="91">
        <v>3.198</v>
      </c>
      <c r="AG463" s="91">
        <v>2.9449999999999998</v>
      </c>
      <c r="AH463" s="91">
        <v>3.0089999999999999</v>
      </c>
      <c r="AI463" s="91">
        <v>3.0459999999999998</v>
      </c>
      <c r="AJ463" s="91">
        <v>2.5979999999999999</v>
      </c>
      <c r="AK463" s="91">
        <v>3.1779999999999999</v>
      </c>
      <c r="AL463" s="91">
        <v>3.2970000000000002</v>
      </c>
      <c r="AM463" s="95">
        <v>0.60350000000000004</v>
      </c>
      <c r="AN463" s="95">
        <v>0.39269999999999999</v>
      </c>
      <c r="AO463" s="95">
        <v>0.70609999999999995</v>
      </c>
      <c r="AP463" s="95">
        <v>0.81189999999999996</v>
      </c>
      <c r="AQ463" s="95">
        <v>0.58940000000000003</v>
      </c>
      <c r="AR463" s="95">
        <v>0.26939999999999997</v>
      </c>
      <c r="AS463" s="95">
        <v>1.2017</v>
      </c>
      <c r="AT463" s="95">
        <v>0.53420000000000001</v>
      </c>
      <c r="AU463" s="95">
        <v>0.24099999999999999</v>
      </c>
      <c r="AV463" s="95">
        <v>0.376</v>
      </c>
      <c r="AW463" s="95">
        <v>0.311</v>
      </c>
      <c r="AX463" s="95">
        <v>0.255</v>
      </c>
      <c r="AY463" s="95">
        <v>0.33800000000000002</v>
      </c>
      <c r="AZ463" s="95">
        <v>0.30299999999999999</v>
      </c>
      <c r="BA463" s="95">
        <v>0.34100000000000003</v>
      </c>
      <c r="BB463" s="95">
        <v>0.24399999999999999</v>
      </c>
      <c r="BC463" s="10">
        <v>1</v>
      </c>
      <c r="BD463" s="10">
        <v>1</v>
      </c>
      <c r="BE463" s="10">
        <v>1</v>
      </c>
      <c r="BF463" s="10">
        <v>1</v>
      </c>
      <c r="BG463" s="10">
        <v>1</v>
      </c>
      <c r="BH463" s="10">
        <v>1</v>
      </c>
      <c r="BI463" s="10">
        <v>1</v>
      </c>
      <c r="BJ463" s="10">
        <v>1</v>
      </c>
      <c r="BK463" s="91">
        <v>0.998</v>
      </c>
      <c r="BL463" s="91">
        <v>1</v>
      </c>
      <c r="BM463" s="91">
        <v>1</v>
      </c>
      <c r="BN463" s="91">
        <v>0.999</v>
      </c>
      <c r="BO463" s="91">
        <v>1</v>
      </c>
      <c r="BP463" s="91">
        <v>0.999</v>
      </c>
      <c r="BQ463" s="91">
        <v>1</v>
      </c>
      <c r="BR463" s="91">
        <v>0.999</v>
      </c>
      <c r="BS463" s="10" t="s">
        <v>4857</v>
      </c>
    </row>
    <row r="464" spans="1:71" s="30" customFormat="1" ht="17.100000000000001" customHeight="1">
      <c r="A464" s="10">
        <v>453</v>
      </c>
      <c r="B464" s="10" t="s">
        <v>3198</v>
      </c>
      <c r="C464" s="4" t="s">
        <v>3321</v>
      </c>
      <c r="D464" s="4" t="s">
        <v>3323</v>
      </c>
      <c r="E464" s="4" t="s">
        <v>3324</v>
      </c>
      <c r="F464" s="10" t="s">
        <v>4964</v>
      </c>
      <c r="G464" s="4" t="s">
        <v>3325</v>
      </c>
      <c r="H464" s="7" t="s">
        <v>3326</v>
      </c>
      <c r="I464" s="4" t="s">
        <v>3327</v>
      </c>
      <c r="J464" s="10" t="s">
        <v>4711</v>
      </c>
      <c r="K464" s="4" t="s">
        <v>5592</v>
      </c>
      <c r="L464" s="4" t="s">
        <v>3197</v>
      </c>
      <c r="M464" s="10">
        <v>3</v>
      </c>
      <c r="N464" s="95">
        <v>803.69849999999997</v>
      </c>
      <c r="O464" s="38" t="s">
        <v>4854</v>
      </c>
      <c r="P464" s="37" t="str">
        <f>HYPERLINK("http://ms.phosphosite.org:5080/cgi-bin/plot-msms.cgi?MassType=1&amp;NumAxis=1&amp;Mod9=170&amp;Mod12=147&amp;Mod15=160&amp;Pep=DGLTDVYNKIHMGNCAENTAK&amp;Dta=/var/www/html/dta/S01/10559.8774.3.dta&amp;Global_Mod=CS57.0215", "8774")</f>
        <v>8774</v>
      </c>
      <c r="Q464" s="38" t="s">
        <v>4854</v>
      </c>
      <c r="R464" s="38" t="s">
        <v>4854</v>
      </c>
      <c r="S464" s="38" t="s">
        <v>4854</v>
      </c>
      <c r="T464" s="38" t="s">
        <v>4854</v>
      </c>
      <c r="U464" s="38" t="s">
        <v>4854</v>
      </c>
      <c r="V464" s="38" t="s">
        <v>4854</v>
      </c>
      <c r="W464" s="4" t="s">
        <v>4854</v>
      </c>
      <c r="X464" s="10">
        <v>8769</v>
      </c>
      <c r="Y464" s="4" t="s">
        <v>4854</v>
      </c>
      <c r="Z464" s="4" t="s">
        <v>4854</v>
      </c>
      <c r="AA464" s="4" t="s">
        <v>4854</v>
      </c>
      <c r="AB464" s="4" t="s">
        <v>4854</v>
      </c>
      <c r="AC464" s="4" t="s">
        <v>4854</v>
      </c>
      <c r="AD464" s="4" t="s">
        <v>4854</v>
      </c>
      <c r="AE464" s="100" t="s">
        <v>4854</v>
      </c>
      <c r="AF464" s="91">
        <v>2.4489999999999998</v>
      </c>
      <c r="AG464" s="100" t="s">
        <v>4854</v>
      </c>
      <c r="AH464" s="100" t="s">
        <v>4854</v>
      </c>
      <c r="AI464" s="100" t="s">
        <v>4854</v>
      </c>
      <c r="AJ464" s="100" t="s">
        <v>4854</v>
      </c>
      <c r="AK464" s="100" t="s">
        <v>4854</v>
      </c>
      <c r="AL464" s="100" t="s">
        <v>4854</v>
      </c>
      <c r="AM464" s="103" t="s">
        <v>4854</v>
      </c>
      <c r="AN464" s="95">
        <v>0.39269999999999999</v>
      </c>
      <c r="AO464" s="103" t="s">
        <v>4854</v>
      </c>
      <c r="AP464" s="103" t="s">
        <v>4854</v>
      </c>
      <c r="AQ464" s="103" t="s">
        <v>4854</v>
      </c>
      <c r="AR464" s="103" t="s">
        <v>4854</v>
      </c>
      <c r="AS464" s="103" t="s">
        <v>4854</v>
      </c>
      <c r="AT464" s="103" t="s">
        <v>4854</v>
      </c>
      <c r="AU464" s="103" t="s">
        <v>4854</v>
      </c>
      <c r="AV464" s="95">
        <v>0.20899999999999999</v>
      </c>
      <c r="AW464" s="103" t="s">
        <v>4854</v>
      </c>
      <c r="AX464" s="103" t="s">
        <v>4854</v>
      </c>
      <c r="AY464" s="103" t="s">
        <v>4854</v>
      </c>
      <c r="AZ464" s="103" t="s">
        <v>4854</v>
      </c>
      <c r="BA464" s="103" t="s">
        <v>4854</v>
      </c>
      <c r="BB464" s="103" t="s">
        <v>4854</v>
      </c>
      <c r="BC464" s="4" t="s">
        <v>4854</v>
      </c>
      <c r="BD464" s="10">
        <v>1</v>
      </c>
      <c r="BE464" s="4" t="s">
        <v>4854</v>
      </c>
      <c r="BF464" s="4" t="s">
        <v>4854</v>
      </c>
      <c r="BG464" s="4" t="s">
        <v>4854</v>
      </c>
      <c r="BH464" s="4" t="s">
        <v>4854</v>
      </c>
      <c r="BI464" s="4" t="s">
        <v>4854</v>
      </c>
      <c r="BJ464" s="4" t="s">
        <v>4854</v>
      </c>
      <c r="BK464" s="100" t="s">
        <v>4854</v>
      </c>
      <c r="BL464" s="91">
        <v>0.997</v>
      </c>
      <c r="BM464" s="100" t="s">
        <v>4854</v>
      </c>
      <c r="BN464" s="100" t="s">
        <v>4854</v>
      </c>
      <c r="BO464" s="100" t="s">
        <v>4854</v>
      </c>
      <c r="BP464" s="100" t="s">
        <v>4854</v>
      </c>
      <c r="BQ464" s="100" t="s">
        <v>4854</v>
      </c>
      <c r="BR464" s="100" t="s">
        <v>4854</v>
      </c>
      <c r="BS464" s="10" t="s">
        <v>4857</v>
      </c>
    </row>
    <row r="465" spans="1:71" s="30" customFormat="1" ht="17.100000000000001" customHeight="1">
      <c r="A465" s="14">
        <v>454</v>
      </c>
      <c r="B465" s="5" t="s">
        <v>3199</v>
      </c>
      <c r="C465" s="3" t="s">
        <v>3321</v>
      </c>
      <c r="D465" s="3" t="s">
        <v>3323</v>
      </c>
      <c r="E465" s="3" t="s">
        <v>3324</v>
      </c>
      <c r="F465" s="5" t="s">
        <v>3907</v>
      </c>
      <c r="G465" s="3" t="s">
        <v>3325</v>
      </c>
      <c r="H465" s="6" t="s">
        <v>3326</v>
      </c>
      <c r="I465" s="3" t="s">
        <v>3327</v>
      </c>
      <c r="J465" s="5" t="s">
        <v>4711</v>
      </c>
      <c r="K465" s="3" t="s">
        <v>5593</v>
      </c>
      <c r="L465" s="3" t="s">
        <v>3200</v>
      </c>
      <c r="M465" s="5">
        <v>3</v>
      </c>
      <c r="N465" s="21">
        <v>807.42840000000001</v>
      </c>
      <c r="O465" s="36" t="str">
        <f>HYPERLINK("http://ms.phosphosite.org:5080/cgi-bin/plot-msms.cgi?MassType=1&amp;NumAxis=1&amp;Mod2=170&amp;Pep=SKEAWDAGKFASEITPITISVK&amp;Dta=/var/www/html/dta/S01/10558.11527.3.dta&amp;Global_Mod=CS57.0215", "11527")</f>
        <v>11527</v>
      </c>
      <c r="P465" s="35" t="s">
        <v>4854</v>
      </c>
      <c r="Q465" s="36" t="str">
        <f>HYPERLINK("http://ms.phosphosite.org:5080/cgi-bin/plot-msms.cgi?MassType=1&amp;NumAxis=1&amp;Mod2=170&amp;Pep=SKEAWDAGKFASEITPITISVK&amp;Dta=/var/www/html/dta/S01/10560.11575.3.dta&amp;Global_Mod=CS57.0215", "11575")</f>
        <v>11575</v>
      </c>
      <c r="R465" s="35" t="s">
        <v>4854</v>
      </c>
      <c r="S465" s="35" t="s">
        <v>4854</v>
      </c>
      <c r="T465" s="35" t="s">
        <v>4854</v>
      </c>
      <c r="U465" s="35" t="s">
        <v>4854</v>
      </c>
      <c r="V465" s="36" t="str">
        <f>HYPERLINK("http://ms.phosphosite.org:5080/cgi-bin/plot-msms.cgi?MassType=1&amp;NumAxis=1&amp;Mod2=170&amp;Pep=SKEAWDAGKFASEITPITISVK&amp;Dta=/var/www/html/dta/S01/10565.12060.3.dta&amp;Global_Mod=CS57.0215", "12060")</f>
        <v>12060</v>
      </c>
      <c r="W465" s="5">
        <v>11482</v>
      </c>
      <c r="X465" s="3" t="s">
        <v>4854</v>
      </c>
      <c r="Y465" s="5">
        <v>11516</v>
      </c>
      <c r="Z465" s="3" t="s">
        <v>4854</v>
      </c>
      <c r="AA465" s="3" t="s">
        <v>4854</v>
      </c>
      <c r="AB465" s="3" t="s">
        <v>4854</v>
      </c>
      <c r="AC465" s="3" t="s">
        <v>4854</v>
      </c>
      <c r="AD465" s="5">
        <v>12085</v>
      </c>
      <c r="AE465" s="90">
        <v>5.3410000000000002</v>
      </c>
      <c r="AF465" s="99" t="s">
        <v>4854</v>
      </c>
      <c r="AG465" s="90">
        <v>4.2389999999999999</v>
      </c>
      <c r="AH465" s="99" t="s">
        <v>4854</v>
      </c>
      <c r="AI465" s="99" t="s">
        <v>4854</v>
      </c>
      <c r="AJ465" s="99" t="s">
        <v>4854</v>
      </c>
      <c r="AK465" s="99" t="s">
        <v>4854</v>
      </c>
      <c r="AL465" s="90">
        <v>4.5949999999999998</v>
      </c>
      <c r="AM465" s="21">
        <v>0.98170000000000002</v>
      </c>
      <c r="AN465" s="102" t="s">
        <v>4854</v>
      </c>
      <c r="AO465" s="21">
        <v>1.0135000000000001</v>
      </c>
      <c r="AP465" s="102" t="s">
        <v>4854</v>
      </c>
      <c r="AQ465" s="102" t="s">
        <v>4854</v>
      </c>
      <c r="AR465" s="102" t="s">
        <v>4854</v>
      </c>
      <c r="AS465" s="102" t="s">
        <v>4854</v>
      </c>
      <c r="AT465" s="21">
        <v>0.56399999999999995</v>
      </c>
      <c r="AU465" s="21">
        <v>0.44900000000000001</v>
      </c>
      <c r="AV465" s="102" t="s">
        <v>4854</v>
      </c>
      <c r="AW465" s="21">
        <v>0.33600000000000002</v>
      </c>
      <c r="AX465" s="102" t="s">
        <v>4854</v>
      </c>
      <c r="AY465" s="102" t="s">
        <v>4854</v>
      </c>
      <c r="AZ465" s="102" t="s">
        <v>4854</v>
      </c>
      <c r="BA465" s="102" t="s">
        <v>4854</v>
      </c>
      <c r="BB465" s="21">
        <v>0.309</v>
      </c>
      <c r="BC465" s="5">
        <v>1</v>
      </c>
      <c r="BD465" s="3" t="s">
        <v>4854</v>
      </c>
      <c r="BE465" s="5">
        <v>1</v>
      </c>
      <c r="BF465" s="3" t="s">
        <v>4854</v>
      </c>
      <c r="BG465" s="3" t="s">
        <v>4854</v>
      </c>
      <c r="BH465" s="3" t="s">
        <v>4854</v>
      </c>
      <c r="BI465" s="3" t="s">
        <v>4854</v>
      </c>
      <c r="BJ465" s="5">
        <v>1</v>
      </c>
      <c r="BK465" s="90">
        <v>1</v>
      </c>
      <c r="BL465" s="99" t="s">
        <v>4854</v>
      </c>
      <c r="BM465" s="90">
        <v>1</v>
      </c>
      <c r="BN465" s="99" t="s">
        <v>4854</v>
      </c>
      <c r="BO465" s="99" t="s">
        <v>4854</v>
      </c>
      <c r="BP465" s="99" t="s">
        <v>4854</v>
      </c>
      <c r="BQ465" s="99" t="s">
        <v>4854</v>
      </c>
      <c r="BR465" s="90">
        <v>1</v>
      </c>
      <c r="BS465" s="5" t="s">
        <v>4857</v>
      </c>
    </row>
    <row r="466" spans="1:71" s="30" customFormat="1" ht="17.100000000000001" customHeight="1">
      <c r="A466" s="10">
        <v>455</v>
      </c>
      <c r="B466" s="10" t="s">
        <v>4360</v>
      </c>
      <c r="C466" s="4" t="s">
        <v>3321</v>
      </c>
      <c r="D466" s="4" t="s">
        <v>3323</v>
      </c>
      <c r="E466" s="4" t="s">
        <v>3324</v>
      </c>
      <c r="F466" s="10" t="s">
        <v>5120</v>
      </c>
      <c r="G466" s="4" t="s">
        <v>3325</v>
      </c>
      <c r="H466" s="7" t="s">
        <v>3326</v>
      </c>
      <c r="I466" s="4" t="s">
        <v>3327</v>
      </c>
      <c r="J466" s="10" t="s">
        <v>4711</v>
      </c>
      <c r="K466" s="4" t="s">
        <v>5594</v>
      </c>
      <c r="L466" s="4" t="s">
        <v>3201</v>
      </c>
      <c r="M466" s="10">
        <v>3</v>
      </c>
      <c r="N466" s="95">
        <v>807.42840000000001</v>
      </c>
      <c r="O466" s="37" t="str">
        <f>HYPERLINK("http://ms.phosphosite.org:5080/cgi-bin/plot-msms.cgi?MassType=1&amp;NumAxis=1&amp;Mod9=170&amp;Pep=SKEAWDAGKFASEITPITISVK&amp;Dta=/var/www/html/dta/S01/10558.11439.3.dta&amp;Global_Mod=CS57.0215", "11439")</f>
        <v>11439</v>
      </c>
      <c r="P466" s="37" t="str">
        <f>HYPERLINK("http://ms.phosphosite.org:5080/cgi-bin/plot-msms.cgi?MassType=1&amp;NumAxis=1&amp;Mod9=170&amp;Pep=SKEAWDAGKFASEITPITISVK&amp;Dta=/var/www/html/dta/S01/10559.11463.3.dta&amp;Global_Mod=CS57.0215", "11463")</f>
        <v>11463</v>
      </c>
      <c r="Q466" s="37" t="str">
        <f>HYPERLINK("http://ms.phosphosite.org:5080/cgi-bin/plot-msms.cgi?MassType=1&amp;NumAxis=1&amp;Mod9=170&amp;Pep=SKEAWDAGKFASEITPITISVK&amp;Dta=/var/www/html/dta/S01/10560.11485.3.dta&amp;Global_Mod=CS57.0215", "11485")</f>
        <v>11485</v>
      </c>
      <c r="R466" s="37" t="str">
        <f>HYPERLINK("http://ms.phosphosite.org:5080/cgi-bin/plot-msms.cgi?MassType=1&amp;NumAxis=1&amp;Mod9=170&amp;Pep=SKEAWDAGKFASEITPITISVK&amp;Dta=/var/www/html/dta/S01/10561.11524.3.dta&amp;Global_Mod=CS57.0215", "11524")</f>
        <v>11524</v>
      </c>
      <c r="S466" s="37" t="str">
        <f>HYPERLINK("http://ms.phosphosite.org:5080/cgi-bin/plot-msms.cgi?MassType=1&amp;NumAxis=1&amp;Mod9=170&amp;Pep=SKEAWDAGKFASEITPITISVK&amp;Dta=/var/www/html/dta/S01/10562.11691.3.dta&amp;Global_Mod=CS57.0215", "11691")</f>
        <v>11691</v>
      </c>
      <c r="T466" s="37" t="str">
        <f>HYPERLINK("http://ms.phosphosite.org:5080/cgi-bin/plot-msms.cgi?MassType=1&amp;NumAxis=1&amp;Mod9=170&amp;Pep=SKEAWDAGKFASEITPITISVK&amp;Dta=/var/www/html/dta/S01/10563.11621.3.dta&amp;Global_Mod=CS57.0215", "11621")</f>
        <v>11621</v>
      </c>
      <c r="U466" s="37" t="str">
        <f>HYPERLINK("http://ms.phosphosite.org:5080/cgi-bin/plot-msms.cgi?MassType=1&amp;NumAxis=1&amp;Mod9=170&amp;Pep=SKEAWDAGKFASEITPITISVK&amp;Dta=/var/www/html/dta/S01/10564.12119.3.dta&amp;Global_Mod=CS57.0215", "12119")</f>
        <v>12119</v>
      </c>
      <c r="V466" s="38" t="s">
        <v>4854</v>
      </c>
      <c r="W466" s="10">
        <v>11482</v>
      </c>
      <c r="X466" s="10">
        <v>11493</v>
      </c>
      <c r="Y466" s="10">
        <v>11516</v>
      </c>
      <c r="Z466" s="10">
        <v>11544</v>
      </c>
      <c r="AA466" s="10">
        <v>11720</v>
      </c>
      <c r="AB466" s="10">
        <v>11652</v>
      </c>
      <c r="AC466" s="10">
        <v>12164</v>
      </c>
      <c r="AD466" s="4" t="s">
        <v>4854</v>
      </c>
      <c r="AE466" s="91">
        <v>4.6749999999999998</v>
      </c>
      <c r="AF466" s="91">
        <v>5.1319999999999997</v>
      </c>
      <c r="AG466" s="91">
        <v>4.7869999999999999</v>
      </c>
      <c r="AH466" s="91">
        <v>4.4109999999999996</v>
      </c>
      <c r="AI466" s="91">
        <v>5.4020000000000001</v>
      </c>
      <c r="AJ466" s="91">
        <v>5.2060000000000004</v>
      </c>
      <c r="AK466" s="91">
        <v>4.7530000000000001</v>
      </c>
      <c r="AL466" s="100" t="s">
        <v>4854</v>
      </c>
      <c r="AM466" s="95">
        <v>0.98299999999999998</v>
      </c>
      <c r="AN466" s="95">
        <v>0.84789999999999999</v>
      </c>
      <c r="AO466" s="95">
        <v>1.0057</v>
      </c>
      <c r="AP466" s="95">
        <v>1.1234999999999999</v>
      </c>
      <c r="AQ466" s="95">
        <v>0.75570000000000004</v>
      </c>
      <c r="AR466" s="95">
        <v>0.74790000000000001</v>
      </c>
      <c r="AS466" s="95">
        <v>0.57189999999999996</v>
      </c>
      <c r="AT466" s="103" t="s">
        <v>4854</v>
      </c>
      <c r="AU466" s="95">
        <v>0.40300000000000002</v>
      </c>
      <c r="AV466" s="95">
        <v>0.39700000000000002</v>
      </c>
      <c r="AW466" s="95">
        <v>0.40500000000000003</v>
      </c>
      <c r="AX466" s="95">
        <v>0.46200000000000002</v>
      </c>
      <c r="AY466" s="95">
        <v>0.36399999999999999</v>
      </c>
      <c r="AZ466" s="95">
        <v>0.438</v>
      </c>
      <c r="BA466" s="95">
        <v>0.35099999999999998</v>
      </c>
      <c r="BB466" s="103" t="s">
        <v>4854</v>
      </c>
      <c r="BC466" s="10">
        <v>2</v>
      </c>
      <c r="BD466" s="10">
        <v>1</v>
      </c>
      <c r="BE466" s="10">
        <v>2</v>
      </c>
      <c r="BF466" s="10">
        <v>2</v>
      </c>
      <c r="BG466" s="10">
        <v>2</v>
      </c>
      <c r="BH466" s="10">
        <v>2</v>
      </c>
      <c r="BI466" s="10">
        <v>1</v>
      </c>
      <c r="BJ466" s="4" t="s">
        <v>4854</v>
      </c>
      <c r="BK466" s="91">
        <v>1</v>
      </c>
      <c r="BL466" s="91">
        <v>1</v>
      </c>
      <c r="BM466" s="91">
        <v>1</v>
      </c>
      <c r="BN466" s="91">
        <v>1</v>
      </c>
      <c r="BO466" s="91">
        <v>1</v>
      </c>
      <c r="BP466" s="91">
        <v>1</v>
      </c>
      <c r="BQ466" s="91">
        <v>1</v>
      </c>
      <c r="BR466" s="100" t="s">
        <v>4854</v>
      </c>
      <c r="BS466" s="10" t="s">
        <v>4857</v>
      </c>
    </row>
    <row r="467" spans="1:71" s="30" customFormat="1" ht="17.100000000000001" customHeight="1">
      <c r="A467" s="14">
        <v>456</v>
      </c>
      <c r="B467" s="5" t="s">
        <v>3202</v>
      </c>
      <c r="C467" s="3" t="s">
        <v>3321</v>
      </c>
      <c r="D467" s="3" t="s">
        <v>3323</v>
      </c>
      <c r="E467" s="3" t="s">
        <v>3324</v>
      </c>
      <c r="F467" s="5" t="s">
        <v>5285</v>
      </c>
      <c r="G467" s="3" t="s">
        <v>3325</v>
      </c>
      <c r="H467" s="6" t="s">
        <v>3326</v>
      </c>
      <c r="I467" s="3" t="s">
        <v>3327</v>
      </c>
      <c r="J467" s="5" t="s">
        <v>4711</v>
      </c>
      <c r="K467" s="3" t="s">
        <v>5595</v>
      </c>
      <c r="L467" s="3" t="s">
        <v>3203</v>
      </c>
      <c r="M467" s="5">
        <v>3</v>
      </c>
      <c r="N467" s="21">
        <v>611.65110000000004</v>
      </c>
      <c r="O467" s="35" t="s">
        <v>4854</v>
      </c>
      <c r="P467" s="36" t="str">
        <f>HYPERLINK("http://ms.phosphosite.org:5080/cgi-bin/plot-msms.cgi?MassType=1&amp;NumAxis=1&amp;Mod14=170&amp;Pep=GKPDVVVKEDEEYKR&amp;Dta=/var/www/html/dta/S01/10559.3197.3.dta&amp;Global_Mod=CS57.0215", "3197")</f>
        <v>3197</v>
      </c>
      <c r="Q467" s="35" t="s">
        <v>4854</v>
      </c>
      <c r="R467" s="35" t="s">
        <v>4854</v>
      </c>
      <c r="S467" s="35" t="s">
        <v>4854</v>
      </c>
      <c r="T467" s="35" t="s">
        <v>4854</v>
      </c>
      <c r="U467" s="36" t="str">
        <f>HYPERLINK("http://ms.phosphosite.org:5080/cgi-bin/plot-msms.cgi?MassType=1&amp;NumAxis=1&amp;Mod14=170&amp;Pep=GKPDVVVKEDEEYKR&amp;Dta=/var/www/html/dta/S01/10564.3521.3.dta&amp;Global_Mod=CS57.0215", "3521")</f>
        <v>3521</v>
      </c>
      <c r="V467" s="36" t="str">
        <f>HYPERLINK("http://ms.phosphosite.org:5080/cgi-bin/plot-msms.cgi?MassType=1&amp;NumAxis=1&amp;Mod14=170&amp;Pep=GKPDVVVKEDEEYKR&amp;Dta=/var/www/html/dta/S01/10565.3603.3.dta&amp;Global_Mod=CS57.0215", "3603")</f>
        <v>3603</v>
      </c>
      <c r="W467" s="3" t="s">
        <v>4854</v>
      </c>
      <c r="X467" s="5">
        <v>3810</v>
      </c>
      <c r="Y467" s="3" t="s">
        <v>4854</v>
      </c>
      <c r="Z467" s="3" t="s">
        <v>4854</v>
      </c>
      <c r="AA467" s="3" t="s">
        <v>4854</v>
      </c>
      <c r="AB467" s="3" t="s">
        <v>4854</v>
      </c>
      <c r="AC467" s="5">
        <v>4142</v>
      </c>
      <c r="AD467" s="5">
        <v>3619</v>
      </c>
      <c r="AE467" s="99" t="s">
        <v>4854</v>
      </c>
      <c r="AF467" s="90">
        <v>1.913</v>
      </c>
      <c r="AG467" s="99" t="s">
        <v>4854</v>
      </c>
      <c r="AH467" s="99" t="s">
        <v>4854</v>
      </c>
      <c r="AI467" s="99" t="s">
        <v>4854</v>
      </c>
      <c r="AJ467" s="99" t="s">
        <v>4854</v>
      </c>
      <c r="AK467" s="90">
        <v>2.5419999999999998</v>
      </c>
      <c r="AL467" s="90">
        <v>2.165</v>
      </c>
      <c r="AM467" s="102" t="s">
        <v>4854</v>
      </c>
      <c r="AN467" s="21">
        <v>0.18</v>
      </c>
      <c r="AO467" s="102" t="s">
        <v>4854</v>
      </c>
      <c r="AP467" s="102" t="s">
        <v>4854</v>
      </c>
      <c r="AQ467" s="102" t="s">
        <v>4854</v>
      </c>
      <c r="AR467" s="102" t="s">
        <v>4854</v>
      </c>
      <c r="AS467" s="21">
        <v>0.71630000000000005</v>
      </c>
      <c r="AT467" s="21">
        <v>0.27</v>
      </c>
      <c r="AU467" s="102" t="s">
        <v>4854</v>
      </c>
      <c r="AV467" s="21">
        <v>7.3999999999999996E-2</v>
      </c>
      <c r="AW467" s="102" t="s">
        <v>4854</v>
      </c>
      <c r="AX467" s="102" t="s">
        <v>4854</v>
      </c>
      <c r="AY467" s="102" t="s">
        <v>4854</v>
      </c>
      <c r="AZ467" s="102" t="s">
        <v>4854</v>
      </c>
      <c r="BA467" s="21">
        <v>0.127</v>
      </c>
      <c r="BB467" s="21">
        <v>0.16500000000000001</v>
      </c>
      <c r="BC467" s="3" t="s">
        <v>4854</v>
      </c>
      <c r="BD467" s="5">
        <v>1</v>
      </c>
      <c r="BE467" s="3" t="s">
        <v>4854</v>
      </c>
      <c r="BF467" s="3" t="s">
        <v>4854</v>
      </c>
      <c r="BG467" s="3" t="s">
        <v>4854</v>
      </c>
      <c r="BH467" s="3" t="s">
        <v>4854</v>
      </c>
      <c r="BI467" s="5">
        <v>1</v>
      </c>
      <c r="BJ467" s="5">
        <v>6</v>
      </c>
      <c r="BK467" s="99" t="s">
        <v>4854</v>
      </c>
      <c r="BL467" s="90">
        <v>0.95699999999999996</v>
      </c>
      <c r="BM467" s="99" t="s">
        <v>4854</v>
      </c>
      <c r="BN467" s="99" t="s">
        <v>4854</v>
      </c>
      <c r="BO467" s="99" t="s">
        <v>4854</v>
      </c>
      <c r="BP467" s="99" t="s">
        <v>4854</v>
      </c>
      <c r="BQ467" s="90">
        <v>0.99299999999999999</v>
      </c>
      <c r="BR467" s="90">
        <v>0.98799999999999999</v>
      </c>
      <c r="BS467" s="5" t="s">
        <v>4857</v>
      </c>
    </row>
    <row r="468" spans="1:71" s="30" customFormat="1" ht="17.100000000000001" customHeight="1">
      <c r="A468" s="10">
        <v>457</v>
      </c>
      <c r="B468" s="10" t="s">
        <v>3204</v>
      </c>
      <c r="C468" s="4" t="s">
        <v>3321</v>
      </c>
      <c r="D468" s="4" t="s">
        <v>3323</v>
      </c>
      <c r="E468" s="4" t="s">
        <v>3324</v>
      </c>
      <c r="F468" s="10" t="s">
        <v>5224</v>
      </c>
      <c r="G468" s="4" t="s">
        <v>3325</v>
      </c>
      <c r="H468" s="7" t="s">
        <v>3326</v>
      </c>
      <c r="I468" s="4" t="s">
        <v>3327</v>
      </c>
      <c r="J468" s="10" t="s">
        <v>4711</v>
      </c>
      <c r="K468" s="4" t="s">
        <v>5596</v>
      </c>
      <c r="L468" s="4" t="s">
        <v>3205</v>
      </c>
      <c r="M468" s="10">
        <v>2</v>
      </c>
      <c r="N468" s="95">
        <v>467.29199999999997</v>
      </c>
      <c r="O468" s="38" t="s">
        <v>4854</v>
      </c>
      <c r="P468" s="37" t="str">
        <f>HYPERLINK("http://ms.phosphosite.org:5080/cgi-bin/plot-msms.cgi?MassType=1&amp;NumAxis=1&amp;Mod3=170&amp;Pep=VLKYAGLK&amp;Dta=/var/www/html/dta/S01/10559.5275.2.dta&amp;Global_Mod=CS57.0215", "5275")</f>
        <v>5275</v>
      </c>
      <c r="Q468" s="37" t="str">
        <f>HYPERLINK("http://ms.phosphosite.org:5080/cgi-bin/plot-msms.cgi?MassType=1&amp;NumAxis=1&amp;Mod3=170&amp;Pep=VLKYAGLK&amp;Dta=/var/www/html/dta/S01/10560.5278.2.dta&amp;Global_Mod=CS57.0215", "5278")</f>
        <v>5278</v>
      </c>
      <c r="R468" s="37" t="str">
        <f>HYPERLINK("http://ms.phosphosite.org:5080/cgi-bin/plot-msms.cgi?MassType=1&amp;NumAxis=1&amp;Mod3=170&amp;Pep=VLKYAGLK&amp;Dta=/var/www/html/dta/S01/10561.5318.2.dta&amp;Global_Mod=CS57.0215", "5318")</f>
        <v>5318</v>
      </c>
      <c r="S468" s="37" t="str">
        <f>HYPERLINK("http://ms.phosphosite.org:5080/cgi-bin/plot-msms.cgi?MassType=1&amp;NumAxis=1&amp;Mod3=170&amp;Pep=VLKYAGLK&amp;Dta=/var/www/html/dta/S01/10562.5403.2.dta&amp;Global_Mod=CS57.0215", "5403")</f>
        <v>5403</v>
      </c>
      <c r="T468" s="37" t="str">
        <f>HYPERLINK("http://ms.phosphosite.org:5080/cgi-bin/plot-msms.cgi?MassType=1&amp;NumAxis=1&amp;Mod3=170&amp;Pep=VLKYAGLK&amp;Dta=/var/www/html/dta/S01/10563.5345.2.dta&amp;Global_Mod=CS57.0215", "5345")</f>
        <v>5345</v>
      </c>
      <c r="U468" s="37" t="str">
        <f>HYPERLINK("http://ms.phosphosite.org:5080/cgi-bin/plot-msms.cgi?MassType=1&amp;NumAxis=1&amp;Mod3=170&amp;Pep=VLKYAGLK&amp;Dta=/var/www/html/dta/S01/10564.5728.2.dta&amp;Global_Mod=CS57.0215", "5728")</f>
        <v>5728</v>
      </c>
      <c r="V468" s="37" t="str">
        <f>HYPERLINK("http://ms.phosphosite.org:5080/cgi-bin/plot-msms.cgi?MassType=1&amp;NumAxis=1&amp;Mod3=170&amp;Pep=VLKYAGLK&amp;Dta=/var/www/html/dta/S01/10565.5834.2.dta&amp;Global_Mod=CS57.0215", "5834")</f>
        <v>5834</v>
      </c>
      <c r="W468" s="4" t="s">
        <v>4854</v>
      </c>
      <c r="X468" s="10">
        <v>5295</v>
      </c>
      <c r="Y468" s="10">
        <v>5299</v>
      </c>
      <c r="Z468" s="10">
        <v>5348</v>
      </c>
      <c r="AA468" s="10">
        <v>5413</v>
      </c>
      <c r="AB468" s="10">
        <v>5364</v>
      </c>
      <c r="AC468" s="10">
        <v>5726</v>
      </c>
      <c r="AD468" s="10">
        <v>5844</v>
      </c>
      <c r="AE468" s="100" t="s">
        <v>4854</v>
      </c>
      <c r="AF468" s="91">
        <v>1.7470000000000001</v>
      </c>
      <c r="AG468" s="91">
        <v>2.165</v>
      </c>
      <c r="AH468" s="91">
        <v>2.262</v>
      </c>
      <c r="AI468" s="91">
        <v>2.6339999999999999</v>
      </c>
      <c r="AJ468" s="91">
        <v>2.218</v>
      </c>
      <c r="AK468" s="91">
        <v>2.2210000000000001</v>
      </c>
      <c r="AL468" s="91">
        <v>2.5539999999999998</v>
      </c>
      <c r="AM468" s="103" t="s">
        <v>4854</v>
      </c>
      <c r="AN468" s="95">
        <v>-0.3972</v>
      </c>
      <c r="AO468" s="95">
        <v>-7.6899999999999996E-2</v>
      </c>
      <c r="AP468" s="95">
        <v>-0.124</v>
      </c>
      <c r="AQ468" s="95">
        <v>-0.2601</v>
      </c>
      <c r="AR468" s="95">
        <v>-0.28149999999999997</v>
      </c>
      <c r="AS468" s="95">
        <v>-0.45929999999999999</v>
      </c>
      <c r="AT468" s="95">
        <v>-0.64139999999999997</v>
      </c>
      <c r="AU468" s="103" t="s">
        <v>4854</v>
      </c>
      <c r="AV468" s="95">
        <v>7.9000000000000001E-2</v>
      </c>
      <c r="AW468" s="95">
        <v>0.17799999999999999</v>
      </c>
      <c r="AX468" s="95">
        <v>0.17399999999999999</v>
      </c>
      <c r="AY468" s="95">
        <v>0.17399999999999999</v>
      </c>
      <c r="AZ468" s="95">
        <v>0.111</v>
      </c>
      <c r="BA468" s="95">
        <v>0.114</v>
      </c>
      <c r="BB468" s="95">
        <v>0.253</v>
      </c>
      <c r="BC468" s="4" t="s">
        <v>4854</v>
      </c>
      <c r="BD468" s="10">
        <v>1</v>
      </c>
      <c r="BE468" s="10">
        <v>1</v>
      </c>
      <c r="BF468" s="10">
        <v>1</v>
      </c>
      <c r="BG468" s="10">
        <v>1</v>
      </c>
      <c r="BH468" s="10">
        <v>1</v>
      </c>
      <c r="BI468" s="10">
        <v>1</v>
      </c>
      <c r="BJ468" s="10">
        <v>1</v>
      </c>
      <c r="BK468" s="100" t="s">
        <v>4854</v>
      </c>
      <c r="BL468" s="91">
        <v>0.96199999999999997</v>
      </c>
      <c r="BM468" s="91">
        <v>0.996</v>
      </c>
      <c r="BN468" s="91">
        <v>0.997</v>
      </c>
      <c r="BO468" s="91">
        <v>0.999</v>
      </c>
      <c r="BP468" s="91">
        <v>0.99299999999999999</v>
      </c>
      <c r="BQ468" s="91">
        <v>0.99299999999999999</v>
      </c>
      <c r="BR468" s="91">
        <v>0.999</v>
      </c>
      <c r="BS468" s="10" t="s">
        <v>4857</v>
      </c>
    </row>
    <row r="469" spans="1:71" s="30" customFormat="1" ht="17.100000000000001" customHeight="1">
      <c r="A469" s="10">
        <v>458</v>
      </c>
      <c r="B469" s="10" t="s">
        <v>3206</v>
      </c>
      <c r="C469" s="4" t="s">
        <v>3321</v>
      </c>
      <c r="D469" s="4" t="s">
        <v>3323</v>
      </c>
      <c r="E469" s="4" t="s">
        <v>3324</v>
      </c>
      <c r="F469" s="10" t="s">
        <v>5224</v>
      </c>
      <c r="G469" s="4" t="s">
        <v>3325</v>
      </c>
      <c r="H469" s="7" t="s">
        <v>3326</v>
      </c>
      <c r="I469" s="4" t="s">
        <v>3327</v>
      </c>
      <c r="J469" s="10" t="s">
        <v>4711</v>
      </c>
      <c r="K469" s="4" t="s">
        <v>5596</v>
      </c>
      <c r="L469" s="4" t="s">
        <v>3207</v>
      </c>
      <c r="M469" s="10">
        <v>2</v>
      </c>
      <c r="N469" s="95">
        <v>531.33950000000004</v>
      </c>
      <c r="O469" s="38" t="s">
        <v>4854</v>
      </c>
      <c r="P469" s="37" t="str">
        <f>HYPERLINK("http://ms.phosphosite.org:5080/cgi-bin/plot-msms.cgi?MassType=1&amp;NumAxis=1&amp;Mod3=170&amp;Pep=VLKYAGLKK&amp;Dta=/var/www/html/dta/S01/10559.3448.2.dta&amp;Global_Mod=CS57.0215", "3448")</f>
        <v>3448</v>
      </c>
      <c r="Q469" s="38" t="s">
        <v>4854</v>
      </c>
      <c r="R469" s="38" t="s">
        <v>4854</v>
      </c>
      <c r="S469" s="38" t="s">
        <v>4854</v>
      </c>
      <c r="T469" s="38" t="s">
        <v>4854</v>
      </c>
      <c r="U469" s="37" t="str">
        <f>HYPERLINK("http://ms.phosphosite.org:5080/cgi-bin/plot-msms.cgi?MassType=1&amp;NumAxis=1&amp;Mod3=170&amp;Pep=VLKYAGLKK&amp;Dta=/var/www/html/dta/S01/10564.3837.2.dta&amp;Global_Mod=CS57.0215", "3837")</f>
        <v>3837</v>
      </c>
      <c r="V469" s="37" t="str">
        <f>HYPERLINK("http://ms.phosphosite.org:5080/cgi-bin/plot-msms.cgi?MassType=1&amp;NumAxis=1&amp;Mod3=170&amp;Pep=VLKYAGLKK&amp;Dta=/var/www/html/dta/S01/10565.3920.2.dta&amp;Global_Mod=CS57.0215", "3920")</f>
        <v>3920</v>
      </c>
      <c r="W469" s="4" t="s">
        <v>4854</v>
      </c>
      <c r="X469" s="10">
        <v>3464</v>
      </c>
      <c r="Y469" s="4" t="s">
        <v>4854</v>
      </c>
      <c r="Z469" s="4" t="s">
        <v>4854</v>
      </c>
      <c r="AA469" s="4" t="s">
        <v>4854</v>
      </c>
      <c r="AB469" s="4" t="s">
        <v>4854</v>
      </c>
      <c r="AC469" s="10">
        <v>3835</v>
      </c>
      <c r="AD469" s="10">
        <v>3916</v>
      </c>
      <c r="AE469" s="100" t="s">
        <v>4854</v>
      </c>
      <c r="AF469" s="91">
        <v>2.3679999999999999</v>
      </c>
      <c r="AG469" s="100" t="s">
        <v>4854</v>
      </c>
      <c r="AH469" s="100" t="s">
        <v>4854</v>
      </c>
      <c r="AI469" s="100" t="s">
        <v>4854</v>
      </c>
      <c r="AJ469" s="100" t="s">
        <v>4854</v>
      </c>
      <c r="AK469" s="91">
        <v>2.4929999999999999</v>
      </c>
      <c r="AL469" s="91">
        <v>2.2770000000000001</v>
      </c>
      <c r="AM469" s="103" t="s">
        <v>4854</v>
      </c>
      <c r="AN469" s="95">
        <v>0.24979999999999999</v>
      </c>
      <c r="AO469" s="103" t="s">
        <v>4854</v>
      </c>
      <c r="AP469" s="103" t="s">
        <v>4854</v>
      </c>
      <c r="AQ469" s="103" t="s">
        <v>4854</v>
      </c>
      <c r="AR469" s="103" t="s">
        <v>4854</v>
      </c>
      <c r="AS469" s="95">
        <v>-2.6200000000000001E-2</v>
      </c>
      <c r="AT469" s="95">
        <v>-0.18440000000000001</v>
      </c>
      <c r="AU469" s="103" t="s">
        <v>4854</v>
      </c>
      <c r="AV469" s="95">
        <v>0.105</v>
      </c>
      <c r="AW469" s="103" t="s">
        <v>4854</v>
      </c>
      <c r="AX469" s="103" t="s">
        <v>4854</v>
      </c>
      <c r="AY469" s="103" t="s">
        <v>4854</v>
      </c>
      <c r="AZ469" s="103" t="s">
        <v>4854</v>
      </c>
      <c r="BA469" s="95">
        <v>0.17499999999999999</v>
      </c>
      <c r="BB469" s="95">
        <v>0.19500000000000001</v>
      </c>
      <c r="BC469" s="4" t="s">
        <v>4854</v>
      </c>
      <c r="BD469" s="10">
        <v>1</v>
      </c>
      <c r="BE469" s="4" t="s">
        <v>4854</v>
      </c>
      <c r="BF469" s="4" t="s">
        <v>4854</v>
      </c>
      <c r="BG469" s="4" t="s">
        <v>4854</v>
      </c>
      <c r="BH469" s="4" t="s">
        <v>4854</v>
      </c>
      <c r="BI469" s="10">
        <v>1</v>
      </c>
      <c r="BJ469" s="10">
        <v>1</v>
      </c>
      <c r="BK469" s="100" t="s">
        <v>4854</v>
      </c>
      <c r="BL469" s="91">
        <v>0.99299999999999999</v>
      </c>
      <c r="BM469" s="100" t="s">
        <v>4854</v>
      </c>
      <c r="BN469" s="100" t="s">
        <v>4854</v>
      </c>
      <c r="BO469" s="100" t="s">
        <v>4854</v>
      </c>
      <c r="BP469" s="100" t="s">
        <v>4854</v>
      </c>
      <c r="BQ469" s="91">
        <v>0.998</v>
      </c>
      <c r="BR469" s="91">
        <v>0.997</v>
      </c>
      <c r="BS469" s="10" t="s">
        <v>4857</v>
      </c>
    </row>
    <row r="470" spans="1:71" s="30" customFormat="1" ht="17.100000000000001" customHeight="1">
      <c r="A470" s="14">
        <v>459</v>
      </c>
      <c r="B470" s="5" t="s">
        <v>3208</v>
      </c>
      <c r="C470" s="3" t="s">
        <v>3321</v>
      </c>
      <c r="D470" s="3" t="s">
        <v>3209</v>
      </c>
      <c r="E470" s="6" t="s">
        <v>3210</v>
      </c>
      <c r="F470" s="5" t="s">
        <v>5173</v>
      </c>
      <c r="G470" s="3" t="s">
        <v>3211</v>
      </c>
      <c r="H470" s="6" t="s">
        <v>3212</v>
      </c>
      <c r="I470" s="3" t="s">
        <v>3213</v>
      </c>
      <c r="J470" s="5" t="s">
        <v>4700</v>
      </c>
      <c r="K470" s="3" t="s">
        <v>5597</v>
      </c>
      <c r="L470" s="3" t="s">
        <v>3214</v>
      </c>
      <c r="M470" s="5">
        <v>3</v>
      </c>
      <c r="N470" s="21">
        <v>1095.5441000000001</v>
      </c>
      <c r="O470" s="36" t="str">
        <f>HYPERLINK("http://ms.phosphosite.org:5080/cgi-bin/plot-msms.cgi?MassType=1&amp;NumAxis=1&amp;Mod2=170&amp;Mod21=147&amp;Mod31=147&amp;Pep=LKPYFLTDGTGTVTPANASGMNDGAAAVVLMK&amp;Dta=/var/www/html/dta/S01/10558.11049.3.dta&amp;Global_Mod=CS57.0215", "11049")</f>
        <v>11049</v>
      </c>
      <c r="P470" s="35" t="s">
        <v>4854</v>
      </c>
      <c r="Q470" s="35" t="s">
        <v>4854</v>
      </c>
      <c r="R470" s="36" t="str">
        <f>HYPERLINK("http://ms.phosphosite.org:5080/cgi-bin/plot-msms.cgi?MassType=1&amp;NumAxis=1&amp;Mod2=170&amp;Mod21=147&amp;Mod31=147&amp;Pep=LKPYFLTDGTGTVTPANASGMNDGAAAVVLMK&amp;Dta=/var/www/html/dta/S01/10561.11121.3.dta&amp;Global_Mod=CS57.0215", "11121")</f>
        <v>11121</v>
      </c>
      <c r="S470" s="36" t="str">
        <f>HYPERLINK("http://ms.phosphosite.org:5080/cgi-bin/plot-msms.cgi?MassType=1&amp;NumAxis=1&amp;Mod2=170&amp;Mod21=147&amp;Mod31=147&amp;Pep=LKPYFLTDGTGTVTPANASGMNDGAAAVVLMK&amp;Dta=/var/www/html/dta/S01/10562.11276.3.dta&amp;Global_Mod=CS57.0215", "11276")</f>
        <v>11276</v>
      </c>
      <c r="T470" s="35" t="s">
        <v>4854</v>
      </c>
      <c r="U470" s="36" t="str">
        <f>HYPERLINK("http://ms.phosphosite.org:5080/cgi-bin/plot-msms.cgi?MassType=1&amp;NumAxis=1&amp;Mod2=170&amp;Mod21=147&amp;Mod31=147&amp;Pep=LKPYFLTDGTGTVTPANASGMNDGAAAVVLMK&amp;Dta=/var/www/html/dta/S01/10564.11684.3.dta&amp;Global_Mod=CS57.0215", "11684")</f>
        <v>11684</v>
      </c>
      <c r="V470" s="36" t="str">
        <f>HYPERLINK("http://ms.phosphosite.org:5080/cgi-bin/plot-msms.cgi?MassType=1&amp;NumAxis=1&amp;Mod2=170&amp;Mod21=147&amp;Mod31=147&amp;Pep=LKPYFLTDGTGTVTPANASGMNDGAAAVVLMK&amp;Dta=/var/www/html/dta/S01/10565.11611.3.dta&amp;Global_Mod=CS57.0215", "11611")</f>
        <v>11611</v>
      </c>
      <c r="W470" s="5">
        <v>11075</v>
      </c>
      <c r="X470" s="3" t="s">
        <v>4854</v>
      </c>
      <c r="Y470" s="3" t="s">
        <v>4854</v>
      </c>
      <c r="Z470" s="5">
        <v>11148</v>
      </c>
      <c r="AA470" s="5">
        <v>11291</v>
      </c>
      <c r="AB470" s="3" t="s">
        <v>4854</v>
      </c>
      <c r="AC470" s="5">
        <v>11691</v>
      </c>
      <c r="AD470" s="5">
        <v>11634</v>
      </c>
      <c r="AE470" s="90">
        <v>4.16</v>
      </c>
      <c r="AF470" s="99" t="s">
        <v>4854</v>
      </c>
      <c r="AG470" s="99" t="s">
        <v>4854</v>
      </c>
      <c r="AH470" s="90">
        <v>4.665</v>
      </c>
      <c r="AI470" s="90">
        <v>3.5659999999999998</v>
      </c>
      <c r="AJ470" s="99" t="s">
        <v>4854</v>
      </c>
      <c r="AK470" s="90">
        <v>2.5790000000000002</v>
      </c>
      <c r="AL470" s="90">
        <v>4.585</v>
      </c>
      <c r="AM470" s="21">
        <v>1.0995999999999999</v>
      </c>
      <c r="AN470" s="102" t="s">
        <v>4854</v>
      </c>
      <c r="AO470" s="102" t="s">
        <v>4854</v>
      </c>
      <c r="AP470" s="21">
        <v>1.8293999999999999</v>
      </c>
      <c r="AQ470" s="21">
        <v>1.2484999999999999</v>
      </c>
      <c r="AR470" s="102" t="s">
        <v>4854</v>
      </c>
      <c r="AS470" s="21">
        <v>1.0463</v>
      </c>
      <c r="AT470" s="21">
        <v>1.2786</v>
      </c>
      <c r="AU470" s="21">
        <v>0.48</v>
      </c>
      <c r="AV470" s="102" t="s">
        <v>4854</v>
      </c>
      <c r="AW470" s="102" t="s">
        <v>4854</v>
      </c>
      <c r="AX470" s="21">
        <v>0.501</v>
      </c>
      <c r="AY470" s="21">
        <v>0.46100000000000002</v>
      </c>
      <c r="AZ470" s="102" t="s">
        <v>4854</v>
      </c>
      <c r="BA470" s="21">
        <v>0.441</v>
      </c>
      <c r="BB470" s="21">
        <v>0.51900000000000002</v>
      </c>
      <c r="BC470" s="5">
        <v>1</v>
      </c>
      <c r="BD470" s="3" t="s">
        <v>4854</v>
      </c>
      <c r="BE470" s="3" t="s">
        <v>4854</v>
      </c>
      <c r="BF470" s="5">
        <v>1</v>
      </c>
      <c r="BG470" s="5">
        <v>1</v>
      </c>
      <c r="BH470" s="3" t="s">
        <v>4854</v>
      </c>
      <c r="BI470" s="5">
        <v>1</v>
      </c>
      <c r="BJ470" s="5">
        <v>1</v>
      </c>
      <c r="BK470" s="90">
        <v>1</v>
      </c>
      <c r="BL470" s="99" t="s">
        <v>4854</v>
      </c>
      <c r="BM470" s="99" t="s">
        <v>4854</v>
      </c>
      <c r="BN470" s="90">
        <v>1</v>
      </c>
      <c r="BO470" s="90">
        <v>1</v>
      </c>
      <c r="BP470" s="99" t="s">
        <v>4854</v>
      </c>
      <c r="BQ470" s="90">
        <v>1</v>
      </c>
      <c r="BR470" s="90">
        <v>1</v>
      </c>
      <c r="BS470" s="5" t="s">
        <v>4857</v>
      </c>
    </row>
    <row r="471" spans="1:71" s="30" customFormat="1" ht="17.100000000000001" customHeight="1">
      <c r="A471" s="10">
        <v>460</v>
      </c>
      <c r="B471" s="10" t="s">
        <v>3970</v>
      </c>
      <c r="C471" s="4" t="s">
        <v>3321</v>
      </c>
      <c r="D471" s="4" t="s">
        <v>3215</v>
      </c>
      <c r="E471" s="4" t="s">
        <v>3216</v>
      </c>
      <c r="F471" s="10" t="s">
        <v>5245</v>
      </c>
      <c r="G471" s="4" t="s">
        <v>3217</v>
      </c>
      <c r="H471" s="7" t="s">
        <v>3218</v>
      </c>
      <c r="I471" s="4" t="s">
        <v>3219</v>
      </c>
      <c r="J471" s="10" t="s">
        <v>4622</v>
      </c>
      <c r="K471" s="4" t="s">
        <v>5598</v>
      </c>
      <c r="L471" s="4" t="s">
        <v>3220</v>
      </c>
      <c r="M471" s="10">
        <v>2</v>
      </c>
      <c r="N471" s="95">
        <v>704.35609999999997</v>
      </c>
      <c r="O471" s="38" t="s">
        <v>4854</v>
      </c>
      <c r="P471" s="38" t="s">
        <v>4854</v>
      </c>
      <c r="Q471" s="38" t="s">
        <v>4854</v>
      </c>
      <c r="R471" s="38" t="s">
        <v>4854</v>
      </c>
      <c r="S471" s="38" t="s">
        <v>4854</v>
      </c>
      <c r="T471" s="38" t="s">
        <v>4854</v>
      </c>
      <c r="U471" s="38" t="s">
        <v>4854</v>
      </c>
      <c r="V471" s="37" t="str">
        <f>HYPERLINK("http://ms.phosphosite.org:5080/cgi-bin/plot-msms.cgi?MassType=1&amp;NumAxis=1&amp;Mod11=170&amp;Pep=QQIGSSAMPYKR&amp;Dta=/var/www/html/dta/S01/10565.5237.2.dta&amp;Global_Mod=CS57.0215", "5237")</f>
        <v>5237</v>
      </c>
      <c r="W471" s="4" t="s">
        <v>4854</v>
      </c>
      <c r="X471" s="4" t="s">
        <v>4854</v>
      </c>
      <c r="Y471" s="4" t="s">
        <v>4854</v>
      </c>
      <c r="Z471" s="4" t="s">
        <v>4854</v>
      </c>
      <c r="AA471" s="4" t="s">
        <v>4854</v>
      </c>
      <c r="AB471" s="4" t="s">
        <v>4854</v>
      </c>
      <c r="AC471" s="4" t="s">
        <v>4854</v>
      </c>
      <c r="AD471" s="10">
        <v>5229</v>
      </c>
      <c r="AE471" s="100" t="s">
        <v>4854</v>
      </c>
      <c r="AF471" s="100" t="s">
        <v>4854</v>
      </c>
      <c r="AG471" s="100" t="s">
        <v>4854</v>
      </c>
      <c r="AH471" s="100" t="s">
        <v>4854</v>
      </c>
      <c r="AI471" s="100" t="s">
        <v>4854</v>
      </c>
      <c r="AJ471" s="100" t="s">
        <v>4854</v>
      </c>
      <c r="AK471" s="100" t="s">
        <v>4854</v>
      </c>
      <c r="AL471" s="91">
        <v>2.363</v>
      </c>
      <c r="AM471" s="103" t="s">
        <v>4854</v>
      </c>
      <c r="AN471" s="103" t="s">
        <v>4854</v>
      </c>
      <c r="AO471" s="103" t="s">
        <v>4854</v>
      </c>
      <c r="AP471" s="103" t="s">
        <v>4854</v>
      </c>
      <c r="AQ471" s="103" t="s">
        <v>4854</v>
      </c>
      <c r="AR471" s="103" t="s">
        <v>4854</v>
      </c>
      <c r="AS471" s="103" t="s">
        <v>4854</v>
      </c>
      <c r="AT471" s="95">
        <v>1.1719999999999999</v>
      </c>
      <c r="AU471" s="103" t="s">
        <v>4854</v>
      </c>
      <c r="AV471" s="103" t="s">
        <v>4854</v>
      </c>
      <c r="AW471" s="103" t="s">
        <v>4854</v>
      </c>
      <c r="AX471" s="103" t="s">
        <v>4854</v>
      </c>
      <c r="AY471" s="103" t="s">
        <v>4854</v>
      </c>
      <c r="AZ471" s="103" t="s">
        <v>4854</v>
      </c>
      <c r="BA471" s="103" t="s">
        <v>4854</v>
      </c>
      <c r="BB471" s="95">
        <v>8.7999999999999995E-2</v>
      </c>
      <c r="BC471" s="4" t="s">
        <v>4854</v>
      </c>
      <c r="BD471" s="4" t="s">
        <v>4854</v>
      </c>
      <c r="BE471" s="4" t="s">
        <v>4854</v>
      </c>
      <c r="BF471" s="4" t="s">
        <v>4854</v>
      </c>
      <c r="BG471" s="4" t="s">
        <v>4854</v>
      </c>
      <c r="BH471" s="4" t="s">
        <v>4854</v>
      </c>
      <c r="BI471" s="4" t="s">
        <v>4854</v>
      </c>
      <c r="BJ471" s="10">
        <v>1</v>
      </c>
      <c r="BK471" s="100" t="s">
        <v>4854</v>
      </c>
      <c r="BL471" s="100" t="s">
        <v>4854</v>
      </c>
      <c r="BM471" s="100" t="s">
        <v>4854</v>
      </c>
      <c r="BN471" s="100" t="s">
        <v>4854</v>
      </c>
      <c r="BO471" s="100" t="s">
        <v>4854</v>
      </c>
      <c r="BP471" s="100" t="s">
        <v>4854</v>
      </c>
      <c r="BQ471" s="100" t="s">
        <v>4854</v>
      </c>
      <c r="BR471" s="91">
        <v>0.998</v>
      </c>
      <c r="BS471" s="10" t="s">
        <v>4857</v>
      </c>
    </row>
    <row r="472" spans="1:71" s="30" customFormat="1" ht="17.100000000000001" customHeight="1">
      <c r="A472" s="14">
        <v>461</v>
      </c>
      <c r="B472" s="5" t="s">
        <v>3221</v>
      </c>
      <c r="C472" s="3" t="s">
        <v>3321</v>
      </c>
      <c r="D472" s="3" t="s">
        <v>3222</v>
      </c>
      <c r="E472" s="3" t="s">
        <v>3223</v>
      </c>
      <c r="F472" s="5" t="s">
        <v>3662</v>
      </c>
      <c r="G472" s="3" t="s">
        <v>3224</v>
      </c>
      <c r="H472" s="6" t="s">
        <v>3225</v>
      </c>
      <c r="I472" s="3" t="s">
        <v>3226</v>
      </c>
      <c r="J472" s="5" t="s">
        <v>4708</v>
      </c>
      <c r="K472" s="3" t="s">
        <v>5599</v>
      </c>
      <c r="L472" s="3" t="s">
        <v>3227</v>
      </c>
      <c r="M472" s="5">
        <v>2</v>
      </c>
      <c r="N472" s="21">
        <v>579.81129999999996</v>
      </c>
      <c r="O472" s="35" t="s">
        <v>4854</v>
      </c>
      <c r="P472" s="35" t="s">
        <v>4854</v>
      </c>
      <c r="Q472" s="35" t="s">
        <v>4854</v>
      </c>
      <c r="R472" s="35" t="s">
        <v>4854</v>
      </c>
      <c r="S472" s="35" t="s">
        <v>4854</v>
      </c>
      <c r="T472" s="35" t="s">
        <v>4854</v>
      </c>
      <c r="U472" s="36" t="str">
        <f>HYPERLINK("http://ms.phosphosite.org:5080/cgi-bin/plot-msms.cgi?MassType=1&amp;NumAxis=1&amp;Mod3=170&amp;Pep=HEKFSEVLK&amp;Dta=/var/www/html/dta/S01/10564.5214.2.dta&amp;Global_Mod=CS57.0215", "5214")</f>
        <v>5214</v>
      </c>
      <c r="V472" s="36" t="str">
        <f>HYPERLINK("http://ms.phosphosite.org:5080/cgi-bin/plot-msms.cgi?MassType=1&amp;NumAxis=1&amp;Mod3=170&amp;Pep=HEKFSEVLK&amp;Dta=/var/www/html/dta/S01/10565.5326.2.dta&amp;Global_Mod=CS57.0215", "5326")</f>
        <v>5326</v>
      </c>
      <c r="W472" s="3" t="s">
        <v>4854</v>
      </c>
      <c r="X472" s="3" t="s">
        <v>4854</v>
      </c>
      <c r="Y472" s="3" t="s">
        <v>4854</v>
      </c>
      <c r="Z472" s="3" t="s">
        <v>4854</v>
      </c>
      <c r="AA472" s="3" t="s">
        <v>4854</v>
      </c>
      <c r="AB472" s="3" t="s">
        <v>4854</v>
      </c>
      <c r="AC472" s="5">
        <v>5440</v>
      </c>
      <c r="AD472" s="5">
        <v>5570</v>
      </c>
      <c r="AE472" s="99" t="s">
        <v>4854</v>
      </c>
      <c r="AF472" s="99" t="s">
        <v>4854</v>
      </c>
      <c r="AG472" s="99" t="s">
        <v>4854</v>
      </c>
      <c r="AH472" s="99" t="s">
        <v>4854</v>
      </c>
      <c r="AI472" s="99" t="s">
        <v>4854</v>
      </c>
      <c r="AJ472" s="99" t="s">
        <v>4854</v>
      </c>
      <c r="AK472" s="90">
        <v>2.5230000000000001</v>
      </c>
      <c r="AL472" s="90">
        <v>2.3780000000000001</v>
      </c>
      <c r="AM472" s="102" t="s">
        <v>4854</v>
      </c>
      <c r="AN472" s="102" t="s">
        <v>4854</v>
      </c>
      <c r="AO472" s="102" t="s">
        <v>4854</v>
      </c>
      <c r="AP472" s="102" t="s">
        <v>4854</v>
      </c>
      <c r="AQ472" s="102" t="s">
        <v>4854</v>
      </c>
      <c r="AR472" s="102" t="s">
        <v>4854</v>
      </c>
      <c r="AS472" s="21">
        <v>0.4194</v>
      </c>
      <c r="AT472" s="21">
        <v>7.3200000000000001E-2</v>
      </c>
      <c r="AU472" s="102" t="s">
        <v>4854</v>
      </c>
      <c r="AV472" s="102" t="s">
        <v>4854</v>
      </c>
      <c r="AW472" s="102" t="s">
        <v>4854</v>
      </c>
      <c r="AX472" s="102" t="s">
        <v>4854</v>
      </c>
      <c r="AY472" s="102" t="s">
        <v>4854</v>
      </c>
      <c r="AZ472" s="102" t="s">
        <v>4854</v>
      </c>
      <c r="BA472" s="21">
        <v>0.28499999999999998</v>
      </c>
      <c r="BB472" s="21">
        <v>0.11799999999999999</v>
      </c>
      <c r="BC472" s="3" t="s">
        <v>4854</v>
      </c>
      <c r="BD472" s="3" t="s">
        <v>4854</v>
      </c>
      <c r="BE472" s="3" t="s">
        <v>4854</v>
      </c>
      <c r="BF472" s="3" t="s">
        <v>4854</v>
      </c>
      <c r="BG472" s="3" t="s">
        <v>4854</v>
      </c>
      <c r="BH472" s="3" t="s">
        <v>4854</v>
      </c>
      <c r="BI472" s="5">
        <v>1</v>
      </c>
      <c r="BJ472" s="5">
        <v>1</v>
      </c>
      <c r="BK472" s="99" t="s">
        <v>4854</v>
      </c>
      <c r="BL472" s="99" t="s">
        <v>4854</v>
      </c>
      <c r="BM472" s="99" t="s">
        <v>4854</v>
      </c>
      <c r="BN472" s="99" t="s">
        <v>4854</v>
      </c>
      <c r="BO472" s="99" t="s">
        <v>4854</v>
      </c>
      <c r="BP472" s="99" t="s">
        <v>4854</v>
      </c>
      <c r="BQ472" s="90">
        <v>0.999</v>
      </c>
      <c r="BR472" s="90">
        <v>0.995</v>
      </c>
      <c r="BS472" s="5" t="s">
        <v>4857</v>
      </c>
    </row>
    <row r="473" spans="1:71" s="30" customFormat="1" ht="17.100000000000001" customHeight="1">
      <c r="A473" s="10">
        <v>462</v>
      </c>
      <c r="B473" s="10" t="s">
        <v>3228</v>
      </c>
      <c r="C473" s="4" t="s">
        <v>3321</v>
      </c>
      <c r="D473" s="4" t="s">
        <v>3222</v>
      </c>
      <c r="E473" s="4" t="s">
        <v>3223</v>
      </c>
      <c r="F473" s="10" t="s">
        <v>3616</v>
      </c>
      <c r="G473" s="4" t="s">
        <v>3224</v>
      </c>
      <c r="H473" s="7" t="s">
        <v>3225</v>
      </c>
      <c r="I473" s="4" t="s">
        <v>3226</v>
      </c>
      <c r="J473" s="10" t="s">
        <v>4708</v>
      </c>
      <c r="K473" s="4" t="s">
        <v>5600</v>
      </c>
      <c r="L473" s="4" t="s">
        <v>3229</v>
      </c>
      <c r="M473" s="10">
        <v>2</v>
      </c>
      <c r="N473" s="95">
        <v>460.7636</v>
      </c>
      <c r="O473" s="37" t="str">
        <f>HYPERLINK("http://ms.phosphosite.org:5080/cgi-bin/plot-msms.cgi?MassType=1&amp;NumAxis=1&amp;Mod6=170&amp;Pep=FSEVLKR&amp;Dta=/var/www/html/dta/S01/10558.4533.2.dta&amp;Global_Mod=CS57.0215", "4533")</f>
        <v>4533</v>
      </c>
      <c r="P473" s="37" t="str">
        <f>HYPERLINK("http://ms.phosphosite.org:5080/cgi-bin/plot-msms.cgi?MassType=1&amp;NumAxis=1&amp;Mod6=170&amp;Pep=FSEVLKR&amp;Dta=/var/www/html/dta/S01/10559.4449.2.dta&amp;Global_Mod=CS57.0215", "4449")</f>
        <v>4449</v>
      </c>
      <c r="Q473" s="37" t="str">
        <f>HYPERLINK("http://ms.phosphosite.org:5080/cgi-bin/plot-msms.cgi?MassType=1&amp;NumAxis=1&amp;Mod6=170&amp;Pep=FSEVLKR&amp;Dta=/var/www/html/dta/S01/10560.4448.2.dta&amp;Global_Mod=CS57.0215", "4448")</f>
        <v>4448</v>
      </c>
      <c r="R473" s="37" t="str">
        <f>HYPERLINK("http://ms.phosphosite.org:5080/cgi-bin/plot-msms.cgi?MassType=1&amp;NumAxis=1&amp;Mod6=170&amp;Pep=FSEVLKR&amp;Dta=/var/www/html/dta/S01/10561.4461.2.dta&amp;Global_Mod=CS57.0215", "4461")</f>
        <v>4461</v>
      </c>
      <c r="S473" s="37" t="str">
        <f>HYPERLINK("http://ms.phosphosite.org:5080/cgi-bin/plot-msms.cgi?MassType=1&amp;NumAxis=1&amp;Mod6=170&amp;Pep=FSEVLKR&amp;Dta=/var/www/html/dta/S01/10562.4577.2.dta&amp;Global_Mod=CS57.0215", "4577")</f>
        <v>4577</v>
      </c>
      <c r="T473" s="37" t="str">
        <f>HYPERLINK("http://ms.phosphosite.org:5080/cgi-bin/plot-msms.cgi?MassType=1&amp;NumAxis=1&amp;Mod6=170&amp;Pep=FSEVLKR&amp;Dta=/var/www/html/dta/S01/10563.4510.2.dta&amp;Global_Mod=CS57.0215", "4510")</f>
        <v>4510</v>
      </c>
      <c r="U473" s="38" t="s">
        <v>4854</v>
      </c>
      <c r="V473" s="37" t="str">
        <f>HYPERLINK("http://ms.phosphosite.org:5080/cgi-bin/plot-msms.cgi?MassType=1&amp;NumAxis=1&amp;Mod6=170&amp;Pep=FSEVLKR&amp;Dta=/var/www/html/dta/S01/10565.4981.2.dta&amp;Global_Mod=CS57.0215", "4981")</f>
        <v>4981</v>
      </c>
      <c r="W473" s="10">
        <v>4553</v>
      </c>
      <c r="X473" s="10">
        <v>4470</v>
      </c>
      <c r="Y473" s="10">
        <v>4466</v>
      </c>
      <c r="Z473" s="10">
        <v>4501</v>
      </c>
      <c r="AA473" s="10">
        <v>4608</v>
      </c>
      <c r="AB473" s="10">
        <v>4530</v>
      </c>
      <c r="AC473" s="4" t="s">
        <v>4854</v>
      </c>
      <c r="AD473" s="10">
        <v>4990</v>
      </c>
      <c r="AE473" s="91">
        <v>1.8109999999999999</v>
      </c>
      <c r="AF473" s="91">
        <v>2.2090000000000001</v>
      </c>
      <c r="AG473" s="91">
        <v>2.4079999999999999</v>
      </c>
      <c r="AH473" s="91">
        <v>1.8089999999999999</v>
      </c>
      <c r="AI473" s="91">
        <v>1.867</v>
      </c>
      <c r="AJ473" s="91">
        <v>2.048</v>
      </c>
      <c r="AK473" s="100" t="s">
        <v>4854</v>
      </c>
      <c r="AL473" s="91">
        <v>2.456</v>
      </c>
      <c r="AM473" s="95">
        <v>-0.24030000000000001</v>
      </c>
      <c r="AN473" s="95">
        <v>-0.23050000000000001</v>
      </c>
      <c r="AO473" s="95">
        <v>0.17899999999999999</v>
      </c>
      <c r="AP473" s="95">
        <v>8.0199999999999994E-2</v>
      </c>
      <c r="AQ473" s="95">
        <v>-0.15010000000000001</v>
      </c>
      <c r="AR473" s="95">
        <v>-7.4099999999999999E-2</v>
      </c>
      <c r="AS473" s="103" t="s">
        <v>4854</v>
      </c>
      <c r="AT473" s="95">
        <v>-0.44669999999999999</v>
      </c>
      <c r="AU473" s="95">
        <v>8.5999999999999993E-2</v>
      </c>
      <c r="AV473" s="95">
        <v>0.10100000000000001</v>
      </c>
      <c r="AW473" s="95">
        <v>5.7000000000000002E-2</v>
      </c>
      <c r="AX473" s="95">
        <v>8.5999999999999993E-2</v>
      </c>
      <c r="AY473" s="95">
        <v>4.2999999999999997E-2</v>
      </c>
      <c r="AZ473" s="95">
        <v>8.1000000000000003E-2</v>
      </c>
      <c r="BA473" s="103" t="s">
        <v>4854</v>
      </c>
      <c r="BB473" s="95">
        <v>8.3000000000000004E-2</v>
      </c>
      <c r="BC473" s="10">
        <v>4</v>
      </c>
      <c r="BD473" s="10">
        <v>1</v>
      </c>
      <c r="BE473" s="10">
        <v>4</v>
      </c>
      <c r="BF473" s="10">
        <v>20</v>
      </c>
      <c r="BG473" s="10">
        <v>12</v>
      </c>
      <c r="BH473" s="10">
        <v>14</v>
      </c>
      <c r="BI473" s="4" t="s">
        <v>4854</v>
      </c>
      <c r="BJ473" s="10">
        <v>4</v>
      </c>
      <c r="BK473" s="91">
        <v>0.99299999999999999</v>
      </c>
      <c r="BL473" s="91">
        <v>0.999</v>
      </c>
      <c r="BM473" s="91">
        <v>0.998</v>
      </c>
      <c r="BN473" s="91">
        <v>0.98799999999999999</v>
      </c>
      <c r="BO473" s="91">
        <v>0.98599999999999999</v>
      </c>
      <c r="BP473" s="91">
        <v>0.995</v>
      </c>
      <c r="BQ473" s="100" t="s">
        <v>4854</v>
      </c>
      <c r="BR473" s="91">
        <v>0.999</v>
      </c>
      <c r="BS473" s="10" t="s">
        <v>4857</v>
      </c>
    </row>
    <row r="474" spans="1:71" s="30" customFormat="1" ht="17.100000000000001" customHeight="1">
      <c r="A474" s="14">
        <v>463</v>
      </c>
      <c r="B474" s="5" t="s">
        <v>3230</v>
      </c>
      <c r="C474" s="3" t="s">
        <v>3321</v>
      </c>
      <c r="D474" s="3" t="s">
        <v>3231</v>
      </c>
      <c r="E474" s="6" t="s">
        <v>3232</v>
      </c>
      <c r="F474" s="5" t="s">
        <v>5223</v>
      </c>
      <c r="G474" s="3" t="s">
        <v>3233</v>
      </c>
      <c r="H474" s="6" t="s">
        <v>3234</v>
      </c>
      <c r="I474" s="3" t="s">
        <v>3235</v>
      </c>
      <c r="J474" s="5" t="s">
        <v>4594</v>
      </c>
      <c r="K474" s="3" t="s">
        <v>5601</v>
      </c>
      <c r="L474" s="3" t="s">
        <v>3236</v>
      </c>
      <c r="M474" s="5">
        <v>2</v>
      </c>
      <c r="N474" s="21">
        <v>450.75049999999999</v>
      </c>
      <c r="O474" s="35" t="s">
        <v>4854</v>
      </c>
      <c r="P474" s="35" t="s">
        <v>4854</v>
      </c>
      <c r="Q474" s="35" t="s">
        <v>4854</v>
      </c>
      <c r="R474" s="35" t="s">
        <v>4854</v>
      </c>
      <c r="S474" s="35" t="s">
        <v>4854</v>
      </c>
      <c r="T474" s="35" t="s">
        <v>4854</v>
      </c>
      <c r="U474" s="36" t="str">
        <f>HYPERLINK("http://ms.phosphosite.org:5080/cgi-bin/plot-msms.cgi?MassType=1&amp;NumAxis=1&amp;Mod2=170&amp;Pep=HKDAFLK&amp;Dta=/var/www/html/dta/S01/10564.3197.2.dta&amp;Global_Mod=CS57.0215", "3197")</f>
        <v>3197</v>
      </c>
      <c r="V474" s="36" t="str">
        <f>HYPERLINK("http://ms.phosphosite.org:5080/cgi-bin/plot-msms.cgi?MassType=1&amp;NumAxis=1&amp;Mod2=170&amp;Pep=HKDAFLK&amp;Dta=/var/www/html/dta/S01/10565.3274.2.dta&amp;Global_Mod=CS57.0215", "3274")</f>
        <v>3274</v>
      </c>
      <c r="W474" s="3" t="s">
        <v>4854</v>
      </c>
      <c r="X474" s="3" t="s">
        <v>4854</v>
      </c>
      <c r="Y474" s="3" t="s">
        <v>4854</v>
      </c>
      <c r="Z474" s="3" t="s">
        <v>4854</v>
      </c>
      <c r="AA474" s="3" t="s">
        <v>4854</v>
      </c>
      <c r="AB474" s="3" t="s">
        <v>4854</v>
      </c>
      <c r="AC474" s="5">
        <v>3195</v>
      </c>
      <c r="AD474" s="5">
        <v>3261</v>
      </c>
      <c r="AE474" s="99" t="s">
        <v>4854</v>
      </c>
      <c r="AF474" s="99" t="s">
        <v>4854</v>
      </c>
      <c r="AG474" s="99" t="s">
        <v>4854</v>
      </c>
      <c r="AH474" s="99" t="s">
        <v>4854</v>
      </c>
      <c r="AI474" s="99" t="s">
        <v>4854</v>
      </c>
      <c r="AJ474" s="99" t="s">
        <v>4854</v>
      </c>
      <c r="AK474" s="90">
        <v>2.468</v>
      </c>
      <c r="AL474" s="90">
        <v>2.254</v>
      </c>
      <c r="AM474" s="102" t="s">
        <v>4854</v>
      </c>
      <c r="AN474" s="102" t="s">
        <v>4854</v>
      </c>
      <c r="AO474" s="102" t="s">
        <v>4854</v>
      </c>
      <c r="AP474" s="102" t="s">
        <v>4854</v>
      </c>
      <c r="AQ474" s="102" t="s">
        <v>4854</v>
      </c>
      <c r="AR474" s="102" t="s">
        <v>4854</v>
      </c>
      <c r="AS474" s="21">
        <v>-0.59019999999999995</v>
      </c>
      <c r="AT474" s="21">
        <v>-0.53800000000000003</v>
      </c>
      <c r="AU474" s="102" t="s">
        <v>4854</v>
      </c>
      <c r="AV474" s="102" t="s">
        <v>4854</v>
      </c>
      <c r="AW474" s="102" t="s">
        <v>4854</v>
      </c>
      <c r="AX474" s="102" t="s">
        <v>4854</v>
      </c>
      <c r="AY474" s="102" t="s">
        <v>4854</v>
      </c>
      <c r="AZ474" s="102" t="s">
        <v>4854</v>
      </c>
      <c r="BA474" s="21">
        <v>5.1999999999999998E-2</v>
      </c>
      <c r="BB474" s="21">
        <v>6.0999999999999999E-2</v>
      </c>
      <c r="BC474" s="3" t="s">
        <v>4854</v>
      </c>
      <c r="BD474" s="3" t="s">
        <v>4854</v>
      </c>
      <c r="BE474" s="3" t="s">
        <v>4854</v>
      </c>
      <c r="BF474" s="3" t="s">
        <v>4854</v>
      </c>
      <c r="BG474" s="3" t="s">
        <v>4854</v>
      </c>
      <c r="BH474" s="3" t="s">
        <v>4854</v>
      </c>
      <c r="BI474" s="5">
        <v>2</v>
      </c>
      <c r="BJ474" s="5">
        <v>5</v>
      </c>
      <c r="BK474" s="99" t="s">
        <v>4854</v>
      </c>
      <c r="BL474" s="99" t="s">
        <v>4854</v>
      </c>
      <c r="BM474" s="99" t="s">
        <v>4854</v>
      </c>
      <c r="BN474" s="99" t="s">
        <v>4854</v>
      </c>
      <c r="BO474" s="99" t="s">
        <v>4854</v>
      </c>
      <c r="BP474" s="99" t="s">
        <v>4854</v>
      </c>
      <c r="BQ474" s="90">
        <v>0.98299999999999998</v>
      </c>
      <c r="BR474" s="90">
        <v>0.98399999999999999</v>
      </c>
      <c r="BS474" s="5" t="s">
        <v>4857</v>
      </c>
    </row>
    <row r="475" spans="1:71" s="30" customFormat="1" ht="17.100000000000001" customHeight="1">
      <c r="A475" s="10">
        <v>464</v>
      </c>
      <c r="B475" s="10" t="s">
        <v>3237</v>
      </c>
      <c r="C475" s="4" t="s">
        <v>3321</v>
      </c>
      <c r="D475" s="4" t="s">
        <v>3231</v>
      </c>
      <c r="E475" s="7" t="s">
        <v>3232</v>
      </c>
      <c r="F475" s="10" t="s">
        <v>5275</v>
      </c>
      <c r="G475" s="4" t="s">
        <v>3233</v>
      </c>
      <c r="H475" s="7" t="s">
        <v>3234</v>
      </c>
      <c r="I475" s="4" t="s">
        <v>3235</v>
      </c>
      <c r="J475" s="10" t="s">
        <v>4594</v>
      </c>
      <c r="K475" s="4" t="s">
        <v>5602</v>
      </c>
      <c r="L475" s="4" t="s">
        <v>3238</v>
      </c>
      <c r="M475" s="10">
        <v>2</v>
      </c>
      <c r="N475" s="95">
        <v>514.798</v>
      </c>
      <c r="O475" s="38" t="s">
        <v>4854</v>
      </c>
      <c r="P475" s="37" t="str">
        <f>HYPERLINK("http://ms.phosphosite.org:5080/cgi-bin/plot-msms.cgi?MassType=1&amp;NumAxis=1&amp;Mod7=170&amp;Pep=HKDAFLKK&amp;Dta=/var/www/html/dta/S01/10559.1762.2.dta&amp;Global_Mod=CS57.0215", "1762")</f>
        <v>1762</v>
      </c>
      <c r="Q475" s="37" t="str">
        <f>HYPERLINK("http://ms.phosphosite.org:5080/cgi-bin/plot-msms.cgi?MassType=1&amp;NumAxis=1&amp;Mod7=170&amp;Pep=HKDAFLKK&amp;Dta=/var/www/html/dta/S01/10560.1719.2.dta&amp;Global_Mod=CS57.0215", "1719")</f>
        <v>1719</v>
      </c>
      <c r="R475" s="37" t="str">
        <f>HYPERLINK("http://ms.phosphosite.org:5080/cgi-bin/plot-msms.cgi?MassType=1&amp;NumAxis=1&amp;Mod7=170&amp;Pep=HKDAFLKK&amp;Dta=/var/www/html/dta/S01/10561.1741.2.dta&amp;Global_Mod=CS57.0215", "1741")</f>
        <v>1741</v>
      </c>
      <c r="S475" s="37" t="str">
        <f>HYPERLINK("http://ms.phosphosite.org:5080/cgi-bin/plot-msms.cgi?MassType=1&amp;NumAxis=1&amp;Mod7=170&amp;Pep=HKDAFLKK&amp;Dta=/var/www/html/dta/S01/10562.1793.2.dta&amp;Global_Mod=CS57.0215", "1793")</f>
        <v>1793</v>
      </c>
      <c r="T475" s="37" t="str">
        <f>HYPERLINK("http://ms.phosphosite.org:5080/cgi-bin/plot-msms.cgi?MassType=1&amp;NumAxis=1&amp;Mod7=170&amp;Pep=HKDAFLKK&amp;Dta=/var/www/html/dta/S01/10563.1719.2.dta&amp;Global_Mod=CS57.0215", "1719")</f>
        <v>1719</v>
      </c>
      <c r="U475" s="37" t="str">
        <f>HYPERLINK("http://ms.phosphosite.org:5080/cgi-bin/plot-msms.cgi?MassType=1&amp;NumAxis=1&amp;Mod7=170&amp;Pep=HKDAFLKK&amp;Dta=/var/www/html/dta/S01/10564.1983.2.dta&amp;Global_Mod=CS57.0215", "1983")</f>
        <v>1983</v>
      </c>
      <c r="V475" s="38" t="s">
        <v>4854</v>
      </c>
      <c r="W475" s="4" t="s">
        <v>4854</v>
      </c>
      <c r="X475" s="4" t="s">
        <v>4854</v>
      </c>
      <c r="Y475" s="10">
        <v>1726</v>
      </c>
      <c r="Z475" s="10">
        <v>1753</v>
      </c>
      <c r="AA475" s="10">
        <v>1798</v>
      </c>
      <c r="AB475" s="10">
        <v>1735</v>
      </c>
      <c r="AC475" s="10">
        <v>1990</v>
      </c>
      <c r="AD475" s="4" t="s">
        <v>4854</v>
      </c>
      <c r="AE475" s="100" t="s">
        <v>4854</v>
      </c>
      <c r="AF475" s="91">
        <v>2.0649999999999999</v>
      </c>
      <c r="AG475" s="91">
        <v>2.3820000000000001</v>
      </c>
      <c r="AH475" s="91">
        <v>2.0659999999999998</v>
      </c>
      <c r="AI475" s="91">
        <v>2.3260000000000001</v>
      </c>
      <c r="AJ475" s="91">
        <v>2.1680000000000001</v>
      </c>
      <c r="AK475" s="91">
        <v>1.893</v>
      </c>
      <c r="AL475" s="100" t="s">
        <v>4854</v>
      </c>
      <c r="AM475" s="103" t="s">
        <v>4854</v>
      </c>
      <c r="AN475" s="95">
        <v>-0.10249999999999999</v>
      </c>
      <c r="AO475" s="95">
        <v>-7.1400000000000005E-2</v>
      </c>
      <c r="AP475" s="95">
        <v>0.2601</v>
      </c>
      <c r="AQ475" s="95">
        <v>4.2299999999999997E-2</v>
      </c>
      <c r="AR475" s="95">
        <v>0.1143</v>
      </c>
      <c r="AS475" s="95">
        <v>-0.1366</v>
      </c>
      <c r="AT475" s="103" t="s">
        <v>4854</v>
      </c>
      <c r="AU475" s="103" t="s">
        <v>4854</v>
      </c>
      <c r="AV475" s="95">
        <v>2.1000000000000001E-2</v>
      </c>
      <c r="AW475" s="95">
        <v>0.22500000000000001</v>
      </c>
      <c r="AX475" s="95">
        <v>0.25700000000000001</v>
      </c>
      <c r="AY475" s="95">
        <v>0.20599999999999999</v>
      </c>
      <c r="AZ475" s="95">
        <v>0.155</v>
      </c>
      <c r="BA475" s="95">
        <v>0.16300000000000001</v>
      </c>
      <c r="BB475" s="103" t="s">
        <v>4854</v>
      </c>
      <c r="BC475" s="4" t="s">
        <v>4854</v>
      </c>
      <c r="BD475" s="10">
        <v>12</v>
      </c>
      <c r="BE475" s="10">
        <v>1</v>
      </c>
      <c r="BF475" s="10">
        <v>2</v>
      </c>
      <c r="BG475" s="10">
        <v>1</v>
      </c>
      <c r="BH475" s="10">
        <v>3</v>
      </c>
      <c r="BI475" s="10">
        <v>1</v>
      </c>
      <c r="BJ475" s="4" t="s">
        <v>4854</v>
      </c>
      <c r="BK475" s="100" t="s">
        <v>4854</v>
      </c>
      <c r="BL475" s="91">
        <v>0.93200000000000005</v>
      </c>
      <c r="BM475" s="91">
        <v>0.999</v>
      </c>
      <c r="BN475" s="91">
        <v>0.998</v>
      </c>
      <c r="BO475" s="91">
        <v>0.998</v>
      </c>
      <c r="BP475" s="91">
        <v>0.99299999999999999</v>
      </c>
      <c r="BQ475" s="91">
        <v>0.99099999999999999</v>
      </c>
      <c r="BR475" s="100" t="s">
        <v>4854</v>
      </c>
      <c r="BS475" s="10" t="s">
        <v>4857</v>
      </c>
    </row>
    <row r="476" spans="1:71" s="30" customFormat="1" ht="17.100000000000001" customHeight="1">
      <c r="A476" s="14">
        <v>465</v>
      </c>
      <c r="B476" s="5" t="s">
        <v>4172</v>
      </c>
      <c r="C476" s="3" t="s">
        <v>3321</v>
      </c>
      <c r="D476" s="3" t="s">
        <v>3239</v>
      </c>
      <c r="E476" s="3" t="s">
        <v>3240</v>
      </c>
      <c r="F476" s="5" t="s">
        <v>4477</v>
      </c>
      <c r="G476" s="3" t="s">
        <v>3241</v>
      </c>
      <c r="H476" s="6" t="s">
        <v>3242</v>
      </c>
      <c r="I476" s="3" t="s">
        <v>3243</v>
      </c>
      <c r="J476" s="5" t="s">
        <v>4104</v>
      </c>
      <c r="K476" s="3" t="s">
        <v>5603</v>
      </c>
      <c r="L476" s="3" t="s">
        <v>3244</v>
      </c>
      <c r="M476" s="5">
        <v>2</v>
      </c>
      <c r="N476" s="21">
        <v>484.25139999999999</v>
      </c>
      <c r="O476" s="35" t="s">
        <v>4854</v>
      </c>
      <c r="P476" s="36" t="str">
        <f>HYPERLINK("http://ms.phosphosite.org:5080/cgi-bin/plot-msms.cgi?MassType=1&amp;NumAxis=1&amp;Mod5=170&amp;Pep=DHQLKER&amp;Dta=/var/www/html/dta/S01/10559.1507.2.dta&amp;Global_Mod=CS57.0215", "1507")</f>
        <v>1507</v>
      </c>
      <c r="Q476" s="35" t="s">
        <v>4854</v>
      </c>
      <c r="R476" s="35" t="s">
        <v>4854</v>
      </c>
      <c r="S476" s="35" t="s">
        <v>4854</v>
      </c>
      <c r="T476" s="35" t="s">
        <v>4854</v>
      </c>
      <c r="U476" s="35" t="s">
        <v>4854</v>
      </c>
      <c r="V476" s="35" t="s">
        <v>4854</v>
      </c>
      <c r="W476" s="3" t="s">
        <v>4854</v>
      </c>
      <c r="X476" s="3" t="s">
        <v>4854</v>
      </c>
      <c r="Y476" s="3" t="s">
        <v>4854</v>
      </c>
      <c r="Z476" s="3" t="s">
        <v>4854</v>
      </c>
      <c r="AA476" s="3" t="s">
        <v>4854</v>
      </c>
      <c r="AB476" s="3" t="s">
        <v>4854</v>
      </c>
      <c r="AC476" s="3" t="s">
        <v>4854</v>
      </c>
      <c r="AD476" s="3" t="s">
        <v>4854</v>
      </c>
      <c r="AE476" s="99" t="s">
        <v>4854</v>
      </c>
      <c r="AF476" s="90">
        <v>2.0990000000000002</v>
      </c>
      <c r="AG476" s="99" t="s">
        <v>4854</v>
      </c>
      <c r="AH476" s="99" t="s">
        <v>4854</v>
      </c>
      <c r="AI476" s="99" t="s">
        <v>4854</v>
      </c>
      <c r="AJ476" s="99" t="s">
        <v>4854</v>
      </c>
      <c r="AK476" s="99" t="s">
        <v>4854</v>
      </c>
      <c r="AL476" s="99" t="s">
        <v>4854</v>
      </c>
      <c r="AM476" s="102" t="s">
        <v>4854</v>
      </c>
      <c r="AN476" s="21">
        <v>-0.61329999999999996</v>
      </c>
      <c r="AO476" s="102" t="s">
        <v>4854</v>
      </c>
      <c r="AP476" s="102" t="s">
        <v>4854</v>
      </c>
      <c r="AQ476" s="102" t="s">
        <v>4854</v>
      </c>
      <c r="AR476" s="102" t="s">
        <v>4854</v>
      </c>
      <c r="AS476" s="102" t="s">
        <v>4854</v>
      </c>
      <c r="AT476" s="102" t="s">
        <v>4854</v>
      </c>
      <c r="AU476" s="102" t="s">
        <v>4854</v>
      </c>
      <c r="AV476" s="21">
        <v>1.6E-2</v>
      </c>
      <c r="AW476" s="102" t="s">
        <v>4854</v>
      </c>
      <c r="AX476" s="102" t="s">
        <v>4854</v>
      </c>
      <c r="AY476" s="102" t="s">
        <v>4854</v>
      </c>
      <c r="AZ476" s="102" t="s">
        <v>4854</v>
      </c>
      <c r="BA476" s="102" t="s">
        <v>4854</v>
      </c>
      <c r="BB476" s="102" t="s">
        <v>4854</v>
      </c>
      <c r="BC476" s="3" t="s">
        <v>4854</v>
      </c>
      <c r="BD476" s="5">
        <v>1</v>
      </c>
      <c r="BE476" s="3" t="s">
        <v>4854</v>
      </c>
      <c r="BF476" s="3" t="s">
        <v>4854</v>
      </c>
      <c r="BG476" s="3" t="s">
        <v>4854</v>
      </c>
      <c r="BH476" s="3" t="s">
        <v>4854</v>
      </c>
      <c r="BI476" s="3" t="s">
        <v>4854</v>
      </c>
      <c r="BJ476" s="3" t="s">
        <v>4854</v>
      </c>
      <c r="BK476" s="99" t="s">
        <v>4854</v>
      </c>
      <c r="BL476" s="90">
        <v>0.13100000000000001</v>
      </c>
      <c r="BM476" s="99" t="s">
        <v>4854</v>
      </c>
      <c r="BN476" s="99" t="s">
        <v>4854</v>
      </c>
      <c r="BO476" s="99" t="s">
        <v>4854</v>
      </c>
      <c r="BP476" s="99" t="s">
        <v>4854</v>
      </c>
      <c r="BQ476" s="99" t="s">
        <v>4854</v>
      </c>
      <c r="BR476" s="99" t="s">
        <v>4854</v>
      </c>
      <c r="BS476" s="5" t="s">
        <v>4857</v>
      </c>
    </row>
    <row r="477" spans="1:71" s="30" customFormat="1" ht="17.100000000000001" customHeight="1">
      <c r="A477" s="10">
        <v>466</v>
      </c>
      <c r="B477" s="10" t="s">
        <v>3245</v>
      </c>
      <c r="C477" s="4" t="s">
        <v>3321</v>
      </c>
      <c r="D477" s="4" t="s">
        <v>3246</v>
      </c>
      <c r="E477" s="4" t="s">
        <v>3247</v>
      </c>
      <c r="F477" s="10" t="s">
        <v>5095</v>
      </c>
      <c r="G477" s="4" t="s">
        <v>3248</v>
      </c>
      <c r="H477" s="7" t="s">
        <v>3249</v>
      </c>
      <c r="I477" s="4" t="s">
        <v>3250</v>
      </c>
      <c r="J477" s="10" t="s">
        <v>4682</v>
      </c>
      <c r="K477" s="4" t="s">
        <v>5604</v>
      </c>
      <c r="L477" s="4" t="s">
        <v>3251</v>
      </c>
      <c r="M477" s="10">
        <v>2</v>
      </c>
      <c r="N477" s="95">
        <v>790.38030000000003</v>
      </c>
      <c r="O477" s="38" t="s">
        <v>4854</v>
      </c>
      <c r="P477" s="38" t="s">
        <v>4854</v>
      </c>
      <c r="Q477" s="37" t="str">
        <f>HYPERLINK("http://ms.phosphosite.org:5080/cgi-bin/plot-msms.cgi?MassType=1&amp;NumAxis=1&amp;Mod9=170&amp;Mod11=147&amp;Pep=AFAAGADIKEMQNR&amp;Dta=/var/www/html/dta/S01/10560.4890.2.dta&amp;Global_Mod=CS57.0215", "4890")</f>
        <v>4890</v>
      </c>
      <c r="R477" s="38" t="s">
        <v>4854</v>
      </c>
      <c r="S477" s="38" t="s">
        <v>4854</v>
      </c>
      <c r="T477" s="38" t="s">
        <v>4854</v>
      </c>
      <c r="U477" s="38" t="s">
        <v>4854</v>
      </c>
      <c r="V477" s="37" t="str">
        <f>HYPERLINK("http://ms.phosphosite.org:5080/cgi-bin/plot-msms.cgi?MassType=1&amp;NumAxis=1&amp;Mod9=170&amp;Mod11=147&amp;Pep=AFAAGADIKEMQNR&amp;Dta=/var/www/html/dta/S01/10565.5404.2.dta&amp;Global_Mod=CS57.0215", "5404")</f>
        <v>5404</v>
      </c>
      <c r="W477" s="4" t="s">
        <v>4854</v>
      </c>
      <c r="X477" s="4" t="s">
        <v>4854</v>
      </c>
      <c r="Y477" s="10">
        <v>4925</v>
      </c>
      <c r="Z477" s="4" t="s">
        <v>4854</v>
      </c>
      <c r="AA477" s="4" t="s">
        <v>4854</v>
      </c>
      <c r="AB477" s="4" t="s">
        <v>4854</v>
      </c>
      <c r="AC477" s="4" t="s">
        <v>4854</v>
      </c>
      <c r="AD477" s="10">
        <v>5383</v>
      </c>
      <c r="AE477" s="100" t="s">
        <v>4854</v>
      </c>
      <c r="AF477" s="100" t="s">
        <v>4854</v>
      </c>
      <c r="AG477" s="91">
        <v>3.7069999999999999</v>
      </c>
      <c r="AH477" s="100" t="s">
        <v>4854</v>
      </c>
      <c r="AI477" s="100" t="s">
        <v>4854</v>
      </c>
      <c r="AJ477" s="100" t="s">
        <v>4854</v>
      </c>
      <c r="AK477" s="100" t="s">
        <v>4854</v>
      </c>
      <c r="AL477" s="91">
        <v>3.9089999999999998</v>
      </c>
      <c r="AM477" s="103" t="s">
        <v>4854</v>
      </c>
      <c r="AN477" s="103" t="s">
        <v>4854</v>
      </c>
      <c r="AO477" s="95">
        <v>0.58750000000000002</v>
      </c>
      <c r="AP477" s="103" t="s">
        <v>4854</v>
      </c>
      <c r="AQ477" s="103" t="s">
        <v>4854</v>
      </c>
      <c r="AR477" s="103" t="s">
        <v>4854</v>
      </c>
      <c r="AS477" s="103" t="s">
        <v>4854</v>
      </c>
      <c r="AT477" s="95">
        <v>-0.40639999999999998</v>
      </c>
      <c r="AU477" s="103" t="s">
        <v>4854</v>
      </c>
      <c r="AV477" s="103" t="s">
        <v>4854</v>
      </c>
      <c r="AW477" s="95">
        <v>0.44</v>
      </c>
      <c r="AX477" s="103" t="s">
        <v>4854</v>
      </c>
      <c r="AY477" s="103" t="s">
        <v>4854</v>
      </c>
      <c r="AZ477" s="103" t="s">
        <v>4854</v>
      </c>
      <c r="BA477" s="103" t="s">
        <v>4854</v>
      </c>
      <c r="BB477" s="95">
        <v>0.374</v>
      </c>
      <c r="BC477" s="4" t="s">
        <v>4854</v>
      </c>
      <c r="BD477" s="4" t="s">
        <v>4854</v>
      </c>
      <c r="BE477" s="10">
        <v>1</v>
      </c>
      <c r="BF477" s="4" t="s">
        <v>4854</v>
      </c>
      <c r="BG477" s="4" t="s">
        <v>4854</v>
      </c>
      <c r="BH477" s="4" t="s">
        <v>4854</v>
      </c>
      <c r="BI477" s="4" t="s">
        <v>4854</v>
      </c>
      <c r="BJ477" s="10">
        <v>1</v>
      </c>
      <c r="BK477" s="100" t="s">
        <v>4854</v>
      </c>
      <c r="BL477" s="100" t="s">
        <v>4854</v>
      </c>
      <c r="BM477" s="91">
        <v>1</v>
      </c>
      <c r="BN477" s="100" t="s">
        <v>4854</v>
      </c>
      <c r="BO477" s="100" t="s">
        <v>4854</v>
      </c>
      <c r="BP477" s="100" t="s">
        <v>4854</v>
      </c>
      <c r="BQ477" s="100" t="s">
        <v>4854</v>
      </c>
      <c r="BR477" s="91">
        <v>1</v>
      </c>
      <c r="BS477" s="10" t="s">
        <v>4857</v>
      </c>
    </row>
    <row r="478" spans="1:71" s="30" customFormat="1" ht="17.100000000000001" customHeight="1">
      <c r="A478" s="14">
        <v>467</v>
      </c>
      <c r="B478" s="5" t="s">
        <v>3252</v>
      </c>
      <c r="C478" s="3" t="s">
        <v>3321</v>
      </c>
      <c r="D478" s="3" t="s">
        <v>3253</v>
      </c>
      <c r="E478" s="3" t="s">
        <v>3254</v>
      </c>
      <c r="F478" s="5" t="s">
        <v>3255</v>
      </c>
      <c r="G478" s="3" t="s">
        <v>3256</v>
      </c>
      <c r="H478" s="6" t="s">
        <v>3257</v>
      </c>
      <c r="I478" s="3" t="s">
        <v>3129</v>
      </c>
      <c r="J478" s="5" t="s">
        <v>4658</v>
      </c>
      <c r="K478" s="3" t="s">
        <v>5605</v>
      </c>
      <c r="L478" s="3" t="s">
        <v>3130</v>
      </c>
      <c r="M478" s="5">
        <v>2</v>
      </c>
      <c r="N478" s="21">
        <v>577.86080000000004</v>
      </c>
      <c r="O478" s="35" t="s">
        <v>4854</v>
      </c>
      <c r="P478" s="35" t="s">
        <v>4854</v>
      </c>
      <c r="Q478" s="35" t="s">
        <v>4854</v>
      </c>
      <c r="R478" s="35" t="s">
        <v>4854</v>
      </c>
      <c r="S478" s="35" t="s">
        <v>4854</v>
      </c>
      <c r="T478" s="35" t="s">
        <v>4854</v>
      </c>
      <c r="U478" s="35" t="s">
        <v>4854</v>
      </c>
      <c r="V478" s="36" t="str">
        <f>HYPERLINK("http://ms.phosphosite.org:5080/cgi-bin/plot-msms.cgi?MassType=1&amp;NumAxis=1&amp;Mod5=170&amp;Mod6=170&amp;Mod7=170&amp;Pep=SLVPKKKTK&amp;Dta=/var/www/html/dta/S01/10565.5475.2.dta&amp;Global_Mod=CS57.0215", "5475")</f>
        <v>5475</v>
      </c>
      <c r="W478" s="3" t="s">
        <v>4854</v>
      </c>
      <c r="X478" s="3" t="s">
        <v>4854</v>
      </c>
      <c r="Y478" s="3" t="s">
        <v>4854</v>
      </c>
      <c r="Z478" s="3" t="s">
        <v>4854</v>
      </c>
      <c r="AA478" s="3" t="s">
        <v>4854</v>
      </c>
      <c r="AB478" s="3" t="s">
        <v>4854</v>
      </c>
      <c r="AC478" s="3" t="s">
        <v>4854</v>
      </c>
      <c r="AD478" s="3" t="s">
        <v>4854</v>
      </c>
      <c r="AE478" s="99" t="s">
        <v>4854</v>
      </c>
      <c r="AF478" s="99" t="s">
        <v>4854</v>
      </c>
      <c r="AG478" s="99" t="s">
        <v>4854</v>
      </c>
      <c r="AH478" s="99" t="s">
        <v>4854</v>
      </c>
      <c r="AI478" s="99" t="s">
        <v>4854</v>
      </c>
      <c r="AJ478" s="99" t="s">
        <v>4854</v>
      </c>
      <c r="AK478" s="99" t="s">
        <v>4854</v>
      </c>
      <c r="AL478" s="90">
        <v>2.4049999999999998</v>
      </c>
      <c r="AM478" s="102" t="s">
        <v>4854</v>
      </c>
      <c r="AN478" s="102" t="s">
        <v>4854</v>
      </c>
      <c r="AO478" s="102" t="s">
        <v>4854</v>
      </c>
      <c r="AP478" s="102" t="s">
        <v>4854</v>
      </c>
      <c r="AQ478" s="102" t="s">
        <v>4854</v>
      </c>
      <c r="AR478" s="102" t="s">
        <v>4854</v>
      </c>
      <c r="AS478" s="102" t="s">
        <v>4854</v>
      </c>
      <c r="AT478" s="21">
        <v>-0.52300000000000002</v>
      </c>
      <c r="AU478" s="102" t="s">
        <v>4854</v>
      </c>
      <c r="AV478" s="102" t="s">
        <v>4854</v>
      </c>
      <c r="AW478" s="102" t="s">
        <v>4854</v>
      </c>
      <c r="AX478" s="102" t="s">
        <v>4854</v>
      </c>
      <c r="AY478" s="102" t="s">
        <v>4854</v>
      </c>
      <c r="AZ478" s="102" t="s">
        <v>4854</v>
      </c>
      <c r="BA478" s="102" t="s">
        <v>4854</v>
      </c>
      <c r="BB478" s="21">
        <v>6.5000000000000002E-2</v>
      </c>
      <c r="BC478" s="3" t="s">
        <v>4854</v>
      </c>
      <c r="BD478" s="3" t="s">
        <v>4854</v>
      </c>
      <c r="BE478" s="3" t="s">
        <v>4854</v>
      </c>
      <c r="BF478" s="3" t="s">
        <v>4854</v>
      </c>
      <c r="BG478" s="3" t="s">
        <v>4854</v>
      </c>
      <c r="BH478" s="3" t="s">
        <v>4854</v>
      </c>
      <c r="BI478" s="3" t="s">
        <v>4854</v>
      </c>
      <c r="BJ478" s="5">
        <v>2</v>
      </c>
      <c r="BK478" s="99" t="s">
        <v>4854</v>
      </c>
      <c r="BL478" s="99" t="s">
        <v>4854</v>
      </c>
      <c r="BM478" s="99" t="s">
        <v>4854</v>
      </c>
      <c r="BN478" s="99" t="s">
        <v>4854</v>
      </c>
      <c r="BO478" s="99" t="s">
        <v>4854</v>
      </c>
      <c r="BP478" s="99" t="s">
        <v>4854</v>
      </c>
      <c r="BQ478" s="99" t="s">
        <v>4854</v>
      </c>
      <c r="BR478" s="90">
        <v>0.23499999999999999</v>
      </c>
      <c r="BS478" s="5" t="s">
        <v>4857</v>
      </c>
    </row>
    <row r="479" spans="1:71" s="30" customFormat="1" ht="17.100000000000001" customHeight="1">
      <c r="A479" s="10">
        <v>468</v>
      </c>
      <c r="B479" s="10" t="s">
        <v>3131</v>
      </c>
      <c r="C479" s="4" t="s">
        <v>3321</v>
      </c>
      <c r="D479" s="4" t="s">
        <v>3132</v>
      </c>
      <c r="E479" s="4" t="s">
        <v>3133</v>
      </c>
      <c r="F479" s="10" t="s">
        <v>5003</v>
      </c>
      <c r="G479" s="4" t="s">
        <v>3134</v>
      </c>
      <c r="H479" s="7" t="s">
        <v>3135</v>
      </c>
      <c r="I479" s="4" t="s">
        <v>3136</v>
      </c>
      <c r="J479" s="10" t="s">
        <v>4692</v>
      </c>
      <c r="K479" s="4" t="s">
        <v>5606</v>
      </c>
      <c r="L479" s="4" t="s">
        <v>3137</v>
      </c>
      <c r="M479" s="10">
        <v>2</v>
      </c>
      <c r="N479" s="95">
        <v>711.82449999999994</v>
      </c>
      <c r="O479" s="38" t="s">
        <v>4854</v>
      </c>
      <c r="P479" s="38" t="s">
        <v>4854</v>
      </c>
      <c r="Q479" s="37" t="str">
        <f>HYPERLINK("http://ms.phosphosite.org:5080/cgi-bin/plot-msms.cgi?MassType=1&amp;NumAxis=1&amp;Mod5=170&amp;Pep=GDASKEDIDTAMK&amp;Dta=/var/www/html/dta/S01/10560.4722.2.dta&amp;Global_Mod=CS57.0215", "4722")</f>
        <v>4722</v>
      </c>
      <c r="R479" s="37" t="str">
        <f>HYPERLINK("http://ms.phosphosite.org:5080/cgi-bin/plot-msms.cgi?MassType=1&amp;NumAxis=1&amp;Mod5=170&amp;Pep=GDASKEDIDTAMK&amp;Dta=/var/www/html/dta/S01/10561.4762.2.dta&amp;Global_Mod=CS57.0215", "4762")</f>
        <v>4762</v>
      </c>
      <c r="S479" s="38" t="s">
        <v>4854</v>
      </c>
      <c r="T479" s="38" t="s">
        <v>4854</v>
      </c>
      <c r="U479" s="37" t="str">
        <f>HYPERLINK("http://ms.phosphosite.org:5080/cgi-bin/plot-msms.cgi?MassType=1&amp;NumAxis=1&amp;Mod5=170&amp;Pep=GDASKEDIDTAMK&amp;Dta=/var/www/html/dta/S01/10564.5142.2.dta&amp;Global_Mod=CS57.0215", "5142")</f>
        <v>5142</v>
      </c>
      <c r="V479" s="37" t="str">
        <f>HYPERLINK("http://ms.phosphosite.org:5080/cgi-bin/plot-msms.cgi?MassType=1&amp;NumAxis=1&amp;Mod5=170&amp;Pep=GDASKEDIDTAMK&amp;Dta=/var/www/html/dta/S01/10565.5248.2.dta&amp;Global_Mod=CS57.0215", "5248")</f>
        <v>5248</v>
      </c>
      <c r="W479" s="4" t="s">
        <v>4854</v>
      </c>
      <c r="X479" s="4" t="s">
        <v>4854</v>
      </c>
      <c r="Y479" s="10">
        <v>4716</v>
      </c>
      <c r="Z479" s="10">
        <v>4754</v>
      </c>
      <c r="AA479" s="4" t="s">
        <v>4854</v>
      </c>
      <c r="AB479" s="4" t="s">
        <v>4854</v>
      </c>
      <c r="AC479" s="10">
        <v>5132</v>
      </c>
      <c r="AD479" s="10">
        <v>5240</v>
      </c>
      <c r="AE479" s="100" t="s">
        <v>4854</v>
      </c>
      <c r="AF479" s="100" t="s">
        <v>4854</v>
      </c>
      <c r="AG479" s="91">
        <v>3.5310000000000001</v>
      </c>
      <c r="AH479" s="91">
        <v>2.8969999999999998</v>
      </c>
      <c r="AI479" s="100" t="s">
        <v>4854</v>
      </c>
      <c r="AJ479" s="100" t="s">
        <v>4854</v>
      </c>
      <c r="AK479" s="91">
        <v>3.4470000000000001</v>
      </c>
      <c r="AL479" s="91">
        <v>3.8260000000000001</v>
      </c>
      <c r="AM479" s="103" t="s">
        <v>4854</v>
      </c>
      <c r="AN479" s="103" t="s">
        <v>4854</v>
      </c>
      <c r="AO479" s="95">
        <v>8.0299999999999996E-2</v>
      </c>
      <c r="AP479" s="95">
        <v>1.1789000000000001</v>
      </c>
      <c r="AQ479" s="103" t="s">
        <v>4854</v>
      </c>
      <c r="AR479" s="103" t="s">
        <v>4854</v>
      </c>
      <c r="AS479" s="95">
        <v>0.42820000000000003</v>
      </c>
      <c r="AT479" s="95">
        <v>0.52029999999999998</v>
      </c>
      <c r="AU479" s="103" t="s">
        <v>4854</v>
      </c>
      <c r="AV479" s="103" t="s">
        <v>4854</v>
      </c>
      <c r="AW479" s="95">
        <v>0.372</v>
      </c>
      <c r="AX479" s="95">
        <v>0.35699999999999998</v>
      </c>
      <c r="AY479" s="103" t="s">
        <v>4854</v>
      </c>
      <c r="AZ479" s="103" t="s">
        <v>4854</v>
      </c>
      <c r="BA479" s="95">
        <v>0.41299999999999998</v>
      </c>
      <c r="BB479" s="95">
        <v>0.42799999999999999</v>
      </c>
      <c r="BC479" s="4" t="s">
        <v>4854</v>
      </c>
      <c r="BD479" s="4" t="s">
        <v>4854</v>
      </c>
      <c r="BE479" s="10">
        <v>1</v>
      </c>
      <c r="BF479" s="10">
        <v>1</v>
      </c>
      <c r="BG479" s="4" t="s">
        <v>4854</v>
      </c>
      <c r="BH479" s="4" t="s">
        <v>4854</v>
      </c>
      <c r="BI479" s="10">
        <v>1</v>
      </c>
      <c r="BJ479" s="10">
        <v>1</v>
      </c>
      <c r="BK479" s="100" t="s">
        <v>4854</v>
      </c>
      <c r="BL479" s="100" t="s">
        <v>4854</v>
      </c>
      <c r="BM479" s="91">
        <v>1</v>
      </c>
      <c r="BN479" s="91">
        <v>1</v>
      </c>
      <c r="BO479" s="100" t="s">
        <v>4854</v>
      </c>
      <c r="BP479" s="100" t="s">
        <v>4854</v>
      </c>
      <c r="BQ479" s="91">
        <v>1</v>
      </c>
      <c r="BR479" s="91">
        <v>1</v>
      </c>
      <c r="BS479" s="10" t="s">
        <v>4857</v>
      </c>
    </row>
    <row r="480" spans="1:71" s="30" customFormat="1" ht="17.100000000000001" customHeight="1">
      <c r="A480" s="14">
        <v>469</v>
      </c>
      <c r="B480" s="5" t="s">
        <v>3138</v>
      </c>
      <c r="C480" s="3" t="s">
        <v>3321</v>
      </c>
      <c r="D480" s="3" t="s">
        <v>3139</v>
      </c>
      <c r="E480" s="3" t="s">
        <v>3140</v>
      </c>
      <c r="F480" s="5" t="s">
        <v>4970</v>
      </c>
      <c r="G480" s="3" t="s">
        <v>3141</v>
      </c>
      <c r="H480" s="6" t="s">
        <v>3142</v>
      </c>
      <c r="I480" s="3" t="s">
        <v>3143</v>
      </c>
      <c r="J480" s="5" t="s">
        <v>4463</v>
      </c>
      <c r="K480" s="3" t="s">
        <v>5607</v>
      </c>
      <c r="L480" s="3" t="s">
        <v>3144</v>
      </c>
      <c r="M480" s="5">
        <v>2</v>
      </c>
      <c r="N480" s="21">
        <v>466.2534</v>
      </c>
      <c r="O480" s="36" t="str">
        <f>HYPERLINK("http://ms.phosphosite.org:5080/cgi-bin/plot-msms.cgi?MassType=1&amp;NumAxis=1&amp;Mod2=170&amp;Pep=NKFGAPQK&amp;Dta=/var/www/html/dta/S01/10558.2756.2.dta&amp;Global_Mod=CS57.0215", "2756")</f>
        <v>2756</v>
      </c>
      <c r="P480" s="35" t="s">
        <v>4854</v>
      </c>
      <c r="Q480" s="35" t="s">
        <v>4854</v>
      </c>
      <c r="R480" s="36" t="str">
        <f>HYPERLINK("http://ms.phosphosite.org:5080/cgi-bin/plot-msms.cgi?MassType=1&amp;NumAxis=1&amp;Mod2=170&amp;Pep=NKFGAPQK&amp;Dta=/var/www/html/dta/S01/10561.2723.2.dta&amp;Global_Mod=CS57.0215", "2723")</f>
        <v>2723</v>
      </c>
      <c r="S480" s="35" t="s">
        <v>4854</v>
      </c>
      <c r="T480" s="35" t="s">
        <v>4854</v>
      </c>
      <c r="U480" s="36" t="str">
        <f>HYPERLINK("http://ms.phosphosite.org:5080/cgi-bin/plot-msms.cgi?MassType=1&amp;NumAxis=1&amp;Mod2=170&amp;Pep=NKFGAPQK&amp;Dta=/var/www/html/dta/S01/10564.3060.2.dta&amp;Global_Mod=CS57.0215", "3060")</f>
        <v>3060</v>
      </c>
      <c r="V480" s="36" t="str">
        <f>HYPERLINK("http://ms.phosphosite.org:5080/cgi-bin/plot-msms.cgi?MassType=1&amp;NumAxis=1&amp;Mod2=170&amp;Pep=NKFGAPQK&amp;Dta=/var/www/html/dta/S01/10565.3151.2.dta&amp;Global_Mod=CS57.0215", "3151")</f>
        <v>3151</v>
      </c>
      <c r="W480" s="3" t="s">
        <v>4854</v>
      </c>
      <c r="X480" s="3" t="s">
        <v>4854</v>
      </c>
      <c r="Y480" s="3" t="s">
        <v>4854</v>
      </c>
      <c r="Z480" s="5">
        <v>2718</v>
      </c>
      <c r="AA480" s="3" t="s">
        <v>4854</v>
      </c>
      <c r="AB480" s="3" t="s">
        <v>4854</v>
      </c>
      <c r="AC480" s="3" t="s">
        <v>4854</v>
      </c>
      <c r="AD480" s="5">
        <v>3143</v>
      </c>
      <c r="AE480" s="90">
        <v>1.9470000000000001</v>
      </c>
      <c r="AF480" s="99" t="s">
        <v>4854</v>
      </c>
      <c r="AG480" s="99" t="s">
        <v>4854</v>
      </c>
      <c r="AH480" s="90">
        <v>2.343</v>
      </c>
      <c r="AI480" s="99" t="s">
        <v>4854</v>
      </c>
      <c r="AJ480" s="99" t="s">
        <v>4854</v>
      </c>
      <c r="AK480" s="90">
        <v>2.1560000000000001</v>
      </c>
      <c r="AL480" s="90">
        <v>2.4550000000000001</v>
      </c>
      <c r="AM480" s="21">
        <v>-1.0726</v>
      </c>
      <c r="AN480" s="102" t="s">
        <v>4854</v>
      </c>
      <c r="AO480" s="102" t="s">
        <v>4854</v>
      </c>
      <c r="AP480" s="21">
        <v>-0.38009999999999999</v>
      </c>
      <c r="AQ480" s="102" t="s">
        <v>4854</v>
      </c>
      <c r="AR480" s="102" t="s">
        <v>4854</v>
      </c>
      <c r="AS480" s="21">
        <v>0.15770000000000001</v>
      </c>
      <c r="AT480" s="21">
        <v>-0.66679999999999995</v>
      </c>
      <c r="AU480" s="21">
        <v>6.3E-2</v>
      </c>
      <c r="AV480" s="102" t="s">
        <v>4854</v>
      </c>
      <c r="AW480" s="102" t="s">
        <v>4854</v>
      </c>
      <c r="AX480" s="21">
        <v>3.9E-2</v>
      </c>
      <c r="AY480" s="102" t="s">
        <v>4854</v>
      </c>
      <c r="AZ480" s="102" t="s">
        <v>4854</v>
      </c>
      <c r="BA480" s="21">
        <v>1.7999999999999999E-2</v>
      </c>
      <c r="BB480" s="21">
        <v>0.13300000000000001</v>
      </c>
      <c r="BC480" s="5">
        <v>4</v>
      </c>
      <c r="BD480" s="3" t="s">
        <v>4854</v>
      </c>
      <c r="BE480" s="3" t="s">
        <v>4854</v>
      </c>
      <c r="BF480" s="5">
        <v>4</v>
      </c>
      <c r="BG480" s="3" t="s">
        <v>4854</v>
      </c>
      <c r="BH480" s="3" t="s">
        <v>4854</v>
      </c>
      <c r="BI480" s="5">
        <v>67</v>
      </c>
      <c r="BJ480" s="5">
        <v>2</v>
      </c>
      <c r="BK480" s="90">
        <v>0.91700000000000004</v>
      </c>
      <c r="BL480" s="99" t="s">
        <v>4854</v>
      </c>
      <c r="BM480" s="99" t="s">
        <v>4854</v>
      </c>
      <c r="BN480" s="90">
        <v>0.98</v>
      </c>
      <c r="BO480" s="99" t="s">
        <v>4854</v>
      </c>
      <c r="BP480" s="99" t="s">
        <v>4854</v>
      </c>
      <c r="BQ480" s="90">
        <v>0.90600000000000003</v>
      </c>
      <c r="BR480" s="90">
        <v>0.99099999999999999</v>
      </c>
      <c r="BS480" s="5" t="s">
        <v>4857</v>
      </c>
    </row>
    <row r="481" spans="1:71" s="30" customFormat="1" ht="17.100000000000001" customHeight="1">
      <c r="A481" s="10">
        <v>470</v>
      </c>
      <c r="B481" s="10" t="s">
        <v>3145</v>
      </c>
      <c r="C481" s="4" t="s">
        <v>3321</v>
      </c>
      <c r="D481" s="4" t="s">
        <v>3146</v>
      </c>
      <c r="E481" s="4" t="s">
        <v>3147</v>
      </c>
      <c r="F481" s="10" t="s">
        <v>4646</v>
      </c>
      <c r="G481" s="4" t="s">
        <v>3148</v>
      </c>
      <c r="H481" s="7" t="s">
        <v>3149</v>
      </c>
      <c r="I481" s="4" t="s">
        <v>3150</v>
      </c>
      <c r="J481" s="10" t="s">
        <v>4845</v>
      </c>
      <c r="K481" s="4" t="s">
        <v>5608</v>
      </c>
      <c r="L481" s="4" t="s">
        <v>3151</v>
      </c>
      <c r="M481" s="10">
        <v>2</v>
      </c>
      <c r="N481" s="95">
        <v>974.49220000000003</v>
      </c>
      <c r="O481" s="37" t="str">
        <f>HYPERLINK("http://ms.phosphosite.org:5080/cgi-bin/plot-msms.cgi?MassType=1&amp;NumAxis=1&amp;Mod17=170&amp;Pep=GQESAGIVTSDGSAVPKFR&amp;Dta=/var/www/html/dta/S01/10558.7510.2.dta&amp;Global_Mod=CS57.0215", "7510")</f>
        <v>7510</v>
      </c>
      <c r="P481" s="38" t="s">
        <v>4854</v>
      </c>
      <c r="Q481" s="38" t="s">
        <v>4854</v>
      </c>
      <c r="R481" s="37" t="str">
        <f>HYPERLINK("http://ms.phosphosite.org:5080/cgi-bin/plot-msms.cgi?MassType=1&amp;NumAxis=1&amp;Mod17=170&amp;Pep=GQESAGIVTSDGSAVPKFR&amp;Dta=/var/www/html/dta/S01/10561.7499.2.dta&amp;Global_Mod=CS57.0215", "7499")</f>
        <v>7499</v>
      </c>
      <c r="S481" s="38" t="s">
        <v>4854</v>
      </c>
      <c r="T481" s="38" t="s">
        <v>4854</v>
      </c>
      <c r="U481" s="38" t="s">
        <v>4854</v>
      </c>
      <c r="V481" s="37" t="str">
        <f>HYPERLINK("http://ms.phosphosite.org:5080/cgi-bin/plot-msms.cgi?MassType=1&amp;NumAxis=1&amp;Mod17=170&amp;Pep=GQESAGIVTSDGSAVPKFR&amp;Dta=/var/www/html/dta/S01/10565.7996.2.dta&amp;Global_Mod=CS57.0215", "7996")</f>
        <v>7996</v>
      </c>
      <c r="W481" s="10">
        <v>7501</v>
      </c>
      <c r="X481" s="4" t="s">
        <v>4854</v>
      </c>
      <c r="Y481" s="4" t="s">
        <v>4854</v>
      </c>
      <c r="Z481" s="10">
        <v>7493</v>
      </c>
      <c r="AA481" s="4" t="s">
        <v>4854</v>
      </c>
      <c r="AB481" s="4" t="s">
        <v>4854</v>
      </c>
      <c r="AC481" s="4" t="s">
        <v>4854</v>
      </c>
      <c r="AD481" s="4" t="s">
        <v>4854</v>
      </c>
      <c r="AE481" s="91">
        <v>2.5230000000000001</v>
      </c>
      <c r="AF481" s="100" t="s">
        <v>4854</v>
      </c>
      <c r="AG481" s="100" t="s">
        <v>4854</v>
      </c>
      <c r="AH481" s="91">
        <v>3.97</v>
      </c>
      <c r="AI481" s="100" t="s">
        <v>4854</v>
      </c>
      <c r="AJ481" s="100" t="s">
        <v>4854</v>
      </c>
      <c r="AK481" s="100" t="s">
        <v>4854</v>
      </c>
      <c r="AL481" s="91">
        <v>1.804</v>
      </c>
      <c r="AM481" s="95">
        <v>1.2081999999999999</v>
      </c>
      <c r="AN481" s="103" t="s">
        <v>4854</v>
      </c>
      <c r="AO481" s="103" t="s">
        <v>4854</v>
      </c>
      <c r="AP481" s="95">
        <v>1.5089999999999999</v>
      </c>
      <c r="AQ481" s="103" t="s">
        <v>4854</v>
      </c>
      <c r="AR481" s="103" t="s">
        <v>4854</v>
      </c>
      <c r="AS481" s="103" t="s">
        <v>4854</v>
      </c>
      <c r="AT481" s="95">
        <v>0.15579999999999999</v>
      </c>
      <c r="AU481" s="95">
        <v>0.36499999999999999</v>
      </c>
      <c r="AV481" s="103" t="s">
        <v>4854</v>
      </c>
      <c r="AW481" s="103" t="s">
        <v>4854</v>
      </c>
      <c r="AX481" s="95">
        <v>0.501</v>
      </c>
      <c r="AY481" s="103" t="s">
        <v>4854</v>
      </c>
      <c r="AZ481" s="103" t="s">
        <v>4854</v>
      </c>
      <c r="BA481" s="103" t="s">
        <v>4854</v>
      </c>
      <c r="BB481" s="95">
        <v>4.9000000000000002E-2</v>
      </c>
      <c r="BC481" s="10">
        <v>6</v>
      </c>
      <c r="BD481" s="4" t="s">
        <v>4854</v>
      </c>
      <c r="BE481" s="4" t="s">
        <v>4854</v>
      </c>
      <c r="BF481" s="10">
        <v>1</v>
      </c>
      <c r="BG481" s="4" t="s">
        <v>4854</v>
      </c>
      <c r="BH481" s="4" t="s">
        <v>4854</v>
      </c>
      <c r="BI481" s="4" t="s">
        <v>4854</v>
      </c>
      <c r="BJ481" s="10">
        <v>44</v>
      </c>
      <c r="BK481" s="91">
        <v>0.999</v>
      </c>
      <c r="BL481" s="100" t="s">
        <v>4854</v>
      </c>
      <c r="BM481" s="100" t="s">
        <v>4854</v>
      </c>
      <c r="BN481" s="91">
        <v>1</v>
      </c>
      <c r="BO481" s="100" t="s">
        <v>4854</v>
      </c>
      <c r="BP481" s="100" t="s">
        <v>4854</v>
      </c>
      <c r="BQ481" s="100" t="s">
        <v>4854</v>
      </c>
      <c r="BR481" s="91">
        <v>0.77300000000000002</v>
      </c>
      <c r="BS481" s="10" t="s">
        <v>4857</v>
      </c>
    </row>
    <row r="482" spans="1:71" s="30" customFormat="1" ht="17.100000000000001" customHeight="1">
      <c r="A482" s="14">
        <v>471</v>
      </c>
      <c r="B482" s="5" t="s">
        <v>3152</v>
      </c>
      <c r="C482" s="3" t="s">
        <v>3321</v>
      </c>
      <c r="D482" s="3" t="s">
        <v>3146</v>
      </c>
      <c r="E482" s="3" t="s">
        <v>3147</v>
      </c>
      <c r="F482" s="5" t="s">
        <v>4998</v>
      </c>
      <c r="G482" s="3" t="s">
        <v>3148</v>
      </c>
      <c r="H482" s="6" t="s">
        <v>3149</v>
      </c>
      <c r="I482" s="3" t="s">
        <v>3150</v>
      </c>
      <c r="J482" s="5" t="s">
        <v>4845</v>
      </c>
      <c r="K482" s="3" t="s">
        <v>5609</v>
      </c>
      <c r="L482" s="3" t="s">
        <v>3153</v>
      </c>
      <c r="M482" s="5">
        <v>3</v>
      </c>
      <c r="N482" s="21">
        <v>505.93529999999998</v>
      </c>
      <c r="O482" s="36" t="str">
        <f>HYPERLINK("http://ms.phosphosite.org:5080/cgi-bin/plot-msms.cgi?MassType=1&amp;NumAxis=1&amp;Mod1=170&amp;Pep=KLYDSNLGIGHTR&amp;Dta=/var/www/html/dta/S01/10558.5374.3.dta&amp;Global_Mod=CS57.0215", "5374")</f>
        <v>5374</v>
      </c>
      <c r="P482" s="35" t="s">
        <v>4854</v>
      </c>
      <c r="Q482" s="35" t="s">
        <v>4854</v>
      </c>
      <c r="R482" s="36" t="str">
        <f>HYPERLINK("http://ms.phosphosite.org:5080/cgi-bin/plot-msms.cgi?MassType=1&amp;NumAxis=1&amp;Mod1=170&amp;Pep=KLYDSNLGIGHTR&amp;Dta=/var/www/html/dta/S01/10561.5327.3.dta&amp;Global_Mod=CS57.0215", "5327")</f>
        <v>5327</v>
      </c>
      <c r="S482" s="35" t="s">
        <v>4854</v>
      </c>
      <c r="T482" s="35" t="s">
        <v>4854</v>
      </c>
      <c r="U482" s="35" t="s">
        <v>4854</v>
      </c>
      <c r="V482" s="36" t="str">
        <f>HYPERLINK("http://ms.phosphosite.org:5080/cgi-bin/plot-msms.cgi?MassType=1&amp;NumAxis=1&amp;Mod1=170&amp;Pep=KLYDSNLGIGHTR&amp;Dta=/var/www/html/dta/S01/10565.5800.3.dta&amp;Global_Mod=CS57.0215", "5800")</f>
        <v>5800</v>
      </c>
      <c r="W482" s="5">
        <v>5371</v>
      </c>
      <c r="X482" s="3" t="s">
        <v>4854</v>
      </c>
      <c r="Y482" s="3" t="s">
        <v>4854</v>
      </c>
      <c r="Z482" s="5">
        <v>5502</v>
      </c>
      <c r="AA482" s="3" t="s">
        <v>4854</v>
      </c>
      <c r="AB482" s="3" t="s">
        <v>4854</v>
      </c>
      <c r="AC482" s="3" t="s">
        <v>4854</v>
      </c>
      <c r="AD482" s="5">
        <v>5801</v>
      </c>
      <c r="AE482" s="90">
        <v>2.2909999999999999</v>
      </c>
      <c r="AF482" s="99" t="s">
        <v>4854</v>
      </c>
      <c r="AG482" s="99" t="s">
        <v>4854</v>
      </c>
      <c r="AH482" s="90">
        <v>3.1080000000000001</v>
      </c>
      <c r="AI482" s="99" t="s">
        <v>4854</v>
      </c>
      <c r="AJ482" s="99" t="s">
        <v>4854</v>
      </c>
      <c r="AK482" s="99" t="s">
        <v>4854</v>
      </c>
      <c r="AL482" s="90">
        <v>2.2490000000000001</v>
      </c>
      <c r="AM482" s="21">
        <v>0.68279999999999996</v>
      </c>
      <c r="AN482" s="102" t="s">
        <v>4854</v>
      </c>
      <c r="AO482" s="102" t="s">
        <v>4854</v>
      </c>
      <c r="AP482" s="21">
        <v>0.48220000000000002</v>
      </c>
      <c r="AQ482" s="102" t="s">
        <v>4854</v>
      </c>
      <c r="AR482" s="102" t="s">
        <v>4854</v>
      </c>
      <c r="AS482" s="102" t="s">
        <v>4854</v>
      </c>
      <c r="AT482" s="21">
        <v>0.65639999999999998</v>
      </c>
      <c r="AU482" s="21">
        <v>0.02</v>
      </c>
      <c r="AV482" s="102" t="s">
        <v>4854</v>
      </c>
      <c r="AW482" s="102" t="s">
        <v>4854</v>
      </c>
      <c r="AX482" s="21">
        <v>0.16700000000000001</v>
      </c>
      <c r="AY482" s="102" t="s">
        <v>4854</v>
      </c>
      <c r="AZ482" s="102" t="s">
        <v>4854</v>
      </c>
      <c r="BA482" s="102" t="s">
        <v>4854</v>
      </c>
      <c r="BB482" s="21">
        <v>0.108</v>
      </c>
      <c r="BC482" s="5">
        <v>1</v>
      </c>
      <c r="BD482" s="3" t="s">
        <v>4854</v>
      </c>
      <c r="BE482" s="3" t="s">
        <v>4854</v>
      </c>
      <c r="BF482" s="5">
        <v>7</v>
      </c>
      <c r="BG482" s="3" t="s">
        <v>4854</v>
      </c>
      <c r="BH482" s="3" t="s">
        <v>4854</v>
      </c>
      <c r="BI482" s="3" t="s">
        <v>4854</v>
      </c>
      <c r="BJ482" s="5">
        <v>12</v>
      </c>
      <c r="BK482" s="90">
        <v>0.99199999999999999</v>
      </c>
      <c r="BL482" s="99" t="s">
        <v>4854</v>
      </c>
      <c r="BM482" s="99" t="s">
        <v>4854</v>
      </c>
      <c r="BN482" s="90">
        <v>1</v>
      </c>
      <c r="BO482" s="99" t="s">
        <v>4854</v>
      </c>
      <c r="BP482" s="99" t="s">
        <v>4854</v>
      </c>
      <c r="BQ482" s="99" t="s">
        <v>4854</v>
      </c>
      <c r="BR482" s="90">
        <v>0.995</v>
      </c>
      <c r="BS482" s="5" t="s">
        <v>4857</v>
      </c>
    </row>
    <row r="483" spans="1:71" s="30" customFormat="1" ht="17.100000000000001" customHeight="1">
      <c r="A483" s="10">
        <v>472</v>
      </c>
      <c r="B483" s="10" t="s">
        <v>3154</v>
      </c>
      <c r="C483" s="4" t="s">
        <v>3321</v>
      </c>
      <c r="D483" s="4" t="s">
        <v>3155</v>
      </c>
      <c r="E483" s="4" t="s">
        <v>3156</v>
      </c>
      <c r="F483" s="10" t="s">
        <v>5215</v>
      </c>
      <c r="G483" s="4" t="s">
        <v>3157</v>
      </c>
      <c r="H483" s="7" t="s">
        <v>3158</v>
      </c>
      <c r="I483" s="4" t="s">
        <v>3159</v>
      </c>
      <c r="J483" s="10" t="s">
        <v>4220</v>
      </c>
      <c r="K483" s="4" t="s">
        <v>5610</v>
      </c>
      <c r="L483" s="4" t="s">
        <v>3160</v>
      </c>
      <c r="M483" s="10">
        <v>3</v>
      </c>
      <c r="N483" s="95">
        <v>523.95230000000004</v>
      </c>
      <c r="O483" s="37" t="str">
        <f>HYPERLINK("http://ms.phosphosite.org:5080/cgi-bin/plot-msms.cgi?MassType=1&amp;NumAxis=1&amp;Mod10=170&amp;Pep=KFPTAIFESKGFR&amp;Dta=/var/www/html/dta/S01/10558.9307.3.dta&amp;Global_Mod=CS57.0215", "9307")</f>
        <v>9307</v>
      </c>
      <c r="P483" s="37" t="str">
        <f>HYPERLINK("http://ms.phosphosite.org:5080/cgi-bin/plot-msms.cgi?MassType=1&amp;NumAxis=1&amp;Mod10=170&amp;Pep=KFPTAIFESKGFR&amp;Dta=/var/www/html/dta/S01/10559.9325.3.dta&amp;Global_Mod=CS57.0215", "9325")</f>
        <v>9325</v>
      </c>
      <c r="Q483" s="37" t="str">
        <f>HYPERLINK("http://ms.phosphosite.org:5080/cgi-bin/plot-msms.cgi?MassType=1&amp;NumAxis=1&amp;Mod10=170&amp;Pep=KFPTAIFESKGFR&amp;Dta=/var/www/html/dta/S01/10560.9340.3.dta&amp;Global_Mod=CS57.0215", "9340")</f>
        <v>9340</v>
      </c>
      <c r="R483" s="37" t="str">
        <f>HYPERLINK("http://ms.phosphosite.org:5080/cgi-bin/plot-msms.cgi?MassType=1&amp;NumAxis=1&amp;Mod10=170&amp;Pep=KFPTAIFESKGFR&amp;Dta=/var/www/html/dta/S01/10561.9287.3.dta&amp;Global_Mod=CS57.0215", "9287")</f>
        <v>9287</v>
      </c>
      <c r="S483" s="37" t="str">
        <f>HYPERLINK("http://ms.phosphosite.org:5080/cgi-bin/plot-msms.cgi?MassType=1&amp;NumAxis=1&amp;Mod10=170&amp;Pep=KFPTAIFESKGFR&amp;Dta=/var/www/html/dta/S01/10562.9437.3.dta&amp;Global_Mod=CS57.0215", "9437")</f>
        <v>9437</v>
      </c>
      <c r="T483" s="37" t="str">
        <f>HYPERLINK("http://ms.phosphosite.org:5080/cgi-bin/plot-msms.cgi?MassType=1&amp;NumAxis=1&amp;Mod10=170&amp;Pep=KFPTAIFESKGFR&amp;Dta=/var/www/html/dta/S01/10563.9469.3.dta&amp;Global_Mod=CS57.0215", "9469")</f>
        <v>9469</v>
      </c>
      <c r="U483" s="38" t="s">
        <v>4854</v>
      </c>
      <c r="V483" s="38" t="s">
        <v>4854</v>
      </c>
      <c r="W483" s="10">
        <v>9316</v>
      </c>
      <c r="X483" s="10">
        <v>9242</v>
      </c>
      <c r="Y483" s="10">
        <v>9259</v>
      </c>
      <c r="Z483" s="10">
        <v>9286</v>
      </c>
      <c r="AA483" s="10">
        <v>9458</v>
      </c>
      <c r="AB483" s="10">
        <v>9423</v>
      </c>
      <c r="AC483" s="4" t="s">
        <v>4854</v>
      </c>
      <c r="AD483" s="4" t="s">
        <v>4854</v>
      </c>
      <c r="AE483" s="91">
        <v>3.21</v>
      </c>
      <c r="AF483" s="91">
        <v>3.5369999999999999</v>
      </c>
      <c r="AG483" s="91">
        <v>3.7829999999999999</v>
      </c>
      <c r="AH483" s="91">
        <v>3.266</v>
      </c>
      <c r="AI483" s="91">
        <v>3.42</v>
      </c>
      <c r="AJ483" s="91">
        <v>3.3039999999999998</v>
      </c>
      <c r="AK483" s="100" t="s">
        <v>4854</v>
      </c>
      <c r="AL483" s="100" t="s">
        <v>4854</v>
      </c>
      <c r="AM483" s="95">
        <v>-1.72E-2</v>
      </c>
      <c r="AN483" s="95">
        <v>7.2700000000000001E-2</v>
      </c>
      <c r="AO483" s="95">
        <v>-0.107</v>
      </c>
      <c r="AP483" s="95">
        <v>0.1128</v>
      </c>
      <c r="AQ483" s="95">
        <v>7.9600000000000004E-2</v>
      </c>
      <c r="AR483" s="95">
        <v>-8.0199999999999994E-2</v>
      </c>
      <c r="AS483" s="103" t="s">
        <v>4854</v>
      </c>
      <c r="AT483" s="103" t="s">
        <v>4854</v>
      </c>
      <c r="AU483" s="95">
        <v>0.35099999999999998</v>
      </c>
      <c r="AV483" s="95">
        <v>0.33800000000000002</v>
      </c>
      <c r="AW483" s="95">
        <v>0.379</v>
      </c>
      <c r="AX483" s="95">
        <v>0.36099999999999999</v>
      </c>
      <c r="AY483" s="95">
        <v>0.27200000000000002</v>
      </c>
      <c r="AZ483" s="95">
        <v>0.3</v>
      </c>
      <c r="BA483" s="103" t="s">
        <v>4854</v>
      </c>
      <c r="BB483" s="103" t="s">
        <v>4854</v>
      </c>
      <c r="BC483" s="10">
        <v>1</v>
      </c>
      <c r="BD483" s="10">
        <v>1</v>
      </c>
      <c r="BE483" s="10">
        <v>1</v>
      </c>
      <c r="BF483" s="10">
        <v>1</v>
      </c>
      <c r="BG483" s="10">
        <v>1</v>
      </c>
      <c r="BH483" s="10">
        <v>1</v>
      </c>
      <c r="BI483" s="4" t="s">
        <v>4854</v>
      </c>
      <c r="BJ483" s="4" t="s">
        <v>4854</v>
      </c>
      <c r="BK483" s="91">
        <v>1</v>
      </c>
      <c r="BL483" s="91">
        <v>1</v>
      </c>
      <c r="BM483" s="91">
        <v>1</v>
      </c>
      <c r="BN483" s="91">
        <v>1</v>
      </c>
      <c r="BO483" s="91">
        <v>1</v>
      </c>
      <c r="BP483" s="91">
        <v>1</v>
      </c>
      <c r="BQ483" s="100" t="s">
        <v>4854</v>
      </c>
      <c r="BR483" s="100" t="s">
        <v>4854</v>
      </c>
      <c r="BS483" s="10" t="s">
        <v>4857</v>
      </c>
    </row>
    <row r="484" spans="1:71" s="30" customFormat="1" ht="17.100000000000001" customHeight="1">
      <c r="A484" s="10">
        <v>473</v>
      </c>
      <c r="B484" s="10" t="s">
        <v>3161</v>
      </c>
      <c r="C484" s="4" t="s">
        <v>3321</v>
      </c>
      <c r="D484" s="4" t="s">
        <v>3155</v>
      </c>
      <c r="E484" s="4" t="s">
        <v>3156</v>
      </c>
      <c r="F484" s="10" t="s">
        <v>5215</v>
      </c>
      <c r="G484" s="4" t="s">
        <v>3157</v>
      </c>
      <c r="H484" s="7" t="s">
        <v>3158</v>
      </c>
      <c r="I484" s="4" t="s">
        <v>3159</v>
      </c>
      <c r="J484" s="10" t="s">
        <v>4220</v>
      </c>
      <c r="K484" s="4" t="s">
        <v>5610</v>
      </c>
      <c r="L484" s="4" t="s">
        <v>3160</v>
      </c>
      <c r="M484" s="10">
        <v>3</v>
      </c>
      <c r="N484" s="95">
        <v>523.95230000000004</v>
      </c>
      <c r="O484" s="38" t="s">
        <v>4854</v>
      </c>
      <c r="P484" s="37" t="str">
        <f>HYPERLINK("http://ms.phosphosite.org:5080/cgi-bin/plot-msms.cgi?MassType=1&amp;NumAxis=1&amp;Mod10=170&amp;Pep=KFPTAIFESKGFR&amp;Dta=/var/www/html/dta/S01/10559.9232.3.dta&amp;Global_Mod=CS57.0215", "9232")</f>
        <v>9232</v>
      </c>
      <c r="Q484" s="37" t="str">
        <f>HYPERLINK("http://ms.phosphosite.org:5080/cgi-bin/plot-msms.cgi?MassType=1&amp;NumAxis=1&amp;Mod10=170&amp;Pep=KFPTAIFESKGFR&amp;Dta=/var/www/html/dta/S01/10560.9249.3.dta&amp;Global_Mod=CS57.0215", "9249")</f>
        <v>9249</v>
      </c>
      <c r="R484" s="37" t="str">
        <f>HYPERLINK("http://ms.phosphosite.org:5080/cgi-bin/plot-msms.cgi?MassType=1&amp;NumAxis=1&amp;Mod10=170&amp;Pep=KFPTAIFESKGFR&amp;Dta=/var/www/html/dta/S01/10561.9391.3.dta&amp;Global_Mod=CS57.0215", "9391")</f>
        <v>9391</v>
      </c>
      <c r="S484" s="38" t="s">
        <v>4854</v>
      </c>
      <c r="T484" s="37" t="str">
        <f>HYPERLINK("http://ms.phosphosite.org:5080/cgi-bin/plot-msms.cgi?MassType=1&amp;NumAxis=1&amp;Mod10=170&amp;Pep=KFPTAIFESKGFR&amp;Dta=/var/www/html/dta/S01/10563.9369.3.dta&amp;Global_Mod=CS57.0215", "9369")</f>
        <v>9369</v>
      </c>
      <c r="U484" s="38" t="s">
        <v>4854</v>
      </c>
      <c r="V484" s="38" t="s">
        <v>4854</v>
      </c>
      <c r="W484" s="4" t="s">
        <v>4854</v>
      </c>
      <c r="X484" s="10">
        <v>9242</v>
      </c>
      <c r="Y484" s="10">
        <v>9259</v>
      </c>
      <c r="Z484" s="10">
        <v>9286</v>
      </c>
      <c r="AA484" s="4" t="s">
        <v>4854</v>
      </c>
      <c r="AB484" s="10">
        <v>9423</v>
      </c>
      <c r="AC484" s="4" t="s">
        <v>4854</v>
      </c>
      <c r="AD484" s="4" t="s">
        <v>4854</v>
      </c>
      <c r="AE484" s="100" t="s">
        <v>4854</v>
      </c>
      <c r="AF484" s="91">
        <v>3.403</v>
      </c>
      <c r="AG484" s="91">
        <v>3.37</v>
      </c>
      <c r="AH484" s="91">
        <v>2.4620000000000002</v>
      </c>
      <c r="AI484" s="100" t="s">
        <v>4854</v>
      </c>
      <c r="AJ484" s="91">
        <v>2.444</v>
      </c>
      <c r="AK484" s="100" t="s">
        <v>4854</v>
      </c>
      <c r="AL484" s="100" t="s">
        <v>4854</v>
      </c>
      <c r="AM484" s="103" t="s">
        <v>4854</v>
      </c>
      <c r="AN484" s="95">
        <v>9.3700000000000006E-2</v>
      </c>
      <c r="AO484" s="95">
        <v>-7.0000000000000007E-2</v>
      </c>
      <c r="AP484" s="95">
        <v>0.1593</v>
      </c>
      <c r="AQ484" s="103" t="s">
        <v>4854</v>
      </c>
      <c r="AR484" s="95">
        <v>1.09E-2</v>
      </c>
      <c r="AS484" s="103" t="s">
        <v>4854</v>
      </c>
      <c r="AT484" s="103" t="s">
        <v>4854</v>
      </c>
      <c r="AU484" s="103" t="s">
        <v>4854</v>
      </c>
      <c r="AV484" s="95">
        <v>0.34399999999999997</v>
      </c>
      <c r="AW484" s="95">
        <v>0.38100000000000001</v>
      </c>
      <c r="AX484" s="95">
        <v>0.27</v>
      </c>
      <c r="AY484" s="103" t="s">
        <v>4854</v>
      </c>
      <c r="AZ484" s="95">
        <v>0.315</v>
      </c>
      <c r="BA484" s="103" t="s">
        <v>4854</v>
      </c>
      <c r="BB484" s="103" t="s">
        <v>4854</v>
      </c>
      <c r="BC484" s="4" t="s">
        <v>4854</v>
      </c>
      <c r="BD484" s="10">
        <v>1</v>
      </c>
      <c r="BE484" s="10">
        <v>1</v>
      </c>
      <c r="BF484" s="10">
        <v>1</v>
      </c>
      <c r="BG484" s="4" t="s">
        <v>4854</v>
      </c>
      <c r="BH484" s="10">
        <v>1</v>
      </c>
      <c r="BI484" s="4" t="s">
        <v>4854</v>
      </c>
      <c r="BJ484" s="4" t="s">
        <v>4854</v>
      </c>
      <c r="BK484" s="100" t="s">
        <v>4854</v>
      </c>
      <c r="BL484" s="91">
        <v>1</v>
      </c>
      <c r="BM484" s="91">
        <v>1</v>
      </c>
      <c r="BN484" s="91">
        <v>0.999</v>
      </c>
      <c r="BO484" s="100" t="s">
        <v>4854</v>
      </c>
      <c r="BP484" s="91">
        <v>1</v>
      </c>
      <c r="BQ484" s="100" t="s">
        <v>4854</v>
      </c>
      <c r="BR484" s="100" t="s">
        <v>4854</v>
      </c>
      <c r="BS484" s="10" t="s">
        <v>4857</v>
      </c>
    </row>
    <row r="485" spans="1:71" ht="17.100000000000001" customHeight="1">
      <c r="A485" s="31">
        <v>474</v>
      </c>
      <c r="B485" s="2" t="s">
        <v>3162</v>
      </c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94"/>
      <c r="O485" s="34"/>
      <c r="P485" s="34"/>
      <c r="Q485" s="34"/>
      <c r="R485" s="34"/>
      <c r="S485" s="34"/>
      <c r="T485" s="34"/>
      <c r="U485" s="34"/>
      <c r="V485" s="34"/>
      <c r="W485" s="1"/>
      <c r="X485" s="1"/>
      <c r="Y485" s="1"/>
      <c r="Z485" s="1"/>
      <c r="AA485" s="1"/>
      <c r="AB485" s="1"/>
      <c r="AC485" s="1"/>
      <c r="AD485" s="1"/>
      <c r="AE485" s="89"/>
      <c r="AF485" s="89"/>
      <c r="AG485" s="89"/>
      <c r="AH485" s="89"/>
      <c r="AI485" s="89"/>
      <c r="AJ485" s="89"/>
      <c r="AK485" s="89"/>
      <c r="AL485" s="89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1"/>
      <c r="BD485" s="1"/>
      <c r="BE485" s="1"/>
      <c r="BF485" s="1"/>
      <c r="BG485" s="1"/>
      <c r="BH485" s="1"/>
      <c r="BI485" s="1"/>
      <c r="BJ485" s="1"/>
      <c r="BK485" s="89"/>
      <c r="BL485" s="89"/>
      <c r="BM485" s="89"/>
      <c r="BN485" s="89"/>
      <c r="BO485" s="89"/>
      <c r="BP485" s="89"/>
      <c r="BQ485" s="89"/>
      <c r="BR485" s="89"/>
      <c r="BS485" s="1"/>
    </row>
    <row r="486" spans="1:71" s="30" customFormat="1" ht="17.100000000000001" customHeight="1">
      <c r="A486" s="14">
        <v>475</v>
      </c>
      <c r="B486" s="5" t="s">
        <v>3163</v>
      </c>
      <c r="C486" s="3" t="s">
        <v>3162</v>
      </c>
      <c r="D486" s="3" t="s">
        <v>3164</v>
      </c>
      <c r="E486" s="6" t="s">
        <v>3165</v>
      </c>
      <c r="F486" s="5" t="s">
        <v>5246</v>
      </c>
      <c r="G486" s="3" t="s">
        <v>3165</v>
      </c>
      <c r="H486" s="6" t="s">
        <v>3166</v>
      </c>
      <c r="I486" s="3" t="s">
        <v>3167</v>
      </c>
      <c r="J486" s="5" t="s">
        <v>4646</v>
      </c>
      <c r="K486" s="3" t="s">
        <v>5611</v>
      </c>
      <c r="L486" s="3" t="s">
        <v>3168</v>
      </c>
      <c r="M486" s="5">
        <v>2</v>
      </c>
      <c r="N486" s="21">
        <v>785.89099999999996</v>
      </c>
      <c r="O486" s="36" t="str">
        <f>HYPERLINK("http://ms.phosphosite.org:5080/cgi-bin/plot-msms.cgi?MassType=1&amp;NumAxis=1&amp;Mod5=170&amp;Pep=TFYTKVLNEEER&amp;Dta=/var/www/html/dta/S01/10558.8673.2.dta&amp;Global_Mod=CS57.0215", "8673")</f>
        <v>8673</v>
      </c>
      <c r="P486" s="35" t="s">
        <v>4854</v>
      </c>
      <c r="Q486" s="36" t="str">
        <f>HYPERLINK("http://ms.phosphosite.org:5080/cgi-bin/plot-msms.cgi?MassType=1&amp;NumAxis=1&amp;Mod5=170&amp;Pep=TFYTKVLNEEER&amp;Dta=/var/www/html/dta/S01/10560.8630.2.dta&amp;Global_Mod=CS57.0215", "8630")</f>
        <v>8630</v>
      </c>
      <c r="R486" s="36" t="str">
        <f>HYPERLINK("http://ms.phosphosite.org:5080/cgi-bin/plot-msms.cgi?MassType=1&amp;NumAxis=1&amp;Mod5=170&amp;Pep=TFYTKVLNEEER&amp;Dta=/var/www/html/dta/S01/10561.8644.2.dta&amp;Global_Mod=CS57.0215", "8644")</f>
        <v>8644</v>
      </c>
      <c r="S486" s="35" t="s">
        <v>4854</v>
      </c>
      <c r="T486" s="36" t="str">
        <f>HYPERLINK("http://ms.phosphosite.org:5080/cgi-bin/plot-msms.cgi?MassType=1&amp;NumAxis=1&amp;Mod5=170&amp;Pep=TFYTKVLNEEER&amp;Dta=/var/www/html/dta/S01/10563.8758.2.dta&amp;Global_Mod=CS57.0215", "8758")</f>
        <v>8758</v>
      </c>
      <c r="U486" s="35" t="s">
        <v>4854</v>
      </c>
      <c r="V486" s="35" t="s">
        <v>4854</v>
      </c>
      <c r="W486" s="5">
        <v>8667</v>
      </c>
      <c r="X486" s="3" t="s">
        <v>4854</v>
      </c>
      <c r="Y486" s="5">
        <v>8599</v>
      </c>
      <c r="Z486" s="5">
        <v>8648</v>
      </c>
      <c r="AA486" s="3" t="s">
        <v>4854</v>
      </c>
      <c r="AB486" s="5">
        <v>8763</v>
      </c>
      <c r="AC486" s="3" t="s">
        <v>4854</v>
      </c>
      <c r="AD486" s="3" t="s">
        <v>4854</v>
      </c>
      <c r="AE486" s="90">
        <v>3.4950000000000001</v>
      </c>
      <c r="AF486" s="99" t="s">
        <v>4854</v>
      </c>
      <c r="AG486" s="90">
        <v>2.6669999999999998</v>
      </c>
      <c r="AH486" s="90">
        <v>3.5259999999999998</v>
      </c>
      <c r="AI486" s="99" t="s">
        <v>4854</v>
      </c>
      <c r="AJ486" s="90">
        <v>4.3630000000000004</v>
      </c>
      <c r="AK486" s="99" t="s">
        <v>4854</v>
      </c>
      <c r="AL486" s="99" t="s">
        <v>4854</v>
      </c>
      <c r="AM486" s="21">
        <v>0.82389999999999997</v>
      </c>
      <c r="AN486" s="102" t="s">
        <v>4854</v>
      </c>
      <c r="AO486" s="21">
        <v>0.82</v>
      </c>
      <c r="AP486" s="21">
        <v>0.70989999999999998</v>
      </c>
      <c r="AQ486" s="102" t="s">
        <v>4854</v>
      </c>
      <c r="AR486" s="21">
        <v>0.90339999999999998</v>
      </c>
      <c r="AS486" s="102" t="s">
        <v>4854</v>
      </c>
      <c r="AT486" s="102" t="s">
        <v>4854</v>
      </c>
      <c r="AU486" s="21">
        <v>0.38300000000000001</v>
      </c>
      <c r="AV486" s="102" t="s">
        <v>4854</v>
      </c>
      <c r="AW486" s="21">
        <v>0.32100000000000001</v>
      </c>
      <c r="AX486" s="21">
        <v>0.34799999999999998</v>
      </c>
      <c r="AY486" s="102" t="s">
        <v>4854</v>
      </c>
      <c r="AZ486" s="21">
        <v>0.42299999999999999</v>
      </c>
      <c r="BA486" s="102" t="s">
        <v>4854</v>
      </c>
      <c r="BB486" s="102" t="s">
        <v>4854</v>
      </c>
      <c r="BC486" s="5">
        <v>1</v>
      </c>
      <c r="BD486" s="3" t="s">
        <v>4854</v>
      </c>
      <c r="BE486" s="5">
        <v>1</v>
      </c>
      <c r="BF486" s="5">
        <v>1</v>
      </c>
      <c r="BG486" s="3" t="s">
        <v>4854</v>
      </c>
      <c r="BH486" s="5">
        <v>1</v>
      </c>
      <c r="BI486" s="3" t="s">
        <v>4854</v>
      </c>
      <c r="BJ486" s="3" t="s">
        <v>4854</v>
      </c>
      <c r="BK486" s="90">
        <v>1</v>
      </c>
      <c r="BL486" s="99" t="s">
        <v>4854</v>
      </c>
      <c r="BM486" s="90">
        <v>1</v>
      </c>
      <c r="BN486" s="90">
        <v>1</v>
      </c>
      <c r="BO486" s="99" t="s">
        <v>4854</v>
      </c>
      <c r="BP486" s="90">
        <v>1</v>
      </c>
      <c r="BQ486" s="99" t="s">
        <v>4854</v>
      </c>
      <c r="BR486" s="99" t="s">
        <v>4854</v>
      </c>
      <c r="BS486" s="5" t="s">
        <v>4857</v>
      </c>
    </row>
    <row r="487" spans="1:71" s="30" customFormat="1" ht="17.100000000000001" customHeight="1">
      <c r="A487" s="10">
        <v>476</v>
      </c>
      <c r="B487" s="10" t="s">
        <v>3169</v>
      </c>
      <c r="C487" s="4" t="s">
        <v>3162</v>
      </c>
      <c r="D487" s="4" t="s">
        <v>3164</v>
      </c>
      <c r="E487" s="7" t="s">
        <v>3165</v>
      </c>
      <c r="F487" s="10" t="s">
        <v>5320</v>
      </c>
      <c r="G487" s="4" t="s">
        <v>3165</v>
      </c>
      <c r="H487" s="7" t="s">
        <v>3166</v>
      </c>
      <c r="I487" s="4" t="s">
        <v>3167</v>
      </c>
      <c r="J487" s="10" t="s">
        <v>4646</v>
      </c>
      <c r="K487" s="4" t="s">
        <v>5612</v>
      </c>
      <c r="L487" s="4" t="s">
        <v>3170</v>
      </c>
      <c r="M487" s="10">
        <v>3</v>
      </c>
      <c r="N487" s="95">
        <v>558.31380000000001</v>
      </c>
      <c r="O487" s="38" t="s">
        <v>4854</v>
      </c>
      <c r="P487" s="38" t="s">
        <v>4854</v>
      </c>
      <c r="Q487" s="38" t="s">
        <v>4854</v>
      </c>
      <c r="R487" s="37" t="str">
        <f>HYPERLINK("http://ms.phosphosite.org:5080/cgi-bin/plot-msms.cgi?MassType=1&amp;NumAxis=1&amp;Mod7=170&amp;Pep=IQALLDKYNAEKPK&amp;Dta=/var/www/html/dta/S01/10561.6619.3.dta&amp;Global_Mod=CS57.0215", "6619")</f>
        <v>6619</v>
      </c>
      <c r="S487" s="38" t="s">
        <v>4854</v>
      </c>
      <c r="T487" s="38" t="s">
        <v>4854</v>
      </c>
      <c r="U487" s="37" t="str">
        <f>HYPERLINK("http://ms.phosphosite.org:5080/cgi-bin/plot-msms.cgi?MassType=1&amp;NumAxis=1&amp;Mod7=170&amp;Pep=IQALLDKYNAEKPK&amp;Dta=/var/www/html/dta/S01/10564.6995.3.dta&amp;Global_Mod=CS57.0215", "6995")</f>
        <v>6995</v>
      </c>
      <c r="V487" s="38" t="s">
        <v>4854</v>
      </c>
      <c r="W487" s="4" t="s">
        <v>4854</v>
      </c>
      <c r="X487" s="4" t="s">
        <v>4854</v>
      </c>
      <c r="Y487" s="4" t="s">
        <v>4854</v>
      </c>
      <c r="Z487" s="10">
        <v>6602</v>
      </c>
      <c r="AA487" s="4" t="s">
        <v>4854</v>
      </c>
      <c r="AB487" s="4" t="s">
        <v>4854</v>
      </c>
      <c r="AC487" s="10">
        <v>6991</v>
      </c>
      <c r="AD487" s="4" t="s">
        <v>4854</v>
      </c>
      <c r="AE487" s="100" t="s">
        <v>4854</v>
      </c>
      <c r="AF487" s="100" t="s">
        <v>4854</v>
      </c>
      <c r="AG487" s="100" t="s">
        <v>4854</v>
      </c>
      <c r="AH487" s="91">
        <v>2.5630000000000002</v>
      </c>
      <c r="AI487" s="100" t="s">
        <v>4854</v>
      </c>
      <c r="AJ487" s="100" t="s">
        <v>4854</v>
      </c>
      <c r="AK487" s="91">
        <v>2.222</v>
      </c>
      <c r="AL487" s="100" t="s">
        <v>4854</v>
      </c>
      <c r="AM487" s="103" t="s">
        <v>4854</v>
      </c>
      <c r="AN487" s="103" t="s">
        <v>4854</v>
      </c>
      <c r="AO487" s="103" t="s">
        <v>4854</v>
      </c>
      <c r="AP487" s="95">
        <v>0.42270000000000002</v>
      </c>
      <c r="AQ487" s="103" t="s">
        <v>4854</v>
      </c>
      <c r="AR487" s="103" t="s">
        <v>4854</v>
      </c>
      <c r="AS487" s="95">
        <v>0.31990000000000002</v>
      </c>
      <c r="AT487" s="103" t="s">
        <v>4854</v>
      </c>
      <c r="AU487" s="103" t="s">
        <v>4854</v>
      </c>
      <c r="AV487" s="103" t="s">
        <v>4854</v>
      </c>
      <c r="AW487" s="103" t="s">
        <v>4854</v>
      </c>
      <c r="AX487" s="95">
        <v>0.183</v>
      </c>
      <c r="AY487" s="103" t="s">
        <v>4854</v>
      </c>
      <c r="AZ487" s="103" t="s">
        <v>4854</v>
      </c>
      <c r="BA487" s="95">
        <v>2.5999999999999999E-2</v>
      </c>
      <c r="BB487" s="103" t="s">
        <v>4854</v>
      </c>
      <c r="BC487" s="4" t="s">
        <v>4854</v>
      </c>
      <c r="BD487" s="4" t="s">
        <v>4854</v>
      </c>
      <c r="BE487" s="4" t="s">
        <v>4854</v>
      </c>
      <c r="BF487" s="10">
        <v>10</v>
      </c>
      <c r="BG487" s="4" t="s">
        <v>4854</v>
      </c>
      <c r="BH487" s="4" t="s">
        <v>4854</v>
      </c>
      <c r="BI487" s="10">
        <v>1</v>
      </c>
      <c r="BJ487" s="4" t="s">
        <v>4854</v>
      </c>
      <c r="BK487" s="100" t="s">
        <v>4854</v>
      </c>
      <c r="BL487" s="100" t="s">
        <v>4854</v>
      </c>
      <c r="BM487" s="100" t="s">
        <v>4854</v>
      </c>
      <c r="BN487" s="91">
        <v>0.995</v>
      </c>
      <c r="BO487" s="100" t="s">
        <v>4854</v>
      </c>
      <c r="BP487" s="100" t="s">
        <v>4854</v>
      </c>
      <c r="BQ487" s="91">
        <v>0.95299999999999996</v>
      </c>
      <c r="BR487" s="100" t="s">
        <v>4854</v>
      </c>
      <c r="BS487" s="10" t="s">
        <v>4857</v>
      </c>
    </row>
    <row r="488" spans="1:71" s="30" customFormat="1" ht="17.100000000000001" customHeight="1">
      <c r="A488" s="14">
        <v>477</v>
      </c>
      <c r="B488" s="5" t="s">
        <v>3171</v>
      </c>
      <c r="C488" s="3" t="s">
        <v>3162</v>
      </c>
      <c r="D488" s="3" t="s">
        <v>3172</v>
      </c>
      <c r="E488" s="3" t="s">
        <v>3173</v>
      </c>
      <c r="F488" s="5" t="s">
        <v>3228</v>
      </c>
      <c r="G488" s="3" t="s">
        <v>3174</v>
      </c>
      <c r="H488" s="6" t="s">
        <v>3175</v>
      </c>
      <c r="I488" s="3" t="s">
        <v>3176</v>
      </c>
      <c r="J488" s="5" t="s">
        <v>4646</v>
      </c>
      <c r="K488" s="3" t="s">
        <v>5613</v>
      </c>
      <c r="L488" s="3" t="s">
        <v>3177</v>
      </c>
      <c r="M488" s="5">
        <v>2</v>
      </c>
      <c r="N488" s="21">
        <v>586.82640000000004</v>
      </c>
      <c r="O488" s="35" t="s">
        <v>4854</v>
      </c>
      <c r="P488" s="35" t="s">
        <v>4854</v>
      </c>
      <c r="Q488" s="35" t="s">
        <v>4854</v>
      </c>
      <c r="R488" s="35" t="s">
        <v>4854</v>
      </c>
      <c r="S488" s="35" t="s">
        <v>4854</v>
      </c>
      <c r="T488" s="36" t="str">
        <f>HYPERLINK("http://ms.phosphosite.org:5080/cgi-bin/plot-msms.cgi?MassType=1&amp;NumAxis=1&amp;Mod1=160&amp;Mod5=170&amp;Pep=CQLEKLALR&amp;Dta=/var/www/html/dta/S01/10563.7364.2.dta&amp;Global_Mod=CS57.0215", "7364")</f>
        <v>7364</v>
      </c>
      <c r="U488" s="35" t="s">
        <v>4854</v>
      </c>
      <c r="V488" s="35" t="s">
        <v>4854</v>
      </c>
      <c r="W488" s="3" t="s">
        <v>4854</v>
      </c>
      <c r="X488" s="3" t="s">
        <v>4854</v>
      </c>
      <c r="Y488" s="3" t="s">
        <v>4854</v>
      </c>
      <c r="Z488" s="3" t="s">
        <v>4854</v>
      </c>
      <c r="AA488" s="3" t="s">
        <v>4854</v>
      </c>
      <c r="AB488" s="5">
        <v>7355</v>
      </c>
      <c r="AC488" s="3" t="s">
        <v>4854</v>
      </c>
      <c r="AD488" s="3" t="s">
        <v>4854</v>
      </c>
      <c r="AE488" s="99" t="s">
        <v>4854</v>
      </c>
      <c r="AF488" s="99" t="s">
        <v>4854</v>
      </c>
      <c r="AG488" s="99" t="s">
        <v>4854</v>
      </c>
      <c r="AH488" s="99" t="s">
        <v>4854</v>
      </c>
      <c r="AI488" s="99" t="s">
        <v>4854</v>
      </c>
      <c r="AJ488" s="90">
        <v>2.0339999999999998</v>
      </c>
      <c r="AK488" s="99" t="s">
        <v>4854</v>
      </c>
      <c r="AL488" s="99" t="s">
        <v>4854</v>
      </c>
      <c r="AM488" s="102" t="s">
        <v>4854</v>
      </c>
      <c r="AN488" s="102" t="s">
        <v>4854</v>
      </c>
      <c r="AO488" s="102" t="s">
        <v>4854</v>
      </c>
      <c r="AP488" s="102" t="s">
        <v>4854</v>
      </c>
      <c r="AQ488" s="102" t="s">
        <v>4854</v>
      </c>
      <c r="AR488" s="21">
        <v>0.22309999999999999</v>
      </c>
      <c r="AS488" s="102" t="s">
        <v>4854</v>
      </c>
      <c r="AT488" s="102" t="s">
        <v>4854</v>
      </c>
      <c r="AU488" s="102" t="s">
        <v>4854</v>
      </c>
      <c r="AV488" s="102" t="s">
        <v>4854</v>
      </c>
      <c r="AW488" s="102" t="s">
        <v>4854</v>
      </c>
      <c r="AX488" s="102" t="s">
        <v>4854</v>
      </c>
      <c r="AY488" s="102" t="s">
        <v>4854</v>
      </c>
      <c r="AZ488" s="21">
        <v>2E-3</v>
      </c>
      <c r="BA488" s="102" t="s">
        <v>4854</v>
      </c>
      <c r="BB488" s="102" t="s">
        <v>4854</v>
      </c>
      <c r="BC488" s="3" t="s">
        <v>4854</v>
      </c>
      <c r="BD488" s="3" t="s">
        <v>4854</v>
      </c>
      <c r="BE488" s="3" t="s">
        <v>4854</v>
      </c>
      <c r="BF488" s="3" t="s">
        <v>4854</v>
      </c>
      <c r="BG488" s="3" t="s">
        <v>4854</v>
      </c>
      <c r="BH488" s="5">
        <v>1</v>
      </c>
      <c r="BI488" s="3" t="s">
        <v>4854</v>
      </c>
      <c r="BJ488" s="3" t="s">
        <v>4854</v>
      </c>
      <c r="BK488" s="99" t="s">
        <v>4854</v>
      </c>
      <c r="BL488" s="99" t="s">
        <v>4854</v>
      </c>
      <c r="BM488" s="99" t="s">
        <v>4854</v>
      </c>
      <c r="BN488" s="99" t="s">
        <v>4854</v>
      </c>
      <c r="BO488" s="99" t="s">
        <v>4854</v>
      </c>
      <c r="BP488" s="90">
        <v>0.95099999999999996</v>
      </c>
      <c r="BQ488" s="99" t="s">
        <v>4854</v>
      </c>
      <c r="BR488" s="99" t="s">
        <v>4854</v>
      </c>
      <c r="BS488" s="5" t="s">
        <v>4857</v>
      </c>
    </row>
    <row r="489" spans="1:71" ht="17.100000000000001" customHeight="1">
      <c r="A489" s="31">
        <v>478</v>
      </c>
      <c r="B489" s="2" t="s">
        <v>3178</v>
      </c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94"/>
      <c r="O489" s="34"/>
      <c r="P489" s="34"/>
      <c r="Q489" s="34"/>
      <c r="R489" s="34"/>
      <c r="S489" s="34"/>
      <c r="T489" s="34"/>
      <c r="U489" s="34"/>
      <c r="V489" s="34"/>
      <c r="W489" s="1"/>
      <c r="X489" s="1"/>
      <c r="Y489" s="1"/>
      <c r="Z489" s="1"/>
      <c r="AA489" s="1"/>
      <c r="AB489" s="1"/>
      <c r="AC489" s="1"/>
      <c r="AD489" s="1"/>
      <c r="AE489" s="89"/>
      <c r="AF489" s="89"/>
      <c r="AG489" s="89"/>
      <c r="AH489" s="89"/>
      <c r="AI489" s="89"/>
      <c r="AJ489" s="89"/>
      <c r="AK489" s="89"/>
      <c r="AL489" s="89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1"/>
      <c r="BD489" s="1"/>
      <c r="BE489" s="1"/>
      <c r="BF489" s="1"/>
      <c r="BG489" s="1"/>
      <c r="BH489" s="1"/>
      <c r="BI489" s="1"/>
      <c r="BJ489" s="1"/>
      <c r="BK489" s="89"/>
      <c r="BL489" s="89"/>
      <c r="BM489" s="89"/>
      <c r="BN489" s="89"/>
      <c r="BO489" s="89"/>
      <c r="BP489" s="89"/>
      <c r="BQ489" s="89"/>
      <c r="BR489" s="89"/>
      <c r="BS489" s="1"/>
    </row>
    <row r="490" spans="1:71" s="30" customFormat="1" ht="17.100000000000001" customHeight="1">
      <c r="A490" s="10">
        <v>479</v>
      </c>
      <c r="B490" s="10" t="s">
        <v>3179</v>
      </c>
      <c r="C490" s="4" t="s">
        <v>3178</v>
      </c>
      <c r="D490" s="7" t="s">
        <v>3180</v>
      </c>
      <c r="E490" s="7" t="s">
        <v>3181</v>
      </c>
      <c r="F490" s="10" t="s">
        <v>3182</v>
      </c>
      <c r="G490" s="4" t="s">
        <v>3183</v>
      </c>
      <c r="H490" s="7" t="s">
        <v>3184</v>
      </c>
      <c r="I490" s="4" t="s">
        <v>3185</v>
      </c>
      <c r="J490" s="10" t="s">
        <v>3186</v>
      </c>
      <c r="K490" s="4" t="s">
        <v>5614</v>
      </c>
      <c r="L490" s="4" t="s">
        <v>3187</v>
      </c>
      <c r="M490" s="10">
        <v>3</v>
      </c>
      <c r="N490" s="95">
        <v>865.4171</v>
      </c>
      <c r="O490" s="37" t="str">
        <f>HYPERLINK("http://ms.phosphosite.org:5080/cgi-bin/plot-msms.cgi?MassType=1&amp;NumAxis=1&amp;Mod11=170&amp;Pep=ITSENPDEGFKPSSGTVQELNFR&amp;Dta=/var/www/html/dta/S01/10558.9364.3.dta&amp;Global_Mod=CS57.0215", "9364")</f>
        <v>9364</v>
      </c>
      <c r="P490" s="38" t="s">
        <v>4854</v>
      </c>
      <c r="Q490" s="37" t="str">
        <f>HYPERLINK("http://ms.phosphosite.org:5080/cgi-bin/plot-msms.cgi?MassType=1&amp;NumAxis=1&amp;Mod11=170&amp;Pep=ITSENPDEGFKPSSGTVQELNFR&amp;Dta=/var/www/html/dta/S01/10560.9344.3.dta&amp;Global_Mod=CS57.0215", "9344")</f>
        <v>9344</v>
      </c>
      <c r="R490" s="37" t="str">
        <f>HYPERLINK("http://ms.phosphosite.org:5080/cgi-bin/plot-msms.cgi?MassType=1&amp;NumAxis=1&amp;Mod11=170&amp;Pep=ITSENPDEGFKPSSGTVQELNFR&amp;Dta=/var/www/html/dta/S01/10561.9358.3.dta&amp;Global_Mod=CS57.0215", "9358")</f>
        <v>9358</v>
      </c>
      <c r="S490" s="37" t="str">
        <f>HYPERLINK("http://ms.phosphosite.org:5080/cgi-bin/plot-msms.cgi?MassType=1&amp;NumAxis=1&amp;Mod11=170&amp;Pep=ITSENPDEGFKPSSGTVQELNFR&amp;Dta=/var/www/html/dta/S01/10562.9517.3.dta&amp;Global_Mod=CS57.0215", "9517")</f>
        <v>9517</v>
      </c>
      <c r="T490" s="38" t="s">
        <v>4854</v>
      </c>
      <c r="U490" s="37" t="str">
        <f>HYPERLINK("http://ms.phosphosite.org:5080/cgi-bin/plot-msms.cgi?MassType=1&amp;NumAxis=1&amp;Mod11=170&amp;Pep=ITSENPDEGFKPSSGTVQELNFR&amp;Dta=/var/www/html/dta/S01/10564.9943.3.dta&amp;Global_Mod=CS57.0215", "9943")</f>
        <v>9943</v>
      </c>
      <c r="V490" s="38" t="s">
        <v>4854</v>
      </c>
      <c r="W490" s="10">
        <v>9360</v>
      </c>
      <c r="X490" s="4" t="s">
        <v>4854</v>
      </c>
      <c r="Y490" s="10">
        <v>9347</v>
      </c>
      <c r="Z490" s="10">
        <v>9374</v>
      </c>
      <c r="AA490" s="10">
        <v>9524</v>
      </c>
      <c r="AB490" s="4" t="s">
        <v>4854</v>
      </c>
      <c r="AC490" s="10">
        <v>9917</v>
      </c>
      <c r="AD490" s="4" t="s">
        <v>4854</v>
      </c>
      <c r="AE490" s="91">
        <v>3.2879999999999998</v>
      </c>
      <c r="AF490" s="100" t="s">
        <v>4854</v>
      </c>
      <c r="AG490" s="91">
        <v>4.07</v>
      </c>
      <c r="AH490" s="91">
        <v>3.8650000000000002</v>
      </c>
      <c r="AI490" s="91">
        <v>3.9350000000000001</v>
      </c>
      <c r="AJ490" s="100" t="s">
        <v>4854</v>
      </c>
      <c r="AK490" s="91">
        <v>3.9870000000000001</v>
      </c>
      <c r="AL490" s="100" t="s">
        <v>4854</v>
      </c>
      <c r="AM490" s="95">
        <v>0.51280000000000003</v>
      </c>
      <c r="AN490" s="103" t="s">
        <v>4854</v>
      </c>
      <c r="AO490" s="95">
        <v>0.81499999999999995</v>
      </c>
      <c r="AP490" s="95">
        <v>0.65429999999999999</v>
      </c>
      <c r="AQ490" s="95">
        <v>0.68469999999999998</v>
      </c>
      <c r="AR490" s="103" t="s">
        <v>4854</v>
      </c>
      <c r="AS490" s="95">
        <v>0.1782</v>
      </c>
      <c r="AT490" s="103" t="s">
        <v>4854</v>
      </c>
      <c r="AU490" s="95">
        <v>0.378</v>
      </c>
      <c r="AV490" s="103" t="s">
        <v>4854</v>
      </c>
      <c r="AW490" s="95">
        <v>0.33500000000000002</v>
      </c>
      <c r="AX490" s="95">
        <v>0.45200000000000001</v>
      </c>
      <c r="AY490" s="95">
        <v>0.35899999999999999</v>
      </c>
      <c r="AZ490" s="103" t="s">
        <v>4854</v>
      </c>
      <c r="BA490" s="95">
        <v>0.38100000000000001</v>
      </c>
      <c r="BB490" s="103" t="s">
        <v>4854</v>
      </c>
      <c r="BC490" s="10">
        <v>1</v>
      </c>
      <c r="BD490" s="4" t="s">
        <v>4854</v>
      </c>
      <c r="BE490" s="10">
        <v>1</v>
      </c>
      <c r="BF490" s="10">
        <v>1</v>
      </c>
      <c r="BG490" s="10">
        <v>1</v>
      </c>
      <c r="BH490" s="4" t="s">
        <v>4854</v>
      </c>
      <c r="BI490" s="10">
        <v>1</v>
      </c>
      <c r="BJ490" s="4" t="s">
        <v>4854</v>
      </c>
      <c r="BK490" s="91">
        <v>1</v>
      </c>
      <c r="BL490" s="100" t="s">
        <v>4854</v>
      </c>
      <c r="BM490" s="91">
        <v>1</v>
      </c>
      <c r="BN490" s="91">
        <v>1</v>
      </c>
      <c r="BO490" s="91">
        <v>1</v>
      </c>
      <c r="BP490" s="100" t="s">
        <v>4854</v>
      </c>
      <c r="BQ490" s="91">
        <v>1</v>
      </c>
      <c r="BR490" s="100" t="s">
        <v>4854</v>
      </c>
      <c r="BS490" s="10" t="s">
        <v>4857</v>
      </c>
    </row>
    <row r="491" spans="1:71" s="30" customFormat="1" ht="17.100000000000001" customHeight="1">
      <c r="A491" s="14">
        <v>480</v>
      </c>
      <c r="B491" s="5" t="s">
        <v>3188</v>
      </c>
      <c r="C491" s="3" t="s">
        <v>3178</v>
      </c>
      <c r="D491" s="3" t="s">
        <v>3189</v>
      </c>
      <c r="E491" s="3" t="s">
        <v>3190</v>
      </c>
      <c r="F491" s="5" t="s">
        <v>4981</v>
      </c>
      <c r="G491" s="3" t="s">
        <v>3062</v>
      </c>
      <c r="H491" s="6" t="s">
        <v>3063</v>
      </c>
      <c r="I491" s="3" t="s">
        <v>3064</v>
      </c>
      <c r="J491" s="5" t="s">
        <v>3065</v>
      </c>
      <c r="K491" s="3" t="s">
        <v>5615</v>
      </c>
      <c r="L491" s="3" t="s">
        <v>3066</v>
      </c>
      <c r="M491" s="5">
        <v>2</v>
      </c>
      <c r="N491" s="21">
        <v>799.91600000000005</v>
      </c>
      <c r="O491" s="35" t="s">
        <v>4854</v>
      </c>
      <c r="P491" s="35" t="s">
        <v>4854</v>
      </c>
      <c r="Q491" s="35" t="s">
        <v>4854</v>
      </c>
      <c r="R491" s="36" t="str">
        <f>HYPERLINK("http://ms.phosphosite.org:5080/cgi-bin/plot-msms.cgi?MassType=1&amp;NumAxis=1&amp;Mod4=170&amp;Pep=FLMKIYDQVQSGK&amp;Dta=/var/www/html/dta/S01/10561.9516.2.dta&amp;Global_Mod=CS57.0215", "9516")</f>
        <v>9516</v>
      </c>
      <c r="S491" s="35" t="s">
        <v>4854</v>
      </c>
      <c r="T491" s="35" t="s">
        <v>4854</v>
      </c>
      <c r="U491" s="36" t="str">
        <f>HYPERLINK("http://ms.phosphosite.org:5080/cgi-bin/plot-msms.cgi?MassType=1&amp;NumAxis=1&amp;Mod4=170&amp;Pep=FLMKIYDQVQSGK&amp;Dta=/var/www/html/dta/S01/10564.10119.2.dta&amp;Global_Mod=CS57.0215", "10119")</f>
        <v>10119</v>
      </c>
      <c r="V491" s="35" t="s">
        <v>4854</v>
      </c>
      <c r="W491" s="3" t="s">
        <v>4854</v>
      </c>
      <c r="X491" s="3" t="s">
        <v>4854</v>
      </c>
      <c r="Y491" s="3" t="s">
        <v>4854</v>
      </c>
      <c r="Z491" s="3" t="s">
        <v>4854</v>
      </c>
      <c r="AA491" s="3" t="s">
        <v>4854</v>
      </c>
      <c r="AB491" s="3" t="s">
        <v>4854</v>
      </c>
      <c r="AC491" s="5">
        <v>10137</v>
      </c>
      <c r="AD491" s="3" t="s">
        <v>4854</v>
      </c>
      <c r="AE491" s="99" t="s">
        <v>4854</v>
      </c>
      <c r="AF491" s="99" t="s">
        <v>4854</v>
      </c>
      <c r="AG491" s="99" t="s">
        <v>4854</v>
      </c>
      <c r="AH491" s="90">
        <v>2.74</v>
      </c>
      <c r="AI491" s="99" t="s">
        <v>4854</v>
      </c>
      <c r="AJ491" s="99" t="s">
        <v>4854</v>
      </c>
      <c r="AK491" s="90">
        <v>2.968</v>
      </c>
      <c r="AL491" s="99" t="s">
        <v>4854</v>
      </c>
      <c r="AM491" s="102" t="s">
        <v>4854</v>
      </c>
      <c r="AN491" s="102" t="s">
        <v>4854</v>
      </c>
      <c r="AO491" s="102" t="s">
        <v>4854</v>
      </c>
      <c r="AP491" s="21">
        <v>0.54730000000000001</v>
      </c>
      <c r="AQ491" s="102" t="s">
        <v>4854</v>
      </c>
      <c r="AR491" s="102" t="s">
        <v>4854</v>
      </c>
      <c r="AS491" s="21">
        <v>-6.9400000000000003E-2</v>
      </c>
      <c r="AT491" s="102" t="s">
        <v>4854</v>
      </c>
      <c r="AU491" s="102" t="s">
        <v>4854</v>
      </c>
      <c r="AV491" s="102" t="s">
        <v>4854</v>
      </c>
      <c r="AW491" s="102" t="s">
        <v>4854</v>
      </c>
      <c r="AX491" s="21">
        <v>0.23899999999999999</v>
      </c>
      <c r="AY491" s="102" t="s">
        <v>4854</v>
      </c>
      <c r="AZ491" s="102" t="s">
        <v>4854</v>
      </c>
      <c r="BA491" s="21">
        <v>0.34899999999999998</v>
      </c>
      <c r="BB491" s="102" t="s">
        <v>4854</v>
      </c>
      <c r="BC491" s="3" t="s">
        <v>4854</v>
      </c>
      <c r="BD491" s="3" t="s">
        <v>4854</v>
      </c>
      <c r="BE491" s="3" t="s">
        <v>4854</v>
      </c>
      <c r="BF491" s="5">
        <v>1</v>
      </c>
      <c r="BG491" s="3" t="s">
        <v>4854</v>
      </c>
      <c r="BH491" s="3" t="s">
        <v>4854</v>
      </c>
      <c r="BI491" s="5">
        <v>1</v>
      </c>
      <c r="BJ491" s="3" t="s">
        <v>4854</v>
      </c>
      <c r="BK491" s="99" t="s">
        <v>4854</v>
      </c>
      <c r="BL491" s="99" t="s">
        <v>4854</v>
      </c>
      <c r="BM491" s="99" t="s">
        <v>4854</v>
      </c>
      <c r="BN491" s="90">
        <v>0.999</v>
      </c>
      <c r="BO491" s="99" t="s">
        <v>4854</v>
      </c>
      <c r="BP491" s="99" t="s">
        <v>4854</v>
      </c>
      <c r="BQ491" s="90">
        <v>1</v>
      </c>
      <c r="BR491" s="99" t="s">
        <v>4854</v>
      </c>
      <c r="BS491" s="5" t="s">
        <v>4857</v>
      </c>
    </row>
    <row r="492" spans="1:71" s="30" customFormat="1" ht="17.100000000000001" customHeight="1">
      <c r="A492" s="14">
        <v>481</v>
      </c>
      <c r="B492" s="5" t="s">
        <v>3067</v>
      </c>
      <c r="C492" s="3" t="s">
        <v>3178</v>
      </c>
      <c r="D492" s="3" t="s">
        <v>3189</v>
      </c>
      <c r="E492" s="3" t="s">
        <v>3190</v>
      </c>
      <c r="F492" s="5" t="s">
        <v>4981</v>
      </c>
      <c r="G492" s="3" t="s">
        <v>3062</v>
      </c>
      <c r="H492" s="6" t="s">
        <v>3063</v>
      </c>
      <c r="I492" s="3" t="s">
        <v>3064</v>
      </c>
      <c r="J492" s="5" t="s">
        <v>3065</v>
      </c>
      <c r="K492" s="3" t="s">
        <v>5615</v>
      </c>
      <c r="L492" s="3" t="s">
        <v>3068</v>
      </c>
      <c r="M492" s="5">
        <v>2</v>
      </c>
      <c r="N492" s="21">
        <v>807.91340000000002</v>
      </c>
      <c r="O492" s="36" t="str">
        <f>HYPERLINK("http://ms.phosphosite.org:5080/cgi-bin/plot-msms.cgi?MassType=1&amp;NumAxis=1&amp;Mod3=147&amp;Mod4=170&amp;Pep=FLMKIYDQVQSGK&amp;Dta=/var/www/html/dta/S01/10558.8221.2.dta&amp;Global_Mod=CS57.0215", "8221")</f>
        <v>8221</v>
      </c>
      <c r="P492" s="36" t="str">
        <f>HYPERLINK("http://ms.phosphosite.org:5080/cgi-bin/plot-msms.cgi?MassType=1&amp;NumAxis=1&amp;Mod3=147&amp;Mod4=170&amp;Pep=FLMKIYDQVQSGK&amp;Dta=/var/www/html/dta/S01/10559.8171.2.dta&amp;Global_Mod=CS57.0215", "8171")</f>
        <v>8171</v>
      </c>
      <c r="Q492" s="36" t="str">
        <f>HYPERLINK("http://ms.phosphosite.org:5080/cgi-bin/plot-msms.cgi?MassType=1&amp;NumAxis=1&amp;Mod3=147&amp;Mod4=170&amp;Pep=FLMKIYDQVQSGK&amp;Dta=/var/www/html/dta/S01/10560.7967.2.dta&amp;Global_Mod=CS57.0215", "7967")</f>
        <v>7967</v>
      </c>
      <c r="R492" s="36" t="str">
        <f>HYPERLINK("http://ms.phosphosite.org:5080/cgi-bin/plot-msms.cgi?MassType=1&amp;NumAxis=1&amp;Mod3=147&amp;Mod4=170&amp;Pep=FLMKIYDQVQSGK&amp;Dta=/var/www/html/dta/S01/10561.8008.2.dta&amp;Global_Mod=CS57.0215", "8008")</f>
        <v>8008</v>
      </c>
      <c r="S492" s="36" t="str">
        <f>HYPERLINK("http://ms.phosphosite.org:5080/cgi-bin/plot-msms.cgi?MassType=1&amp;NumAxis=1&amp;Mod3=147&amp;Mod4=170&amp;Pep=FLMKIYDQVQSGK&amp;Dta=/var/www/html/dta/S01/10562.8144.2.dta&amp;Global_Mod=CS57.0215", "8144")</f>
        <v>8144</v>
      </c>
      <c r="T492" s="36" t="str">
        <f>HYPERLINK("http://ms.phosphosite.org:5080/cgi-bin/plot-msms.cgi?MassType=1&amp;NumAxis=1&amp;Mod3=147&amp;Mod4=170&amp;Pep=FLMKIYDQVQSGK&amp;Dta=/var/www/html/dta/S01/10563.8309.2.dta&amp;Global_Mod=CS57.0215", "8309")</f>
        <v>8309</v>
      </c>
      <c r="U492" s="36" t="str">
        <f>HYPERLINK("http://ms.phosphosite.org:5080/cgi-bin/plot-msms.cgi?MassType=1&amp;NumAxis=1&amp;Mod3=147&amp;Mod4=170&amp;Pep=FLMKIYDQVQSGK&amp;Dta=/var/www/html/dta/S01/10564.8750.2.dta&amp;Global_Mod=CS57.0215", "8750")</f>
        <v>8750</v>
      </c>
      <c r="V492" s="36" t="str">
        <f>HYPERLINK("http://ms.phosphosite.org:5080/cgi-bin/plot-msms.cgi?MassType=1&amp;NumAxis=1&amp;Mod3=147&amp;Mod4=170&amp;Pep=FLMKIYDQVQSGK&amp;Dta=/var/www/html/dta/S01/10565.8559.2.dta&amp;Global_Mod=CS57.0215", "8559")</f>
        <v>8559</v>
      </c>
      <c r="W492" s="5">
        <v>8238</v>
      </c>
      <c r="X492" s="5">
        <v>7988</v>
      </c>
      <c r="Y492" s="5">
        <v>8181</v>
      </c>
      <c r="Z492" s="5">
        <v>8021</v>
      </c>
      <c r="AA492" s="5">
        <v>8138</v>
      </c>
      <c r="AB492" s="5">
        <v>8312</v>
      </c>
      <c r="AC492" s="5">
        <v>8751</v>
      </c>
      <c r="AD492" s="5">
        <v>8550</v>
      </c>
      <c r="AE492" s="90">
        <v>3.96</v>
      </c>
      <c r="AF492" s="90">
        <v>3.3969999999999998</v>
      </c>
      <c r="AG492" s="90">
        <v>3.9369999999999998</v>
      </c>
      <c r="AH492" s="90">
        <v>3.6539999999999999</v>
      </c>
      <c r="AI492" s="90">
        <v>4.452</v>
      </c>
      <c r="AJ492" s="90">
        <v>3.9740000000000002</v>
      </c>
      <c r="AK492" s="90">
        <v>3.867</v>
      </c>
      <c r="AL492" s="90">
        <v>3.87</v>
      </c>
      <c r="AM492" s="21">
        <v>0.3669</v>
      </c>
      <c r="AN492" s="21">
        <v>0.1532</v>
      </c>
      <c r="AO492" s="21">
        <v>0.38109999999999999</v>
      </c>
      <c r="AP492" s="21">
        <v>0.55200000000000005</v>
      </c>
      <c r="AQ492" s="21">
        <v>0.27150000000000002</v>
      </c>
      <c r="AR492" s="21">
        <v>0.47339999999999999</v>
      </c>
      <c r="AS492" s="21">
        <v>0.1278</v>
      </c>
      <c r="AT492" s="21">
        <v>0.17799999999999999</v>
      </c>
      <c r="AU492" s="21">
        <v>0.40500000000000003</v>
      </c>
      <c r="AV492" s="21">
        <v>0.41</v>
      </c>
      <c r="AW492" s="21">
        <v>0.43</v>
      </c>
      <c r="AX492" s="21">
        <v>0.436</v>
      </c>
      <c r="AY492" s="21">
        <v>0.46600000000000003</v>
      </c>
      <c r="AZ492" s="21">
        <v>0.4</v>
      </c>
      <c r="BA492" s="21">
        <v>0.46</v>
      </c>
      <c r="BB492" s="21">
        <v>0.39400000000000002</v>
      </c>
      <c r="BC492" s="5">
        <v>1</v>
      </c>
      <c r="BD492" s="5">
        <v>1</v>
      </c>
      <c r="BE492" s="5">
        <v>1</v>
      </c>
      <c r="BF492" s="5">
        <v>1</v>
      </c>
      <c r="BG492" s="5">
        <v>1</v>
      </c>
      <c r="BH492" s="5">
        <v>1</v>
      </c>
      <c r="BI492" s="5">
        <v>1</v>
      </c>
      <c r="BJ492" s="5">
        <v>1</v>
      </c>
      <c r="BK492" s="90">
        <v>1</v>
      </c>
      <c r="BL492" s="90">
        <v>1</v>
      </c>
      <c r="BM492" s="90">
        <v>1</v>
      </c>
      <c r="BN492" s="90">
        <v>1</v>
      </c>
      <c r="BO492" s="90">
        <v>1</v>
      </c>
      <c r="BP492" s="90">
        <v>1</v>
      </c>
      <c r="BQ492" s="90">
        <v>1</v>
      </c>
      <c r="BR492" s="90">
        <v>1</v>
      </c>
      <c r="BS492" s="5" t="s">
        <v>4857</v>
      </c>
    </row>
    <row r="493" spans="1:71" s="30" customFormat="1" ht="17.100000000000001" customHeight="1">
      <c r="A493" s="14">
        <v>482</v>
      </c>
      <c r="B493" s="5" t="s">
        <v>3069</v>
      </c>
      <c r="C493" s="3" t="s">
        <v>3178</v>
      </c>
      <c r="D493" s="3" t="s">
        <v>3189</v>
      </c>
      <c r="E493" s="3" t="s">
        <v>3190</v>
      </c>
      <c r="F493" s="5" t="s">
        <v>4981</v>
      </c>
      <c r="G493" s="3" t="s">
        <v>3062</v>
      </c>
      <c r="H493" s="6" t="s">
        <v>3063</v>
      </c>
      <c r="I493" s="3" t="s">
        <v>3064</v>
      </c>
      <c r="J493" s="5" t="s">
        <v>3065</v>
      </c>
      <c r="K493" s="3" t="s">
        <v>5615</v>
      </c>
      <c r="L493" s="3" t="s">
        <v>3068</v>
      </c>
      <c r="M493" s="5">
        <v>2</v>
      </c>
      <c r="N493" s="21">
        <v>807.91340000000002</v>
      </c>
      <c r="O493" s="36" t="str">
        <f>HYPERLINK("http://ms.phosphosite.org:5080/cgi-bin/plot-msms.cgi?MassType=1&amp;NumAxis=1&amp;Mod3=147&amp;Mod4=170&amp;Pep=FLMKIYDQVQSGK&amp;Dta=/var/www/html/dta/S01/10558.8026.2.dta&amp;Global_Mod=CS57.0215", "8026")</f>
        <v>8026</v>
      </c>
      <c r="P493" s="36" t="str">
        <f>HYPERLINK("http://ms.phosphosite.org:5080/cgi-bin/plot-msms.cgi?MassType=1&amp;NumAxis=1&amp;Mod3=147&amp;Mod4=170&amp;Pep=FLMKIYDQVQSGK&amp;Dta=/var/www/html/dta/S01/10559.7992.2.dta&amp;Global_Mod=CS57.0215", "7992")</f>
        <v>7992</v>
      </c>
      <c r="Q493" s="36" t="str">
        <f>HYPERLINK("http://ms.phosphosite.org:5080/cgi-bin/plot-msms.cgi?MassType=1&amp;NumAxis=1&amp;Mod3=147&amp;Mod4=170&amp;Pep=FLMKIYDQVQSGK&amp;Dta=/var/www/html/dta/S01/10560.8165.2.dta&amp;Global_Mod=CS57.0215", "8165")</f>
        <v>8165</v>
      </c>
      <c r="R493" s="36" t="str">
        <f>HYPERLINK("http://ms.phosphosite.org:5080/cgi-bin/plot-msms.cgi?MassType=1&amp;NumAxis=1&amp;Mod3=147&amp;Mod4=170&amp;Pep=FLMKIYDQVQSGK&amp;Dta=/var/www/html/dta/S01/10561.8214.2.dta&amp;Global_Mod=CS57.0215", "8214")</f>
        <v>8214</v>
      </c>
      <c r="S493" s="36" t="str">
        <f>HYPERLINK("http://ms.phosphosite.org:5080/cgi-bin/plot-msms.cgi?MassType=1&amp;NumAxis=1&amp;Mod3=147&amp;Mod4=170&amp;Pep=FLMKIYDQVQSGK&amp;Dta=/var/www/html/dta/S01/10562.8344.2.dta&amp;Global_Mod=CS57.0215", "8344")</f>
        <v>8344</v>
      </c>
      <c r="T493" s="36" t="str">
        <f>HYPERLINK("http://ms.phosphosite.org:5080/cgi-bin/plot-msms.cgi?MassType=1&amp;NumAxis=1&amp;Mod3=147&amp;Mod4=170&amp;Pep=FLMKIYDQVQSGK&amp;Dta=/var/www/html/dta/S01/10563.8101.2.dta&amp;Global_Mod=CS57.0215", "8101")</f>
        <v>8101</v>
      </c>
      <c r="U493" s="35" t="s">
        <v>4854</v>
      </c>
      <c r="V493" s="36" t="str">
        <f>HYPERLINK("http://ms.phosphosite.org:5080/cgi-bin/plot-msms.cgi?MassType=1&amp;NumAxis=1&amp;Mod3=147&amp;Mod4=170&amp;Pep=FLMKIYDQVQSGK&amp;Dta=/var/www/html/dta/S01/10565.8733.2.dta&amp;Global_Mod=CS57.0215", "8733")</f>
        <v>8733</v>
      </c>
      <c r="W493" s="5">
        <v>8238</v>
      </c>
      <c r="X493" s="5">
        <v>7988</v>
      </c>
      <c r="Y493" s="3" t="s">
        <v>4854</v>
      </c>
      <c r="Z493" s="5">
        <v>8021</v>
      </c>
      <c r="AA493" s="5">
        <v>8138</v>
      </c>
      <c r="AB493" s="5">
        <v>8312</v>
      </c>
      <c r="AC493" s="3" t="s">
        <v>4854</v>
      </c>
      <c r="AD493" s="5">
        <v>8550</v>
      </c>
      <c r="AE493" s="90">
        <v>3.4540000000000002</v>
      </c>
      <c r="AF493" s="90">
        <v>3.3919999999999999</v>
      </c>
      <c r="AG493" s="90">
        <v>1.992</v>
      </c>
      <c r="AH493" s="90">
        <v>3.4849999999999999</v>
      </c>
      <c r="AI493" s="90">
        <v>4.2530000000000001</v>
      </c>
      <c r="AJ493" s="90">
        <v>3.8119999999999998</v>
      </c>
      <c r="AK493" s="99" t="s">
        <v>4854</v>
      </c>
      <c r="AL493" s="90">
        <v>3.0049999999999999</v>
      </c>
      <c r="AM493" s="21">
        <v>0.53649999999999998</v>
      </c>
      <c r="AN493" s="21">
        <v>0.70740000000000003</v>
      </c>
      <c r="AO493" s="21">
        <v>0.47149999999999997</v>
      </c>
      <c r="AP493" s="21">
        <v>0.21510000000000001</v>
      </c>
      <c r="AQ493" s="21">
        <v>0.17799999999999999</v>
      </c>
      <c r="AR493" s="21">
        <v>0.77190000000000003</v>
      </c>
      <c r="AS493" s="102" t="s">
        <v>4854</v>
      </c>
      <c r="AT493" s="21">
        <v>6.2199999999999998E-2</v>
      </c>
      <c r="AU493" s="21">
        <v>0.373</v>
      </c>
      <c r="AV493" s="21">
        <v>0.45300000000000001</v>
      </c>
      <c r="AW493" s="21">
        <v>0.10299999999999999</v>
      </c>
      <c r="AX493" s="21">
        <v>0.44700000000000001</v>
      </c>
      <c r="AY493" s="21">
        <v>0.45600000000000002</v>
      </c>
      <c r="AZ493" s="21">
        <v>0.44</v>
      </c>
      <c r="BA493" s="102" t="s">
        <v>4854</v>
      </c>
      <c r="BB493" s="21">
        <v>0.39</v>
      </c>
      <c r="BC493" s="5">
        <v>1</v>
      </c>
      <c r="BD493" s="5">
        <v>1</v>
      </c>
      <c r="BE493" s="5">
        <v>154</v>
      </c>
      <c r="BF493" s="5">
        <v>1</v>
      </c>
      <c r="BG493" s="5">
        <v>1</v>
      </c>
      <c r="BH493" s="5">
        <v>1</v>
      </c>
      <c r="BI493" s="3" t="s">
        <v>4854</v>
      </c>
      <c r="BJ493" s="5">
        <v>1</v>
      </c>
      <c r="BK493" s="90">
        <v>1</v>
      </c>
      <c r="BL493" s="90">
        <v>1</v>
      </c>
      <c r="BM493" s="90">
        <v>0.88200000000000001</v>
      </c>
      <c r="BN493" s="90">
        <v>1</v>
      </c>
      <c r="BO493" s="90">
        <v>1</v>
      </c>
      <c r="BP493" s="90">
        <v>1</v>
      </c>
      <c r="BQ493" s="99" t="s">
        <v>4854</v>
      </c>
      <c r="BR493" s="90">
        <v>1</v>
      </c>
      <c r="BS493" s="5" t="s">
        <v>4857</v>
      </c>
    </row>
    <row r="494" spans="1:71" s="30" customFormat="1" ht="17.100000000000001" customHeight="1">
      <c r="A494" s="10">
        <v>483</v>
      </c>
      <c r="B494" s="10" t="s">
        <v>3070</v>
      </c>
      <c r="C494" s="4" t="s">
        <v>3178</v>
      </c>
      <c r="D494" s="4" t="s">
        <v>3071</v>
      </c>
      <c r="E494" s="4" t="s">
        <v>3072</v>
      </c>
      <c r="F494" s="10" t="s">
        <v>5281</v>
      </c>
      <c r="G494" s="4" t="s">
        <v>3062</v>
      </c>
      <c r="H494" s="7" t="s">
        <v>3073</v>
      </c>
      <c r="I494" s="4" t="s">
        <v>3064</v>
      </c>
      <c r="J494" s="10" t="s">
        <v>4571</v>
      </c>
      <c r="K494" s="4" t="s">
        <v>5616</v>
      </c>
      <c r="L494" s="4" t="s">
        <v>3074</v>
      </c>
      <c r="M494" s="10">
        <v>2</v>
      </c>
      <c r="N494" s="95">
        <v>496.798</v>
      </c>
      <c r="O494" s="37" t="str">
        <f>HYPERLINK("http://ms.phosphosite.org:5080/cgi-bin/plot-msms.cgi?MassType=1&amp;NumAxis=1&amp;Mod3=170&amp;Pep=HLKPLQSK&amp;Dta=/var/www/html/dta/S01/10558.1970.2.dta&amp;Global_Mod=CS57.0215", "1970")</f>
        <v>1970</v>
      </c>
      <c r="P494" s="38" t="s">
        <v>4854</v>
      </c>
      <c r="Q494" s="38" t="s">
        <v>4854</v>
      </c>
      <c r="R494" s="38" t="s">
        <v>4854</v>
      </c>
      <c r="S494" s="38" t="s">
        <v>4854</v>
      </c>
      <c r="T494" s="38" t="s">
        <v>4854</v>
      </c>
      <c r="U494" s="38" t="s">
        <v>4854</v>
      </c>
      <c r="V494" s="38" t="s">
        <v>4854</v>
      </c>
      <c r="W494" s="10">
        <v>1971</v>
      </c>
      <c r="X494" s="4" t="s">
        <v>4854</v>
      </c>
      <c r="Y494" s="4" t="s">
        <v>4854</v>
      </c>
      <c r="Z494" s="4" t="s">
        <v>4854</v>
      </c>
      <c r="AA494" s="4" t="s">
        <v>4854</v>
      </c>
      <c r="AB494" s="4" t="s">
        <v>4854</v>
      </c>
      <c r="AC494" s="4" t="s">
        <v>4854</v>
      </c>
      <c r="AD494" s="4" t="s">
        <v>4854</v>
      </c>
      <c r="AE494" s="91">
        <v>1.889</v>
      </c>
      <c r="AF494" s="100" t="s">
        <v>4854</v>
      </c>
      <c r="AG494" s="100" t="s">
        <v>4854</v>
      </c>
      <c r="AH494" s="100" t="s">
        <v>4854</v>
      </c>
      <c r="AI494" s="100" t="s">
        <v>4854</v>
      </c>
      <c r="AJ494" s="100" t="s">
        <v>4854</v>
      </c>
      <c r="AK494" s="100" t="s">
        <v>4854</v>
      </c>
      <c r="AL494" s="100" t="s">
        <v>4854</v>
      </c>
      <c r="AM494" s="95">
        <v>-0.61599999999999999</v>
      </c>
      <c r="AN494" s="103" t="s">
        <v>4854</v>
      </c>
      <c r="AO494" s="103" t="s">
        <v>4854</v>
      </c>
      <c r="AP494" s="103" t="s">
        <v>4854</v>
      </c>
      <c r="AQ494" s="103" t="s">
        <v>4854</v>
      </c>
      <c r="AR494" s="103" t="s">
        <v>4854</v>
      </c>
      <c r="AS494" s="103" t="s">
        <v>4854</v>
      </c>
      <c r="AT494" s="103" t="s">
        <v>4854</v>
      </c>
      <c r="AU494" s="95">
        <v>0.155</v>
      </c>
      <c r="AV494" s="103" t="s">
        <v>4854</v>
      </c>
      <c r="AW494" s="103" t="s">
        <v>4854</v>
      </c>
      <c r="AX494" s="103" t="s">
        <v>4854</v>
      </c>
      <c r="AY494" s="103" t="s">
        <v>4854</v>
      </c>
      <c r="AZ494" s="103" t="s">
        <v>4854</v>
      </c>
      <c r="BA494" s="103" t="s">
        <v>4854</v>
      </c>
      <c r="BB494" s="103" t="s">
        <v>4854</v>
      </c>
      <c r="BC494" s="10">
        <v>1</v>
      </c>
      <c r="BD494" s="4" t="s">
        <v>4854</v>
      </c>
      <c r="BE494" s="4" t="s">
        <v>4854</v>
      </c>
      <c r="BF494" s="4" t="s">
        <v>4854</v>
      </c>
      <c r="BG494" s="4" t="s">
        <v>4854</v>
      </c>
      <c r="BH494" s="4" t="s">
        <v>4854</v>
      </c>
      <c r="BI494" s="4" t="s">
        <v>4854</v>
      </c>
      <c r="BJ494" s="4" t="s">
        <v>4854</v>
      </c>
      <c r="BK494" s="91">
        <v>0.996</v>
      </c>
      <c r="BL494" s="100" t="s">
        <v>4854</v>
      </c>
      <c r="BM494" s="100" t="s">
        <v>4854</v>
      </c>
      <c r="BN494" s="100" t="s">
        <v>4854</v>
      </c>
      <c r="BO494" s="100" t="s">
        <v>4854</v>
      </c>
      <c r="BP494" s="100" t="s">
        <v>4854</v>
      </c>
      <c r="BQ494" s="100" t="s">
        <v>4854</v>
      </c>
      <c r="BR494" s="100" t="s">
        <v>4854</v>
      </c>
      <c r="BS494" s="10" t="s">
        <v>4857</v>
      </c>
    </row>
    <row r="495" spans="1:71" s="30" customFormat="1" ht="17.100000000000001" customHeight="1">
      <c r="A495" s="14">
        <v>484</v>
      </c>
      <c r="B495" s="5" t="s">
        <v>3075</v>
      </c>
      <c r="C495" s="3" t="s">
        <v>3178</v>
      </c>
      <c r="D495" s="3" t="s">
        <v>3076</v>
      </c>
      <c r="E495" s="3" t="s">
        <v>3077</v>
      </c>
      <c r="F495" s="5" t="s">
        <v>5064</v>
      </c>
      <c r="G495" s="3" t="s">
        <v>3078</v>
      </c>
      <c r="H495" s="6" t="s">
        <v>3079</v>
      </c>
      <c r="I495" s="3" t="s">
        <v>3080</v>
      </c>
      <c r="J495" s="5" t="s">
        <v>4696</v>
      </c>
      <c r="K495" s="3" t="s">
        <v>5617</v>
      </c>
      <c r="L495" s="3" t="s">
        <v>3081</v>
      </c>
      <c r="M495" s="5">
        <v>2</v>
      </c>
      <c r="N495" s="21">
        <v>765.37080000000003</v>
      </c>
      <c r="O495" s="36" t="str">
        <f>HYPERLINK("http://ms.phosphosite.org:5080/cgi-bin/plot-msms.cgi?MassType=1&amp;NumAxis=1&amp;Mod7=170&amp;Pep=GDNPFPKNADGTVR&amp;Dta=/var/www/html/dta/S01/10558.5333.2.dta&amp;Global_Mod=CS57.0215", "5333")</f>
        <v>5333</v>
      </c>
      <c r="P495" s="36" t="str">
        <f>HYPERLINK("http://ms.phosphosite.org:5080/cgi-bin/plot-msms.cgi?MassType=1&amp;NumAxis=1&amp;Mod7=170&amp;Pep=GDNPFPKNADGTVR&amp;Dta=/var/www/html/dta/S01/10559.5247.2.dta&amp;Global_Mod=CS57.0215", "5247")</f>
        <v>5247</v>
      </c>
      <c r="Q495" s="36" t="str">
        <f>HYPERLINK("http://ms.phosphosite.org:5080/cgi-bin/plot-msms.cgi?MassType=1&amp;NumAxis=1&amp;Mod7=170&amp;Pep=GDNPFPKNADGTVR&amp;Dta=/var/www/html/dta/S01/10560.5229.2.dta&amp;Global_Mod=CS57.0215", "5229")</f>
        <v>5229</v>
      </c>
      <c r="R495" s="36" t="str">
        <f>HYPERLINK("http://ms.phosphosite.org:5080/cgi-bin/plot-msms.cgi?MassType=1&amp;NumAxis=1&amp;Mod7=170&amp;Pep=GDNPFPKNADGTVR&amp;Dta=/var/www/html/dta/S01/10561.5278.2.dta&amp;Global_Mod=CS57.0215", "5278")</f>
        <v>5278</v>
      </c>
      <c r="S495" s="36" t="str">
        <f>HYPERLINK("http://ms.phosphosite.org:5080/cgi-bin/plot-msms.cgi?MassType=1&amp;NumAxis=1&amp;Mod7=170&amp;Pep=GDNPFPKNADGTVR&amp;Dta=/var/www/html/dta/S01/10562.5374.2.dta&amp;Global_Mod=CS57.0215", "5374")</f>
        <v>5374</v>
      </c>
      <c r="T495" s="36" t="str">
        <f>HYPERLINK("http://ms.phosphosite.org:5080/cgi-bin/plot-msms.cgi?MassType=1&amp;NumAxis=1&amp;Mod7=170&amp;Pep=GDNPFPKNADGTVR&amp;Dta=/var/www/html/dta/S01/10563.5319.2.dta&amp;Global_Mod=CS57.0215", "5319")</f>
        <v>5319</v>
      </c>
      <c r="U495" s="36" t="str">
        <f>HYPERLINK("http://ms.phosphosite.org:5080/cgi-bin/plot-msms.cgi?MassType=1&amp;NumAxis=1&amp;Mod7=170&amp;Pep=GDNPFPKNADGTVR&amp;Dta=/var/www/html/dta/S01/10564.5678.2.dta&amp;Global_Mod=CS57.0215", "5678")</f>
        <v>5678</v>
      </c>
      <c r="V495" s="36" t="str">
        <f>HYPERLINK("http://ms.phosphosite.org:5080/cgi-bin/plot-msms.cgi?MassType=1&amp;NumAxis=1&amp;Mod7=170&amp;Pep=GDNPFPKNADGTVR&amp;Dta=/var/www/html/dta/S01/10565.5756.2.dta&amp;Global_Mod=CS57.0215", "5756")</f>
        <v>5756</v>
      </c>
      <c r="W495" s="5">
        <v>5327</v>
      </c>
      <c r="X495" s="5">
        <v>5262</v>
      </c>
      <c r="Y495" s="5">
        <v>5255</v>
      </c>
      <c r="Z495" s="5">
        <v>5282</v>
      </c>
      <c r="AA495" s="5">
        <v>5380</v>
      </c>
      <c r="AB495" s="5">
        <v>5309</v>
      </c>
      <c r="AC495" s="5">
        <v>5671</v>
      </c>
      <c r="AD495" s="5">
        <v>5757</v>
      </c>
      <c r="AE495" s="90">
        <v>3.0289999999999999</v>
      </c>
      <c r="AF495" s="90">
        <v>2.7519999999999998</v>
      </c>
      <c r="AG495" s="90">
        <v>2.5880000000000001</v>
      </c>
      <c r="AH495" s="90">
        <v>2.5329999999999999</v>
      </c>
      <c r="AI495" s="90">
        <v>3.343</v>
      </c>
      <c r="AJ495" s="90">
        <v>2.9750000000000001</v>
      </c>
      <c r="AK495" s="90">
        <v>2.4060000000000001</v>
      </c>
      <c r="AL495" s="90">
        <v>2.9220000000000002</v>
      </c>
      <c r="AM495" s="21">
        <v>0.3085</v>
      </c>
      <c r="AN495" s="21">
        <v>0.57389999999999997</v>
      </c>
      <c r="AO495" s="21">
        <v>0.68700000000000006</v>
      </c>
      <c r="AP495" s="21">
        <v>1.1636</v>
      </c>
      <c r="AQ495" s="21">
        <v>-2.75E-2</v>
      </c>
      <c r="AR495" s="21">
        <v>0.7903</v>
      </c>
      <c r="AS495" s="21">
        <v>-0.1726</v>
      </c>
      <c r="AT495" s="21">
        <v>0.49149999999999999</v>
      </c>
      <c r="AU495" s="21">
        <v>0.38</v>
      </c>
      <c r="AV495" s="21">
        <v>0.27600000000000002</v>
      </c>
      <c r="AW495" s="21">
        <v>0.29399999999999998</v>
      </c>
      <c r="AX495" s="21">
        <v>0.21099999999999999</v>
      </c>
      <c r="AY495" s="21">
        <v>0.36199999999999999</v>
      </c>
      <c r="AZ495" s="21">
        <v>0.30499999999999999</v>
      </c>
      <c r="BA495" s="21">
        <v>0.30499999999999999</v>
      </c>
      <c r="BB495" s="21">
        <v>0.36199999999999999</v>
      </c>
      <c r="BC495" s="5">
        <v>1</v>
      </c>
      <c r="BD495" s="5">
        <v>1</v>
      </c>
      <c r="BE495" s="5">
        <v>1</v>
      </c>
      <c r="BF495" s="5">
        <v>1</v>
      </c>
      <c r="BG495" s="5">
        <v>1</v>
      </c>
      <c r="BH495" s="5">
        <v>1</v>
      </c>
      <c r="BI495" s="5">
        <v>1</v>
      </c>
      <c r="BJ495" s="5">
        <v>1</v>
      </c>
      <c r="BK495" s="90">
        <v>1</v>
      </c>
      <c r="BL495" s="90">
        <v>0.999</v>
      </c>
      <c r="BM495" s="90">
        <v>0.999</v>
      </c>
      <c r="BN495" s="90">
        <v>0.998</v>
      </c>
      <c r="BO495" s="90">
        <v>1</v>
      </c>
      <c r="BP495" s="90">
        <v>1</v>
      </c>
      <c r="BQ495" s="90">
        <v>0.999</v>
      </c>
      <c r="BR495" s="90">
        <v>1</v>
      </c>
      <c r="BS495" s="5" t="s">
        <v>4857</v>
      </c>
    </row>
    <row r="496" spans="1:71" s="30" customFormat="1" ht="17.100000000000001" customHeight="1">
      <c r="A496" s="10">
        <v>485</v>
      </c>
      <c r="B496" s="10" t="s">
        <v>3082</v>
      </c>
      <c r="C496" s="4" t="s">
        <v>3178</v>
      </c>
      <c r="D496" s="4" t="s">
        <v>3083</v>
      </c>
      <c r="E496" s="4" t="s">
        <v>3084</v>
      </c>
      <c r="F496" s="10" t="s">
        <v>5022</v>
      </c>
      <c r="G496" s="4" t="s">
        <v>3085</v>
      </c>
      <c r="H496" s="7" t="s">
        <v>3086</v>
      </c>
      <c r="I496" s="4" t="s">
        <v>3087</v>
      </c>
      <c r="J496" s="10" t="s">
        <v>4430</v>
      </c>
      <c r="K496" s="4" t="s">
        <v>5618</v>
      </c>
      <c r="L496" s="4" t="s">
        <v>3088</v>
      </c>
      <c r="M496" s="10">
        <v>2</v>
      </c>
      <c r="N496" s="95">
        <v>1005.5</v>
      </c>
      <c r="O496" s="37" t="str">
        <f>HYPERLINK("http://ms.phosphosite.org:5080/cgi-bin/plot-msms.cgi?MassType=1&amp;NumAxis=1&amp;Mod6=170&amp;Pep=QSGFGKDLGEAALNEYLR&amp;Dta=/var/www/html/dta/S01/10558.11937.2.dta&amp;Global_Mod=CS57.0215", "11937")</f>
        <v>11937</v>
      </c>
      <c r="P496" s="38" t="s">
        <v>4854</v>
      </c>
      <c r="Q496" s="37" t="str">
        <f>HYPERLINK("http://ms.phosphosite.org:5080/cgi-bin/plot-msms.cgi?MassType=1&amp;NumAxis=1&amp;Mod6=170&amp;Pep=QSGFGKDLGEAALNEYLR&amp;Dta=/var/www/html/dta/S01/10560.11996.2.dta&amp;Global_Mod=CS57.0215", "11996")</f>
        <v>11996</v>
      </c>
      <c r="R496" s="38" t="s">
        <v>4854</v>
      </c>
      <c r="S496" s="37" t="str">
        <f>HYPERLINK("http://ms.phosphosite.org:5080/cgi-bin/plot-msms.cgi?MassType=1&amp;NumAxis=1&amp;Mod6=170&amp;Pep=QSGFGKDLGEAALNEYLR&amp;Dta=/var/www/html/dta/S01/10562.12210.2.dta&amp;Global_Mod=CS57.0215", "12210")</f>
        <v>12210</v>
      </c>
      <c r="T496" s="37" t="str">
        <f>HYPERLINK("http://ms.phosphosite.org:5080/cgi-bin/plot-msms.cgi?MassType=1&amp;NumAxis=1&amp;Mod6=170&amp;Pep=QSGFGKDLGEAALNEYLR&amp;Dta=/var/www/html/dta/S01/10563.12132.2.dta&amp;Global_Mod=CS57.0215", "12132")</f>
        <v>12132</v>
      </c>
      <c r="U496" s="38" t="s">
        <v>4854</v>
      </c>
      <c r="V496" s="38" t="s">
        <v>4854</v>
      </c>
      <c r="W496" s="10">
        <v>11955</v>
      </c>
      <c r="X496" s="4" t="s">
        <v>4854</v>
      </c>
      <c r="Y496" s="10">
        <v>12011</v>
      </c>
      <c r="Z496" s="4" t="s">
        <v>4854</v>
      </c>
      <c r="AA496" s="10">
        <v>12226</v>
      </c>
      <c r="AB496" s="10">
        <v>12136</v>
      </c>
      <c r="AC496" s="4" t="s">
        <v>4854</v>
      </c>
      <c r="AD496" s="4" t="s">
        <v>4854</v>
      </c>
      <c r="AE496" s="91">
        <v>2.899</v>
      </c>
      <c r="AF496" s="100" t="s">
        <v>4854</v>
      </c>
      <c r="AG496" s="91">
        <v>3.036</v>
      </c>
      <c r="AH496" s="100" t="s">
        <v>4854</v>
      </c>
      <c r="AI496" s="91">
        <v>3.0819999999999999</v>
      </c>
      <c r="AJ496" s="91">
        <v>3.0419999999999998</v>
      </c>
      <c r="AK496" s="100" t="s">
        <v>4854</v>
      </c>
      <c r="AL496" s="100" t="s">
        <v>4854</v>
      </c>
      <c r="AM496" s="95">
        <v>0.3271</v>
      </c>
      <c r="AN496" s="103" t="s">
        <v>4854</v>
      </c>
      <c r="AO496" s="95">
        <v>0.49669999999999997</v>
      </c>
      <c r="AP496" s="103" t="s">
        <v>4854</v>
      </c>
      <c r="AQ496" s="95">
        <v>-0.31669999999999998</v>
      </c>
      <c r="AR496" s="95">
        <v>-0.26700000000000002</v>
      </c>
      <c r="AS496" s="103" t="s">
        <v>4854</v>
      </c>
      <c r="AT496" s="103" t="s">
        <v>4854</v>
      </c>
      <c r="AU496" s="95">
        <v>0.53200000000000003</v>
      </c>
      <c r="AV496" s="103" t="s">
        <v>4854</v>
      </c>
      <c r="AW496" s="95">
        <v>0.56200000000000006</v>
      </c>
      <c r="AX496" s="103" t="s">
        <v>4854</v>
      </c>
      <c r="AY496" s="95">
        <v>0.52700000000000002</v>
      </c>
      <c r="AZ496" s="95">
        <v>0.51500000000000001</v>
      </c>
      <c r="BA496" s="103" t="s">
        <v>4854</v>
      </c>
      <c r="BB496" s="103" t="s">
        <v>4854</v>
      </c>
      <c r="BC496" s="10">
        <v>2</v>
      </c>
      <c r="BD496" s="4" t="s">
        <v>4854</v>
      </c>
      <c r="BE496" s="10">
        <v>1</v>
      </c>
      <c r="BF496" s="4" t="s">
        <v>4854</v>
      </c>
      <c r="BG496" s="10">
        <v>1</v>
      </c>
      <c r="BH496" s="10">
        <v>1</v>
      </c>
      <c r="BI496" s="4" t="s">
        <v>4854</v>
      </c>
      <c r="BJ496" s="4" t="s">
        <v>4854</v>
      </c>
      <c r="BK496" s="91">
        <v>1</v>
      </c>
      <c r="BL496" s="100" t="s">
        <v>4854</v>
      </c>
      <c r="BM496" s="91">
        <v>1</v>
      </c>
      <c r="BN496" s="100" t="s">
        <v>4854</v>
      </c>
      <c r="BO496" s="91">
        <v>1</v>
      </c>
      <c r="BP496" s="91">
        <v>1</v>
      </c>
      <c r="BQ496" s="100" t="s">
        <v>4854</v>
      </c>
      <c r="BR496" s="100" t="s">
        <v>4854</v>
      </c>
      <c r="BS496" s="10" t="s">
        <v>4857</v>
      </c>
    </row>
    <row r="497" spans="1:71" s="30" customFormat="1" ht="17.100000000000001" customHeight="1">
      <c r="A497" s="10">
        <v>486</v>
      </c>
      <c r="B497" s="10" t="s">
        <v>4574</v>
      </c>
      <c r="C497" s="4" t="s">
        <v>3178</v>
      </c>
      <c r="D497" s="4" t="s">
        <v>3083</v>
      </c>
      <c r="E497" s="4" t="s">
        <v>3084</v>
      </c>
      <c r="F497" s="10" t="s">
        <v>5022</v>
      </c>
      <c r="G497" s="4" t="s">
        <v>3085</v>
      </c>
      <c r="H497" s="7" t="s">
        <v>3086</v>
      </c>
      <c r="I497" s="4" t="s">
        <v>3087</v>
      </c>
      <c r="J497" s="10" t="s">
        <v>4430</v>
      </c>
      <c r="K497" s="4" t="s">
        <v>5618</v>
      </c>
      <c r="L497" s="4" t="s">
        <v>3088</v>
      </c>
      <c r="M497" s="10">
        <v>3</v>
      </c>
      <c r="N497" s="95">
        <v>670.66909999999996</v>
      </c>
      <c r="O497" s="38" t="s">
        <v>4854</v>
      </c>
      <c r="P497" s="37" t="str">
        <f>HYPERLINK("http://ms.phosphosite.org:5080/cgi-bin/plot-msms.cgi?MassType=1&amp;NumAxis=1&amp;Mod6=170&amp;Pep=QSGFGKDLGEAALNEYLR&amp;Dta=/var/www/html/dta/S01/10559.11970.3.dta&amp;Global_Mod=CS57.0215", "11970")</f>
        <v>11970</v>
      </c>
      <c r="Q497" s="38" t="s">
        <v>4854</v>
      </c>
      <c r="R497" s="37" t="str">
        <f>HYPERLINK("http://ms.phosphosite.org:5080/cgi-bin/plot-msms.cgi?MassType=1&amp;NumAxis=1&amp;Mod6=170&amp;Pep=QSGFGKDLGEAALNEYLR&amp;Dta=/var/www/html/dta/S01/10561.12045.3.dta&amp;Global_Mod=CS57.0215", "12045")</f>
        <v>12045</v>
      </c>
      <c r="S497" s="38" t="s">
        <v>4854</v>
      </c>
      <c r="T497" s="37" t="str">
        <f>HYPERLINK("http://ms.phosphosite.org:5080/cgi-bin/plot-msms.cgi?MassType=1&amp;NumAxis=1&amp;Mod6=170&amp;Pep=QSGFGKDLGEAALNEYLR&amp;Dta=/var/www/html/dta/S01/10563.12128.3.dta&amp;Global_Mod=CS57.0215", "12128")</f>
        <v>12128</v>
      </c>
      <c r="U497" s="38" t="s">
        <v>4854</v>
      </c>
      <c r="V497" s="38" t="s">
        <v>4854</v>
      </c>
      <c r="W497" s="4" t="s">
        <v>4854</v>
      </c>
      <c r="X497" s="10">
        <v>11988</v>
      </c>
      <c r="Y497" s="4" t="s">
        <v>4854</v>
      </c>
      <c r="Z497" s="4" t="s">
        <v>4854</v>
      </c>
      <c r="AA497" s="4" t="s">
        <v>4854</v>
      </c>
      <c r="AB497" s="10">
        <v>12147</v>
      </c>
      <c r="AC497" s="4" t="s">
        <v>4854</v>
      </c>
      <c r="AD497" s="4" t="s">
        <v>4854</v>
      </c>
      <c r="AE497" s="100" t="s">
        <v>4854</v>
      </c>
      <c r="AF497" s="91">
        <v>2.7320000000000002</v>
      </c>
      <c r="AG497" s="100" t="s">
        <v>4854</v>
      </c>
      <c r="AH497" s="91">
        <v>1.968</v>
      </c>
      <c r="AI497" s="100" t="s">
        <v>4854</v>
      </c>
      <c r="AJ497" s="91">
        <v>3.7189999999999999</v>
      </c>
      <c r="AK497" s="100" t="s">
        <v>4854</v>
      </c>
      <c r="AL497" s="100" t="s">
        <v>4854</v>
      </c>
      <c r="AM497" s="103" t="s">
        <v>4854</v>
      </c>
      <c r="AN497" s="95">
        <v>0.52459999999999996</v>
      </c>
      <c r="AO497" s="103" t="s">
        <v>4854</v>
      </c>
      <c r="AP497" s="95">
        <v>0.52810000000000001</v>
      </c>
      <c r="AQ497" s="103" t="s">
        <v>4854</v>
      </c>
      <c r="AR497" s="95">
        <v>0.33400000000000002</v>
      </c>
      <c r="AS497" s="103" t="s">
        <v>4854</v>
      </c>
      <c r="AT497" s="103" t="s">
        <v>4854</v>
      </c>
      <c r="AU497" s="103" t="s">
        <v>4854</v>
      </c>
      <c r="AV497" s="95">
        <v>0.254</v>
      </c>
      <c r="AW497" s="103" t="s">
        <v>4854</v>
      </c>
      <c r="AX497" s="95">
        <v>5.7000000000000002E-2</v>
      </c>
      <c r="AY497" s="103" t="s">
        <v>4854</v>
      </c>
      <c r="AZ497" s="95">
        <v>0.30199999999999999</v>
      </c>
      <c r="BA497" s="103" t="s">
        <v>4854</v>
      </c>
      <c r="BB497" s="103" t="s">
        <v>4854</v>
      </c>
      <c r="BC497" s="4" t="s">
        <v>4854</v>
      </c>
      <c r="BD497" s="10">
        <v>2</v>
      </c>
      <c r="BE497" s="4" t="s">
        <v>4854</v>
      </c>
      <c r="BF497" s="10">
        <v>9</v>
      </c>
      <c r="BG497" s="4" t="s">
        <v>4854</v>
      </c>
      <c r="BH497" s="10">
        <v>1</v>
      </c>
      <c r="BI497" s="4" t="s">
        <v>4854</v>
      </c>
      <c r="BJ497" s="4" t="s">
        <v>4854</v>
      </c>
      <c r="BK497" s="100" t="s">
        <v>4854</v>
      </c>
      <c r="BL497" s="91">
        <v>0.999</v>
      </c>
      <c r="BM497" s="100" t="s">
        <v>4854</v>
      </c>
      <c r="BN497" s="91">
        <v>0.90900000000000003</v>
      </c>
      <c r="BO497" s="100" t="s">
        <v>4854</v>
      </c>
      <c r="BP497" s="91">
        <v>1</v>
      </c>
      <c r="BQ497" s="100" t="s">
        <v>4854</v>
      </c>
      <c r="BR497" s="100" t="s">
        <v>4854</v>
      </c>
      <c r="BS497" s="10" t="s">
        <v>4857</v>
      </c>
    </row>
    <row r="498" spans="1:71" s="30" customFormat="1" ht="17.100000000000001" customHeight="1">
      <c r="A498" s="14">
        <v>487</v>
      </c>
      <c r="B498" s="5" t="s">
        <v>3089</v>
      </c>
      <c r="C498" s="3" t="s">
        <v>3178</v>
      </c>
      <c r="D498" s="3" t="s">
        <v>3090</v>
      </c>
      <c r="E498" s="3" t="s">
        <v>3091</v>
      </c>
      <c r="F498" s="5" t="s">
        <v>4139</v>
      </c>
      <c r="G498" s="3" t="s">
        <v>3092</v>
      </c>
      <c r="H498" s="6" t="s">
        <v>3093</v>
      </c>
      <c r="I498" s="3" t="s">
        <v>3094</v>
      </c>
      <c r="J498" s="5" t="s">
        <v>4441</v>
      </c>
      <c r="K498" s="3" t="s">
        <v>5619</v>
      </c>
      <c r="L498" s="3" t="s">
        <v>3095</v>
      </c>
      <c r="M498" s="5">
        <v>2</v>
      </c>
      <c r="N498" s="21">
        <v>962.93889999999999</v>
      </c>
      <c r="O498" s="36" t="str">
        <f>HYPERLINK("http://ms.phosphosite.org:5080/cgi-bin/plot-msms.cgi?MassType=1&amp;NumAxis=1&amp;Mod2=160&amp;Mod5=170&amp;Pep=SCDVKPNDTVDSLYNR&amp;Dta=/var/www/html/dta/S01/10558.6619.2.dta&amp;Global_Mod=CS57.0215", "6619")</f>
        <v>6619</v>
      </c>
      <c r="P498" s="35" t="s">
        <v>4854</v>
      </c>
      <c r="Q498" s="35" t="s">
        <v>4854</v>
      </c>
      <c r="R498" s="35" t="s">
        <v>4854</v>
      </c>
      <c r="S498" s="35" t="s">
        <v>4854</v>
      </c>
      <c r="T498" s="35" t="s">
        <v>4854</v>
      </c>
      <c r="U498" s="35" t="s">
        <v>4854</v>
      </c>
      <c r="V498" s="35" t="s">
        <v>4854</v>
      </c>
      <c r="W498" s="5">
        <v>6622</v>
      </c>
      <c r="X498" s="3" t="s">
        <v>4854</v>
      </c>
      <c r="Y498" s="3" t="s">
        <v>4854</v>
      </c>
      <c r="Z498" s="3" t="s">
        <v>4854</v>
      </c>
      <c r="AA498" s="3" t="s">
        <v>4854</v>
      </c>
      <c r="AB498" s="3" t="s">
        <v>4854</v>
      </c>
      <c r="AC498" s="3" t="s">
        <v>4854</v>
      </c>
      <c r="AD498" s="3" t="s">
        <v>4854</v>
      </c>
      <c r="AE498" s="90">
        <v>2.9649999999999999</v>
      </c>
      <c r="AF498" s="99" t="s">
        <v>4854</v>
      </c>
      <c r="AG498" s="99" t="s">
        <v>4854</v>
      </c>
      <c r="AH498" s="99" t="s">
        <v>4854</v>
      </c>
      <c r="AI498" s="99" t="s">
        <v>4854</v>
      </c>
      <c r="AJ498" s="99" t="s">
        <v>4854</v>
      </c>
      <c r="AK498" s="99" t="s">
        <v>4854</v>
      </c>
      <c r="AL498" s="99" t="s">
        <v>4854</v>
      </c>
      <c r="AM498" s="21">
        <v>-3.8699999999999998E-2</v>
      </c>
      <c r="AN498" s="102" t="s">
        <v>4854</v>
      </c>
      <c r="AO498" s="102" t="s">
        <v>4854</v>
      </c>
      <c r="AP498" s="102" t="s">
        <v>4854</v>
      </c>
      <c r="AQ498" s="102" t="s">
        <v>4854</v>
      </c>
      <c r="AR498" s="102" t="s">
        <v>4854</v>
      </c>
      <c r="AS498" s="102" t="s">
        <v>4854</v>
      </c>
      <c r="AT498" s="102" t="s">
        <v>4854</v>
      </c>
      <c r="AU498" s="21">
        <v>0.502</v>
      </c>
      <c r="AV498" s="102" t="s">
        <v>4854</v>
      </c>
      <c r="AW498" s="102" t="s">
        <v>4854</v>
      </c>
      <c r="AX498" s="102" t="s">
        <v>4854</v>
      </c>
      <c r="AY498" s="102" t="s">
        <v>4854</v>
      </c>
      <c r="AZ498" s="102" t="s">
        <v>4854</v>
      </c>
      <c r="BA498" s="102" t="s">
        <v>4854</v>
      </c>
      <c r="BB498" s="102" t="s">
        <v>4854</v>
      </c>
      <c r="BC498" s="5">
        <v>1</v>
      </c>
      <c r="BD498" s="3" t="s">
        <v>4854</v>
      </c>
      <c r="BE498" s="3" t="s">
        <v>4854</v>
      </c>
      <c r="BF498" s="3" t="s">
        <v>4854</v>
      </c>
      <c r="BG498" s="3" t="s">
        <v>4854</v>
      </c>
      <c r="BH498" s="3" t="s">
        <v>4854</v>
      </c>
      <c r="BI498" s="3" t="s">
        <v>4854</v>
      </c>
      <c r="BJ498" s="3" t="s">
        <v>4854</v>
      </c>
      <c r="BK498" s="90">
        <v>1</v>
      </c>
      <c r="BL498" s="99" t="s">
        <v>4854</v>
      </c>
      <c r="BM498" s="99" t="s">
        <v>4854</v>
      </c>
      <c r="BN498" s="99" t="s">
        <v>4854</v>
      </c>
      <c r="BO498" s="99" t="s">
        <v>4854</v>
      </c>
      <c r="BP498" s="99" t="s">
        <v>4854</v>
      </c>
      <c r="BQ498" s="99" t="s">
        <v>4854</v>
      </c>
      <c r="BR498" s="99" t="s">
        <v>4854</v>
      </c>
      <c r="BS498" s="5" t="s">
        <v>4857</v>
      </c>
    </row>
    <row r="499" spans="1:71" s="30" customFormat="1" ht="17.100000000000001" customHeight="1">
      <c r="A499" s="10">
        <v>488</v>
      </c>
      <c r="B499" s="10" t="s">
        <v>3096</v>
      </c>
      <c r="C499" s="4" t="s">
        <v>3178</v>
      </c>
      <c r="D499" s="4" t="s">
        <v>3097</v>
      </c>
      <c r="E499" s="4" t="s">
        <v>3098</v>
      </c>
      <c r="F499" s="10" t="s">
        <v>4046</v>
      </c>
      <c r="G499" s="4" t="s">
        <v>3099</v>
      </c>
      <c r="H499" s="7" t="s">
        <v>3100</v>
      </c>
      <c r="I499" s="4" t="s">
        <v>3101</v>
      </c>
      <c r="J499" s="10" t="s">
        <v>4593</v>
      </c>
      <c r="K499" s="4" t="s">
        <v>5620</v>
      </c>
      <c r="L499" s="4" t="s">
        <v>3102</v>
      </c>
      <c r="M499" s="10">
        <v>4</v>
      </c>
      <c r="N499" s="95">
        <v>771.6671</v>
      </c>
      <c r="O499" s="38" t="s">
        <v>4854</v>
      </c>
      <c r="P499" s="38" t="s">
        <v>4854</v>
      </c>
      <c r="Q499" s="38" t="s">
        <v>4854</v>
      </c>
      <c r="R499" s="38" t="s">
        <v>4854</v>
      </c>
      <c r="S499" s="38" t="s">
        <v>4854</v>
      </c>
      <c r="T499" s="38" t="s">
        <v>4854</v>
      </c>
      <c r="U499" s="37" t="str">
        <f>HYPERLINK("http://ms.phosphosite.org:5080/cgi-bin/plot-msms.cgi?MassType=1&amp;NumAxis=1&amp;Mod21=170&amp;Pep=NPNRPEWDGYIPGFPILINIKATRFL&amp;Dta=/var/www/html/dta/S01/10564.14755.4.dta&amp;Global_Mod=CS57.0215", "14755")</f>
        <v>14755</v>
      </c>
      <c r="V499" s="38" t="s">
        <v>4854</v>
      </c>
      <c r="W499" s="4" t="s">
        <v>4854</v>
      </c>
      <c r="X499" s="4" t="s">
        <v>4854</v>
      </c>
      <c r="Y499" s="4" t="s">
        <v>4854</v>
      </c>
      <c r="Z499" s="4" t="s">
        <v>4854</v>
      </c>
      <c r="AA499" s="4" t="s">
        <v>4854</v>
      </c>
      <c r="AB499" s="4" t="s">
        <v>4854</v>
      </c>
      <c r="AC499" s="4" t="s">
        <v>4854</v>
      </c>
      <c r="AD499" s="4" t="s">
        <v>4854</v>
      </c>
      <c r="AE499" s="100" t="s">
        <v>4854</v>
      </c>
      <c r="AF499" s="100" t="s">
        <v>4854</v>
      </c>
      <c r="AG499" s="100" t="s">
        <v>4854</v>
      </c>
      <c r="AH499" s="100" t="s">
        <v>4854</v>
      </c>
      <c r="AI499" s="100" t="s">
        <v>4854</v>
      </c>
      <c r="AJ499" s="100" t="s">
        <v>4854</v>
      </c>
      <c r="AK499" s="91">
        <v>2.8519999999999999</v>
      </c>
      <c r="AL499" s="100" t="s">
        <v>4854</v>
      </c>
      <c r="AM499" s="103" t="s">
        <v>4854</v>
      </c>
      <c r="AN499" s="103" t="s">
        <v>4854</v>
      </c>
      <c r="AO499" s="103" t="s">
        <v>4854</v>
      </c>
      <c r="AP499" s="103" t="s">
        <v>4854</v>
      </c>
      <c r="AQ499" s="103" t="s">
        <v>4854</v>
      </c>
      <c r="AR499" s="103" t="s">
        <v>4854</v>
      </c>
      <c r="AS499" s="95">
        <v>2.1061000000000001</v>
      </c>
      <c r="AT499" s="103" t="s">
        <v>4854</v>
      </c>
      <c r="AU499" s="103" t="s">
        <v>4854</v>
      </c>
      <c r="AV499" s="103" t="s">
        <v>4854</v>
      </c>
      <c r="AW499" s="103" t="s">
        <v>4854</v>
      </c>
      <c r="AX499" s="103" t="s">
        <v>4854</v>
      </c>
      <c r="AY499" s="103" t="s">
        <v>4854</v>
      </c>
      <c r="AZ499" s="103" t="s">
        <v>4854</v>
      </c>
      <c r="BA499" s="95">
        <v>0.10100000000000001</v>
      </c>
      <c r="BB499" s="103" t="s">
        <v>4854</v>
      </c>
      <c r="BC499" s="4" t="s">
        <v>4854</v>
      </c>
      <c r="BD499" s="4" t="s">
        <v>4854</v>
      </c>
      <c r="BE499" s="4" t="s">
        <v>4854</v>
      </c>
      <c r="BF499" s="4" t="s">
        <v>4854</v>
      </c>
      <c r="BG499" s="4" t="s">
        <v>4854</v>
      </c>
      <c r="BH499" s="4" t="s">
        <v>4854</v>
      </c>
      <c r="BI499" s="10">
        <v>1</v>
      </c>
      <c r="BJ499" s="4" t="s">
        <v>4854</v>
      </c>
      <c r="BK499" s="100" t="s">
        <v>4854</v>
      </c>
      <c r="BL499" s="100" t="s">
        <v>4854</v>
      </c>
      <c r="BM499" s="100" t="s">
        <v>4854</v>
      </c>
      <c r="BN499" s="100" t="s">
        <v>4854</v>
      </c>
      <c r="BO499" s="100" t="s">
        <v>4854</v>
      </c>
      <c r="BP499" s="100" t="s">
        <v>4854</v>
      </c>
      <c r="BQ499" s="91">
        <v>0.33600000000000002</v>
      </c>
      <c r="BR499" s="100" t="s">
        <v>4854</v>
      </c>
      <c r="BS499" s="10" t="s">
        <v>4857</v>
      </c>
    </row>
    <row r="500" spans="1:71" s="30" customFormat="1" ht="17.100000000000001" customHeight="1">
      <c r="A500" s="14">
        <v>489</v>
      </c>
      <c r="B500" s="5" t="s">
        <v>3103</v>
      </c>
      <c r="C500" s="3" t="s">
        <v>3178</v>
      </c>
      <c r="D500" s="3" t="s">
        <v>3104</v>
      </c>
      <c r="E500" s="3" t="s">
        <v>3105</v>
      </c>
      <c r="F500" s="5" t="s">
        <v>3106</v>
      </c>
      <c r="G500" s="3" t="s">
        <v>3107</v>
      </c>
      <c r="H500" s="6" t="s">
        <v>3108</v>
      </c>
      <c r="I500" s="3" t="s">
        <v>3109</v>
      </c>
      <c r="J500" s="5" t="s">
        <v>3110</v>
      </c>
      <c r="K500" s="3" t="s">
        <v>5621</v>
      </c>
      <c r="L500" s="3" t="s">
        <v>3111</v>
      </c>
      <c r="M500" s="5">
        <v>3</v>
      </c>
      <c r="N500" s="21">
        <v>427.26260000000002</v>
      </c>
      <c r="O500" s="35" t="s">
        <v>4854</v>
      </c>
      <c r="P500" s="35" t="s">
        <v>4854</v>
      </c>
      <c r="Q500" s="35" t="s">
        <v>4854</v>
      </c>
      <c r="R500" s="36" t="str">
        <f>HYPERLINK("http://ms.phosphosite.org:5080/cgi-bin/plot-msms.cgi?MassType=1&amp;NumAxis=1&amp;Mod8=170&amp;Pep=AIDRPSPKLLK&amp;Dta=/var/www/html/dta/S01/10561.4563.3.dta&amp;Global_Mod=CS57.0215", "4563")</f>
        <v>4563</v>
      </c>
      <c r="S500" s="36" t="str">
        <f>HYPERLINK("http://ms.phosphosite.org:5080/cgi-bin/plot-msms.cgi?MassType=1&amp;NumAxis=1&amp;Mod8=170&amp;Pep=AIDRPSPKLLK&amp;Dta=/var/www/html/dta/S01/10562.4664.3.dta&amp;Global_Mod=CS57.0215", "4664")</f>
        <v>4664</v>
      </c>
      <c r="T500" s="36" t="str">
        <f>HYPERLINK("http://ms.phosphosite.org:5080/cgi-bin/plot-msms.cgi?MassType=1&amp;NumAxis=1&amp;Mod8=170&amp;Pep=AIDRPSPKLLK&amp;Dta=/var/www/html/dta/S01/10563.4591.3.dta&amp;Global_Mod=CS57.0215", "4591")</f>
        <v>4591</v>
      </c>
      <c r="U500" s="35" t="s">
        <v>4854</v>
      </c>
      <c r="V500" s="35" t="s">
        <v>4854</v>
      </c>
      <c r="W500" s="3" t="s">
        <v>4854</v>
      </c>
      <c r="X500" s="3" t="s">
        <v>4854</v>
      </c>
      <c r="Y500" s="3" t="s">
        <v>4854</v>
      </c>
      <c r="Z500" s="3" t="s">
        <v>4854</v>
      </c>
      <c r="AA500" s="3" t="s">
        <v>4854</v>
      </c>
      <c r="AB500" s="3" t="s">
        <v>4854</v>
      </c>
      <c r="AC500" s="3" t="s">
        <v>4854</v>
      </c>
      <c r="AD500" s="3" t="s">
        <v>4854</v>
      </c>
      <c r="AE500" s="99" t="s">
        <v>4854</v>
      </c>
      <c r="AF500" s="99" t="s">
        <v>4854</v>
      </c>
      <c r="AG500" s="99" t="s">
        <v>4854</v>
      </c>
      <c r="AH500" s="90">
        <v>2.0169999999999999</v>
      </c>
      <c r="AI500" s="90">
        <v>2.044</v>
      </c>
      <c r="AJ500" s="90">
        <v>2.1259999999999999</v>
      </c>
      <c r="AK500" s="99" t="s">
        <v>4854</v>
      </c>
      <c r="AL500" s="99" t="s">
        <v>4854</v>
      </c>
      <c r="AM500" s="102" t="s">
        <v>4854</v>
      </c>
      <c r="AN500" s="102" t="s">
        <v>4854</v>
      </c>
      <c r="AO500" s="102" t="s">
        <v>4854</v>
      </c>
      <c r="AP500" s="21">
        <v>0.74880000000000002</v>
      </c>
      <c r="AQ500" s="21">
        <v>0.68</v>
      </c>
      <c r="AR500" s="21">
        <v>0.62839999999999996</v>
      </c>
      <c r="AS500" s="102" t="s">
        <v>4854</v>
      </c>
      <c r="AT500" s="102" t="s">
        <v>4854</v>
      </c>
      <c r="AU500" s="102" t="s">
        <v>4854</v>
      </c>
      <c r="AV500" s="102" t="s">
        <v>4854</v>
      </c>
      <c r="AW500" s="102" t="s">
        <v>4854</v>
      </c>
      <c r="AX500" s="21">
        <v>0.189</v>
      </c>
      <c r="AY500" s="21">
        <v>9.5000000000000001E-2</v>
      </c>
      <c r="AZ500" s="21">
        <v>6.3E-2</v>
      </c>
      <c r="BA500" s="102" t="s">
        <v>4854</v>
      </c>
      <c r="BB500" s="102" t="s">
        <v>4854</v>
      </c>
      <c r="BC500" s="3" t="s">
        <v>4854</v>
      </c>
      <c r="BD500" s="3" t="s">
        <v>4854</v>
      </c>
      <c r="BE500" s="3" t="s">
        <v>4854</v>
      </c>
      <c r="BF500" s="5">
        <v>4</v>
      </c>
      <c r="BG500" s="5">
        <v>24</v>
      </c>
      <c r="BH500" s="5">
        <v>15</v>
      </c>
      <c r="BI500" s="3" t="s">
        <v>4854</v>
      </c>
      <c r="BJ500" s="3" t="s">
        <v>4854</v>
      </c>
      <c r="BK500" s="99" t="s">
        <v>4854</v>
      </c>
      <c r="BL500" s="99" t="s">
        <v>4854</v>
      </c>
      <c r="BM500" s="99" t="s">
        <v>4854</v>
      </c>
      <c r="BN500" s="90">
        <v>0.35799999999999998</v>
      </c>
      <c r="BO500" s="90">
        <v>8.4000000000000005E-2</v>
      </c>
      <c r="BP500" s="90">
        <v>7.0999999999999994E-2</v>
      </c>
      <c r="BQ500" s="99" t="s">
        <v>4854</v>
      </c>
      <c r="BR500" s="99" t="s">
        <v>4854</v>
      </c>
      <c r="BS500" s="5" t="s">
        <v>4857</v>
      </c>
    </row>
    <row r="501" spans="1:71" s="30" customFormat="1" ht="17.100000000000001" customHeight="1">
      <c r="A501" s="14">
        <v>490</v>
      </c>
      <c r="B501" s="5" t="s">
        <v>4510</v>
      </c>
      <c r="C501" s="3" t="s">
        <v>3178</v>
      </c>
      <c r="D501" s="3" t="s">
        <v>3104</v>
      </c>
      <c r="E501" s="3" t="s">
        <v>3105</v>
      </c>
      <c r="F501" s="5" t="s">
        <v>3106</v>
      </c>
      <c r="G501" s="3" t="s">
        <v>3107</v>
      </c>
      <c r="H501" s="6" t="s">
        <v>3108</v>
      </c>
      <c r="I501" s="3" t="s">
        <v>3109</v>
      </c>
      <c r="J501" s="5" t="s">
        <v>3110</v>
      </c>
      <c r="K501" s="3" t="s">
        <v>5621</v>
      </c>
      <c r="L501" s="3" t="s">
        <v>3112</v>
      </c>
      <c r="M501" s="5">
        <v>4</v>
      </c>
      <c r="N501" s="21">
        <v>567.82600000000002</v>
      </c>
      <c r="O501" s="35" t="s">
        <v>4854</v>
      </c>
      <c r="P501" s="35" t="s">
        <v>4854</v>
      </c>
      <c r="Q501" s="35" t="s">
        <v>4854</v>
      </c>
      <c r="R501" s="35" t="s">
        <v>4854</v>
      </c>
      <c r="S501" s="35" t="s">
        <v>4854</v>
      </c>
      <c r="T501" s="36" t="str">
        <f>HYPERLINK("http://ms.phosphosite.org:5080/cgi-bin/plot-msms.cgi?MassType=1&amp;NumAxis=1&amp;Mod16=170&amp;Pep=ERVEPHQLAIDRPSPKLLK&amp;Dta=/var/www/html/dta/S01/10563.5576.4.dta&amp;Global_Mod=CS57.0215", "5576")</f>
        <v>5576</v>
      </c>
      <c r="U501" s="36" t="str">
        <f>HYPERLINK("http://ms.phosphosite.org:5080/cgi-bin/plot-msms.cgi?MassType=1&amp;NumAxis=1&amp;Mod16=170&amp;Pep=ERVEPHQLAIDRPSPKLLK&amp;Dta=/var/www/html/dta/S01/10564.5882.4.dta&amp;Global_Mod=CS57.0215", "5882")</f>
        <v>5882</v>
      </c>
      <c r="V501" s="35" t="s">
        <v>4854</v>
      </c>
      <c r="W501" s="3" t="s">
        <v>4854</v>
      </c>
      <c r="X501" s="3" t="s">
        <v>4854</v>
      </c>
      <c r="Y501" s="3" t="s">
        <v>4854</v>
      </c>
      <c r="Z501" s="3" t="s">
        <v>4854</v>
      </c>
      <c r="AA501" s="3" t="s">
        <v>4854</v>
      </c>
      <c r="AB501" s="3" t="s">
        <v>4854</v>
      </c>
      <c r="AC501" s="5">
        <v>5858</v>
      </c>
      <c r="AD501" s="3" t="s">
        <v>4854</v>
      </c>
      <c r="AE501" s="99" t="s">
        <v>4854</v>
      </c>
      <c r="AF501" s="99" t="s">
        <v>4854</v>
      </c>
      <c r="AG501" s="99" t="s">
        <v>4854</v>
      </c>
      <c r="AH501" s="99" t="s">
        <v>4854</v>
      </c>
      <c r="AI501" s="99" t="s">
        <v>4854</v>
      </c>
      <c r="AJ501" s="90">
        <v>2.9060000000000001</v>
      </c>
      <c r="AK501" s="90">
        <v>2.8769999999999998</v>
      </c>
      <c r="AL501" s="99" t="s">
        <v>4854</v>
      </c>
      <c r="AM501" s="102" t="s">
        <v>4854</v>
      </c>
      <c r="AN501" s="102" t="s">
        <v>4854</v>
      </c>
      <c r="AO501" s="102" t="s">
        <v>4854</v>
      </c>
      <c r="AP501" s="102" t="s">
        <v>4854</v>
      </c>
      <c r="AQ501" s="102" t="s">
        <v>4854</v>
      </c>
      <c r="AR501" s="21">
        <v>0.1847</v>
      </c>
      <c r="AS501" s="21">
        <v>0.25390000000000001</v>
      </c>
      <c r="AT501" s="102" t="s">
        <v>4854</v>
      </c>
      <c r="AU501" s="102" t="s">
        <v>4854</v>
      </c>
      <c r="AV501" s="102" t="s">
        <v>4854</v>
      </c>
      <c r="AW501" s="102" t="s">
        <v>4854</v>
      </c>
      <c r="AX501" s="102" t="s">
        <v>4854</v>
      </c>
      <c r="AY501" s="102" t="s">
        <v>4854</v>
      </c>
      <c r="AZ501" s="21">
        <v>1.9E-2</v>
      </c>
      <c r="BA501" s="21">
        <v>0.24099999999999999</v>
      </c>
      <c r="BB501" s="102" t="s">
        <v>4854</v>
      </c>
      <c r="BC501" s="3" t="s">
        <v>4854</v>
      </c>
      <c r="BD501" s="3" t="s">
        <v>4854</v>
      </c>
      <c r="BE501" s="3" t="s">
        <v>4854</v>
      </c>
      <c r="BF501" s="3" t="s">
        <v>4854</v>
      </c>
      <c r="BG501" s="3" t="s">
        <v>4854</v>
      </c>
      <c r="BH501" s="5">
        <v>14</v>
      </c>
      <c r="BI501" s="5">
        <v>1</v>
      </c>
      <c r="BJ501" s="3" t="s">
        <v>4854</v>
      </c>
      <c r="BK501" s="99" t="s">
        <v>4854</v>
      </c>
      <c r="BL501" s="99" t="s">
        <v>4854</v>
      </c>
      <c r="BM501" s="99" t="s">
        <v>4854</v>
      </c>
      <c r="BN501" s="99" t="s">
        <v>4854</v>
      </c>
      <c r="BO501" s="99" t="s">
        <v>4854</v>
      </c>
      <c r="BP501" s="90">
        <v>0.92700000000000005</v>
      </c>
      <c r="BQ501" s="90">
        <v>1</v>
      </c>
      <c r="BR501" s="99" t="s">
        <v>4854</v>
      </c>
      <c r="BS501" s="5" t="s">
        <v>4857</v>
      </c>
    </row>
    <row r="502" spans="1:71" s="30" customFormat="1" ht="17.100000000000001" customHeight="1">
      <c r="A502" s="14">
        <v>491</v>
      </c>
      <c r="B502" s="5" t="s">
        <v>3113</v>
      </c>
      <c r="C502" s="3" t="s">
        <v>3178</v>
      </c>
      <c r="D502" s="3" t="s">
        <v>3104</v>
      </c>
      <c r="E502" s="3" t="s">
        <v>3105</v>
      </c>
      <c r="F502" s="5" t="s">
        <v>3106</v>
      </c>
      <c r="G502" s="3" t="s">
        <v>3107</v>
      </c>
      <c r="H502" s="6" t="s">
        <v>3108</v>
      </c>
      <c r="I502" s="3" t="s">
        <v>3109</v>
      </c>
      <c r="J502" s="5" t="s">
        <v>3110</v>
      </c>
      <c r="K502" s="3" t="s">
        <v>5621</v>
      </c>
      <c r="L502" s="3" t="s">
        <v>3114</v>
      </c>
      <c r="M502" s="5">
        <v>3</v>
      </c>
      <c r="N502" s="21">
        <v>661.71770000000004</v>
      </c>
      <c r="O502" s="35" t="s">
        <v>4854</v>
      </c>
      <c r="P502" s="35" t="s">
        <v>4854</v>
      </c>
      <c r="Q502" s="35" t="s">
        <v>4854</v>
      </c>
      <c r="R502" s="35" t="s">
        <v>4854</v>
      </c>
      <c r="S502" s="35" t="s">
        <v>4854</v>
      </c>
      <c r="T502" s="36" t="str">
        <f>HYPERLINK("http://ms.phosphosite.org:5080/cgi-bin/plot-msms.cgi?MassType=1&amp;NumAxis=1&amp;Mod14=170&amp;Pep=VEPHQLAIDRPSPKLLK&amp;Dta=/var/www/html/dta/S01/10563.6187.3.dta&amp;Global_Mod=CS57.0215", "6187")</f>
        <v>6187</v>
      </c>
      <c r="U502" s="35" t="s">
        <v>4854</v>
      </c>
      <c r="V502" s="35" t="s">
        <v>4854</v>
      </c>
      <c r="W502" s="3" t="s">
        <v>4854</v>
      </c>
      <c r="X502" s="3" t="s">
        <v>4854</v>
      </c>
      <c r="Y502" s="3" t="s">
        <v>4854</v>
      </c>
      <c r="Z502" s="3" t="s">
        <v>4854</v>
      </c>
      <c r="AA502" s="3" t="s">
        <v>4854</v>
      </c>
      <c r="AB502" s="5">
        <v>6167</v>
      </c>
      <c r="AC502" s="3" t="s">
        <v>4854</v>
      </c>
      <c r="AD502" s="3" t="s">
        <v>4854</v>
      </c>
      <c r="AE502" s="99" t="s">
        <v>4854</v>
      </c>
      <c r="AF502" s="99" t="s">
        <v>4854</v>
      </c>
      <c r="AG502" s="99" t="s">
        <v>4854</v>
      </c>
      <c r="AH502" s="99" t="s">
        <v>4854</v>
      </c>
      <c r="AI502" s="99" t="s">
        <v>4854</v>
      </c>
      <c r="AJ502" s="90">
        <v>2.5790000000000002</v>
      </c>
      <c r="AK502" s="99" t="s">
        <v>4854</v>
      </c>
      <c r="AL502" s="99" t="s">
        <v>4854</v>
      </c>
      <c r="AM502" s="102" t="s">
        <v>4854</v>
      </c>
      <c r="AN502" s="102" t="s">
        <v>4854</v>
      </c>
      <c r="AO502" s="102" t="s">
        <v>4854</v>
      </c>
      <c r="AP502" s="102" t="s">
        <v>4854</v>
      </c>
      <c r="AQ502" s="102" t="s">
        <v>4854</v>
      </c>
      <c r="AR502" s="21">
        <v>0.17699999999999999</v>
      </c>
      <c r="AS502" s="102" t="s">
        <v>4854</v>
      </c>
      <c r="AT502" s="102" t="s">
        <v>4854</v>
      </c>
      <c r="AU502" s="102" t="s">
        <v>4854</v>
      </c>
      <c r="AV502" s="102" t="s">
        <v>4854</v>
      </c>
      <c r="AW502" s="102" t="s">
        <v>4854</v>
      </c>
      <c r="AX502" s="102" t="s">
        <v>4854</v>
      </c>
      <c r="AY502" s="102" t="s">
        <v>4854</v>
      </c>
      <c r="AZ502" s="21">
        <v>0.184</v>
      </c>
      <c r="BA502" s="102" t="s">
        <v>4854</v>
      </c>
      <c r="BB502" s="102" t="s">
        <v>4854</v>
      </c>
      <c r="BC502" s="3" t="s">
        <v>4854</v>
      </c>
      <c r="BD502" s="3" t="s">
        <v>4854</v>
      </c>
      <c r="BE502" s="3" t="s">
        <v>4854</v>
      </c>
      <c r="BF502" s="3" t="s">
        <v>4854</v>
      </c>
      <c r="BG502" s="3" t="s">
        <v>4854</v>
      </c>
      <c r="BH502" s="5">
        <v>11</v>
      </c>
      <c r="BI502" s="3" t="s">
        <v>4854</v>
      </c>
      <c r="BJ502" s="3" t="s">
        <v>4854</v>
      </c>
      <c r="BK502" s="99" t="s">
        <v>4854</v>
      </c>
      <c r="BL502" s="99" t="s">
        <v>4854</v>
      </c>
      <c r="BM502" s="99" t="s">
        <v>4854</v>
      </c>
      <c r="BN502" s="99" t="s">
        <v>4854</v>
      </c>
      <c r="BO502" s="99" t="s">
        <v>4854</v>
      </c>
      <c r="BP502" s="90">
        <v>0.99399999999999999</v>
      </c>
      <c r="BQ502" s="99" t="s">
        <v>4854</v>
      </c>
      <c r="BR502" s="99" t="s">
        <v>4854</v>
      </c>
      <c r="BS502" s="5" t="s">
        <v>4857</v>
      </c>
    </row>
    <row r="503" spans="1:71" s="30" customFormat="1" ht="17.100000000000001" customHeight="1">
      <c r="A503" s="10">
        <v>492</v>
      </c>
      <c r="B503" s="10" t="s">
        <v>3115</v>
      </c>
      <c r="C503" s="4" t="s">
        <v>3178</v>
      </c>
      <c r="D503" s="4" t="s">
        <v>3104</v>
      </c>
      <c r="E503" s="4" t="s">
        <v>3105</v>
      </c>
      <c r="F503" s="10" t="s">
        <v>5266</v>
      </c>
      <c r="G503" s="4" t="s">
        <v>3107</v>
      </c>
      <c r="H503" s="7" t="s">
        <v>3108</v>
      </c>
      <c r="I503" s="4" t="s">
        <v>3109</v>
      </c>
      <c r="J503" s="10" t="s">
        <v>3110</v>
      </c>
      <c r="K503" s="4" t="s">
        <v>5622</v>
      </c>
      <c r="L503" s="4" t="s">
        <v>3116</v>
      </c>
      <c r="M503" s="10">
        <v>3</v>
      </c>
      <c r="N503" s="95">
        <v>661.99350000000004</v>
      </c>
      <c r="O503" s="37" t="str">
        <f>HYPERLINK("http://ms.phosphosite.org:5080/cgi-bin/plot-msms.cgi?MassType=1&amp;NumAxis=1&amp;Mod6=170&amp;Pep=AEGDIKPYSSSDREFLK&amp;Dta=/var/www/html/dta/S01/10558.6553.3.dta&amp;Global_Mod=CS57.0215", "6553")</f>
        <v>6553</v>
      </c>
      <c r="P503" s="37" t="str">
        <f>HYPERLINK("http://ms.phosphosite.org:5080/cgi-bin/plot-msms.cgi?MassType=1&amp;NumAxis=1&amp;Mod6=170&amp;Pep=AEGDIKPYSSSDREFLK&amp;Dta=/var/www/html/dta/S01/10559.6508.3.dta&amp;Global_Mod=CS57.0215", "6508")</f>
        <v>6508</v>
      </c>
      <c r="Q503" s="37" t="str">
        <f>HYPERLINK("http://ms.phosphosite.org:5080/cgi-bin/plot-msms.cgi?MassType=1&amp;NumAxis=1&amp;Mod6=170&amp;Pep=AEGDIKPYSSSDREFLK&amp;Dta=/var/www/html/dta/S01/10560.6485.3.dta&amp;Global_Mod=CS57.0215", "6485")</f>
        <v>6485</v>
      </c>
      <c r="R503" s="37" t="str">
        <f>HYPERLINK("http://ms.phosphosite.org:5080/cgi-bin/plot-msms.cgi?MassType=1&amp;NumAxis=1&amp;Mod6=170&amp;Pep=AEGDIKPYSSSDREFLK&amp;Dta=/var/www/html/dta/S01/10561.6529.3.dta&amp;Global_Mod=CS57.0215", "6529")</f>
        <v>6529</v>
      </c>
      <c r="S503" s="38" t="s">
        <v>4854</v>
      </c>
      <c r="T503" s="37" t="str">
        <f>HYPERLINK("http://ms.phosphosite.org:5080/cgi-bin/plot-msms.cgi?MassType=1&amp;NumAxis=1&amp;Mod6=170&amp;Pep=AEGDIKPYSSSDREFLK&amp;Dta=/var/www/html/dta/S01/10563.6600.3.dta&amp;Global_Mod=CS57.0215", "6600")</f>
        <v>6600</v>
      </c>
      <c r="U503" s="38" t="s">
        <v>4854</v>
      </c>
      <c r="V503" s="37" t="str">
        <f>HYPERLINK("http://ms.phosphosite.org:5080/cgi-bin/plot-msms.cgi?MassType=1&amp;NumAxis=1&amp;Mod6=170&amp;Pep=AEGDIKPYSSSDREFLK&amp;Dta=/var/www/html/dta/S01/10565.6996.3.dta&amp;Global_Mod=CS57.0215", "6996")</f>
        <v>6996</v>
      </c>
      <c r="W503" s="10">
        <v>6567</v>
      </c>
      <c r="X503" s="10">
        <v>6514</v>
      </c>
      <c r="Y503" s="10">
        <v>6487</v>
      </c>
      <c r="Z503" s="10">
        <v>6525</v>
      </c>
      <c r="AA503" s="4" t="s">
        <v>4854</v>
      </c>
      <c r="AB503" s="10">
        <v>6618</v>
      </c>
      <c r="AC503" s="4" t="s">
        <v>4854</v>
      </c>
      <c r="AD503" s="10">
        <v>7010</v>
      </c>
      <c r="AE503" s="91">
        <v>2.1030000000000002</v>
      </c>
      <c r="AF503" s="91">
        <v>2.1560000000000001</v>
      </c>
      <c r="AG503" s="91">
        <v>2.5169999999999999</v>
      </c>
      <c r="AH503" s="91">
        <v>2.742</v>
      </c>
      <c r="AI503" s="100" t="s">
        <v>4854</v>
      </c>
      <c r="AJ503" s="91">
        <v>2.8780000000000001</v>
      </c>
      <c r="AK503" s="100" t="s">
        <v>4854</v>
      </c>
      <c r="AL503" s="91">
        <v>2.4140000000000001</v>
      </c>
      <c r="AM503" s="95">
        <v>0.53320000000000001</v>
      </c>
      <c r="AN503" s="95">
        <v>0.4284</v>
      </c>
      <c r="AO503" s="95">
        <v>1.0553999999999999</v>
      </c>
      <c r="AP503" s="95">
        <v>0.47470000000000001</v>
      </c>
      <c r="AQ503" s="103" t="s">
        <v>4854</v>
      </c>
      <c r="AR503" s="95">
        <v>0.97829999999999995</v>
      </c>
      <c r="AS503" s="103" t="s">
        <v>4854</v>
      </c>
      <c r="AT503" s="95">
        <v>0.22270000000000001</v>
      </c>
      <c r="AU503" s="95">
        <v>0.108</v>
      </c>
      <c r="AV503" s="95">
        <v>8.4000000000000005E-2</v>
      </c>
      <c r="AW503" s="95">
        <v>0.23300000000000001</v>
      </c>
      <c r="AX503" s="95">
        <v>0.23499999999999999</v>
      </c>
      <c r="AY503" s="103" t="s">
        <v>4854</v>
      </c>
      <c r="AZ503" s="95">
        <v>0.29299999999999998</v>
      </c>
      <c r="BA503" s="103" t="s">
        <v>4854</v>
      </c>
      <c r="BB503" s="95">
        <v>0.22800000000000001</v>
      </c>
      <c r="BC503" s="10">
        <v>1</v>
      </c>
      <c r="BD503" s="10">
        <v>1</v>
      </c>
      <c r="BE503" s="10">
        <v>1</v>
      </c>
      <c r="BF503" s="10">
        <v>1</v>
      </c>
      <c r="BG503" s="4" t="s">
        <v>4854</v>
      </c>
      <c r="BH503" s="10">
        <v>1</v>
      </c>
      <c r="BI503" s="4" t="s">
        <v>4854</v>
      </c>
      <c r="BJ503" s="10">
        <v>9</v>
      </c>
      <c r="BK503" s="91">
        <v>0.97899999999999998</v>
      </c>
      <c r="BL503" s="91">
        <v>0.97299999999999998</v>
      </c>
      <c r="BM503" s="91">
        <v>0.998</v>
      </c>
      <c r="BN503" s="91">
        <v>0.999</v>
      </c>
      <c r="BO503" s="100" t="s">
        <v>4854</v>
      </c>
      <c r="BP503" s="91">
        <v>1</v>
      </c>
      <c r="BQ503" s="100" t="s">
        <v>4854</v>
      </c>
      <c r="BR503" s="91">
        <v>0.996</v>
      </c>
      <c r="BS503" s="10" t="s">
        <v>4857</v>
      </c>
    </row>
    <row r="504" spans="1:71" s="30" customFormat="1" ht="17.100000000000001" customHeight="1">
      <c r="A504" s="10">
        <v>493</v>
      </c>
      <c r="B504" s="10" t="s">
        <v>3117</v>
      </c>
      <c r="C504" s="4" t="s">
        <v>3178</v>
      </c>
      <c r="D504" s="4" t="s">
        <v>3104</v>
      </c>
      <c r="E504" s="4" t="s">
        <v>3105</v>
      </c>
      <c r="F504" s="10" t="s">
        <v>5266</v>
      </c>
      <c r="G504" s="4" t="s">
        <v>3107</v>
      </c>
      <c r="H504" s="7" t="s">
        <v>3108</v>
      </c>
      <c r="I504" s="4" t="s">
        <v>3109</v>
      </c>
      <c r="J504" s="10" t="s">
        <v>3110</v>
      </c>
      <c r="K504" s="4" t="s">
        <v>5622</v>
      </c>
      <c r="L504" s="4" t="s">
        <v>3118</v>
      </c>
      <c r="M504" s="10">
        <v>3</v>
      </c>
      <c r="N504" s="95">
        <v>541.59720000000004</v>
      </c>
      <c r="O504" s="38" t="s">
        <v>4854</v>
      </c>
      <c r="P504" s="37" t="str">
        <f>HYPERLINK("http://ms.phosphosite.org:5080/cgi-bin/plot-msms.cgi?MassType=1&amp;NumAxis=1&amp;Mod7=170&amp;Pep=RAEGDIKPYSSSDR&amp;Dta=/var/www/html/dta/S01/10559.2773.3.dta&amp;Global_Mod=CS57.0215", "2773")</f>
        <v>2773</v>
      </c>
      <c r="Q504" s="38" t="s">
        <v>4854</v>
      </c>
      <c r="R504" s="37" t="str">
        <f>HYPERLINK("http://ms.phosphosite.org:5080/cgi-bin/plot-msms.cgi?MassType=1&amp;NumAxis=1&amp;Mod7=170&amp;Pep=RAEGDIKPYSSSDR&amp;Dta=/var/www/html/dta/S01/10561.2797.3.dta&amp;Global_Mod=CS57.0215", "2797")</f>
        <v>2797</v>
      </c>
      <c r="S504" s="37" t="str">
        <f>HYPERLINK("http://ms.phosphosite.org:5080/cgi-bin/plot-msms.cgi?MassType=1&amp;NumAxis=1&amp;Mod7=170&amp;Pep=RAEGDIKPYSSSDR&amp;Dta=/var/www/html/dta/S01/10562.2872.3.dta&amp;Global_Mod=CS57.0215", "2872")</f>
        <v>2872</v>
      </c>
      <c r="T504" s="38" t="s">
        <v>4854</v>
      </c>
      <c r="U504" s="37" t="str">
        <f>HYPERLINK("http://ms.phosphosite.org:5080/cgi-bin/plot-msms.cgi?MassType=1&amp;NumAxis=1&amp;Mod7=170&amp;Pep=RAEGDIKPYSSSDR&amp;Dta=/var/www/html/dta/S01/10564.3091.3.dta&amp;Global_Mod=CS57.0215", "3091")</f>
        <v>3091</v>
      </c>
      <c r="V504" s="38" t="s">
        <v>4854</v>
      </c>
      <c r="W504" s="4" t="s">
        <v>4854</v>
      </c>
      <c r="X504" s="10">
        <v>2781</v>
      </c>
      <c r="Y504" s="4" t="s">
        <v>4854</v>
      </c>
      <c r="Z504" s="10">
        <v>2806</v>
      </c>
      <c r="AA504" s="10">
        <v>2866</v>
      </c>
      <c r="AB504" s="4" t="s">
        <v>4854</v>
      </c>
      <c r="AC504" s="10">
        <v>3094</v>
      </c>
      <c r="AD504" s="4" t="s">
        <v>4854</v>
      </c>
      <c r="AE504" s="100" t="s">
        <v>4854</v>
      </c>
      <c r="AF504" s="91">
        <v>2.3090000000000002</v>
      </c>
      <c r="AG504" s="100" t="s">
        <v>4854</v>
      </c>
      <c r="AH504" s="91">
        <v>1.89</v>
      </c>
      <c r="AI504" s="91">
        <v>2.3860000000000001</v>
      </c>
      <c r="AJ504" s="100" t="s">
        <v>4854</v>
      </c>
      <c r="AK504" s="91">
        <v>2.7639999999999998</v>
      </c>
      <c r="AL504" s="100" t="s">
        <v>4854</v>
      </c>
      <c r="AM504" s="103" t="s">
        <v>4854</v>
      </c>
      <c r="AN504" s="95">
        <v>0.2107</v>
      </c>
      <c r="AO504" s="103" t="s">
        <v>4854</v>
      </c>
      <c r="AP504" s="95">
        <v>0.2291</v>
      </c>
      <c r="AQ504" s="95">
        <v>0.50770000000000004</v>
      </c>
      <c r="AR504" s="103" t="s">
        <v>4854</v>
      </c>
      <c r="AS504" s="95">
        <v>-8.6999999999999994E-3</v>
      </c>
      <c r="AT504" s="103" t="s">
        <v>4854</v>
      </c>
      <c r="AU504" s="103" t="s">
        <v>4854</v>
      </c>
      <c r="AV504" s="95">
        <v>0.14699999999999999</v>
      </c>
      <c r="AW504" s="103" t="s">
        <v>4854</v>
      </c>
      <c r="AX504" s="95">
        <v>1.4999999999999999E-2</v>
      </c>
      <c r="AY504" s="95">
        <v>7.8E-2</v>
      </c>
      <c r="AZ504" s="103" t="s">
        <v>4854</v>
      </c>
      <c r="BA504" s="95">
        <v>0.22</v>
      </c>
      <c r="BB504" s="103" t="s">
        <v>4854</v>
      </c>
      <c r="BC504" s="4" t="s">
        <v>4854</v>
      </c>
      <c r="BD504" s="10">
        <v>3</v>
      </c>
      <c r="BE504" s="4" t="s">
        <v>4854</v>
      </c>
      <c r="BF504" s="10">
        <v>2</v>
      </c>
      <c r="BG504" s="10">
        <v>8</v>
      </c>
      <c r="BH504" s="4" t="s">
        <v>4854</v>
      </c>
      <c r="BI504" s="10">
        <v>4</v>
      </c>
      <c r="BJ504" s="4" t="s">
        <v>4854</v>
      </c>
      <c r="BK504" s="100" t="s">
        <v>4854</v>
      </c>
      <c r="BL504" s="91">
        <v>0.998</v>
      </c>
      <c r="BM504" s="100" t="s">
        <v>4854</v>
      </c>
      <c r="BN504" s="91">
        <v>0.97899999999999998</v>
      </c>
      <c r="BO504" s="91">
        <v>0.99399999999999999</v>
      </c>
      <c r="BP504" s="100" t="s">
        <v>4854</v>
      </c>
      <c r="BQ504" s="91">
        <v>1</v>
      </c>
      <c r="BR504" s="100" t="s">
        <v>4854</v>
      </c>
      <c r="BS504" s="10" t="s">
        <v>4857</v>
      </c>
    </row>
    <row r="505" spans="1:71" s="30" customFormat="1" ht="17.100000000000001" customHeight="1">
      <c r="A505" s="10">
        <v>494</v>
      </c>
      <c r="B505" s="10" t="s">
        <v>3119</v>
      </c>
      <c r="C505" s="4" t="s">
        <v>3178</v>
      </c>
      <c r="D505" s="4" t="s">
        <v>3104</v>
      </c>
      <c r="E505" s="4" t="s">
        <v>3105</v>
      </c>
      <c r="F505" s="10" t="s">
        <v>5266</v>
      </c>
      <c r="G505" s="4" t="s">
        <v>3107</v>
      </c>
      <c r="H505" s="7" t="s">
        <v>3108</v>
      </c>
      <c r="I505" s="4" t="s">
        <v>3109</v>
      </c>
      <c r="J505" s="10" t="s">
        <v>3110</v>
      </c>
      <c r="K505" s="4" t="s">
        <v>5622</v>
      </c>
      <c r="L505" s="4" t="s">
        <v>3120</v>
      </c>
      <c r="M505" s="10">
        <v>3</v>
      </c>
      <c r="N505" s="95">
        <v>714.02719999999999</v>
      </c>
      <c r="O505" s="38" t="s">
        <v>4854</v>
      </c>
      <c r="P505" s="37" t="str">
        <f>HYPERLINK("http://ms.phosphosite.org:5080/cgi-bin/plot-msms.cgi?MassType=1&amp;NumAxis=1&amp;Mod7=170&amp;Pep=RAEGDIKPYSSSDREFLK&amp;Dta=/var/www/html/dta/S01/10559.5439.3.dta&amp;Global_Mod=CS57.0215", "5439")</f>
        <v>5439</v>
      </c>
      <c r="Q505" s="37" t="str">
        <f>HYPERLINK("http://ms.phosphosite.org:5080/cgi-bin/plot-msms.cgi?MassType=1&amp;NumAxis=1&amp;Mod7=170&amp;Pep=RAEGDIKPYSSSDREFLK&amp;Dta=/var/www/html/dta/S01/10560.5435.3.dta&amp;Global_Mod=CS57.0215", "5435")</f>
        <v>5435</v>
      </c>
      <c r="R505" s="37" t="str">
        <f>HYPERLINK("http://ms.phosphosite.org:5080/cgi-bin/plot-msms.cgi?MassType=1&amp;NumAxis=1&amp;Mod7=170&amp;Pep=RAEGDIKPYSSSDREFLK&amp;Dta=/var/www/html/dta/S01/10561.5486.3.dta&amp;Global_Mod=CS57.0215", "5486")</f>
        <v>5486</v>
      </c>
      <c r="S505" s="37" t="str">
        <f>HYPERLINK("http://ms.phosphosite.org:5080/cgi-bin/plot-msms.cgi?MassType=1&amp;NumAxis=1&amp;Mod7=170&amp;Pep=RAEGDIKPYSSSDREFLK&amp;Dta=/var/www/html/dta/S01/10562.5548.3.dta&amp;Global_Mod=CS57.0215", "5548")</f>
        <v>5548</v>
      </c>
      <c r="T505" s="37" t="str">
        <f>HYPERLINK("http://ms.phosphosite.org:5080/cgi-bin/plot-msms.cgi?MassType=1&amp;NumAxis=1&amp;Mod7=170&amp;Pep=RAEGDIKPYSSSDREFLK&amp;Dta=/var/www/html/dta/S01/10563.5512.3.dta&amp;Global_Mod=CS57.0215", "5512")</f>
        <v>5512</v>
      </c>
      <c r="U505" s="38" t="s">
        <v>4854</v>
      </c>
      <c r="V505" s="38" t="s">
        <v>4854</v>
      </c>
      <c r="W505" s="4" t="s">
        <v>4854</v>
      </c>
      <c r="X505" s="10">
        <v>5436</v>
      </c>
      <c r="Y505" s="10">
        <v>5431</v>
      </c>
      <c r="Z505" s="10">
        <v>5480</v>
      </c>
      <c r="AA505" s="10">
        <v>5523</v>
      </c>
      <c r="AB505" s="10">
        <v>5518</v>
      </c>
      <c r="AC505" s="4" t="s">
        <v>4854</v>
      </c>
      <c r="AD505" s="4" t="s">
        <v>4854</v>
      </c>
      <c r="AE505" s="100" t="s">
        <v>4854</v>
      </c>
      <c r="AF505" s="91">
        <v>4.2699999999999996</v>
      </c>
      <c r="AG505" s="91">
        <v>4.0129999999999999</v>
      </c>
      <c r="AH505" s="91">
        <v>4.3070000000000004</v>
      </c>
      <c r="AI505" s="91">
        <v>3.6070000000000002</v>
      </c>
      <c r="AJ505" s="91">
        <v>3.7679999999999998</v>
      </c>
      <c r="AK505" s="100" t="s">
        <v>4854</v>
      </c>
      <c r="AL505" s="100" t="s">
        <v>4854</v>
      </c>
      <c r="AM505" s="103" t="s">
        <v>4854</v>
      </c>
      <c r="AN505" s="95">
        <v>0.73070000000000002</v>
      </c>
      <c r="AO505" s="95">
        <v>0.73909999999999998</v>
      </c>
      <c r="AP505" s="95">
        <v>0.62790000000000001</v>
      </c>
      <c r="AQ505" s="95">
        <v>0.68630000000000002</v>
      </c>
      <c r="AR505" s="95">
        <v>0.63070000000000004</v>
      </c>
      <c r="AS505" s="103" t="s">
        <v>4854</v>
      </c>
      <c r="AT505" s="103" t="s">
        <v>4854</v>
      </c>
      <c r="AU505" s="103" t="s">
        <v>4854</v>
      </c>
      <c r="AV505" s="95">
        <v>0.29899999999999999</v>
      </c>
      <c r="AW505" s="95">
        <v>0.28299999999999997</v>
      </c>
      <c r="AX505" s="95">
        <v>0.35199999999999998</v>
      </c>
      <c r="AY505" s="95">
        <v>0.27400000000000002</v>
      </c>
      <c r="AZ505" s="95">
        <v>0.22800000000000001</v>
      </c>
      <c r="BA505" s="103" t="s">
        <v>4854</v>
      </c>
      <c r="BB505" s="103" t="s">
        <v>4854</v>
      </c>
      <c r="BC505" s="4" t="s">
        <v>4854</v>
      </c>
      <c r="BD505" s="10">
        <v>1</v>
      </c>
      <c r="BE505" s="10">
        <v>1</v>
      </c>
      <c r="BF505" s="10">
        <v>1</v>
      </c>
      <c r="BG505" s="10">
        <v>1</v>
      </c>
      <c r="BH505" s="10">
        <v>1</v>
      </c>
      <c r="BI505" s="4" t="s">
        <v>4854</v>
      </c>
      <c r="BJ505" s="4" t="s">
        <v>4854</v>
      </c>
      <c r="BK505" s="100" t="s">
        <v>4854</v>
      </c>
      <c r="BL505" s="91">
        <v>1</v>
      </c>
      <c r="BM505" s="91">
        <v>1</v>
      </c>
      <c r="BN505" s="91">
        <v>1</v>
      </c>
      <c r="BO505" s="91">
        <v>1</v>
      </c>
      <c r="BP505" s="91">
        <v>1</v>
      </c>
      <c r="BQ505" s="100" t="s">
        <v>4854</v>
      </c>
      <c r="BR505" s="100" t="s">
        <v>4854</v>
      </c>
      <c r="BS505" s="10" t="s">
        <v>4857</v>
      </c>
    </row>
    <row r="506" spans="1:71" s="30" customFormat="1" ht="17.100000000000001" customHeight="1">
      <c r="A506" s="14">
        <v>495</v>
      </c>
      <c r="B506" s="5" t="s">
        <v>3121</v>
      </c>
      <c r="C506" s="3" t="s">
        <v>3178</v>
      </c>
      <c r="D506" s="3" t="s">
        <v>3122</v>
      </c>
      <c r="E506" s="3" t="s">
        <v>3123</v>
      </c>
      <c r="F506" s="5" t="s">
        <v>3812</v>
      </c>
      <c r="G506" s="3" t="s">
        <v>3124</v>
      </c>
      <c r="H506" s="6" t="s">
        <v>3125</v>
      </c>
      <c r="I506" s="3" t="s">
        <v>3126</v>
      </c>
      <c r="J506" s="5" t="s">
        <v>4724</v>
      </c>
      <c r="K506" s="3" t="s">
        <v>5623</v>
      </c>
      <c r="L506" s="3" t="s">
        <v>3127</v>
      </c>
      <c r="M506" s="5">
        <v>2</v>
      </c>
      <c r="N506" s="21">
        <v>509.25560000000002</v>
      </c>
      <c r="O506" s="35" t="s">
        <v>4854</v>
      </c>
      <c r="P506" s="35" t="s">
        <v>4854</v>
      </c>
      <c r="Q506" s="35" t="s">
        <v>4854</v>
      </c>
      <c r="R506" s="35" t="s">
        <v>4854</v>
      </c>
      <c r="S506" s="36" t="str">
        <f>HYPERLINK("http://ms.phosphosite.org:5080/cgi-bin/plot-msms.cgi?MassType=1&amp;NumAxis=1&amp;Mod6=170&amp;Pep=FGYFGKEK&amp;Dta=/var/www/html/dta/S01/10562.6395.2.dta&amp;Global_Mod=CS57.0215", "6395")</f>
        <v>6395</v>
      </c>
      <c r="T506" s="35" t="s">
        <v>4854</v>
      </c>
      <c r="U506" s="35" t="s">
        <v>4854</v>
      </c>
      <c r="V506" s="35" t="s">
        <v>4854</v>
      </c>
      <c r="W506" s="3" t="s">
        <v>4854</v>
      </c>
      <c r="X506" s="3" t="s">
        <v>4854</v>
      </c>
      <c r="Y506" s="3" t="s">
        <v>4854</v>
      </c>
      <c r="Z506" s="3" t="s">
        <v>4854</v>
      </c>
      <c r="AA506" s="3" t="s">
        <v>4854</v>
      </c>
      <c r="AB506" s="3" t="s">
        <v>4854</v>
      </c>
      <c r="AC506" s="3" t="s">
        <v>4854</v>
      </c>
      <c r="AD506" s="3" t="s">
        <v>4854</v>
      </c>
      <c r="AE506" s="99" t="s">
        <v>4854</v>
      </c>
      <c r="AF506" s="99" t="s">
        <v>4854</v>
      </c>
      <c r="AG506" s="99" t="s">
        <v>4854</v>
      </c>
      <c r="AH506" s="99" t="s">
        <v>4854</v>
      </c>
      <c r="AI506" s="90">
        <v>1.42</v>
      </c>
      <c r="AJ506" s="99" t="s">
        <v>4854</v>
      </c>
      <c r="AK506" s="99" t="s">
        <v>4854</v>
      </c>
      <c r="AL506" s="99" t="s">
        <v>4854</v>
      </c>
      <c r="AM506" s="102" t="s">
        <v>4854</v>
      </c>
      <c r="AN506" s="102" t="s">
        <v>4854</v>
      </c>
      <c r="AO506" s="102" t="s">
        <v>4854</v>
      </c>
      <c r="AP506" s="102" t="s">
        <v>4854</v>
      </c>
      <c r="AQ506" s="21">
        <v>1.4695</v>
      </c>
      <c r="AR506" s="102" t="s">
        <v>4854</v>
      </c>
      <c r="AS506" s="102" t="s">
        <v>4854</v>
      </c>
      <c r="AT506" s="102" t="s">
        <v>4854</v>
      </c>
      <c r="AU506" s="102" t="s">
        <v>4854</v>
      </c>
      <c r="AV506" s="102" t="s">
        <v>4854</v>
      </c>
      <c r="AW506" s="102" t="s">
        <v>4854</v>
      </c>
      <c r="AX506" s="102" t="s">
        <v>4854</v>
      </c>
      <c r="AY506" s="21">
        <v>7.1999999999999995E-2</v>
      </c>
      <c r="AZ506" s="102" t="s">
        <v>4854</v>
      </c>
      <c r="BA506" s="102" t="s">
        <v>4854</v>
      </c>
      <c r="BB506" s="102" t="s">
        <v>4854</v>
      </c>
      <c r="BC506" s="3" t="s">
        <v>4854</v>
      </c>
      <c r="BD506" s="3" t="s">
        <v>4854</v>
      </c>
      <c r="BE506" s="3" t="s">
        <v>4854</v>
      </c>
      <c r="BF506" s="3" t="s">
        <v>4854</v>
      </c>
      <c r="BG506" s="5">
        <v>19</v>
      </c>
      <c r="BH506" s="3" t="s">
        <v>4854</v>
      </c>
      <c r="BI506" s="3" t="s">
        <v>4854</v>
      </c>
      <c r="BJ506" s="3" t="s">
        <v>4854</v>
      </c>
      <c r="BK506" s="99" t="s">
        <v>4854</v>
      </c>
      <c r="BL506" s="99" t="s">
        <v>4854</v>
      </c>
      <c r="BM506" s="99" t="s">
        <v>4854</v>
      </c>
      <c r="BN506" s="99" t="s">
        <v>4854</v>
      </c>
      <c r="BO506" s="90">
        <v>0.745</v>
      </c>
      <c r="BP506" s="99" t="s">
        <v>4854</v>
      </c>
      <c r="BQ506" s="99" t="s">
        <v>4854</v>
      </c>
      <c r="BR506" s="99" t="s">
        <v>4854</v>
      </c>
      <c r="BS506" s="5" t="s">
        <v>4857</v>
      </c>
    </row>
    <row r="507" spans="1:71" s="30" customFormat="1" ht="17.100000000000001" customHeight="1">
      <c r="A507" s="10">
        <v>496</v>
      </c>
      <c r="B507" s="10" t="s">
        <v>3128</v>
      </c>
      <c r="C507" s="4" t="s">
        <v>3178</v>
      </c>
      <c r="D507" s="4" t="s">
        <v>3122</v>
      </c>
      <c r="E507" s="4" t="s">
        <v>3123</v>
      </c>
      <c r="F507" s="10" t="s">
        <v>3461</v>
      </c>
      <c r="G507" s="4" t="s">
        <v>3124</v>
      </c>
      <c r="H507" s="7" t="s">
        <v>3125</v>
      </c>
      <c r="I507" s="4" t="s">
        <v>3126</v>
      </c>
      <c r="J507" s="10" t="s">
        <v>4724</v>
      </c>
      <c r="K507" s="4" t="s">
        <v>5624</v>
      </c>
      <c r="L507" s="4" t="s">
        <v>2991</v>
      </c>
      <c r="M507" s="10">
        <v>2</v>
      </c>
      <c r="N507" s="95">
        <v>685.32119999999998</v>
      </c>
      <c r="O507" s="37" t="str">
        <f>HYPERLINK("http://ms.phosphosite.org:5080/cgi-bin/plot-msms.cgi?MassType=1&amp;NumAxis=1&amp;Mod6=160&amp;Mod7=170&amp;Mod8=160&amp;Pep=AVGYICKCSGGR&amp;Dta=/var/www/html/dta/S01/10558.4100.2.dta&amp;Global_Mod=CS57.0215", "4100")</f>
        <v>4100</v>
      </c>
      <c r="P507" s="38" t="s">
        <v>4854</v>
      </c>
      <c r="Q507" s="38" t="s">
        <v>4854</v>
      </c>
      <c r="R507" s="37" t="str">
        <f>HYPERLINK("http://ms.phosphosite.org:5080/cgi-bin/plot-msms.cgi?MassType=1&amp;NumAxis=1&amp;Mod6=160&amp;Mod7=170&amp;Mod8=160&amp;Pep=AVGYICKCSGGR&amp;Dta=/var/www/html/dta/S01/10561.4049.2.dta&amp;Global_Mod=CS57.0215", "4049")</f>
        <v>4049</v>
      </c>
      <c r="S507" s="38" t="s">
        <v>4854</v>
      </c>
      <c r="T507" s="38" t="s">
        <v>4854</v>
      </c>
      <c r="U507" s="37" t="str">
        <f>HYPERLINK("http://ms.phosphosite.org:5080/cgi-bin/plot-msms.cgi?MassType=1&amp;NumAxis=1&amp;Mod6=160&amp;Mod7=170&amp;Mod8=160&amp;Pep=AVGYICKCSGGR&amp;Dta=/var/www/html/dta/S01/10564.4415.2.dta&amp;Global_Mod=CS57.0215", "4415")</f>
        <v>4415</v>
      </c>
      <c r="V507" s="38" t="s">
        <v>4854</v>
      </c>
      <c r="W507" s="10">
        <v>4102</v>
      </c>
      <c r="X507" s="4" t="s">
        <v>4854</v>
      </c>
      <c r="Y507" s="4" t="s">
        <v>4854</v>
      </c>
      <c r="Z507" s="10">
        <v>4028</v>
      </c>
      <c r="AA507" s="4" t="s">
        <v>4854</v>
      </c>
      <c r="AB507" s="4" t="s">
        <v>4854</v>
      </c>
      <c r="AC507" s="10">
        <v>4428</v>
      </c>
      <c r="AD507" s="4" t="s">
        <v>4854</v>
      </c>
      <c r="AE507" s="91">
        <v>3.0960000000000001</v>
      </c>
      <c r="AF507" s="100" t="s">
        <v>4854</v>
      </c>
      <c r="AG507" s="100" t="s">
        <v>4854</v>
      </c>
      <c r="AH507" s="91">
        <v>2.94</v>
      </c>
      <c r="AI507" s="100" t="s">
        <v>4854</v>
      </c>
      <c r="AJ507" s="100" t="s">
        <v>4854</v>
      </c>
      <c r="AK507" s="91">
        <v>3.4039999999999999</v>
      </c>
      <c r="AL507" s="100" t="s">
        <v>4854</v>
      </c>
      <c r="AM507" s="95">
        <v>0.44819999999999999</v>
      </c>
      <c r="AN507" s="103" t="s">
        <v>4854</v>
      </c>
      <c r="AO507" s="103" t="s">
        <v>4854</v>
      </c>
      <c r="AP507" s="95">
        <v>0.53080000000000005</v>
      </c>
      <c r="AQ507" s="103" t="s">
        <v>4854</v>
      </c>
      <c r="AR507" s="103" t="s">
        <v>4854</v>
      </c>
      <c r="AS507" s="95">
        <v>-8.0000000000000004E-4</v>
      </c>
      <c r="AT507" s="103" t="s">
        <v>4854</v>
      </c>
      <c r="AU507" s="95">
        <v>0.46700000000000003</v>
      </c>
      <c r="AV507" s="103" t="s">
        <v>4854</v>
      </c>
      <c r="AW507" s="103" t="s">
        <v>4854</v>
      </c>
      <c r="AX507" s="95">
        <v>0.40799999999999997</v>
      </c>
      <c r="AY507" s="103" t="s">
        <v>4854</v>
      </c>
      <c r="AZ507" s="103" t="s">
        <v>4854</v>
      </c>
      <c r="BA507" s="95">
        <v>0.34499999999999997</v>
      </c>
      <c r="BB507" s="103" t="s">
        <v>4854</v>
      </c>
      <c r="BC507" s="10">
        <v>1</v>
      </c>
      <c r="BD507" s="4" t="s">
        <v>4854</v>
      </c>
      <c r="BE507" s="4" t="s">
        <v>4854</v>
      </c>
      <c r="BF507" s="10">
        <v>1</v>
      </c>
      <c r="BG507" s="4" t="s">
        <v>4854</v>
      </c>
      <c r="BH507" s="4" t="s">
        <v>4854</v>
      </c>
      <c r="BI507" s="10">
        <v>1</v>
      </c>
      <c r="BJ507" s="4" t="s">
        <v>4854</v>
      </c>
      <c r="BK507" s="91">
        <v>1</v>
      </c>
      <c r="BL507" s="100" t="s">
        <v>4854</v>
      </c>
      <c r="BM507" s="100" t="s">
        <v>4854</v>
      </c>
      <c r="BN507" s="91">
        <v>1</v>
      </c>
      <c r="BO507" s="100" t="s">
        <v>4854</v>
      </c>
      <c r="BP507" s="100" t="s">
        <v>4854</v>
      </c>
      <c r="BQ507" s="91">
        <v>1</v>
      </c>
      <c r="BR507" s="100" t="s">
        <v>4854</v>
      </c>
      <c r="BS507" s="10" t="s">
        <v>4857</v>
      </c>
    </row>
    <row r="508" spans="1:71" s="30" customFormat="1" ht="17.100000000000001" customHeight="1">
      <c r="A508" s="14">
        <v>497</v>
      </c>
      <c r="B508" s="5" t="s">
        <v>2992</v>
      </c>
      <c r="C508" s="3" t="s">
        <v>3178</v>
      </c>
      <c r="D508" s="3" t="s">
        <v>2993</v>
      </c>
      <c r="E508" s="3" t="s">
        <v>2994</v>
      </c>
      <c r="F508" s="5" t="s">
        <v>2995</v>
      </c>
      <c r="G508" s="3" t="s">
        <v>2996</v>
      </c>
      <c r="H508" s="6" t="s">
        <v>2997</v>
      </c>
      <c r="I508" s="3" t="s">
        <v>2998</v>
      </c>
      <c r="J508" s="5" t="s">
        <v>4621</v>
      </c>
      <c r="K508" s="3" t="s">
        <v>5625</v>
      </c>
      <c r="L508" s="3" t="s">
        <v>2999</v>
      </c>
      <c r="M508" s="5">
        <v>3</v>
      </c>
      <c r="N508" s="21">
        <v>547.66129999999998</v>
      </c>
      <c r="O508" s="35" t="s">
        <v>4854</v>
      </c>
      <c r="P508" s="35" t="s">
        <v>4854</v>
      </c>
      <c r="Q508" s="35" t="s">
        <v>4854</v>
      </c>
      <c r="R508" s="35" t="s">
        <v>4854</v>
      </c>
      <c r="S508" s="35" t="s">
        <v>4854</v>
      </c>
      <c r="T508" s="35" t="s">
        <v>4854</v>
      </c>
      <c r="U508" s="36" t="str">
        <f>HYPERLINK("http://ms.phosphosite.org:5080/cgi-bin/plot-msms.cgi?MassType=1&amp;NumAxis=1&amp;Mod6=170&amp;Mod7=170&amp;Mod14=170&amp;Pep=IAKRLKKDASASVK&amp;Dta=/var/www/html/dta/S01/10564.4800.3.dta&amp;Global_Mod=CS57.0215", "4800")</f>
        <v>4800</v>
      </c>
      <c r="V508" s="35" t="s">
        <v>4854</v>
      </c>
      <c r="W508" s="3" t="s">
        <v>4854</v>
      </c>
      <c r="X508" s="3" t="s">
        <v>4854</v>
      </c>
      <c r="Y508" s="3" t="s">
        <v>4854</v>
      </c>
      <c r="Z508" s="3" t="s">
        <v>4854</v>
      </c>
      <c r="AA508" s="3" t="s">
        <v>4854</v>
      </c>
      <c r="AB508" s="3" t="s">
        <v>4854</v>
      </c>
      <c r="AC508" s="3" t="s">
        <v>4854</v>
      </c>
      <c r="AD508" s="3" t="s">
        <v>4854</v>
      </c>
      <c r="AE508" s="99" t="s">
        <v>4854</v>
      </c>
      <c r="AF508" s="99" t="s">
        <v>4854</v>
      </c>
      <c r="AG508" s="99" t="s">
        <v>4854</v>
      </c>
      <c r="AH508" s="99" t="s">
        <v>4854</v>
      </c>
      <c r="AI508" s="99" t="s">
        <v>4854</v>
      </c>
      <c r="AJ508" s="99" t="s">
        <v>4854</v>
      </c>
      <c r="AK508" s="90">
        <v>1.5469999999999999</v>
      </c>
      <c r="AL508" s="99" t="s">
        <v>4854</v>
      </c>
      <c r="AM508" s="102" t="s">
        <v>4854</v>
      </c>
      <c r="AN508" s="102" t="s">
        <v>4854</v>
      </c>
      <c r="AO508" s="102" t="s">
        <v>4854</v>
      </c>
      <c r="AP508" s="102" t="s">
        <v>4854</v>
      </c>
      <c r="AQ508" s="102" t="s">
        <v>4854</v>
      </c>
      <c r="AR508" s="102" t="s">
        <v>4854</v>
      </c>
      <c r="AS508" s="21">
        <v>0.89680000000000004</v>
      </c>
      <c r="AT508" s="102" t="s">
        <v>4854</v>
      </c>
      <c r="AU508" s="102" t="s">
        <v>4854</v>
      </c>
      <c r="AV508" s="102" t="s">
        <v>4854</v>
      </c>
      <c r="AW508" s="102" t="s">
        <v>4854</v>
      </c>
      <c r="AX508" s="102" t="s">
        <v>4854</v>
      </c>
      <c r="AY508" s="102" t="s">
        <v>4854</v>
      </c>
      <c r="AZ508" s="102" t="s">
        <v>4854</v>
      </c>
      <c r="BA508" s="21">
        <v>5.7000000000000002E-2</v>
      </c>
      <c r="BB508" s="102" t="s">
        <v>4854</v>
      </c>
      <c r="BC508" s="3" t="s">
        <v>4854</v>
      </c>
      <c r="BD508" s="3" t="s">
        <v>4854</v>
      </c>
      <c r="BE508" s="3" t="s">
        <v>4854</v>
      </c>
      <c r="BF508" s="3" t="s">
        <v>4854</v>
      </c>
      <c r="BG508" s="3" t="s">
        <v>4854</v>
      </c>
      <c r="BH508" s="3" t="s">
        <v>4854</v>
      </c>
      <c r="BI508" s="5">
        <v>1190</v>
      </c>
      <c r="BJ508" s="3" t="s">
        <v>4854</v>
      </c>
      <c r="BK508" s="99" t="s">
        <v>4854</v>
      </c>
      <c r="BL508" s="99" t="s">
        <v>4854</v>
      </c>
      <c r="BM508" s="99" t="s">
        <v>4854</v>
      </c>
      <c r="BN508" s="99" t="s">
        <v>4854</v>
      </c>
      <c r="BO508" s="99" t="s">
        <v>4854</v>
      </c>
      <c r="BP508" s="99" t="s">
        <v>4854</v>
      </c>
      <c r="BQ508" s="90">
        <v>0.67900000000000005</v>
      </c>
      <c r="BR508" s="99" t="s">
        <v>4854</v>
      </c>
      <c r="BS508" s="5" t="s">
        <v>4857</v>
      </c>
    </row>
    <row r="509" spans="1:71" s="30" customFormat="1" ht="17.100000000000001" customHeight="1">
      <c r="A509" s="10">
        <v>498</v>
      </c>
      <c r="B509" s="10" t="s">
        <v>3000</v>
      </c>
      <c r="C509" s="4" t="s">
        <v>3178</v>
      </c>
      <c r="D509" s="4" t="s">
        <v>3001</v>
      </c>
      <c r="E509" s="4" t="s">
        <v>3002</v>
      </c>
      <c r="F509" s="10" t="s">
        <v>5207</v>
      </c>
      <c r="G509" s="4" t="s">
        <v>3003</v>
      </c>
      <c r="H509" s="7" t="s">
        <v>3004</v>
      </c>
      <c r="I509" s="4" t="s">
        <v>3005</v>
      </c>
      <c r="J509" s="10" t="s">
        <v>4697</v>
      </c>
      <c r="K509" s="4" t="s">
        <v>5626</v>
      </c>
      <c r="L509" s="4" t="s">
        <v>3006</v>
      </c>
      <c r="M509" s="10">
        <v>2</v>
      </c>
      <c r="N509" s="95">
        <v>509.26859999999999</v>
      </c>
      <c r="O509" s="37" t="str">
        <f>HYPERLINK("http://ms.phosphosite.org:5080/cgi-bin/plot-msms.cgi?MassType=1&amp;NumAxis=1&amp;Mod4=170&amp;Pep=HLQKYMR&amp;Dta=/var/www/html/dta/S01/10558.2502.2.dta&amp;Global_Mod=CS57.0215", "2502")</f>
        <v>2502</v>
      </c>
      <c r="P509" s="38" t="s">
        <v>4854</v>
      </c>
      <c r="Q509" s="37" t="str">
        <f>HYPERLINK("http://ms.phosphosite.org:5080/cgi-bin/plot-msms.cgi?MassType=1&amp;NumAxis=1&amp;Mod4=170&amp;Pep=HLQKYMR&amp;Dta=/var/www/html/dta/S01/10560.2374.2.dta&amp;Global_Mod=CS57.0215", "2374")</f>
        <v>2374</v>
      </c>
      <c r="R509" s="37" t="str">
        <f>HYPERLINK("http://ms.phosphosite.org:5080/cgi-bin/plot-msms.cgi?MassType=1&amp;NumAxis=1&amp;Mod4=170&amp;Pep=HLQKYMR&amp;Dta=/var/www/html/dta/S01/10561.2431.2.dta&amp;Global_Mod=CS57.0215", "2431")</f>
        <v>2431</v>
      </c>
      <c r="S509" s="37" t="str">
        <f>HYPERLINK("http://ms.phosphosite.org:5080/cgi-bin/plot-msms.cgi?MassType=1&amp;NumAxis=1&amp;Mod4=170&amp;Pep=HLQKYMR&amp;Dta=/var/www/html/dta/S01/10562.2549.2.dta&amp;Global_Mod=CS57.0215", "2549")</f>
        <v>2549</v>
      </c>
      <c r="T509" s="37" t="str">
        <f>HYPERLINK("http://ms.phosphosite.org:5080/cgi-bin/plot-msms.cgi?MassType=1&amp;NumAxis=1&amp;Mod4=170&amp;Pep=HLQKYMR&amp;Dta=/var/www/html/dta/S01/10563.2469.2.dta&amp;Global_Mod=CS57.0215", "2469")</f>
        <v>2469</v>
      </c>
      <c r="U509" s="38" t="s">
        <v>4854</v>
      </c>
      <c r="V509" s="37" t="str">
        <f>HYPERLINK("http://ms.phosphosite.org:5080/cgi-bin/plot-msms.cgi?MassType=1&amp;NumAxis=1&amp;Mod4=170&amp;Pep=HLQKYMR&amp;Dta=/var/www/html/dta/S01/10565.2813.2.dta&amp;Global_Mod=CS57.0215", "2813")</f>
        <v>2813</v>
      </c>
      <c r="W509" s="10">
        <v>2466</v>
      </c>
      <c r="X509" s="4" t="s">
        <v>4854</v>
      </c>
      <c r="Y509" s="10">
        <v>2395</v>
      </c>
      <c r="Z509" s="10">
        <v>2443</v>
      </c>
      <c r="AA509" s="10">
        <v>2525</v>
      </c>
      <c r="AB509" s="10">
        <v>2445</v>
      </c>
      <c r="AC509" s="4" t="s">
        <v>4854</v>
      </c>
      <c r="AD509" s="10">
        <v>2840</v>
      </c>
      <c r="AE509" s="91">
        <v>2.0059999999999998</v>
      </c>
      <c r="AF509" s="100" t="s">
        <v>4854</v>
      </c>
      <c r="AG509" s="91">
        <v>1.96</v>
      </c>
      <c r="AH509" s="91">
        <v>2.1059999999999999</v>
      </c>
      <c r="AI509" s="91">
        <v>2.1320000000000001</v>
      </c>
      <c r="AJ509" s="91">
        <v>2.1949999999999998</v>
      </c>
      <c r="AK509" s="100" t="s">
        <v>4854</v>
      </c>
      <c r="AL509" s="91">
        <v>2.0649999999999999</v>
      </c>
      <c r="AM509" s="95">
        <v>-0.44159999999999999</v>
      </c>
      <c r="AN509" s="103" t="s">
        <v>4854</v>
      </c>
      <c r="AO509" s="95">
        <v>-0.40329999999999999</v>
      </c>
      <c r="AP509" s="95">
        <v>-0.38169999999999998</v>
      </c>
      <c r="AQ509" s="95">
        <v>-0.44650000000000001</v>
      </c>
      <c r="AR509" s="95">
        <v>-0.43380000000000002</v>
      </c>
      <c r="AS509" s="103" t="s">
        <v>4854</v>
      </c>
      <c r="AT509" s="95">
        <v>-0.76400000000000001</v>
      </c>
      <c r="AU509" s="95">
        <v>1.7000000000000001E-2</v>
      </c>
      <c r="AV509" s="103" t="s">
        <v>4854</v>
      </c>
      <c r="AW509" s="95">
        <v>0.153</v>
      </c>
      <c r="AX509" s="95">
        <v>0.10299999999999999</v>
      </c>
      <c r="AY509" s="95">
        <v>0.109</v>
      </c>
      <c r="AZ509" s="95">
        <v>0.107</v>
      </c>
      <c r="BA509" s="103" t="s">
        <v>4854</v>
      </c>
      <c r="BB509" s="95">
        <v>0.13900000000000001</v>
      </c>
      <c r="BC509" s="10">
        <v>1</v>
      </c>
      <c r="BD509" s="4" t="s">
        <v>4854</v>
      </c>
      <c r="BE509" s="10">
        <v>1</v>
      </c>
      <c r="BF509" s="10">
        <v>1</v>
      </c>
      <c r="BG509" s="10">
        <v>1</v>
      </c>
      <c r="BH509" s="10">
        <v>1</v>
      </c>
      <c r="BI509" s="4" t="s">
        <v>4854</v>
      </c>
      <c r="BJ509" s="10">
        <v>1</v>
      </c>
      <c r="BK509" s="91">
        <v>0.96899999999999997</v>
      </c>
      <c r="BL509" s="100" t="s">
        <v>4854</v>
      </c>
      <c r="BM509" s="91">
        <v>0.99299999999999999</v>
      </c>
      <c r="BN509" s="91">
        <v>0.99199999999999999</v>
      </c>
      <c r="BO509" s="91">
        <v>0.99299999999999999</v>
      </c>
      <c r="BP509" s="91">
        <v>0.99399999999999999</v>
      </c>
      <c r="BQ509" s="100" t="s">
        <v>4854</v>
      </c>
      <c r="BR509" s="91">
        <v>0.98699999999999999</v>
      </c>
      <c r="BS509" s="10" t="s">
        <v>4857</v>
      </c>
    </row>
    <row r="510" spans="1:71" s="30" customFormat="1" ht="17.100000000000001" customHeight="1">
      <c r="A510" s="10">
        <v>499</v>
      </c>
      <c r="B510" s="10" t="s">
        <v>3007</v>
      </c>
      <c r="C510" s="4" t="s">
        <v>3178</v>
      </c>
      <c r="D510" s="4" t="s">
        <v>3001</v>
      </c>
      <c r="E510" s="4" t="s">
        <v>3002</v>
      </c>
      <c r="F510" s="10" t="s">
        <v>5207</v>
      </c>
      <c r="G510" s="4" t="s">
        <v>3003</v>
      </c>
      <c r="H510" s="7" t="s">
        <v>3004</v>
      </c>
      <c r="I510" s="4" t="s">
        <v>3005</v>
      </c>
      <c r="J510" s="10" t="s">
        <v>4697</v>
      </c>
      <c r="K510" s="4" t="s">
        <v>5626</v>
      </c>
      <c r="L510" s="4" t="s">
        <v>3008</v>
      </c>
      <c r="M510" s="10">
        <v>2</v>
      </c>
      <c r="N510" s="95">
        <v>517.26599999999996</v>
      </c>
      <c r="O510" s="37" t="str">
        <f>HYPERLINK("http://ms.phosphosite.org:5080/cgi-bin/plot-msms.cgi?MassType=1&amp;NumAxis=1&amp;Mod4=170&amp;Mod6=147&amp;Pep=HLQKYMR&amp;Dta=/var/www/html/dta/S01/10558.1690.2.dta&amp;Global_Mod=CS57.0215", "1690")</f>
        <v>1690</v>
      </c>
      <c r="P510" s="38" t="s">
        <v>4854</v>
      </c>
      <c r="Q510" s="38" t="s">
        <v>4854</v>
      </c>
      <c r="R510" s="37" t="str">
        <f>HYPERLINK("http://ms.phosphosite.org:5080/cgi-bin/plot-msms.cgi?MassType=1&amp;NumAxis=1&amp;Mod4=170&amp;Mod6=147&amp;Pep=HLQKYMR&amp;Dta=/var/www/html/dta/S01/10561.1669.2.dta&amp;Global_Mod=CS57.0215", "1669")</f>
        <v>1669</v>
      </c>
      <c r="S510" s="37" t="str">
        <f>HYPERLINK("http://ms.phosphosite.org:5080/cgi-bin/plot-msms.cgi?MassType=1&amp;NumAxis=1&amp;Mod4=170&amp;Mod6=147&amp;Pep=HLQKYMR&amp;Dta=/var/www/html/dta/S01/10562.1704.2.dta&amp;Global_Mod=CS57.0215", "1704")</f>
        <v>1704</v>
      </c>
      <c r="T510" s="38" t="s">
        <v>4854</v>
      </c>
      <c r="U510" s="37" t="str">
        <f>HYPERLINK("http://ms.phosphosite.org:5080/cgi-bin/plot-msms.cgi?MassType=1&amp;NumAxis=1&amp;Mod4=170&amp;Mod6=147&amp;Pep=HLQKYMR&amp;Dta=/var/www/html/dta/S01/10564.1905.2.dta&amp;Global_Mod=CS57.0215", "1905")</f>
        <v>1905</v>
      </c>
      <c r="V510" s="37" t="str">
        <f>HYPERLINK("http://ms.phosphosite.org:5080/cgi-bin/plot-msms.cgi?MassType=1&amp;NumAxis=1&amp;Mod4=170&amp;Mod6=147&amp;Pep=HLQKYMR&amp;Dta=/var/www/html/dta/S01/10565.1923.2.dta&amp;Global_Mod=CS57.0215", "1923")</f>
        <v>1923</v>
      </c>
      <c r="W510" s="10">
        <v>1697</v>
      </c>
      <c r="X510" s="4" t="s">
        <v>4854</v>
      </c>
      <c r="Y510" s="4" t="s">
        <v>4854</v>
      </c>
      <c r="Z510" s="10">
        <v>1643</v>
      </c>
      <c r="AA510" s="10">
        <v>1710</v>
      </c>
      <c r="AB510" s="4" t="s">
        <v>4854</v>
      </c>
      <c r="AC510" s="10">
        <v>1891</v>
      </c>
      <c r="AD510" s="10">
        <v>1933</v>
      </c>
      <c r="AE510" s="91">
        <v>2.069</v>
      </c>
      <c r="AF510" s="100" t="s">
        <v>4854</v>
      </c>
      <c r="AG510" s="100" t="s">
        <v>4854</v>
      </c>
      <c r="AH510" s="91">
        <v>1.855</v>
      </c>
      <c r="AI510" s="91">
        <v>2.0859999999999999</v>
      </c>
      <c r="AJ510" s="100" t="s">
        <v>4854</v>
      </c>
      <c r="AK510" s="91">
        <v>1.98</v>
      </c>
      <c r="AL510" s="91">
        <v>2.1419999999999999</v>
      </c>
      <c r="AM510" s="95">
        <v>-0.10059999999999999</v>
      </c>
      <c r="AN510" s="103" t="s">
        <v>4854</v>
      </c>
      <c r="AO510" s="103" t="s">
        <v>4854</v>
      </c>
      <c r="AP510" s="95">
        <v>0.64439999999999997</v>
      </c>
      <c r="AQ510" s="95">
        <v>1.5346</v>
      </c>
      <c r="AR510" s="103" t="s">
        <v>4854</v>
      </c>
      <c r="AS510" s="95">
        <v>0.29899999999999999</v>
      </c>
      <c r="AT510" s="95">
        <v>-0.31929999999999997</v>
      </c>
      <c r="AU510" s="95">
        <v>1.2E-2</v>
      </c>
      <c r="AV510" s="103" t="s">
        <v>4854</v>
      </c>
      <c r="AW510" s="103" t="s">
        <v>4854</v>
      </c>
      <c r="AX510" s="95">
        <v>0.06</v>
      </c>
      <c r="AY510" s="95">
        <v>8.4000000000000005E-2</v>
      </c>
      <c r="AZ510" s="103" t="s">
        <v>4854</v>
      </c>
      <c r="BA510" s="95">
        <v>2.4E-2</v>
      </c>
      <c r="BB510" s="95">
        <v>0.1</v>
      </c>
      <c r="BC510" s="10">
        <v>1</v>
      </c>
      <c r="BD510" s="4" t="s">
        <v>4854</v>
      </c>
      <c r="BE510" s="4" t="s">
        <v>4854</v>
      </c>
      <c r="BF510" s="10">
        <v>4</v>
      </c>
      <c r="BG510" s="10">
        <v>1</v>
      </c>
      <c r="BH510" s="4" t="s">
        <v>4854</v>
      </c>
      <c r="BI510" s="10">
        <v>2</v>
      </c>
      <c r="BJ510" s="10">
        <v>1</v>
      </c>
      <c r="BK510" s="91">
        <v>0.97199999999999998</v>
      </c>
      <c r="BL510" s="100" t="s">
        <v>4854</v>
      </c>
      <c r="BM510" s="100" t="s">
        <v>4854</v>
      </c>
      <c r="BN510" s="91">
        <v>0.95399999999999996</v>
      </c>
      <c r="BO510" s="91">
        <v>0.98899999999999999</v>
      </c>
      <c r="BP510" s="100" t="s">
        <v>4854</v>
      </c>
      <c r="BQ510" s="91">
        <v>0.96099999999999997</v>
      </c>
      <c r="BR510" s="91">
        <v>0.99199999999999999</v>
      </c>
      <c r="BS510" s="10" t="s">
        <v>4857</v>
      </c>
    </row>
    <row r="511" spans="1:71" s="30" customFormat="1" ht="17.100000000000001" customHeight="1">
      <c r="A511" s="14">
        <v>500</v>
      </c>
      <c r="B511" s="5" t="s">
        <v>3009</v>
      </c>
      <c r="C511" s="3" t="s">
        <v>3178</v>
      </c>
      <c r="D511" s="3" t="s">
        <v>3010</v>
      </c>
      <c r="E511" s="3" t="s">
        <v>3011</v>
      </c>
      <c r="F511" s="5" t="s">
        <v>3568</v>
      </c>
      <c r="G511" s="3" t="s">
        <v>3012</v>
      </c>
      <c r="H511" s="6" t="s">
        <v>3013</v>
      </c>
      <c r="I511" s="3" t="s">
        <v>3014</v>
      </c>
      <c r="J511" s="5" t="s">
        <v>4537</v>
      </c>
      <c r="K511" s="3" t="s">
        <v>5627</v>
      </c>
      <c r="L511" s="3" t="s">
        <v>3015</v>
      </c>
      <c r="M511" s="5">
        <v>2</v>
      </c>
      <c r="N511" s="21">
        <v>425.20479999999998</v>
      </c>
      <c r="O511" s="35" t="s">
        <v>4854</v>
      </c>
      <c r="P511" s="36" t="str">
        <f>HYPERLINK("http://ms.phosphosite.org:5080/cgi-bin/plot-msms.cgi?MassType=1&amp;NumAxis=1&amp;Mod7=170&amp;Pep=EADTMLK&amp;Dta=/var/www/html/dta/S01/10559.2644.2.dta&amp;Global_Mod=CS57.0215", "2644")</f>
        <v>2644</v>
      </c>
      <c r="Q511" s="35" t="s">
        <v>4854</v>
      </c>
      <c r="R511" s="35" t="s">
        <v>4854</v>
      </c>
      <c r="S511" s="35" t="s">
        <v>4854</v>
      </c>
      <c r="T511" s="35" t="s">
        <v>4854</v>
      </c>
      <c r="U511" s="35" t="s">
        <v>4854</v>
      </c>
      <c r="V511" s="35" t="s">
        <v>4854</v>
      </c>
      <c r="W511" s="3" t="s">
        <v>4854</v>
      </c>
      <c r="X511" s="3" t="s">
        <v>4854</v>
      </c>
      <c r="Y511" s="3" t="s">
        <v>4854</v>
      </c>
      <c r="Z511" s="3" t="s">
        <v>4854</v>
      </c>
      <c r="AA511" s="3" t="s">
        <v>4854</v>
      </c>
      <c r="AB511" s="3" t="s">
        <v>4854</v>
      </c>
      <c r="AC511" s="3" t="s">
        <v>4854</v>
      </c>
      <c r="AD511" s="3" t="s">
        <v>4854</v>
      </c>
      <c r="AE511" s="99" t="s">
        <v>4854</v>
      </c>
      <c r="AF511" s="90">
        <v>1.835</v>
      </c>
      <c r="AG511" s="99" t="s">
        <v>4854</v>
      </c>
      <c r="AH511" s="99" t="s">
        <v>4854</v>
      </c>
      <c r="AI511" s="99" t="s">
        <v>4854</v>
      </c>
      <c r="AJ511" s="99" t="s">
        <v>4854</v>
      </c>
      <c r="AK511" s="99" t="s">
        <v>4854</v>
      </c>
      <c r="AL511" s="99" t="s">
        <v>4854</v>
      </c>
      <c r="AM511" s="102" t="s">
        <v>4854</v>
      </c>
      <c r="AN511" s="21">
        <v>1.5612999999999999</v>
      </c>
      <c r="AO511" s="102" t="s">
        <v>4854</v>
      </c>
      <c r="AP511" s="102" t="s">
        <v>4854</v>
      </c>
      <c r="AQ511" s="102" t="s">
        <v>4854</v>
      </c>
      <c r="AR511" s="102" t="s">
        <v>4854</v>
      </c>
      <c r="AS511" s="102" t="s">
        <v>4854</v>
      </c>
      <c r="AT511" s="102" t="s">
        <v>4854</v>
      </c>
      <c r="AU511" s="102" t="s">
        <v>4854</v>
      </c>
      <c r="AV511" s="21">
        <v>0.125</v>
      </c>
      <c r="AW511" s="102" t="s">
        <v>4854</v>
      </c>
      <c r="AX511" s="102" t="s">
        <v>4854</v>
      </c>
      <c r="AY511" s="102" t="s">
        <v>4854</v>
      </c>
      <c r="AZ511" s="102" t="s">
        <v>4854</v>
      </c>
      <c r="BA511" s="102" t="s">
        <v>4854</v>
      </c>
      <c r="BB511" s="102" t="s">
        <v>4854</v>
      </c>
      <c r="BC511" s="3" t="s">
        <v>4854</v>
      </c>
      <c r="BD511" s="5">
        <v>2</v>
      </c>
      <c r="BE511" s="3" t="s">
        <v>4854</v>
      </c>
      <c r="BF511" s="3" t="s">
        <v>4854</v>
      </c>
      <c r="BG511" s="3" t="s">
        <v>4854</v>
      </c>
      <c r="BH511" s="3" t="s">
        <v>4854</v>
      </c>
      <c r="BI511" s="3" t="s">
        <v>4854</v>
      </c>
      <c r="BJ511" s="3" t="s">
        <v>4854</v>
      </c>
      <c r="BK511" s="99" t="s">
        <v>4854</v>
      </c>
      <c r="BL511" s="90">
        <v>0.71399999999999997</v>
      </c>
      <c r="BM511" s="99" t="s">
        <v>4854</v>
      </c>
      <c r="BN511" s="99" t="s">
        <v>4854</v>
      </c>
      <c r="BO511" s="99" t="s">
        <v>4854</v>
      </c>
      <c r="BP511" s="99" t="s">
        <v>4854</v>
      </c>
      <c r="BQ511" s="99" t="s">
        <v>4854</v>
      </c>
      <c r="BR511" s="99" t="s">
        <v>4854</v>
      </c>
      <c r="BS511" s="5" t="s">
        <v>4857</v>
      </c>
    </row>
    <row r="512" spans="1:71" s="30" customFormat="1" ht="17.100000000000001" customHeight="1">
      <c r="A512" s="10">
        <v>501</v>
      </c>
      <c r="B512" s="10" t="s">
        <v>3016</v>
      </c>
      <c r="C512" s="4" t="s">
        <v>3178</v>
      </c>
      <c r="D512" s="4" t="s">
        <v>3017</v>
      </c>
      <c r="E512" s="4" t="s">
        <v>3018</v>
      </c>
      <c r="F512" s="10" t="s">
        <v>4709</v>
      </c>
      <c r="G512" s="4" t="s">
        <v>3019</v>
      </c>
      <c r="H512" s="7" t="s">
        <v>3020</v>
      </c>
      <c r="I512" s="4" t="s">
        <v>3021</v>
      </c>
      <c r="J512" s="10" t="s">
        <v>4523</v>
      </c>
      <c r="K512" s="4" t="s">
        <v>5628</v>
      </c>
      <c r="L512" s="4" t="s">
        <v>3022</v>
      </c>
      <c r="M512" s="10">
        <v>2</v>
      </c>
      <c r="N512" s="95">
        <v>609.32219999999995</v>
      </c>
      <c r="O512" s="37" t="str">
        <f>HYPERLINK("http://ms.phosphosite.org:5080/cgi-bin/plot-msms.cgi?MassType=1&amp;NumAxis=1&amp;Mod8=170&amp;Pep=QEVQSLSKEK&amp;Dta=/var/www/html/dta/S01/10558.2701.2.dta&amp;Global_Mod=CS57.0215", "2701")</f>
        <v>2701</v>
      </c>
      <c r="P512" s="37" t="str">
        <f>HYPERLINK("http://ms.phosphosite.org:5080/cgi-bin/plot-msms.cgi?MassType=1&amp;NumAxis=1&amp;Mod8=170&amp;Pep=QEVQSLSKEK&amp;Dta=/var/www/html/dta/S01/10559.2655.2.dta&amp;Global_Mod=CS57.0215", "2655")</f>
        <v>2655</v>
      </c>
      <c r="Q512" s="37" t="str">
        <f>HYPERLINK("http://ms.phosphosite.org:5080/cgi-bin/plot-msms.cgi?MassType=1&amp;NumAxis=1&amp;Mod8=170&amp;Pep=QEVQSLSKEK&amp;Dta=/var/www/html/dta/S01/10560.2623.2.dta&amp;Global_Mod=CS57.0215", "2623")</f>
        <v>2623</v>
      </c>
      <c r="R512" s="37" t="str">
        <f>HYPERLINK("http://ms.phosphosite.org:5080/cgi-bin/plot-msms.cgi?MassType=1&amp;NumAxis=1&amp;Mod8=170&amp;Pep=QEVQSLSKEK&amp;Dta=/var/www/html/dta/S01/10561.2669.2.dta&amp;Global_Mod=CS57.0215", "2669")</f>
        <v>2669</v>
      </c>
      <c r="S512" s="37" t="str">
        <f>HYPERLINK("http://ms.phosphosite.org:5080/cgi-bin/plot-msms.cgi?MassType=1&amp;NumAxis=1&amp;Mod8=170&amp;Pep=QEVQSLSKEK&amp;Dta=/var/www/html/dta/S01/10562.2749.2.dta&amp;Global_Mod=CS57.0215", "2749")</f>
        <v>2749</v>
      </c>
      <c r="T512" s="37" t="str">
        <f>HYPERLINK("http://ms.phosphosite.org:5080/cgi-bin/plot-msms.cgi?MassType=1&amp;NumAxis=1&amp;Mod8=170&amp;Pep=QEVQSLSKEK&amp;Dta=/var/www/html/dta/S01/10563.2670.2.dta&amp;Global_Mod=CS57.0215", "2670")</f>
        <v>2670</v>
      </c>
      <c r="U512" s="38" t="s">
        <v>4854</v>
      </c>
      <c r="V512" s="38" t="s">
        <v>4854</v>
      </c>
      <c r="W512" s="10">
        <v>2708</v>
      </c>
      <c r="X512" s="10">
        <v>2660</v>
      </c>
      <c r="Y512" s="10">
        <v>2625</v>
      </c>
      <c r="Z512" s="10">
        <v>2674</v>
      </c>
      <c r="AA512" s="10">
        <v>2745</v>
      </c>
      <c r="AB512" s="10">
        <v>2665</v>
      </c>
      <c r="AC512" s="4" t="s">
        <v>4854</v>
      </c>
      <c r="AD512" s="4" t="s">
        <v>4854</v>
      </c>
      <c r="AE512" s="91">
        <v>2.206</v>
      </c>
      <c r="AF512" s="91">
        <v>2.2810000000000001</v>
      </c>
      <c r="AG512" s="91">
        <v>2.0739999999999998</v>
      </c>
      <c r="AH512" s="91">
        <v>2.5190000000000001</v>
      </c>
      <c r="AI512" s="91">
        <v>2.3719999999999999</v>
      </c>
      <c r="AJ512" s="91">
        <v>2.2040000000000002</v>
      </c>
      <c r="AK512" s="100" t="s">
        <v>4854</v>
      </c>
      <c r="AL512" s="100" t="s">
        <v>4854</v>
      </c>
      <c r="AM512" s="95">
        <v>-0.14849999999999999</v>
      </c>
      <c r="AN512" s="95">
        <v>-0.1706</v>
      </c>
      <c r="AO512" s="95">
        <v>-4.0099999999999997E-2</v>
      </c>
      <c r="AP512" s="95">
        <v>0.28189999999999998</v>
      </c>
      <c r="AQ512" s="95">
        <v>7.2400000000000006E-2</v>
      </c>
      <c r="AR512" s="95">
        <v>0.35249999999999998</v>
      </c>
      <c r="AS512" s="103" t="s">
        <v>4854</v>
      </c>
      <c r="AT512" s="103" t="s">
        <v>4854</v>
      </c>
      <c r="AU512" s="95">
        <v>0.14299999999999999</v>
      </c>
      <c r="AV512" s="95">
        <v>0.10299999999999999</v>
      </c>
      <c r="AW512" s="95">
        <v>0.158</v>
      </c>
      <c r="AX512" s="95">
        <v>8.8999999999999996E-2</v>
      </c>
      <c r="AY512" s="95">
        <v>8.7999999999999995E-2</v>
      </c>
      <c r="AZ512" s="95">
        <v>0.128</v>
      </c>
      <c r="BA512" s="103" t="s">
        <v>4854</v>
      </c>
      <c r="BB512" s="103" t="s">
        <v>4854</v>
      </c>
      <c r="BC512" s="10">
        <v>2</v>
      </c>
      <c r="BD512" s="10">
        <v>1</v>
      </c>
      <c r="BE512" s="10">
        <v>28</v>
      </c>
      <c r="BF512" s="10">
        <v>20</v>
      </c>
      <c r="BG512" s="10">
        <v>17</v>
      </c>
      <c r="BH512" s="10">
        <v>1</v>
      </c>
      <c r="BI512" s="4" t="s">
        <v>4854</v>
      </c>
      <c r="BJ512" s="4" t="s">
        <v>4854</v>
      </c>
      <c r="BK512" s="91">
        <v>0.99099999999999999</v>
      </c>
      <c r="BL512" s="91">
        <v>0.99099999999999999</v>
      </c>
      <c r="BM512" s="91">
        <v>0.97699999999999998</v>
      </c>
      <c r="BN512" s="91">
        <v>0.98199999999999998</v>
      </c>
      <c r="BO512" s="91">
        <v>0.97699999999999998</v>
      </c>
      <c r="BP512" s="91">
        <v>0.99199999999999999</v>
      </c>
      <c r="BQ512" s="100" t="s">
        <v>4854</v>
      </c>
      <c r="BR512" s="100" t="s">
        <v>4854</v>
      </c>
      <c r="BS512" s="10" t="s">
        <v>4857</v>
      </c>
    </row>
    <row r="513" spans="1:71" s="30" customFormat="1" ht="17.100000000000001" customHeight="1">
      <c r="A513" s="14">
        <v>502</v>
      </c>
      <c r="B513" s="5" t="s">
        <v>3023</v>
      </c>
      <c r="C513" s="3" t="s">
        <v>3178</v>
      </c>
      <c r="D513" s="3" t="s">
        <v>3024</v>
      </c>
      <c r="E513" s="3" t="s">
        <v>3025</v>
      </c>
      <c r="F513" s="5" t="s">
        <v>3026</v>
      </c>
      <c r="G513" s="3" t="s">
        <v>3027</v>
      </c>
      <c r="H513" s="6" t="s">
        <v>3028</v>
      </c>
      <c r="I513" s="3" t="s">
        <v>3029</v>
      </c>
      <c r="J513" s="5" t="s">
        <v>4480</v>
      </c>
      <c r="K513" s="3" t="s">
        <v>5629</v>
      </c>
      <c r="L513" s="3" t="s">
        <v>3030</v>
      </c>
      <c r="M513" s="5">
        <v>5</v>
      </c>
      <c r="N513" s="21">
        <v>618.93830000000003</v>
      </c>
      <c r="O513" s="36" t="str">
        <f>HYPERLINK("http://ms.phosphosite.org:5080/cgi-bin/plot-msms.cgi?MassType=1&amp;NumAxis=1&amp;Mod3=170&amp;Mod6=170&amp;Pep=YEKKPKVLPPSAAAPQQQSPAALPGFSAK&amp;Dta=/var/www/html/dta/S01/10558.1362.5.dta&amp;Global_Mod=CS57.0215", "1362")</f>
        <v>1362</v>
      </c>
      <c r="P513" s="35" t="s">
        <v>4854</v>
      </c>
      <c r="Q513" s="35" t="s">
        <v>4854</v>
      </c>
      <c r="R513" s="35" t="s">
        <v>4854</v>
      </c>
      <c r="S513" s="35" t="s">
        <v>4854</v>
      </c>
      <c r="T513" s="35" t="s">
        <v>4854</v>
      </c>
      <c r="U513" s="35" t="s">
        <v>4854</v>
      </c>
      <c r="V513" s="35" t="s">
        <v>4854</v>
      </c>
      <c r="W513" s="3" t="s">
        <v>4854</v>
      </c>
      <c r="X513" s="3" t="s">
        <v>4854</v>
      </c>
      <c r="Y513" s="3" t="s">
        <v>4854</v>
      </c>
      <c r="Z513" s="3" t="s">
        <v>4854</v>
      </c>
      <c r="AA513" s="3" t="s">
        <v>4854</v>
      </c>
      <c r="AB513" s="3" t="s">
        <v>4854</v>
      </c>
      <c r="AC513" s="3" t="s">
        <v>4854</v>
      </c>
      <c r="AD513" s="3" t="s">
        <v>4854</v>
      </c>
      <c r="AE513" s="90">
        <v>2.234</v>
      </c>
      <c r="AF513" s="99" t="s">
        <v>4854</v>
      </c>
      <c r="AG513" s="99" t="s">
        <v>4854</v>
      </c>
      <c r="AH513" s="99" t="s">
        <v>4854</v>
      </c>
      <c r="AI513" s="99" t="s">
        <v>4854</v>
      </c>
      <c r="AJ513" s="99" t="s">
        <v>4854</v>
      </c>
      <c r="AK513" s="99" t="s">
        <v>4854</v>
      </c>
      <c r="AL513" s="99" t="s">
        <v>4854</v>
      </c>
      <c r="AM513" s="21">
        <v>-0.25929999999999997</v>
      </c>
      <c r="AN513" s="102" t="s">
        <v>4854</v>
      </c>
      <c r="AO513" s="102" t="s">
        <v>4854</v>
      </c>
      <c r="AP513" s="102" t="s">
        <v>4854</v>
      </c>
      <c r="AQ513" s="102" t="s">
        <v>4854</v>
      </c>
      <c r="AR513" s="102" t="s">
        <v>4854</v>
      </c>
      <c r="AS513" s="102" t="s">
        <v>4854</v>
      </c>
      <c r="AT513" s="102" t="s">
        <v>4854</v>
      </c>
      <c r="AU513" s="21">
        <v>2.4E-2</v>
      </c>
      <c r="AV513" s="102" t="s">
        <v>4854</v>
      </c>
      <c r="AW513" s="102" t="s">
        <v>4854</v>
      </c>
      <c r="AX513" s="102" t="s">
        <v>4854</v>
      </c>
      <c r="AY513" s="102" t="s">
        <v>4854</v>
      </c>
      <c r="AZ513" s="102" t="s">
        <v>4854</v>
      </c>
      <c r="BA513" s="102" t="s">
        <v>4854</v>
      </c>
      <c r="BB513" s="102" t="s">
        <v>4854</v>
      </c>
      <c r="BC513" s="5">
        <v>92</v>
      </c>
      <c r="BD513" s="3" t="s">
        <v>4854</v>
      </c>
      <c r="BE513" s="3" t="s">
        <v>4854</v>
      </c>
      <c r="BF513" s="3" t="s">
        <v>4854</v>
      </c>
      <c r="BG513" s="3" t="s">
        <v>4854</v>
      </c>
      <c r="BH513" s="3" t="s">
        <v>4854</v>
      </c>
      <c r="BI513" s="3" t="s">
        <v>4854</v>
      </c>
      <c r="BJ513" s="3" t="s">
        <v>4854</v>
      </c>
      <c r="BK513" s="90">
        <v>0.51800000000000002</v>
      </c>
      <c r="BL513" s="99" t="s">
        <v>4854</v>
      </c>
      <c r="BM513" s="99" t="s">
        <v>4854</v>
      </c>
      <c r="BN513" s="99" t="s">
        <v>4854</v>
      </c>
      <c r="BO513" s="99" t="s">
        <v>4854</v>
      </c>
      <c r="BP513" s="99" t="s">
        <v>4854</v>
      </c>
      <c r="BQ513" s="99" t="s">
        <v>4854</v>
      </c>
      <c r="BR513" s="99" t="s">
        <v>4854</v>
      </c>
      <c r="BS513" s="5" t="s">
        <v>4857</v>
      </c>
    </row>
    <row r="514" spans="1:71" s="30" customFormat="1" ht="17.100000000000001" customHeight="1">
      <c r="A514" s="10">
        <v>503</v>
      </c>
      <c r="B514" s="10" t="s">
        <v>3031</v>
      </c>
      <c r="C514" s="4" t="s">
        <v>3178</v>
      </c>
      <c r="D514" s="4" t="s">
        <v>3032</v>
      </c>
      <c r="E514" s="4" t="s">
        <v>3033</v>
      </c>
      <c r="F514" s="10" t="s">
        <v>5015</v>
      </c>
      <c r="G514" s="4" t="s">
        <v>3034</v>
      </c>
      <c r="H514" s="7" t="s">
        <v>3035</v>
      </c>
      <c r="I514" s="4" t="s">
        <v>3036</v>
      </c>
      <c r="J514" s="10" t="s">
        <v>4682</v>
      </c>
      <c r="K514" s="4" t="s">
        <v>5630</v>
      </c>
      <c r="L514" s="4" t="s">
        <v>3037</v>
      </c>
      <c r="M514" s="10">
        <v>2</v>
      </c>
      <c r="N514" s="95">
        <v>698.8501</v>
      </c>
      <c r="O514" s="37" t="str">
        <f>HYPERLINK("http://ms.phosphosite.org:5080/cgi-bin/plot-msms.cgi?MassType=1&amp;NumAxis=1&amp;Mod2=170&amp;Mod8=160&amp;Pep=WKAYDATCLVK&amp;Dta=/var/www/html/dta/S01/10558.8241.2.dta&amp;Global_Mod=CS57.0215", "8241")</f>
        <v>8241</v>
      </c>
      <c r="P514" s="37" t="str">
        <f>HYPERLINK("http://ms.phosphosite.org:5080/cgi-bin/plot-msms.cgi?MassType=1&amp;NumAxis=1&amp;Mod2=170&amp;Mod8=160&amp;Pep=WKAYDATCLVK&amp;Dta=/var/www/html/dta/S01/10559.8206.2.dta&amp;Global_Mod=CS57.0215", "8206")</f>
        <v>8206</v>
      </c>
      <c r="Q514" s="37" t="str">
        <f>HYPERLINK("http://ms.phosphosite.org:5080/cgi-bin/plot-msms.cgi?MassType=1&amp;NumAxis=1&amp;Mod2=170&amp;Mod8=160&amp;Pep=WKAYDATCLVK&amp;Dta=/var/www/html/dta/S01/10560.8195.2.dta&amp;Global_Mod=CS57.0215", "8195")</f>
        <v>8195</v>
      </c>
      <c r="R514" s="37" t="str">
        <f>HYPERLINK("http://ms.phosphosite.org:5080/cgi-bin/plot-msms.cgi?MassType=1&amp;NumAxis=1&amp;Mod2=170&amp;Mod8=160&amp;Pep=WKAYDATCLVK&amp;Dta=/var/www/html/dta/S01/10561.8237.2.dta&amp;Global_Mod=CS57.0215", "8237")</f>
        <v>8237</v>
      </c>
      <c r="S514" s="37" t="str">
        <f>HYPERLINK("http://ms.phosphosite.org:5080/cgi-bin/plot-msms.cgi?MassType=1&amp;NumAxis=1&amp;Mod2=170&amp;Mod8=160&amp;Pep=WKAYDATCLVK&amp;Dta=/var/www/html/dta/S01/10562.8348.2.dta&amp;Global_Mod=CS57.0215", "8348")</f>
        <v>8348</v>
      </c>
      <c r="T514" s="38" t="s">
        <v>4854</v>
      </c>
      <c r="U514" s="37" t="str">
        <f>HYPERLINK("http://ms.phosphosite.org:5080/cgi-bin/plot-msms.cgi?MassType=1&amp;NumAxis=1&amp;Mod2=170&amp;Mod8=160&amp;Pep=WKAYDATCLVK&amp;Dta=/var/www/html/dta/S01/10564.8761.2.dta&amp;Global_Mod=CS57.0215", "8761")</f>
        <v>8761</v>
      </c>
      <c r="V514" s="38" t="s">
        <v>4854</v>
      </c>
      <c r="W514" s="10">
        <v>8260</v>
      </c>
      <c r="X514" s="10">
        <v>8230</v>
      </c>
      <c r="Y514" s="10">
        <v>8203</v>
      </c>
      <c r="Z514" s="10">
        <v>8263</v>
      </c>
      <c r="AA514" s="10">
        <v>8369</v>
      </c>
      <c r="AB514" s="4" t="s">
        <v>4854</v>
      </c>
      <c r="AC514" s="10">
        <v>8784</v>
      </c>
      <c r="AD514" s="4" t="s">
        <v>4854</v>
      </c>
      <c r="AE514" s="91">
        <v>3.0129999999999999</v>
      </c>
      <c r="AF514" s="91">
        <v>2.8860000000000001</v>
      </c>
      <c r="AG514" s="91">
        <v>3.383</v>
      </c>
      <c r="AH514" s="91">
        <v>2.7869999999999999</v>
      </c>
      <c r="AI514" s="91">
        <v>3.0110000000000001</v>
      </c>
      <c r="AJ514" s="100" t="s">
        <v>4854</v>
      </c>
      <c r="AK514" s="91">
        <v>3.3210000000000002</v>
      </c>
      <c r="AL514" s="100" t="s">
        <v>4854</v>
      </c>
      <c r="AM514" s="95">
        <v>-0.2001</v>
      </c>
      <c r="AN514" s="95">
        <v>-0.5796</v>
      </c>
      <c r="AO514" s="95">
        <v>-0.18579999999999999</v>
      </c>
      <c r="AP514" s="95">
        <v>-4.8300000000000003E-2</v>
      </c>
      <c r="AQ514" s="95">
        <v>-0.31969999999999998</v>
      </c>
      <c r="AR514" s="103" t="s">
        <v>4854</v>
      </c>
      <c r="AS514" s="95">
        <v>0.42349999999999999</v>
      </c>
      <c r="AT514" s="103" t="s">
        <v>4854</v>
      </c>
      <c r="AU514" s="95">
        <v>0.188</v>
      </c>
      <c r="AV514" s="95">
        <v>0.2</v>
      </c>
      <c r="AW514" s="95">
        <v>0.27800000000000002</v>
      </c>
      <c r="AX514" s="95">
        <v>0.151</v>
      </c>
      <c r="AY514" s="95">
        <v>0.24199999999999999</v>
      </c>
      <c r="AZ514" s="103" t="s">
        <v>4854</v>
      </c>
      <c r="BA514" s="95">
        <v>0.28299999999999997</v>
      </c>
      <c r="BB514" s="103" t="s">
        <v>4854</v>
      </c>
      <c r="BC514" s="10">
        <v>1</v>
      </c>
      <c r="BD514" s="10">
        <v>1</v>
      </c>
      <c r="BE514" s="10">
        <v>1</v>
      </c>
      <c r="BF514" s="10">
        <v>1</v>
      </c>
      <c r="BG514" s="10">
        <v>1</v>
      </c>
      <c r="BH514" s="4" t="s">
        <v>4854</v>
      </c>
      <c r="BI514" s="10">
        <v>1</v>
      </c>
      <c r="BJ514" s="4" t="s">
        <v>4854</v>
      </c>
      <c r="BK514" s="91">
        <v>0.999</v>
      </c>
      <c r="BL514" s="91">
        <v>0.998</v>
      </c>
      <c r="BM514" s="91">
        <v>1</v>
      </c>
      <c r="BN514" s="91">
        <v>0.998</v>
      </c>
      <c r="BO514" s="91">
        <v>0.999</v>
      </c>
      <c r="BP514" s="100" t="s">
        <v>4854</v>
      </c>
      <c r="BQ514" s="91">
        <v>1</v>
      </c>
      <c r="BR514" s="100" t="s">
        <v>4854</v>
      </c>
      <c r="BS514" s="10" t="s">
        <v>4857</v>
      </c>
    </row>
    <row r="515" spans="1:71" s="30" customFormat="1" ht="17.100000000000001" customHeight="1">
      <c r="A515" s="14">
        <v>504</v>
      </c>
      <c r="B515" s="5" t="s">
        <v>3038</v>
      </c>
      <c r="C515" s="3" t="s">
        <v>3178</v>
      </c>
      <c r="D515" s="6" t="s">
        <v>3039</v>
      </c>
      <c r="E515" s="6" t="s">
        <v>3040</v>
      </c>
      <c r="F515" s="5" t="s">
        <v>5100</v>
      </c>
      <c r="G515" s="3" t="s">
        <v>3041</v>
      </c>
      <c r="H515" s="6" t="s">
        <v>3042</v>
      </c>
      <c r="I515" s="3" t="s">
        <v>3043</v>
      </c>
      <c r="J515" s="5" t="s">
        <v>3823</v>
      </c>
      <c r="K515" s="3" t="s">
        <v>5631</v>
      </c>
      <c r="L515" s="3" t="s">
        <v>3044</v>
      </c>
      <c r="M515" s="5">
        <v>3</v>
      </c>
      <c r="N515" s="21">
        <v>849.45399999999995</v>
      </c>
      <c r="O515" s="35" t="s">
        <v>4854</v>
      </c>
      <c r="P515" s="36" t="str">
        <f>HYPERLINK("http://ms.phosphosite.org:5080/cgi-bin/plot-msms.cgi?MassType=1&amp;NumAxis=1&amp;Mod6=170&amp;Pep=FLEIGKFDLSNNHPLGMAIFLK&amp;Dta=/var/www/html/dta/S01/10559.14428.3.dta&amp;Global_Mod=CS57.0215", "14428")</f>
        <v>14428</v>
      </c>
      <c r="Q515" s="35" t="s">
        <v>4854</v>
      </c>
      <c r="R515" s="35" t="s">
        <v>4854</v>
      </c>
      <c r="S515" s="35" t="s">
        <v>4854</v>
      </c>
      <c r="T515" s="35" t="s">
        <v>4854</v>
      </c>
      <c r="U515" s="36" t="str">
        <f>HYPERLINK("http://ms.phosphosite.org:5080/cgi-bin/plot-msms.cgi?MassType=1&amp;NumAxis=1&amp;Mod6=170&amp;Pep=FLEIGKFDLSNNHPLGMAIFLK&amp;Dta=/var/www/html/dta/S01/10564.15176.3.dta&amp;Global_Mod=CS57.0215", "15176")</f>
        <v>15176</v>
      </c>
      <c r="V515" s="36" t="str">
        <f>HYPERLINK("http://ms.phosphosite.org:5080/cgi-bin/plot-msms.cgi?MassType=1&amp;NumAxis=1&amp;Mod6=170&amp;Pep=FLEIGKFDLSNNHPLGMAIFLK&amp;Dta=/var/www/html/dta/S01/10565.15094.3.dta&amp;Global_Mod=CS57.0215", "15094")</f>
        <v>15094</v>
      </c>
      <c r="W515" s="3" t="s">
        <v>4854</v>
      </c>
      <c r="X515" s="3" t="s">
        <v>4854</v>
      </c>
      <c r="Y515" s="3" t="s">
        <v>4854</v>
      </c>
      <c r="Z515" s="3" t="s">
        <v>4854</v>
      </c>
      <c r="AA515" s="3" t="s">
        <v>4854</v>
      </c>
      <c r="AB515" s="3" t="s">
        <v>4854</v>
      </c>
      <c r="AC515" s="5">
        <v>15178</v>
      </c>
      <c r="AD515" s="5">
        <v>15099</v>
      </c>
      <c r="AE515" s="99" t="s">
        <v>4854</v>
      </c>
      <c r="AF515" s="90">
        <v>1.911</v>
      </c>
      <c r="AG515" s="99" t="s">
        <v>4854</v>
      </c>
      <c r="AH515" s="99" t="s">
        <v>4854</v>
      </c>
      <c r="AI515" s="99" t="s">
        <v>4854</v>
      </c>
      <c r="AJ515" s="99" t="s">
        <v>4854</v>
      </c>
      <c r="AK515" s="90">
        <v>2.3620000000000001</v>
      </c>
      <c r="AL515" s="90">
        <v>3.0539999999999998</v>
      </c>
      <c r="AM515" s="102" t="s">
        <v>4854</v>
      </c>
      <c r="AN515" s="21">
        <v>1.4065000000000001</v>
      </c>
      <c r="AO515" s="102" t="s">
        <v>4854</v>
      </c>
      <c r="AP515" s="102" t="s">
        <v>4854</v>
      </c>
      <c r="AQ515" s="102" t="s">
        <v>4854</v>
      </c>
      <c r="AR515" s="102" t="s">
        <v>4854</v>
      </c>
      <c r="AS515" s="21">
        <v>0.36430000000000001</v>
      </c>
      <c r="AT515" s="21">
        <v>1.2797000000000001</v>
      </c>
      <c r="AU515" s="102" t="s">
        <v>4854</v>
      </c>
      <c r="AV515" s="21">
        <v>0.02</v>
      </c>
      <c r="AW515" s="102" t="s">
        <v>4854</v>
      </c>
      <c r="AX515" s="102" t="s">
        <v>4854</v>
      </c>
      <c r="AY515" s="102" t="s">
        <v>4854</v>
      </c>
      <c r="AZ515" s="102" t="s">
        <v>4854</v>
      </c>
      <c r="BA515" s="21">
        <v>0.152</v>
      </c>
      <c r="BB515" s="21">
        <v>5.5E-2</v>
      </c>
      <c r="BC515" s="3" t="s">
        <v>4854</v>
      </c>
      <c r="BD515" s="5">
        <v>42</v>
      </c>
      <c r="BE515" s="3" t="s">
        <v>4854</v>
      </c>
      <c r="BF515" s="3" t="s">
        <v>4854</v>
      </c>
      <c r="BG515" s="3" t="s">
        <v>4854</v>
      </c>
      <c r="BH515" s="3" t="s">
        <v>4854</v>
      </c>
      <c r="BI515" s="5">
        <v>1</v>
      </c>
      <c r="BJ515" s="5">
        <v>1</v>
      </c>
      <c r="BK515" s="99" t="s">
        <v>4854</v>
      </c>
      <c r="BL515" s="90">
        <v>0.73699999999999999</v>
      </c>
      <c r="BM515" s="99" t="s">
        <v>4854</v>
      </c>
      <c r="BN515" s="99" t="s">
        <v>4854</v>
      </c>
      <c r="BO515" s="99" t="s">
        <v>4854</v>
      </c>
      <c r="BP515" s="99" t="s">
        <v>4854</v>
      </c>
      <c r="BQ515" s="90">
        <v>0.99099999999999999</v>
      </c>
      <c r="BR515" s="90">
        <v>0.98499999999999999</v>
      </c>
      <c r="BS515" s="5" t="s">
        <v>4857</v>
      </c>
    </row>
    <row r="516" spans="1:71" s="30" customFormat="1" ht="17.100000000000001" customHeight="1">
      <c r="A516" s="14">
        <v>505</v>
      </c>
      <c r="B516" s="5" t="s">
        <v>3045</v>
      </c>
      <c r="C516" s="3" t="s">
        <v>3178</v>
      </c>
      <c r="D516" s="6" t="s">
        <v>3039</v>
      </c>
      <c r="E516" s="6" t="s">
        <v>3040</v>
      </c>
      <c r="F516" s="5" t="s">
        <v>5100</v>
      </c>
      <c r="G516" s="3" t="s">
        <v>3041</v>
      </c>
      <c r="H516" s="6" t="s">
        <v>3042</v>
      </c>
      <c r="I516" s="3" t="s">
        <v>3043</v>
      </c>
      <c r="J516" s="5" t="s">
        <v>3823</v>
      </c>
      <c r="K516" s="3" t="s">
        <v>5631</v>
      </c>
      <c r="L516" s="3" t="s">
        <v>3046</v>
      </c>
      <c r="M516" s="5">
        <v>3</v>
      </c>
      <c r="N516" s="21">
        <v>854.78570000000002</v>
      </c>
      <c r="O516" s="36" t="str">
        <f>HYPERLINK("http://ms.phosphosite.org:5080/cgi-bin/plot-msms.cgi?MassType=1&amp;NumAxis=1&amp;Mod6=170&amp;Mod17=147&amp;Pep=FLEIGKFDLSNNHPLGMAIFLK&amp;Dta=/var/www/html/dta/S01/10558.13082.3.dta&amp;Global_Mod=CS57.0215", "13082")</f>
        <v>13082</v>
      </c>
      <c r="P516" s="36" t="str">
        <f>HYPERLINK("http://ms.phosphosite.org:5080/cgi-bin/plot-msms.cgi?MassType=1&amp;NumAxis=1&amp;Mod6=170&amp;Mod17=147&amp;Pep=FLEIGKFDLSNNHPLGMAIFLK&amp;Dta=/var/www/html/dta/S01/10559.13112.3.dta&amp;Global_Mod=CS57.0215", "13112")</f>
        <v>13112</v>
      </c>
      <c r="Q516" s="36" t="str">
        <f>HYPERLINK("http://ms.phosphosite.org:5080/cgi-bin/plot-msms.cgi?MassType=1&amp;NumAxis=1&amp;Mod6=170&amp;Mod17=147&amp;Pep=FLEIGKFDLSNNHPLGMAIFLK&amp;Dta=/var/www/html/dta/S01/10560.13137.3.dta&amp;Global_Mod=CS57.0215", "13137")</f>
        <v>13137</v>
      </c>
      <c r="R516" s="36" t="str">
        <f>HYPERLINK("http://ms.phosphosite.org:5080/cgi-bin/plot-msms.cgi?MassType=1&amp;NumAxis=1&amp;Mod6=170&amp;Mod17=147&amp;Pep=FLEIGKFDLSNNHPLGMAIFLK&amp;Dta=/var/www/html/dta/S01/10561.13159.3.dta&amp;Global_Mod=CS57.0215", "13159")</f>
        <v>13159</v>
      </c>
      <c r="S516" s="36" t="str">
        <f>HYPERLINK("http://ms.phosphosite.org:5080/cgi-bin/plot-msms.cgi?MassType=1&amp;NumAxis=1&amp;Mod6=170&amp;Mod17=147&amp;Pep=FLEIGKFDLSNNHPLGMAIFLK&amp;Dta=/var/www/html/dta/S01/10562.13330.3.dta&amp;Global_Mod=CS57.0215", "13330")</f>
        <v>13330</v>
      </c>
      <c r="T516" s="36" t="str">
        <f>HYPERLINK("http://ms.phosphosite.org:5080/cgi-bin/plot-msms.cgi?MassType=1&amp;NumAxis=1&amp;Mod6=170&amp;Mod17=147&amp;Pep=FLEIGKFDLSNNHPLGMAIFLK&amp;Dta=/var/www/html/dta/S01/10563.13252.3.dta&amp;Global_Mod=CS57.0215", "13252")</f>
        <v>13252</v>
      </c>
      <c r="U516" s="36" t="str">
        <f>HYPERLINK("http://ms.phosphosite.org:5080/cgi-bin/plot-msms.cgi?MassType=1&amp;NumAxis=1&amp;Mod6=170&amp;Mod17=147&amp;Pep=FLEIGKFDLSNNHPLGMAIFLK&amp;Dta=/var/www/html/dta/S01/10564.13821.3.dta&amp;Global_Mod=CS57.0215", "13821")</f>
        <v>13821</v>
      </c>
      <c r="V516" s="36" t="str">
        <f>HYPERLINK("http://ms.phosphosite.org:5080/cgi-bin/plot-msms.cgi?MassType=1&amp;NumAxis=1&amp;Mod6=170&amp;Mod17=147&amp;Pep=FLEIGKFDLSNNHPLGMAIFLK&amp;Dta=/var/www/html/dta/S01/10565.13774.3.dta&amp;Global_Mod=CS57.0215", "13774")</f>
        <v>13774</v>
      </c>
      <c r="W516" s="5">
        <v>13110</v>
      </c>
      <c r="X516" s="5">
        <v>13132</v>
      </c>
      <c r="Y516" s="5">
        <v>13155</v>
      </c>
      <c r="Z516" s="5">
        <v>13183</v>
      </c>
      <c r="AA516" s="5">
        <v>13348</v>
      </c>
      <c r="AB516" s="5">
        <v>13291</v>
      </c>
      <c r="AC516" s="5">
        <v>13847</v>
      </c>
      <c r="AD516" s="5">
        <v>13801</v>
      </c>
      <c r="AE516" s="90">
        <v>3.2679999999999998</v>
      </c>
      <c r="AF516" s="90">
        <v>4.4340000000000002</v>
      </c>
      <c r="AG516" s="90">
        <v>4.45</v>
      </c>
      <c r="AH516" s="90">
        <v>3.3849999999999998</v>
      </c>
      <c r="AI516" s="90">
        <v>2.641</v>
      </c>
      <c r="AJ516" s="90">
        <v>3.411</v>
      </c>
      <c r="AK516" s="90">
        <v>3.64</v>
      </c>
      <c r="AL516" s="90">
        <v>3.66</v>
      </c>
      <c r="AM516" s="21">
        <v>1.4092</v>
      </c>
      <c r="AN516" s="21">
        <v>1.5008999999999999</v>
      </c>
      <c r="AO516" s="21">
        <v>1.4416</v>
      </c>
      <c r="AP516" s="21">
        <v>1.4631000000000001</v>
      </c>
      <c r="AQ516" s="21">
        <v>0.70520000000000005</v>
      </c>
      <c r="AR516" s="21">
        <v>0.97519999999999996</v>
      </c>
      <c r="AS516" s="21">
        <v>0.87890000000000001</v>
      </c>
      <c r="AT516" s="21">
        <v>1.0178</v>
      </c>
      <c r="AU516" s="21">
        <v>0.373</v>
      </c>
      <c r="AV516" s="21">
        <v>0.377</v>
      </c>
      <c r="AW516" s="21">
        <v>0.34499999999999997</v>
      </c>
      <c r="AX516" s="21">
        <v>0.33600000000000002</v>
      </c>
      <c r="AY516" s="21">
        <v>0.17199999999999999</v>
      </c>
      <c r="AZ516" s="21">
        <v>0.22900000000000001</v>
      </c>
      <c r="BA516" s="21">
        <v>0.32400000000000001</v>
      </c>
      <c r="BB516" s="21">
        <v>0.26400000000000001</v>
      </c>
      <c r="BC516" s="5">
        <v>1</v>
      </c>
      <c r="BD516" s="5">
        <v>1</v>
      </c>
      <c r="BE516" s="5">
        <v>1</v>
      </c>
      <c r="BF516" s="5">
        <v>1</v>
      </c>
      <c r="BG516" s="5">
        <v>3</v>
      </c>
      <c r="BH516" s="5">
        <v>1</v>
      </c>
      <c r="BI516" s="5">
        <v>1</v>
      </c>
      <c r="BJ516" s="5">
        <v>1</v>
      </c>
      <c r="BK516" s="90">
        <v>1</v>
      </c>
      <c r="BL516" s="90">
        <v>1</v>
      </c>
      <c r="BM516" s="90">
        <v>1</v>
      </c>
      <c r="BN516" s="90">
        <v>1</v>
      </c>
      <c r="BO516" s="90">
        <v>0.99399999999999999</v>
      </c>
      <c r="BP516" s="90">
        <v>0.999</v>
      </c>
      <c r="BQ516" s="90">
        <v>1</v>
      </c>
      <c r="BR516" s="90">
        <v>1</v>
      </c>
      <c r="BS516" s="5" t="s">
        <v>4857</v>
      </c>
    </row>
    <row r="517" spans="1:71" s="30" customFormat="1" ht="17.100000000000001" customHeight="1">
      <c r="A517" s="10">
        <v>506</v>
      </c>
      <c r="B517" s="10" t="s">
        <v>3047</v>
      </c>
      <c r="C517" s="4" t="s">
        <v>3178</v>
      </c>
      <c r="D517" s="7" t="s">
        <v>3039</v>
      </c>
      <c r="E517" s="7" t="s">
        <v>3040</v>
      </c>
      <c r="F517" s="10" t="s">
        <v>3048</v>
      </c>
      <c r="G517" s="4" t="s">
        <v>3041</v>
      </c>
      <c r="H517" s="7" t="s">
        <v>3042</v>
      </c>
      <c r="I517" s="4" t="s">
        <v>3043</v>
      </c>
      <c r="J517" s="10" t="s">
        <v>3823</v>
      </c>
      <c r="K517" s="4" t="s">
        <v>5632</v>
      </c>
      <c r="L517" s="4" t="s">
        <v>3049</v>
      </c>
      <c r="M517" s="10">
        <v>3</v>
      </c>
      <c r="N517" s="95">
        <v>707.73670000000004</v>
      </c>
      <c r="O517" s="38" t="s">
        <v>4854</v>
      </c>
      <c r="P517" s="38" t="s">
        <v>4854</v>
      </c>
      <c r="Q517" s="37" t="str">
        <f>HYPERLINK("http://ms.phosphosite.org:5080/cgi-bin/plot-msms.cgi?MassType=1&amp;NumAxis=1&amp;Mod9=170&amp;Pep=QFLDVEHSKVLEALLPLK&amp;Dta=/var/www/html/dta/S01/10560.13921.3.dta&amp;Global_Mod=CS57.0215", "13921")</f>
        <v>13921</v>
      </c>
      <c r="R517" s="38" t="s">
        <v>4854</v>
      </c>
      <c r="S517" s="37" t="str">
        <f>HYPERLINK("http://ms.phosphosite.org:5080/cgi-bin/plot-msms.cgi?MassType=1&amp;NumAxis=1&amp;Mod9=170&amp;Pep=QFLDVEHSKVLEALLPLK&amp;Dta=/var/www/html/dta/S01/10562.14068.3.dta&amp;Global_Mod=CS57.0215", "14068")</f>
        <v>14068</v>
      </c>
      <c r="T517" s="37" t="str">
        <f>HYPERLINK("http://ms.phosphosite.org:5080/cgi-bin/plot-msms.cgi?MassType=1&amp;NumAxis=1&amp;Mod9=170&amp;Pep=QFLDVEHSKVLEALLPLK&amp;Dta=/var/www/html/dta/S01/10563.14031.3.dta&amp;Global_Mod=CS57.0215", "14031")</f>
        <v>14031</v>
      </c>
      <c r="U517" s="38" t="s">
        <v>4854</v>
      </c>
      <c r="V517" s="37" t="str">
        <f>HYPERLINK("http://ms.phosphosite.org:5080/cgi-bin/plot-msms.cgi?MassType=1&amp;NumAxis=1&amp;Mod9=170&amp;Pep=QFLDVEHSKVLEALLPLK&amp;Dta=/var/www/html/dta/S01/10565.14602.3.dta&amp;Global_Mod=CS57.0215", "14602")</f>
        <v>14602</v>
      </c>
      <c r="W517" s="4" t="s">
        <v>4854</v>
      </c>
      <c r="X517" s="4" t="s">
        <v>4854</v>
      </c>
      <c r="Y517" s="10">
        <v>13936</v>
      </c>
      <c r="Z517" s="4" t="s">
        <v>4854</v>
      </c>
      <c r="AA517" s="10">
        <v>14074</v>
      </c>
      <c r="AB517" s="10">
        <v>14061</v>
      </c>
      <c r="AC517" s="4" t="s">
        <v>4854</v>
      </c>
      <c r="AD517" s="4" t="s">
        <v>4854</v>
      </c>
      <c r="AE517" s="100" t="s">
        <v>4854</v>
      </c>
      <c r="AF517" s="100" t="s">
        <v>4854</v>
      </c>
      <c r="AG517" s="91">
        <v>3.0779999999999998</v>
      </c>
      <c r="AH517" s="100" t="s">
        <v>4854</v>
      </c>
      <c r="AI517" s="91">
        <v>3.794</v>
      </c>
      <c r="AJ517" s="91">
        <v>3.343</v>
      </c>
      <c r="AK517" s="100" t="s">
        <v>4854</v>
      </c>
      <c r="AL517" s="91">
        <v>2.29</v>
      </c>
      <c r="AM517" s="103" t="s">
        <v>4854</v>
      </c>
      <c r="AN517" s="103" t="s">
        <v>4854</v>
      </c>
      <c r="AO517" s="95">
        <v>0.68159999999999998</v>
      </c>
      <c r="AP517" s="103" t="s">
        <v>4854</v>
      </c>
      <c r="AQ517" s="95">
        <v>0.97060000000000002</v>
      </c>
      <c r="AR517" s="95">
        <v>1.3138000000000001</v>
      </c>
      <c r="AS517" s="103" t="s">
        <v>4854</v>
      </c>
      <c r="AT517" s="95">
        <v>0.60809999999999997</v>
      </c>
      <c r="AU517" s="103" t="s">
        <v>4854</v>
      </c>
      <c r="AV517" s="103" t="s">
        <v>4854</v>
      </c>
      <c r="AW517" s="95">
        <v>0.124</v>
      </c>
      <c r="AX517" s="103" t="s">
        <v>4854</v>
      </c>
      <c r="AY517" s="95">
        <v>0.21199999999999999</v>
      </c>
      <c r="AZ517" s="95">
        <v>0.219</v>
      </c>
      <c r="BA517" s="103" t="s">
        <v>4854</v>
      </c>
      <c r="BB517" s="95">
        <v>1.2E-2</v>
      </c>
      <c r="BC517" s="4" t="s">
        <v>4854</v>
      </c>
      <c r="BD517" s="4" t="s">
        <v>4854</v>
      </c>
      <c r="BE517" s="10">
        <v>4</v>
      </c>
      <c r="BF517" s="4" t="s">
        <v>4854</v>
      </c>
      <c r="BG517" s="10">
        <v>4</v>
      </c>
      <c r="BH517" s="10">
        <v>1</v>
      </c>
      <c r="BI517" s="4" t="s">
        <v>4854</v>
      </c>
      <c r="BJ517" s="10">
        <v>1</v>
      </c>
      <c r="BK517" s="100" t="s">
        <v>4854</v>
      </c>
      <c r="BL517" s="100" t="s">
        <v>4854</v>
      </c>
      <c r="BM517" s="91">
        <v>0.99299999999999999</v>
      </c>
      <c r="BN517" s="100" t="s">
        <v>4854</v>
      </c>
      <c r="BO517" s="91">
        <v>0.999</v>
      </c>
      <c r="BP517" s="91">
        <v>0.999</v>
      </c>
      <c r="BQ517" s="100" t="s">
        <v>4854</v>
      </c>
      <c r="BR517" s="91">
        <v>0.93899999999999995</v>
      </c>
      <c r="BS517" s="10" t="s">
        <v>4857</v>
      </c>
    </row>
    <row r="518" spans="1:71" s="30" customFormat="1" ht="17.100000000000001" customHeight="1">
      <c r="A518" s="10">
        <v>507</v>
      </c>
      <c r="B518" s="10" t="s">
        <v>3050</v>
      </c>
      <c r="C518" s="4" t="s">
        <v>3178</v>
      </c>
      <c r="D518" s="7" t="s">
        <v>3039</v>
      </c>
      <c r="E518" s="7" t="s">
        <v>3040</v>
      </c>
      <c r="F518" s="10" t="s">
        <v>3048</v>
      </c>
      <c r="G518" s="4" t="s">
        <v>3041</v>
      </c>
      <c r="H518" s="7" t="s">
        <v>3042</v>
      </c>
      <c r="I518" s="4" t="s">
        <v>3043</v>
      </c>
      <c r="J518" s="10" t="s">
        <v>3823</v>
      </c>
      <c r="K518" s="4" t="s">
        <v>5632</v>
      </c>
      <c r="L518" s="4" t="s">
        <v>3049</v>
      </c>
      <c r="M518" s="10">
        <v>3</v>
      </c>
      <c r="N518" s="95">
        <v>707.73670000000004</v>
      </c>
      <c r="O518" s="38" t="s">
        <v>4854</v>
      </c>
      <c r="P518" s="38" t="s">
        <v>4854</v>
      </c>
      <c r="Q518" s="37" t="str">
        <f>HYPERLINK("http://ms.phosphosite.org:5080/cgi-bin/plot-msms.cgi?MassType=1&amp;NumAxis=1&amp;Mod9=170&amp;Pep=QFLDVEHSKVLEALLPLK&amp;Dta=/var/www/html/dta/S01/10560.13913.3.dta&amp;Global_Mod=CS57.0215", "13913")</f>
        <v>13913</v>
      </c>
      <c r="R518" s="38" t="s">
        <v>4854</v>
      </c>
      <c r="S518" s="38" t="s">
        <v>4854</v>
      </c>
      <c r="T518" s="38" t="s">
        <v>4854</v>
      </c>
      <c r="U518" s="38" t="s">
        <v>4854</v>
      </c>
      <c r="V518" s="38" t="s">
        <v>4854</v>
      </c>
      <c r="W518" s="4" t="s">
        <v>4854</v>
      </c>
      <c r="X518" s="4" t="s">
        <v>4854</v>
      </c>
      <c r="Y518" s="10">
        <v>13936</v>
      </c>
      <c r="Z518" s="4" t="s">
        <v>4854</v>
      </c>
      <c r="AA518" s="4" t="s">
        <v>4854</v>
      </c>
      <c r="AB518" s="4" t="s">
        <v>4854</v>
      </c>
      <c r="AC518" s="4" t="s">
        <v>4854</v>
      </c>
      <c r="AD518" s="4" t="s">
        <v>4854</v>
      </c>
      <c r="AE518" s="100" t="s">
        <v>4854</v>
      </c>
      <c r="AF518" s="100" t="s">
        <v>4854</v>
      </c>
      <c r="AG518" s="91">
        <v>2.867</v>
      </c>
      <c r="AH518" s="100" t="s">
        <v>4854</v>
      </c>
      <c r="AI518" s="100" t="s">
        <v>4854</v>
      </c>
      <c r="AJ518" s="100" t="s">
        <v>4854</v>
      </c>
      <c r="AK518" s="100" t="s">
        <v>4854</v>
      </c>
      <c r="AL518" s="100" t="s">
        <v>4854</v>
      </c>
      <c r="AM518" s="103" t="s">
        <v>4854</v>
      </c>
      <c r="AN518" s="103" t="s">
        <v>4854</v>
      </c>
      <c r="AO518" s="95">
        <v>0.68159999999999998</v>
      </c>
      <c r="AP518" s="103" t="s">
        <v>4854</v>
      </c>
      <c r="AQ518" s="103" t="s">
        <v>4854</v>
      </c>
      <c r="AR518" s="103" t="s">
        <v>4854</v>
      </c>
      <c r="AS518" s="103" t="s">
        <v>4854</v>
      </c>
      <c r="AT518" s="103" t="s">
        <v>4854</v>
      </c>
      <c r="AU518" s="103" t="s">
        <v>4854</v>
      </c>
      <c r="AV518" s="103" t="s">
        <v>4854</v>
      </c>
      <c r="AW518" s="95">
        <v>1.2999999999999999E-2</v>
      </c>
      <c r="AX518" s="103" t="s">
        <v>4854</v>
      </c>
      <c r="AY518" s="103" t="s">
        <v>4854</v>
      </c>
      <c r="AZ518" s="103" t="s">
        <v>4854</v>
      </c>
      <c r="BA518" s="103" t="s">
        <v>4854</v>
      </c>
      <c r="BB518" s="103" t="s">
        <v>4854</v>
      </c>
      <c r="BC518" s="4" t="s">
        <v>4854</v>
      </c>
      <c r="BD518" s="4" t="s">
        <v>4854</v>
      </c>
      <c r="BE518" s="10">
        <v>2</v>
      </c>
      <c r="BF518" s="4" t="s">
        <v>4854</v>
      </c>
      <c r="BG518" s="4" t="s">
        <v>4854</v>
      </c>
      <c r="BH518" s="4" t="s">
        <v>4854</v>
      </c>
      <c r="BI518" s="4" t="s">
        <v>4854</v>
      </c>
      <c r="BJ518" s="4" t="s">
        <v>4854</v>
      </c>
      <c r="BK518" s="100" t="s">
        <v>4854</v>
      </c>
      <c r="BL518" s="100" t="s">
        <v>4854</v>
      </c>
      <c r="BM518" s="91">
        <v>0.96499999999999997</v>
      </c>
      <c r="BN518" s="100" t="s">
        <v>4854</v>
      </c>
      <c r="BO518" s="100" t="s">
        <v>4854</v>
      </c>
      <c r="BP518" s="100" t="s">
        <v>4854</v>
      </c>
      <c r="BQ518" s="100" t="s">
        <v>4854</v>
      </c>
      <c r="BR518" s="100" t="s">
        <v>4854</v>
      </c>
      <c r="BS518" s="10" t="s">
        <v>4857</v>
      </c>
    </row>
    <row r="519" spans="1:71" s="30" customFormat="1" ht="17.100000000000001" customHeight="1">
      <c r="A519" s="14">
        <v>508</v>
      </c>
      <c r="B519" s="5" t="s">
        <v>3051</v>
      </c>
      <c r="C519" s="3" t="s">
        <v>3178</v>
      </c>
      <c r="D519" s="6" t="s">
        <v>3039</v>
      </c>
      <c r="E519" s="6" t="s">
        <v>3040</v>
      </c>
      <c r="F519" s="5" t="s">
        <v>3052</v>
      </c>
      <c r="G519" s="3" t="s">
        <v>3041</v>
      </c>
      <c r="H519" s="6" t="s">
        <v>3042</v>
      </c>
      <c r="I519" s="3" t="s">
        <v>3043</v>
      </c>
      <c r="J519" s="5" t="s">
        <v>3823</v>
      </c>
      <c r="K519" s="3" t="s">
        <v>5633</v>
      </c>
      <c r="L519" s="3" t="s">
        <v>3053</v>
      </c>
      <c r="M519" s="5">
        <v>2</v>
      </c>
      <c r="N519" s="21">
        <v>481.75069999999999</v>
      </c>
      <c r="O519" s="35" t="s">
        <v>4854</v>
      </c>
      <c r="P519" s="36" t="str">
        <f>HYPERLINK("http://ms.phosphosite.org:5080/cgi-bin/plot-msms.cgi?MassType=1&amp;NumAxis=1&amp;Mod6=170&amp;Pep=AADQYKPK&amp;Dta=/var/www/html/dta/S01/10559.2223.2.dta&amp;Global_Mod=CS57.0215", "2223")</f>
        <v>2223</v>
      </c>
      <c r="Q519" s="35" t="s">
        <v>4854</v>
      </c>
      <c r="R519" s="36" t="str">
        <f>HYPERLINK("http://ms.phosphosite.org:5080/cgi-bin/plot-msms.cgi?MassType=1&amp;NumAxis=1&amp;Mod6=170&amp;Pep=AADQYKPK&amp;Dta=/var/www/html/dta/S01/10561.2235.2.dta&amp;Global_Mod=CS57.0215", "2235")</f>
        <v>2235</v>
      </c>
      <c r="S519" s="36" t="str">
        <f>HYPERLINK("http://ms.phosphosite.org:5080/cgi-bin/plot-msms.cgi?MassType=1&amp;NumAxis=1&amp;Mod6=170&amp;Pep=AADQYKPK&amp;Dta=/var/www/html/dta/S01/10562.2310.2.dta&amp;Global_Mod=CS57.0215", "2310")</f>
        <v>2310</v>
      </c>
      <c r="T519" s="35" t="s">
        <v>4854</v>
      </c>
      <c r="U519" s="35" t="s">
        <v>4854</v>
      </c>
      <c r="V519" s="35" t="s">
        <v>4854</v>
      </c>
      <c r="W519" s="3" t="s">
        <v>4854</v>
      </c>
      <c r="X519" s="5">
        <v>2211</v>
      </c>
      <c r="Y519" s="3" t="s">
        <v>4854</v>
      </c>
      <c r="Z519" s="5">
        <v>2212</v>
      </c>
      <c r="AA519" s="5">
        <v>2294</v>
      </c>
      <c r="AB519" s="3" t="s">
        <v>4854</v>
      </c>
      <c r="AC519" s="3" t="s">
        <v>4854</v>
      </c>
      <c r="AD519" s="3" t="s">
        <v>4854</v>
      </c>
      <c r="AE519" s="99" t="s">
        <v>4854</v>
      </c>
      <c r="AF519" s="90">
        <v>1.9410000000000001</v>
      </c>
      <c r="AG519" s="99" t="s">
        <v>4854</v>
      </c>
      <c r="AH519" s="90">
        <v>2.1240000000000001</v>
      </c>
      <c r="AI519" s="90">
        <v>1.7110000000000001</v>
      </c>
      <c r="AJ519" s="99" t="s">
        <v>4854</v>
      </c>
      <c r="AK519" s="99" t="s">
        <v>4854</v>
      </c>
      <c r="AL519" s="99" t="s">
        <v>4854</v>
      </c>
      <c r="AM519" s="102" t="s">
        <v>4854</v>
      </c>
      <c r="AN519" s="21">
        <v>0.4017</v>
      </c>
      <c r="AO519" s="102" t="s">
        <v>4854</v>
      </c>
      <c r="AP519" s="21">
        <v>0.50460000000000005</v>
      </c>
      <c r="AQ519" s="21">
        <v>0.90869999999999995</v>
      </c>
      <c r="AR519" s="102" t="s">
        <v>4854</v>
      </c>
      <c r="AS519" s="102" t="s">
        <v>4854</v>
      </c>
      <c r="AT519" s="102" t="s">
        <v>4854</v>
      </c>
      <c r="AU519" s="102" t="s">
        <v>4854</v>
      </c>
      <c r="AV519" s="21">
        <v>0.14699999999999999</v>
      </c>
      <c r="AW519" s="102" t="s">
        <v>4854</v>
      </c>
      <c r="AX519" s="21">
        <v>0.19700000000000001</v>
      </c>
      <c r="AY519" s="21">
        <v>0.18099999999999999</v>
      </c>
      <c r="AZ519" s="102" t="s">
        <v>4854</v>
      </c>
      <c r="BA519" s="102" t="s">
        <v>4854</v>
      </c>
      <c r="BB519" s="102" t="s">
        <v>4854</v>
      </c>
      <c r="BC519" s="3" t="s">
        <v>4854</v>
      </c>
      <c r="BD519" s="5">
        <v>1</v>
      </c>
      <c r="BE519" s="3" t="s">
        <v>4854</v>
      </c>
      <c r="BF519" s="5">
        <v>1</v>
      </c>
      <c r="BG519" s="5">
        <v>28</v>
      </c>
      <c r="BH519" s="3" t="s">
        <v>4854</v>
      </c>
      <c r="BI519" s="3" t="s">
        <v>4854</v>
      </c>
      <c r="BJ519" s="3" t="s">
        <v>4854</v>
      </c>
      <c r="BK519" s="99" t="s">
        <v>4854</v>
      </c>
      <c r="BL519" s="90">
        <v>0.998</v>
      </c>
      <c r="BM519" s="99" t="s">
        <v>4854</v>
      </c>
      <c r="BN519" s="90">
        <v>0.999</v>
      </c>
      <c r="BO519" s="90">
        <v>0.99299999999999999</v>
      </c>
      <c r="BP519" s="99" t="s">
        <v>4854</v>
      </c>
      <c r="BQ519" s="99" t="s">
        <v>4854</v>
      </c>
      <c r="BR519" s="99" t="s">
        <v>4854</v>
      </c>
      <c r="BS519" s="5" t="s">
        <v>4857</v>
      </c>
    </row>
    <row r="520" spans="1:71" s="30" customFormat="1" ht="17.100000000000001" customHeight="1">
      <c r="A520" s="10">
        <v>509</v>
      </c>
      <c r="B520" s="10" t="s">
        <v>3054</v>
      </c>
      <c r="C520" s="4" t="s">
        <v>3178</v>
      </c>
      <c r="D520" s="7" t="s">
        <v>3039</v>
      </c>
      <c r="E520" s="7" t="s">
        <v>3040</v>
      </c>
      <c r="F520" s="10" t="s">
        <v>4975</v>
      </c>
      <c r="G520" s="4" t="s">
        <v>3041</v>
      </c>
      <c r="H520" s="7" t="s">
        <v>3042</v>
      </c>
      <c r="I520" s="4" t="s">
        <v>3043</v>
      </c>
      <c r="J520" s="10" t="s">
        <v>3823</v>
      </c>
      <c r="K520" s="4" t="s">
        <v>5634</v>
      </c>
      <c r="L520" s="4" t="s">
        <v>3055</v>
      </c>
      <c r="M520" s="10">
        <v>4</v>
      </c>
      <c r="N520" s="95">
        <v>495.2663</v>
      </c>
      <c r="O520" s="38" t="s">
        <v>4854</v>
      </c>
      <c r="P520" s="38" t="s">
        <v>4854</v>
      </c>
      <c r="Q520" s="38" t="s">
        <v>4854</v>
      </c>
      <c r="R520" s="38" t="s">
        <v>4854</v>
      </c>
      <c r="S520" s="38" t="s">
        <v>4854</v>
      </c>
      <c r="T520" s="37" t="str">
        <f>HYPERLINK("http://ms.phosphosite.org:5080/cgi-bin/plot-msms.cgi?MassType=1&amp;NumAxis=1&amp;Mod6=170&amp;Pep=LKDLSKFDASFFGVHPK&amp;Dta=/var/www/html/dta/S01/10563.9783.4.dta&amp;Global_Mod=CS57.0215", "9783")</f>
        <v>9783</v>
      </c>
      <c r="U520" s="38" t="s">
        <v>4854</v>
      </c>
      <c r="V520" s="38" t="s">
        <v>4854</v>
      </c>
      <c r="W520" s="4" t="s">
        <v>4854</v>
      </c>
      <c r="X520" s="4" t="s">
        <v>4854</v>
      </c>
      <c r="Y520" s="4" t="s">
        <v>4854</v>
      </c>
      <c r="Z520" s="4" t="s">
        <v>4854</v>
      </c>
      <c r="AA520" s="4" t="s">
        <v>4854</v>
      </c>
      <c r="AB520" s="10">
        <v>9764</v>
      </c>
      <c r="AC520" s="4" t="s">
        <v>4854</v>
      </c>
      <c r="AD520" s="4" t="s">
        <v>4854</v>
      </c>
      <c r="AE520" s="100" t="s">
        <v>4854</v>
      </c>
      <c r="AF520" s="100" t="s">
        <v>4854</v>
      </c>
      <c r="AG520" s="100" t="s">
        <v>4854</v>
      </c>
      <c r="AH520" s="100" t="s">
        <v>4854</v>
      </c>
      <c r="AI520" s="100" t="s">
        <v>4854</v>
      </c>
      <c r="AJ520" s="91">
        <v>3.262</v>
      </c>
      <c r="AK520" s="100" t="s">
        <v>4854</v>
      </c>
      <c r="AL520" s="100" t="s">
        <v>4854</v>
      </c>
      <c r="AM520" s="103" t="s">
        <v>4854</v>
      </c>
      <c r="AN520" s="103" t="s">
        <v>4854</v>
      </c>
      <c r="AO520" s="103" t="s">
        <v>4854</v>
      </c>
      <c r="AP520" s="103" t="s">
        <v>4854</v>
      </c>
      <c r="AQ520" s="103" t="s">
        <v>4854</v>
      </c>
      <c r="AR520" s="95">
        <v>0.14380000000000001</v>
      </c>
      <c r="AS520" s="103" t="s">
        <v>4854</v>
      </c>
      <c r="AT520" s="103" t="s">
        <v>4854</v>
      </c>
      <c r="AU520" s="103" t="s">
        <v>4854</v>
      </c>
      <c r="AV520" s="103" t="s">
        <v>4854</v>
      </c>
      <c r="AW520" s="103" t="s">
        <v>4854</v>
      </c>
      <c r="AX520" s="103" t="s">
        <v>4854</v>
      </c>
      <c r="AY520" s="103" t="s">
        <v>4854</v>
      </c>
      <c r="AZ520" s="95">
        <v>0.19400000000000001</v>
      </c>
      <c r="BA520" s="103" t="s">
        <v>4854</v>
      </c>
      <c r="BB520" s="103" t="s">
        <v>4854</v>
      </c>
      <c r="BC520" s="4" t="s">
        <v>4854</v>
      </c>
      <c r="BD520" s="4" t="s">
        <v>4854</v>
      </c>
      <c r="BE520" s="4" t="s">
        <v>4854</v>
      </c>
      <c r="BF520" s="4" t="s">
        <v>4854</v>
      </c>
      <c r="BG520" s="4" t="s">
        <v>4854</v>
      </c>
      <c r="BH520" s="10">
        <v>1</v>
      </c>
      <c r="BI520" s="4" t="s">
        <v>4854</v>
      </c>
      <c r="BJ520" s="4" t="s">
        <v>4854</v>
      </c>
      <c r="BK520" s="100" t="s">
        <v>4854</v>
      </c>
      <c r="BL520" s="100" t="s">
        <v>4854</v>
      </c>
      <c r="BM520" s="100" t="s">
        <v>4854</v>
      </c>
      <c r="BN520" s="100" t="s">
        <v>4854</v>
      </c>
      <c r="BO520" s="100" t="s">
        <v>4854</v>
      </c>
      <c r="BP520" s="91">
        <v>0.999</v>
      </c>
      <c r="BQ520" s="100" t="s">
        <v>4854</v>
      </c>
      <c r="BR520" s="100" t="s">
        <v>4854</v>
      </c>
      <c r="BS520" s="10" t="s">
        <v>4857</v>
      </c>
    </row>
    <row r="521" spans="1:71" s="30" customFormat="1" ht="17.100000000000001" customHeight="1">
      <c r="A521" s="14">
        <v>510</v>
      </c>
      <c r="B521" s="5" t="s">
        <v>3056</v>
      </c>
      <c r="C521" s="3" t="s">
        <v>3178</v>
      </c>
      <c r="D521" s="6" t="s">
        <v>3039</v>
      </c>
      <c r="E521" s="6" t="s">
        <v>3040</v>
      </c>
      <c r="F521" s="5" t="s">
        <v>5084</v>
      </c>
      <c r="G521" s="3" t="s">
        <v>3041</v>
      </c>
      <c r="H521" s="6" t="s">
        <v>3042</v>
      </c>
      <c r="I521" s="3" t="s">
        <v>3043</v>
      </c>
      <c r="J521" s="5" t="s">
        <v>3823</v>
      </c>
      <c r="K521" s="3" t="s">
        <v>5635</v>
      </c>
      <c r="L521" s="3" t="s">
        <v>3057</v>
      </c>
      <c r="M521" s="5">
        <v>2</v>
      </c>
      <c r="N521" s="21">
        <v>602.81970000000001</v>
      </c>
      <c r="O521" s="36" t="str">
        <f>HYPERLINK("http://ms.phosphosite.org:5080/cgi-bin/plot-msms.cgi?MassType=1&amp;NumAxis=1&amp;Mod7=170&amp;Pep=QEGVFAKEVR&amp;Dta=/var/www/html/dta/S01/10558.5511.2.dta&amp;Global_Mod=CS57.0215", "5511")</f>
        <v>5511</v>
      </c>
      <c r="P521" s="36" t="str">
        <f>HYPERLINK("http://ms.phosphosite.org:5080/cgi-bin/plot-msms.cgi?MassType=1&amp;NumAxis=1&amp;Mod7=170&amp;Pep=QEGVFAKEVR&amp;Dta=/var/www/html/dta/S01/10559.5423.2.dta&amp;Global_Mod=CS57.0215", "5423")</f>
        <v>5423</v>
      </c>
      <c r="Q521" s="35" t="s">
        <v>4854</v>
      </c>
      <c r="R521" s="35" t="s">
        <v>4854</v>
      </c>
      <c r="S521" s="36" t="str">
        <f>HYPERLINK("http://ms.phosphosite.org:5080/cgi-bin/plot-msms.cgi?MassType=1&amp;NumAxis=1&amp;Mod7=170&amp;Pep=QEGVFAKEVR&amp;Dta=/var/www/html/dta/S01/10562.5544.2.dta&amp;Global_Mod=CS57.0215", "5544")</f>
        <v>5544</v>
      </c>
      <c r="T521" s="36" t="str">
        <f>HYPERLINK("http://ms.phosphosite.org:5080/cgi-bin/plot-msms.cgi?MassType=1&amp;NumAxis=1&amp;Mod7=170&amp;Pep=QEGVFAKEVR&amp;Dta=/var/www/html/dta/S01/10563.5506.2.dta&amp;Global_Mod=CS57.0215", "5506")</f>
        <v>5506</v>
      </c>
      <c r="U521" s="35" t="s">
        <v>4854</v>
      </c>
      <c r="V521" s="35" t="s">
        <v>4854</v>
      </c>
      <c r="W521" s="5">
        <v>5536</v>
      </c>
      <c r="X521" s="5">
        <v>5425</v>
      </c>
      <c r="Y521" s="3" t="s">
        <v>4854</v>
      </c>
      <c r="Z521" s="3" t="s">
        <v>4854</v>
      </c>
      <c r="AA521" s="5">
        <v>5534</v>
      </c>
      <c r="AB521" s="5">
        <v>5507</v>
      </c>
      <c r="AC521" s="3" t="s">
        <v>4854</v>
      </c>
      <c r="AD521" s="3" t="s">
        <v>4854</v>
      </c>
      <c r="AE521" s="90">
        <v>2.4209999999999998</v>
      </c>
      <c r="AF521" s="90">
        <v>2.165</v>
      </c>
      <c r="AG521" s="99" t="s">
        <v>4854</v>
      </c>
      <c r="AH521" s="99" t="s">
        <v>4854</v>
      </c>
      <c r="AI521" s="90">
        <v>2.2679999999999998</v>
      </c>
      <c r="AJ521" s="90">
        <v>2.0470000000000002</v>
      </c>
      <c r="AK521" s="99" t="s">
        <v>4854</v>
      </c>
      <c r="AL521" s="99" t="s">
        <v>4854</v>
      </c>
      <c r="AM521" s="21">
        <v>0.18440000000000001</v>
      </c>
      <c r="AN521" s="21">
        <v>-5.96E-2</v>
      </c>
      <c r="AO521" s="102" t="s">
        <v>4854</v>
      </c>
      <c r="AP521" s="102" t="s">
        <v>4854</v>
      </c>
      <c r="AQ521" s="21">
        <v>0.52980000000000005</v>
      </c>
      <c r="AR521" s="21">
        <v>-0.50209999999999999</v>
      </c>
      <c r="AS521" s="102" t="s">
        <v>4854</v>
      </c>
      <c r="AT521" s="102" t="s">
        <v>4854</v>
      </c>
      <c r="AU521" s="21">
        <v>0.18099999999999999</v>
      </c>
      <c r="AV521" s="21">
        <v>0.20200000000000001</v>
      </c>
      <c r="AW521" s="102" t="s">
        <v>4854</v>
      </c>
      <c r="AX521" s="102" t="s">
        <v>4854</v>
      </c>
      <c r="AY521" s="21">
        <v>0.21099999999999999</v>
      </c>
      <c r="AZ521" s="21">
        <v>0.184</v>
      </c>
      <c r="BA521" s="102" t="s">
        <v>4854</v>
      </c>
      <c r="BB521" s="102" t="s">
        <v>4854</v>
      </c>
      <c r="BC521" s="5">
        <v>12</v>
      </c>
      <c r="BD521" s="5">
        <v>1</v>
      </c>
      <c r="BE521" s="3" t="s">
        <v>4854</v>
      </c>
      <c r="BF521" s="3" t="s">
        <v>4854</v>
      </c>
      <c r="BG521" s="5">
        <v>6</v>
      </c>
      <c r="BH521" s="5">
        <v>2</v>
      </c>
      <c r="BI521" s="3" t="s">
        <v>4854</v>
      </c>
      <c r="BJ521" s="3" t="s">
        <v>4854</v>
      </c>
      <c r="BK521" s="90">
        <v>0.99399999999999999</v>
      </c>
      <c r="BL521" s="90">
        <v>0.996</v>
      </c>
      <c r="BM521" s="99" t="s">
        <v>4854</v>
      </c>
      <c r="BN521" s="99" t="s">
        <v>4854</v>
      </c>
      <c r="BO521" s="90">
        <v>0.995</v>
      </c>
      <c r="BP521" s="90">
        <v>0.98299999999999998</v>
      </c>
      <c r="BQ521" s="99" t="s">
        <v>4854</v>
      </c>
      <c r="BR521" s="99" t="s">
        <v>4854</v>
      </c>
      <c r="BS521" s="5" t="s">
        <v>4857</v>
      </c>
    </row>
    <row r="522" spans="1:71" s="30" customFormat="1" ht="17.100000000000001" customHeight="1">
      <c r="A522" s="10">
        <v>511</v>
      </c>
      <c r="B522" s="10" t="s">
        <v>3058</v>
      </c>
      <c r="C522" s="4" t="s">
        <v>3178</v>
      </c>
      <c r="D522" s="7" t="s">
        <v>3039</v>
      </c>
      <c r="E522" s="7" t="s">
        <v>3040</v>
      </c>
      <c r="F522" s="10" t="s">
        <v>3059</v>
      </c>
      <c r="G522" s="4" t="s">
        <v>3041</v>
      </c>
      <c r="H522" s="7" t="s">
        <v>3042</v>
      </c>
      <c r="I522" s="4" t="s">
        <v>3043</v>
      </c>
      <c r="J522" s="10" t="s">
        <v>3823</v>
      </c>
      <c r="K522" s="4" t="s">
        <v>5636</v>
      </c>
      <c r="L522" s="4" t="s">
        <v>3060</v>
      </c>
      <c r="M522" s="10">
        <v>2</v>
      </c>
      <c r="N522" s="95">
        <v>689.3723</v>
      </c>
      <c r="O522" s="37" t="str">
        <f>HYPERLINK("http://ms.phosphosite.org:5080/cgi-bin/plot-msms.cgi?MassType=1&amp;NumAxis=1&amp;Mod8=170&amp;Pep=LTQGEVYKELR&amp;Dta=/var/www/html/dta/S01/10558.6684.2.dta&amp;Global_Mod=CS57.0215", "6684")</f>
        <v>6684</v>
      </c>
      <c r="P522" s="37" t="str">
        <f>HYPERLINK("http://ms.phosphosite.org:5080/cgi-bin/plot-msms.cgi?MassType=1&amp;NumAxis=1&amp;Mod8=170&amp;Pep=LTQGEVYKELR&amp;Dta=/var/www/html/dta/S01/10559.6585.2.dta&amp;Global_Mod=CS57.0215", "6585")</f>
        <v>6585</v>
      </c>
      <c r="Q522" s="37" t="str">
        <f>HYPERLINK("http://ms.phosphosite.org:5080/cgi-bin/plot-msms.cgi?MassType=1&amp;NumAxis=1&amp;Mod8=170&amp;Pep=LTQGEVYKELR&amp;Dta=/var/www/html/dta/S01/10560.6583.2.dta&amp;Global_Mod=CS57.0215", "6583")</f>
        <v>6583</v>
      </c>
      <c r="R522" s="37" t="str">
        <f>HYPERLINK("http://ms.phosphosite.org:5080/cgi-bin/plot-msms.cgi?MassType=1&amp;NumAxis=1&amp;Mod8=170&amp;Pep=LTQGEVYKELR&amp;Dta=/var/www/html/dta/S01/10561.6634.2.dta&amp;Global_Mod=CS57.0215", "6634")</f>
        <v>6634</v>
      </c>
      <c r="S522" s="37" t="str">
        <f>HYPERLINK("http://ms.phosphosite.org:5080/cgi-bin/plot-msms.cgi?MassType=1&amp;NumAxis=1&amp;Mod8=170&amp;Pep=LTQGEVYKELR&amp;Dta=/var/www/html/dta/S01/10562.6739.2.dta&amp;Global_Mod=CS57.0215", "6739")</f>
        <v>6739</v>
      </c>
      <c r="T522" s="37" t="str">
        <f>HYPERLINK("http://ms.phosphosite.org:5080/cgi-bin/plot-msms.cgi?MassType=1&amp;NumAxis=1&amp;Mod8=170&amp;Pep=LTQGEVYKELR&amp;Dta=/var/www/html/dta/S01/10563.6701.2.dta&amp;Global_Mod=CS57.0215", "6701")</f>
        <v>6701</v>
      </c>
      <c r="U522" s="37" t="str">
        <f>HYPERLINK("http://ms.phosphosite.org:5080/cgi-bin/plot-msms.cgi?MassType=1&amp;NumAxis=1&amp;Mod8=170&amp;Pep=LTQGEVYKELR&amp;Dta=/var/www/html/dta/S01/10564.7063.2.dta&amp;Global_Mod=CS57.0215", "7063")</f>
        <v>7063</v>
      </c>
      <c r="V522" s="37" t="str">
        <f>HYPERLINK("http://ms.phosphosite.org:5080/cgi-bin/plot-msms.cgi?MassType=1&amp;NumAxis=1&amp;Mod8=170&amp;Pep=LTQGEVYKELR&amp;Dta=/var/www/html/dta/S01/10565.7171.2.dta&amp;Global_Mod=CS57.0215", "7171")</f>
        <v>7171</v>
      </c>
      <c r="W522" s="10">
        <v>6688</v>
      </c>
      <c r="X522" s="10">
        <v>6602</v>
      </c>
      <c r="Y522" s="10">
        <v>6597</v>
      </c>
      <c r="Z522" s="10">
        <v>6646</v>
      </c>
      <c r="AA522" s="10">
        <v>6752</v>
      </c>
      <c r="AB522" s="10">
        <v>6717</v>
      </c>
      <c r="AC522" s="10">
        <v>7068</v>
      </c>
      <c r="AD522" s="10">
        <v>7175</v>
      </c>
      <c r="AE522" s="91">
        <v>3.044</v>
      </c>
      <c r="AF522" s="91">
        <v>3.0259999999999998</v>
      </c>
      <c r="AG522" s="91">
        <v>2.456</v>
      </c>
      <c r="AH522" s="91">
        <v>2.6320000000000001</v>
      </c>
      <c r="AI522" s="91">
        <v>2.4319999999999999</v>
      </c>
      <c r="AJ522" s="91">
        <v>2.7930000000000001</v>
      </c>
      <c r="AK522" s="91">
        <v>2.8540000000000001</v>
      </c>
      <c r="AL522" s="91">
        <v>2.6349999999999998</v>
      </c>
      <c r="AM522" s="95">
        <v>0.2198</v>
      </c>
      <c r="AN522" s="95">
        <v>0.52170000000000005</v>
      </c>
      <c r="AO522" s="95">
        <v>0.50209999999999999</v>
      </c>
      <c r="AP522" s="95">
        <v>1.0581</v>
      </c>
      <c r="AQ522" s="95">
        <v>0.65169999999999995</v>
      </c>
      <c r="AR522" s="95">
        <v>0.317</v>
      </c>
      <c r="AS522" s="95">
        <v>0.4622</v>
      </c>
      <c r="AT522" s="95">
        <v>-3.3500000000000002E-2</v>
      </c>
      <c r="AU522" s="95">
        <v>0.33</v>
      </c>
      <c r="AV522" s="95">
        <v>0.314</v>
      </c>
      <c r="AW522" s="95">
        <v>0.36099999999999999</v>
      </c>
      <c r="AX522" s="95">
        <v>0.32100000000000001</v>
      </c>
      <c r="AY522" s="95">
        <v>0.372</v>
      </c>
      <c r="AZ522" s="95">
        <v>0.32300000000000001</v>
      </c>
      <c r="BA522" s="95">
        <v>0.26800000000000002</v>
      </c>
      <c r="BB522" s="95">
        <v>0.30199999999999999</v>
      </c>
      <c r="BC522" s="10">
        <v>1</v>
      </c>
      <c r="BD522" s="10">
        <v>1</v>
      </c>
      <c r="BE522" s="10">
        <v>1</v>
      </c>
      <c r="BF522" s="10">
        <v>1</v>
      </c>
      <c r="BG522" s="10">
        <v>1</v>
      </c>
      <c r="BH522" s="10">
        <v>1</v>
      </c>
      <c r="BI522" s="10">
        <v>1</v>
      </c>
      <c r="BJ522" s="10">
        <v>1</v>
      </c>
      <c r="BK522" s="91">
        <v>1</v>
      </c>
      <c r="BL522" s="91">
        <v>1</v>
      </c>
      <c r="BM522" s="91">
        <v>1</v>
      </c>
      <c r="BN522" s="91">
        <v>1</v>
      </c>
      <c r="BO522" s="91">
        <v>1</v>
      </c>
      <c r="BP522" s="91">
        <v>1</v>
      </c>
      <c r="BQ522" s="91">
        <v>0.999</v>
      </c>
      <c r="BR522" s="91">
        <v>0.999</v>
      </c>
      <c r="BS522" s="10" t="s">
        <v>4857</v>
      </c>
    </row>
    <row r="523" spans="1:71" s="30" customFormat="1" ht="17.100000000000001" customHeight="1">
      <c r="A523" s="14">
        <v>512</v>
      </c>
      <c r="B523" s="5" t="s">
        <v>3061</v>
      </c>
      <c r="C523" s="3" t="s">
        <v>3178</v>
      </c>
      <c r="D523" s="3" t="s">
        <v>2921</v>
      </c>
      <c r="E523" s="3" t="s">
        <v>2922</v>
      </c>
      <c r="F523" s="5" t="s">
        <v>4724</v>
      </c>
      <c r="G523" s="3" t="s">
        <v>2923</v>
      </c>
      <c r="H523" s="6" t="s">
        <v>2924</v>
      </c>
      <c r="I523" s="3" t="s">
        <v>2925</v>
      </c>
      <c r="J523" s="5" t="s">
        <v>4834</v>
      </c>
      <c r="K523" s="3" t="s">
        <v>5637</v>
      </c>
      <c r="L523" s="3" t="s">
        <v>2926</v>
      </c>
      <c r="M523" s="5">
        <v>3</v>
      </c>
      <c r="N523" s="21">
        <v>407.90449999999998</v>
      </c>
      <c r="O523" s="36" t="str">
        <f>HYPERLINK("http://ms.phosphosite.org:5080/cgi-bin/plot-msms.cgi?MassType=1&amp;NumAxis=1&amp;Mod5=170&amp;Pep=NKPFKFTLGK&amp;Dta=/var/www/html/dta/S01/10558.6604.3.dta&amp;Global_Mod=CS57.0215", "6604")</f>
        <v>6604</v>
      </c>
      <c r="P523" s="36" t="str">
        <f>HYPERLINK("http://ms.phosphosite.org:5080/cgi-bin/plot-msms.cgi?MassType=1&amp;NumAxis=1&amp;Mod5=170&amp;Pep=NKPFKFTLGK&amp;Dta=/var/www/html/dta/S01/10559.6553.3.dta&amp;Global_Mod=CS57.0215", "6553")</f>
        <v>6553</v>
      </c>
      <c r="Q523" s="35" t="s">
        <v>4854</v>
      </c>
      <c r="R523" s="36" t="str">
        <f>HYPERLINK("http://ms.phosphosite.org:5080/cgi-bin/plot-msms.cgi?MassType=1&amp;NumAxis=1&amp;Mod5=170&amp;Pep=NKPFKFTLGK&amp;Dta=/var/www/html/dta/S01/10561.6595.3.dta&amp;Global_Mod=CS57.0215", "6595")</f>
        <v>6595</v>
      </c>
      <c r="S523" s="36" t="str">
        <f>HYPERLINK("http://ms.phosphosite.org:5080/cgi-bin/plot-msms.cgi?MassType=1&amp;NumAxis=1&amp;Mod5=170&amp;Pep=NKPFKFTLGK&amp;Dta=/var/www/html/dta/S01/10562.6674.3.dta&amp;Global_Mod=CS57.0215", "6674")</f>
        <v>6674</v>
      </c>
      <c r="T523" s="36" t="str">
        <f>HYPERLINK("http://ms.phosphosite.org:5080/cgi-bin/plot-msms.cgi?MassType=1&amp;NumAxis=1&amp;Mod5=170&amp;Pep=NKPFKFTLGK&amp;Dta=/var/www/html/dta/S01/10563.6622.3.dta&amp;Global_Mod=CS57.0215", "6622")</f>
        <v>6622</v>
      </c>
      <c r="U523" s="35" t="s">
        <v>4854</v>
      </c>
      <c r="V523" s="36" t="str">
        <f>HYPERLINK("http://ms.phosphosite.org:5080/cgi-bin/plot-msms.cgi?MassType=1&amp;NumAxis=1&amp;Mod5=170&amp;Pep=NKPFKFTLGK&amp;Dta=/var/www/html/dta/S01/10565.7138.3.dta&amp;Global_Mod=CS57.0215", "7138")</f>
        <v>7138</v>
      </c>
      <c r="W523" s="3" t="s">
        <v>4854</v>
      </c>
      <c r="X523" s="3" t="s">
        <v>4854</v>
      </c>
      <c r="Y523" s="3" t="s">
        <v>4854</v>
      </c>
      <c r="Z523" s="3" t="s">
        <v>4854</v>
      </c>
      <c r="AA523" s="5">
        <v>6697</v>
      </c>
      <c r="AB523" s="5">
        <v>6651</v>
      </c>
      <c r="AC523" s="3" t="s">
        <v>4854</v>
      </c>
      <c r="AD523" s="5">
        <v>7098</v>
      </c>
      <c r="AE523" s="90">
        <v>1.996</v>
      </c>
      <c r="AF523" s="90">
        <v>2.093</v>
      </c>
      <c r="AG523" s="99" t="s">
        <v>4854</v>
      </c>
      <c r="AH523" s="90">
        <v>2.1659999999999999</v>
      </c>
      <c r="AI523" s="90">
        <v>2.605</v>
      </c>
      <c r="AJ523" s="90">
        <v>2.5179999999999998</v>
      </c>
      <c r="AK523" s="99" t="s">
        <v>4854</v>
      </c>
      <c r="AL523" s="90">
        <v>2.1190000000000002</v>
      </c>
      <c r="AM523" s="21">
        <v>0.48120000000000002</v>
      </c>
      <c r="AN523" s="21">
        <v>0.85440000000000005</v>
      </c>
      <c r="AO523" s="102" t="s">
        <v>4854</v>
      </c>
      <c r="AP523" s="21">
        <v>0.91420000000000001</v>
      </c>
      <c r="AQ523" s="21">
        <v>0.72260000000000002</v>
      </c>
      <c r="AR523" s="21">
        <v>0.76680000000000004</v>
      </c>
      <c r="AS523" s="102" t="s">
        <v>4854</v>
      </c>
      <c r="AT523" s="21">
        <v>0.22900000000000001</v>
      </c>
      <c r="AU523" s="21">
        <v>1.9E-2</v>
      </c>
      <c r="AV523" s="21">
        <v>3.9E-2</v>
      </c>
      <c r="AW523" s="102" t="s">
        <v>4854</v>
      </c>
      <c r="AX523" s="21">
        <v>4.5999999999999999E-2</v>
      </c>
      <c r="AY523" s="21">
        <v>0.12</v>
      </c>
      <c r="AZ523" s="21">
        <v>0.106</v>
      </c>
      <c r="BA523" s="102" t="s">
        <v>4854</v>
      </c>
      <c r="BB523" s="21">
        <v>9.7000000000000003E-2</v>
      </c>
      <c r="BC523" s="5">
        <v>7</v>
      </c>
      <c r="BD523" s="5">
        <v>40</v>
      </c>
      <c r="BE523" s="3" t="s">
        <v>4854</v>
      </c>
      <c r="BF523" s="5">
        <v>40</v>
      </c>
      <c r="BG523" s="5">
        <v>9</v>
      </c>
      <c r="BH523" s="5">
        <v>1</v>
      </c>
      <c r="BI523" s="3" t="s">
        <v>4854</v>
      </c>
      <c r="BJ523" s="5">
        <v>15</v>
      </c>
      <c r="BK523" s="90">
        <v>0.90700000000000003</v>
      </c>
      <c r="BL523" s="90">
        <v>0.90800000000000003</v>
      </c>
      <c r="BM523" s="99" t="s">
        <v>4854</v>
      </c>
      <c r="BN523" s="90">
        <v>0.92500000000000004</v>
      </c>
      <c r="BO523" s="90">
        <v>0.99099999999999999</v>
      </c>
      <c r="BP523" s="90">
        <v>0.99299999999999999</v>
      </c>
      <c r="BQ523" s="99" t="s">
        <v>4854</v>
      </c>
      <c r="BR523" s="90">
        <v>0.96799999999999997</v>
      </c>
      <c r="BS523" s="5" t="s">
        <v>4857</v>
      </c>
    </row>
    <row r="524" spans="1:71" s="30" customFormat="1" ht="17.100000000000001" customHeight="1">
      <c r="A524" s="10">
        <v>513</v>
      </c>
      <c r="B524" s="10" t="s">
        <v>2927</v>
      </c>
      <c r="C524" s="4" t="s">
        <v>3178</v>
      </c>
      <c r="D524" s="4" t="s">
        <v>2921</v>
      </c>
      <c r="E524" s="4" t="s">
        <v>2922</v>
      </c>
      <c r="F524" s="10" t="s">
        <v>5210</v>
      </c>
      <c r="G524" s="4" t="s">
        <v>2923</v>
      </c>
      <c r="H524" s="7" t="s">
        <v>2924</v>
      </c>
      <c r="I524" s="4" t="s">
        <v>2925</v>
      </c>
      <c r="J524" s="10" t="s">
        <v>4834</v>
      </c>
      <c r="K524" s="4" t="s">
        <v>5638</v>
      </c>
      <c r="L524" s="4" t="s">
        <v>2928</v>
      </c>
      <c r="M524" s="10">
        <v>2</v>
      </c>
      <c r="N524" s="95">
        <v>616.85350000000005</v>
      </c>
      <c r="O524" s="37" t="str">
        <f>HYPERLINK("http://ms.phosphosite.org:5080/cgi-bin/plot-msms.cgi?MassType=1&amp;NumAxis=1&amp;Mod5=170&amp;Pep=FTLGKQEVIR&amp;Dta=/var/www/html/dta/S01/10558.7643.2.dta&amp;Global_Mod=CS57.0215", "7643")</f>
        <v>7643</v>
      </c>
      <c r="P524" s="37" t="str">
        <f>HYPERLINK("http://ms.phosphosite.org:5080/cgi-bin/plot-msms.cgi?MassType=1&amp;NumAxis=1&amp;Mod5=170&amp;Pep=FTLGKQEVIR&amp;Dta=/var/www/html/dta/S01/10559.7612.2.dta&amp;Global_Mod=CS57.0215", "7612")</f>
        <v>7612</v>
      </c>
      <c r="Q524" s="37" t="str">
        <f>HYPERLINK("http://ms.phosphosite.org:5080/cgi-bin/plot-msms.cgi?MassType=1&amp;NumAxis=1&amp;Mod5=170&amp;Pep=FTLGKQEVIR&amp;Dta=/var/www/html/dta/S01/10560.7605.2.dta&amp;Global_Mod=CS57.0215", "7605")</f>
        <v>7605</v>
      </c>
      <c r="R524" s="38" t="s">
        <v>4854</v>
      </c>
      <c r="S524" s="37" t="str">
        <f>HYPERLINK("http://ms.phosphosite.org:5080/cgi-bin/plot-msms.cgi?MassType=1&amp;NumAxis=1&amp;Mod5=170&amp;Pep=FTLGKQEVIR&amp;Dta=/var/www/html/dta/S01/10562.7740.2.dta&amp;Global_Mod=CS57.0215", "7740")</f>
        <v>7740</v>
      </c>
      <c r="T524" s="37" t="str">
        <f>HYPERLINK("http://ms.phosphosite.org:5080/cgi-bin/plot-msms.cgi?MassType=1&amp;NumAxis=1&amp;Mod5=170&amp;Pep=FTLGKQEVIR&amp;Dta=/var/www/html/dta/S01/10563.7695.2.dta&amp;Global_Mod=CS57.0215", "7695")</f>
        <v>7695</v>
      </c>
      <c r="U524" s="37" t="str">
        <f>HYPERLINK("http://ms.phosphosite.org:5080/cgi-bin/plot-msms.cgi?MassType=1&amp;NumAxis=1&amp;Mod5=170&amp;Pep=FTLGKQEVIR&amp;Dta=/var/www/html/dta/S01/10564.8108.2.dta&amp;Global_Mod=CS57.0215", "8108")</f>
        <v>8108</v>
      </c>
      <c r="V524" s="38" t="s">
        <v>4854</v>
      </c>
      <c r="W524" s="10">
        <v>7644</v>
      </c>
      <c r="X524" s="10">
        <v>7614</v>
      </c>
      <c r="Y524" s="10">
        <v>7598</v>
      </c>
      <c r="Z524" s="4" t="s">
        <v>4854</v>
      </c>
      <c r="AA524" s="10">
        <v>7742</v>
      </c>
      <c r="AB524" s="10">
        <v>7707</v>
      </c>
      <c r="AC524" s="10">
        <v>8113</v>
      </c>
      <c r="AD524" s="4" t="s">
        <v>4854</v>
      </c>
      <c r="AE524" s="91">
        <v>2.2599999999999998</v>
      </c>
      <c r="AF524" s="91">
        <v>2.4180000000000001</v>
      </c>
      <c r="AG524" s="91">
        <v>2.6509999999999998</v>
      </c>
      <c r="AH524" s="100" t="s">
        <v>4854</v>
      </c>
      <c r="AI524" s="91">
        <v>2.04</v>
      </c>
      <c r="AJ524" s="91">
        <v>2.3940000000000001</v>
      </c>
      <c r="AK524" s="91">
        <v>1.877</v>
      </c>
      <c r="AL524" s="100" t="s">
        <v>4854</v>
      </c>
      <c r="AM524" s="95">
        <v>0.27460000000000001</v>
      </c>
      <c r="AN524" s="95">
        <v>0.45469999999999999</v>
      </c>
      <c r="AO524" s="95">
        <v>0.67620000000000002</v>
      </c>
      <c r="AP524" s="103" t="s">
        <v>4854</v>
      </c>
      <c r="AQ524" s="95">
        <v>-1.01E-2</v>
      </c>
      <c r="AR524" s="95">
        <v>0.69969999999999999</v>
      </c>
      <c r="AS524" s="95">
        <v>0.4929</v>
      </c>
      <c r="AT524" s="103" t="s">
        <v>4854</v>
      </c>
      <c r="AU524" s="95">
        <v>0.21199999999999999</v>
      </c>
      <c r="AV524" s="95">
        <v>0.182</v>
      </c>
      <c r="AW524" s="95">
        <v>0.23300000000000001</v>
      </c>
      <c r="AX524" s="103" t="s">
        <v>4854</v>
      </c>
      <c r="AY524" s="95">
        <v>0.124</v>
      </c>
      <c r="AZ524" s="95">
        <v>0.17699999999999999</v>
      </c>
      <c r="BA524" s="95">
        <v>0.14699999999999999</v>
      </c>
      <c r="BB524" s="103" t="s">
        <v>4854</v>
      </c>
      <c r="BC524" s="10">
        <v>1</v>
      </c>
      <c r="BD524" s="10">
        <v>1</v>
      </c>
      <c r="BE524" s="10">
        <v>1</v>
      </c>
      <c r="BF524" s="4" t="s">
        <v>4854</v>
      </c>
      <c r="BG524" s="10">
        <v>1</v>
      </c>
      <c r="BH524" s="10">
        <v>1</v>
      </c>
      <c r="BI524" s="10">
        <v>3</v>
      </c>
      <c r="BJ524" s="4" t="s">
        <v>4854</v>
      </c>
      <c r="BK524" s="91">
        <v>0.997</v>
      </c>
      <c r="BL524" s="91">
        <v>0.997</v>
      </c>
      <c r="BM524" s="91">
        <v>0.999</v>
      </c>
      <c r="BN524" s="100" t="s">
        <v>4854</v>
      </c>
      <c r="BO524" s="91">
        <v>0.98699999999999999</v>
      </c>
      <c r="BP524" s="91">
        <v>0.997</v>
      </c>
      <c r="BQ524" s="91">
        <v>0.97899999999999998</v>
      </c>
      <c r="BR524" s="100" t="s">
        <v>4854</v>
      </c>
      <c r="BS524" s="10" t="s">
        <v>4857</v>
      </c>
    </row>
    <row r="525" spans="1:71" s="30" customFormat="1" ht="17.100000000000001" customHeight="1">
      <c r="A525" s="14">
        <v>514</v>
      </c>
      <c r="B525" s="5" t="s">
        <v>2929</v>
      </c>
      <c r="C525" s="3" t="s">
        <v>3178</v>
      </c>
      <c r="D525" s="3" t="s">
        <v>2930</v>
      </c>
      <c r="E525" s="3" t="s">
        <v>2931</v>
      </c>
      <c r="F525" s="5" t="s">
        <v>2932</v>
      </c>
      <c r="G525" s="3" t="s">
        <v>2933</v>
      </c>
      <c r="H525" s="6" t="s">
        <v>2934</v>
      </c>
      <c r="I525" s="3" t="s">
        <v>2935</v>
      </c>
      <c r="J525" s="5" t="s">
        <v>4638</v>
      </c>
      <c r="K525" s="3" t="s">
        <v>5639</v>
      </c>
      <c r="L525" s="3" t="s">
        <v>2936</v>
      </c>
      <c r="M525" s="5">
        <v>3</v>
      </c>
      <c r="N525" s="21">
        <v>954.46159999999998</v>
      </c>
      <c r="O525" s="36" t="str">
        <f>HYPERLINK("http://ms.phosphosite.org:5080/cgi-bin/plot-msms.cgi?MassType=1&amp;NumAxis=1&amp;Mod1=170&amp;Mod21=170&amp;Mod23=170&amp;Pep=KKPGMFFNPEESELDLTYGNKYK&amp;Dta=/var/www/html/dta/S01/10558.8862.3.dta&amp;Global_Mod=CS57.0215", "8862")</f>
        <v>8862</v>
      </c>
      <c r="P525" s="35" t="s">
        <v>4854</v>
      </c>
      <c r="Q525" s="35" t="s">
        <v>4854</v>
      </c>
      <c r="R525" s="35" t="s">
        <v>4854</v>
      </c>
      <c r="S525" s="35" t="s">
        <v>4854</v>
      </c>
      <c r="T525" s="35" t="s">
        <v>4854</v>
      </c>
      <c r="U525" s="35" t="s">
        <v>4854</v>
      </c>
      <c r="V525" s="35" t="s">
        <v>4854</v>
      </c>
      <c r="W525" s="3" t="s">
        <v>4854</v>
      </c>
      <c r="X525" s="3" t="s">
        <v>4854</v>
      </c>
      <c r="Y525" s="3" t="s">
        <v>4854</v>
      </c>
      <c r="Z525" s="3" t="s">
        <v>4854</v>
      </c>
      <c r="AA525" s="3" t="s">
        <v>4854</v>
      </c>
      <c r="AB525" s="3" t="s">
        <v>4854</v>
      </c>
      <c r="AC525" s="3" t="s">
        <v>4854</v>
      </c>
      <c r="AD525" s="3" t="s">
        <v>4854</v>
      </c>
      <c r="AE525" s="90">
        <v>2.948</v>
      </c>
      <c r="AF525" s="99" t="s">
        <v>4854</v>
      </c>
      <c r="AG525" s="99" t="s">
        <v>4854</v>
      </c>
      <c r="AH525" s="99" t="s">
        <v>4854</v>
      </c>
      <c r="AI525" s="99" t="s">
        <v>4854</v>
      </c>
      <c r="AJ525" s="99" t="s">
        <v>4854</v>
      </c>
      <c r="AK525" s="99" t="s">
        <v>4854</v>
      </c>
      <c r="AL525" s="99" t="s">
        <v>4854</v>
      </c>
      <c r="AM525" s="21">
        <v>2.2002999999999999</v>
      </c>
      <c r="AN525" s="102" t="s">
        <v>4854</v>
      </c>
      <c r="AO525" s="102" t="s">
        <v>4854</v>
      </c>
      <c r="AP525" s="102" t="s">
        <v>4854</v>
      </c>
      <c r="AQ525" s="102" t="s">
        <v>4854</v>
      </c>
      <c r="AR525" s="102" t="s">
        <v>4854</v>
      </c>
      <c r="AS525" s="102" t="s">
        <v>4854</v>
      </c>
      <c r="AT525" s="102" t="s">
        <v>4854</v>
      </c>
      <c r="AU525" s="21">
        <v>0.20399999999999999</v>
      </c>
      <c r="AV525" s="102" t="s">
        <v>4854</v>
      </c>
      <c r="AW525" s="102" t="s">
        <v>4854</v>
      </c>
      <c r="AX525" s="102" t="s">
        <v>4854</v>
      </c>
      <c r="AY525" s="102" t="s">
        <v>4854</v>
      </c>
      <c r="AZ525" s="102" t="s">
        <v>4854</v>
      </c>
      <c r="BA525" s="102" t="s">
        <v>4854</v>
      </c>
      <c r="BB525" s="102" t="s">
        <v>4854</v>
      </c>
      <c r="BC525" s="5">
        <v>37</v>
      </c>
      <c r="BD525" s="3" t="s">
        <v>4854</v>
      </c>
      <c r="BE525" s="3" t="s">
        <v>4854</v>
      </c>
      <c r="BF525" s="3" t="s">
        <v>4854</v>
      </c>
      <c r="BG525" s="3" t="s">
        <v>4854</v>
      </c>
      <c r="BH525" s="3" t="s">
        <v>4854</v>
      </c>
      <c r="BI525" s="3" t="s">
        <v>4854</v>
      </c>
      <c r="BJ525" s="3" t="s">
        <v>4854</v>
      </c>
      <c r="BK525" s="90">
        <v>0.124</v>
      </c>
      <c r="BL525" s="99" t="s">
        <v>4854</v>
      </c>
      <c r="BM525" s="99" t="s">
        <v>4854</v>
      </c>
      <c r="BN525" s="99" t="s">
        <v>4854</v>
      </c>
      <c r="BO525" s="99" t="s">
        <v>4854</v>
      </c>
      <c r="BP525" s="99" t="s">
        <v>4854</v>
      </c>
      <c r="BQ525" s="99" t="s">
        <v>4854</v>
      </c>
      <c r="BR525" s="99" t="s">
        <v>4854</v>
      </c>
      <c r="BS525" s="5" t="s">
        <v>4857</v>
      </c>
    </row>
    <row r="526" spans="1:71" s="30" customFormat="1" ht="17.100000000000001" customHeight="1">
      <c r="A526" s="10">
        <v>515</v>
      </c>
      <c r="B526" s="10" t="s">
        <v>2937</v>
      </c>
      <c r="C526" s="4" t="s">
        <v>3178</v>
      </c>
      <c r="D526" s="4" t="s">
        <v>2938</v>
      </c>
      <c r="E526" s="7" t="s">
        <v>2939</v>
      </c>
      <c r="F526" s="10" t="s">
        <v>5148</v>
      </c>
      <c r="G526" s="4" t="s">
        <v>2940</v>
      </c>
      <c r="H526" s="7" t="s">
        <v>2941</v>
      </c>
      <c r="I526" s="4" t="s">
        <v>2942</v>
      </c>
      <c r="J526" s="10" t="s">
        <v>4695</v>
      </c>
      <c r="K526" s="4" t="s">
        <v>5640</v>
      </c>
      <c r="L526" s="4" t="s">
        <v>2943</v>
      </c>
      <c r="M526" s="10">
        <v>2</v>
      </c>
      <c r="N526" s="95">
        <v>629.3329</v>
      </c>
      <c r="O526" s="37" t="str">
        <f>HYPERLINK("http://ms.phosphosite.org:5080/cgi-bin/plot-msms.cgi?MassType=1&amp;NumAxis=1&amp;Mod8=170&amp;Pep=TVDGPSGKLWR&amp;Dta=/var/www/html/dta/S01/10558.6697.2.dta&amp;Global_Mod=CS57.0215", "6697")</f>
        <v>6697</v>
      </c>
      <c r="P526" s="37" t="str">
        <f>HYPERLINK("http://ms.phosphosite.org:5080/cgi-bin/plot-msms.cgi?MassType=1&amp;NumAxis=1&amp;Mod8=170&amp;Pep=TVDGPSGKLWR&amp;Dta=/var/www/html/dta/S01/10559.6620.2.dta&amp;Global_Mod=CS57.0215", "6620")</f>
        <v>6620</v>
      </c>
      <c r="Q526" s="37" t="str">
        <f>HYPERLINK("http://ms.phosphosite.org:5080/cgi-bin/plot-msms.cgi?MassType=1&amp;NumAxis=1&amp;Mod8=170&amp;Pep=TVDGPSGKLWR&amp;Dta=/var/www/html/dta/S01/10560.6625.2.dta&amp;Global_Mod=CS57.0215", "6625")</f>
        <v>6625</v>
      </c>
      <c r="R526" s="37" t="str">
        <f>HYPERLINK("http://ms.phosphosite.org:5080/cgi-bin/plot-msms.cgi?MassType=1&amp;NumAxis=1&amp;Mod8=170&amp;Pep=TVDGPSGKLWR&amp;Dta=/var/www/html/dta/S01/10561.6684.2.dta&amp;Global_Mod=CS57.0215", "6684")</f>
        <v>6684</v>
      </c>
      <c r="S526" s="37" t="str">
        <f>HYPERLINK("http://ms.phosphosite.org:5080/cgi-bin/plot-msms.cgi?MassType=1&amp;NumAxis=1&amp;Mod8=170&amp;Pep=TVDGPSGKLWR&amp;Dta=/var/www/html/dta/S01/10562.6773.2.dta&amp;Global_Mod=CS57.0215", "6773")</f>
        <v>6773</v>
      </c>
      <c r="T526" s="37" t="str">
        <f>HYPERLINK("http://ms.phosphosite.org:5080/cgi-bin/plot-msms.cgi?MassType=1&amp;NumAxis=1&amp;Mod8=170&amp;Pep=TVDGPSGKLWR&amp;Dta=/var/www/html/dta/S01/10563.6736.2.dta&amp;Global_Mod=CS57.0215", "6736")</f>
        <v>6736</v>
      </c>
      <c r="U526" s="37" t="str">
        <f>HYPERLINK("http://ms.phosphosite.org:5080/cgi-bin/plot-msms.cgi?MassType=1&amp;NumAxis=1&amp;Mod8=170&amp;Pep=TVDGPSGKLWR&amp;Dta=/var/www/html/dta/S01/10564.7130.2.dta&amp;Global_Mod=CS57.0215", "7130")</f>
        <v>7130</v>
      </c>
      <c r="V526" s="37" t="str">
        <f>HYPERLINK("http://ms.phosphosite.org:5080/cgi-bin/plot-msms.cgi?MassType=1&amp;NumAxis=1&amp;Mod8=170&amp;Pep=TVDGPSGKLWR&amp;Dta=/var/www/html/dta/S01/10565.7226.2.dta&amp;Global_Mod=CS57.0215", "7226")</f>
        <v>7226</v>
      </c>
      <c r="W526" s="10">
        <v>6732</v>
      </c>
      <c r="X526" s="10">
        <v>6668</v>
      </c>
      <c r="Y526" s="10">
        <v>6663</v>
      </c>
      <c r="Z526" s="10">
        <v>6723</v>
      </c>
      <c r="AA526" s="10">
        <v>6829</v>
      </c>
      <c r="AB526" s="10">
        <v>6783</v>
      </c>
      <c r="AC526" s="10">
        <v>7178</v>
      </c>
      <c r="AD526" s="10">
        <v>7263</v>
      </c>
      <c r="AE526" s="91">
        <v>2.9159999999999999</v>
      </c>
      <c r="AF526" s="91">
        <v>2.73</v>
      </c>
      <c r="AG526" s="91">
        <v>2.782</v>
      </c>
      <c r="AH526" s="91">
        <v>3.0939999999999999</v>
      </c>
      <c r="AI526" s="91">
        <v>2.5979999999999999</v>
      </c>
      <c r="AJ526" s="91">
        <v>2.7</v>
      </c>
      <c r="AK526" s="91">
        <v>3.25</v>
      </c>
      <c r="AL526" s="91">
        <v>3.1970000000000001</v>
      </c>
      <c r="AM526" s="95">
        <v>4.6199999999999998E-2</v>
      </c>
      <c r="AN526" s="95">
        <v>0.26090000000000002</v>
      </c>
      <c r="AO526" s="95">
        <v>0.36499999999999999</v>
      </c>
      <c r="AP526" s="95">
        <v>0.29580000000000001</v>
      </c>
      <c r="AQ526" s="95">
        <v>0.21079999999999999</v>
      </c>
      <c r="AR526" s="95">
        <v>0.1273</v>
      </c>
      <c r="AS526" s="95">
        <v>-1.9E-2</v>
      </c>
      <c r="AT526" s="95">
        <v>-0.23130000000000001</v>
      </c>
      <c r="AU526" s="95">
        <v>0.28999999999999998</v>
      </c>
      <c r="AV526" s="95">
        <v>0.24399999999999999</v>
      </c>
      <c r="AW526" s="95">
        <v>0.245</v>
      </c>
      <c r="AX526" s="95">
        <v>0.30299999999999999</v>
      </c>
      <c r="AY526" s="95">
        <v>0.19900000000000001</v>
      </c>
      <c r="AZ526" s="95">
        <v>0.26800000000000002</v>
      </c>
      <c r="BA526" s="95">
        <v>0.32700000000000001</v>
      </c>
      <c r="BB526" s="95">
        <v>0.32700000000000001</v>
      </c>
      <c r="BC526" s="10">
        <v>1</v>
      </c>
      <c r="BD526" s="10">
        <v>1</v>
      </c>
      <c r="BE526" s="10">
        <v>2</v>
      </c>
      <c r="BF526" s="10">
        <v>1</v>
      </c>
      <c r="BG526" s="10">
        <v>1</v>
      </c>
      <c r="BH526" s="10">
        <v>1</v>
      </c>
      <c r="BI526" s="10">
        <v>1</v>
      </c>
      <c r="BJ526" s="10">
        <v>1</v>
      </c>
      <c r="BK526" s="91">
        <v>1</v>
      </c>
      <c r="BL526" s="91">
        <v>0.999</v>
      </c>
      <c r="BM526" s="91">
        <v>0.999</v>
      </c>
      <c r="BN526" s="91">
        <v>1</v>
      </c>
      <c r="BO526" s="91">
        <v>0.998</v>
      </c>
      <c r="BP526" s="91">
        <v>0.999</v>
      </c>
      <c r="BQ526" s="91">
        <v>1</v>
      </c>
      <c r="BR526" s="91">
        <v>1</v>
      </c>
      <c r="BS526" s="10" t="s">
        <v>4857</v>
      </c>
    </row>
    <row r="527" spans="1:71" s="30" customFormat="1" ht="17.100000000000001" customHeight="1">
      <c r="A527" s="10">
        <v>516</v>
      </c>
      <c r="B527" s="10" t="s">
        <v>2944</v>
      </c>
      <c r="C527" s="4" t="s">
        <v>3178</v>
      </c>
      <c r="D527" s="4" t="s">
        <v>2938</v>
      </c>
      <c r="E527" s="7" t="s">
        <v>2939</v>
      </c>
      <c r="F527" s="10" t="s">
        <v>5148</v>
      </c>
      <c r="G527" s="4" t="s">
        <v>2940</v>
      </c>
      <c r="H527" s="7" t="s">
        <v>2941</v>
      </c>
      <c r="I527" s="4" t="s">
        <v>2942</v>
      </c>
      <c r="J527" s="10" t="s">
        <v>4695</v>
      </c>
      <c r="K527" s="4" t="s">
        <v>5640</v>
      </c>
      <c r="L527" s="4" t="s">
        <v>2943</v>
      </c>
      <c r="M527" s="10">
        <v>2</v>
      </c>
      <c r="N527" s="95">
        <v>629.3329</v>
      </c>
      <c r="O527" s="37" t="str">
        <f>HYPERLINK("http://ms.phosphosite.org:5080/cgi-bin/plot-msms.cgi?MassType=1&amp;NumAxis=1&amp;Mod8=170&amp;Pep=TVDGPSGKLWR&amp;Dta=/var/www/html/dta/S01/10558.6801.2.dta&amp;Global_Mod=CS57.0215", "6801")</f>
        <v>6801</v>
      </c>
      <c r="P527" s="38" t="s">
        <v>4854</v>
      </c>
      <c r="Q527" s="38" t="s">
        <v>4854</v>
      </c>
      <c r="R527" s="38" t="s">
        <v>4854</v>
      </c>
      <c r="S527" s="38" t="s">
        <v>4854</v>
      </c>
      <c r="T527" s="38" t="s">
        <v>4854</v>
      </c>
      <c r="U527" s="38" t="s">
        <v>4854</v>
      </c>
      <c r="V527" s="38" t="s">
        <v>4854</v>
      </c>
      <c r="W527" s="10">
        <v>6732</v>
      </c>
      <c r="X527" s="4" t="s">
        <v>4854</v>
      </c>
      <c r="Y527" s="4" t="s">
        <v>4854</v>
      </c>
      <c r="Z527" s="4" t="s">
        <v>4854</v>
      </c>
      <c r="AA527" s="4" t="s">
        <v>4854</v>
      </c>
      <c r="AB527" s="4" t="s">
        <v>4854</v>
      </c>
      <c r="AC527" s="4" t="s">
        <v>4854</v>
      </c>
      <c r="AD527" s="4" t="s">
        <v>4854</v>
      </c>
      <c r="AE527" s="91">
        <v>2.3340000000000001</v>
      </c>
      <c r="AF527" s="100" t="s">
        <v>4854</v>
      </c>
      <c r="AG527" s="100" t="s">
        <v>4854</v>
      </c>
      <c r="AH527" s="100" t="s">
        <v>4854</v>
      </c>
      <c r="AI527" s="100" t="s">
        <v>4854</v>
      </c>
      <c r="AJ527" s="100" t="s">
        <v>4854</v>
      </c>
      <c r="AK527" s="100" t="s">
        <v>4854</v>
      </c>
      <c r="AL527" s="100" t="s">
        <v>4854</v>
      </c>
      <c r="AM527" s="95">
        <v>4.3799999999999999E-2</v>
      </c>
      <c r="AN527" s="103" t="s">
        <v>4854</v>
      </c>
      <c r="AO527" s="103" t="s">
        <v>4854</v>
      </c>
      <c r="AP527" s="103" t="s">
        <v>4854</v>
      </c>
      <c r="AQ527" s="103" t="s">
        <v>4854</v>
      </c>
      <c r="AR527" s="103" t="s">
        <v>4854</v>
      </c>
      <c r="AS527" s="103" t="s">
        <v>4854</v>
      </c>
      <c r="AT527" s="103" t="s">
        <v>4854</v>
      </c>
      <c r="AU527" s="95">
        <v>0.28299999999999997</v>
      </c>
      <c r="AV527" s="103" t="s">
        <v>4854</v>
      </c>
      <c r="AW527" s="103" t="s">
        <v>4854</v>
      </c>
      <c r="AX527" s="103" t="s">
        <v>4854</v>
      </c>
      <c r="AY527" s="103" t="s">
        <v>4854</v>
      </c>
      <c r="AZ527" s="103" t="s">
        <v>4854</v>
      </c>
      <c r="BA527" s="103" t="s">
        <v>4854</v>
      </c>
      <c r="BB527" s="103" t="s">
        <v>4854</v>
      </c>
      <c r="BC527" s="10">
        <v>1</v>
      </c>
      <c r="BD527" s="4" t="s">
        <v>4854</v>
      </c>
      <c r="BE527" s="4" t="s">
        <v>4854</v>
      </c>
      <c r="BF527" s="4" t="s">
        <v>4854</v>
      </c>
      <c r="BG527" s="4" t="s">
        <v>4854</v>
      </c>
      <c r="BH527" s="4" t="s">
        <v>4854</v>
      </c>
      <c r="BI527" s="4" t="s">
        <v>4854</v>
      </c>
      <c r="BJ527" s="4" t="s">
        <v>4854</v>
      </c>
      <c r="BK527" s="91">
        <v>0.999</v>
      </c>
      <c r="BL527" s="100" t="s">
        <v>4854</v>
      </c>
      <c r="BM527" s="100" t="s">
        <v>4854</v>
      </c>
      <c r="BN527" s="100" t="s">
        <v>4854</v>
      </c>
      <c r="BO527" s="100" t="s">
        <v>4854</v>
      </c>
      <c r="BP527" s="100" t="s">
        <v>4854</v>
      </c>
      <c r="BQ527" s="100" t="s">
        <v>4854</v>
      </c>
      <c r="BR527" s="100" t="s">
        <v>4854</v>
      </c>
      <c r="BS527" s="10" t="s">
        <v>4857</v>
      </c>
    </row>
    <row r="528" spans="1:71" s="30" customFormat="1" ht="17.100000000000001" customHeight="1">
      <c r="A528" s="14">
        <v>517</v>
      </c>
      <c r="B528" s="5" t="s">
        <v>2945</v>
      </c>
      <c r="C528" s="3" t="s">
        <v>3178</v>
      </c>
      <c r="D528" s="3" t="s">
        <v>2938</v>
      </c>
      <c r="E528" s="6" t="s">
        <v>2939</v>
      </c>
      <c r="F528" s="5" t="s">
        <v>5272</v>
      </c>
      <c r="G528" s="3" t="s">
        <v>2940</v>
      </c>
      <c r="H528" s="6" t="s">
        <v>2941</v>
      </c>
      <c r="I528" s="3" t="s">
        <v>2942</v>
      </c>
      <c r="J528" s="5" t="s">
        <v>4695</v>
      </c>
      <c r="K528" s="3" t="s">
        <v>5641</v>
      </c>
      <c r="L528" s="3" t="s">
        <v>2946</v>
      </c>
      <c r="M528" s="5">
        <v>3</v>
      </c>
      <c r="N528" s="21">
        <v>454.58190000000002</v>
      </c>
      <c r="O528" s="35" t="s">
        <v>4854</v>
      </c>
      <c r="P528" s="35" t="s">
        <v>4854</v>
      </c>
      <c r="Q528" s="35" t="s">
        <v>4854</v>
      </c>
      <c r="R528" s="35" t="s">
        <v>4854</v>
      </c>
      <c r="S528" s="35" t="s">
        <v>4854</v>
      </c>
      <c r="T528" s="35" t="s">
        <v>4854</v>
      </c>
      <c r="U528" s="35" t="s">
        <v>4854</v>
      </c>
      <c r="V528" s="36" t="str">
        <f>HYPERLINK("http://ms.phosphosite.org:5080/cgi-bin/plot-msms.cgi?MassType=1&amp;NumAxis=1&amp;Mod3=170&amp;Pep=LEKPAKYDDIK&amp;Dta=/var/www/html/dta/S01/10565.4054.3.dta&amp;Global_Mod=CS57.0215", "4054")</f>
        <v>4054</v>
      </c>
      <c r="W528" s="3" t="s">
        <v>4854</v>
      </c>
      <c r="X528" s="3" t="s">
        <v>4854</v>
      </c>
      <c r="Y528" s="3" t="s">
        <v>4854</v>
      </c>
      <c r="Z528" s="3" t="s">
        <v>4854</v>
      </c>
      <c r="AA528" s="3" t="s">
        <v>4854</v>
      </c>
      <c r="AB528" s="3" t="s">
        <v>4854</v>
      </c>
      <c r="AC528" s="3" t="s">
        <v>4854</v>
      </c>
      <c r="AD528" s="3" t="s">
        <v>4854</v>
      </c>
      <c r="AE528" s="99" t="s">
        <v>4854</v>
      </c>
      <c r="AF528" s="99" t="s">
        <v>4854</v>
      </c>
      <c r="AG528" s="99" t="s">
        <v>4854</v>
      </c>
      <c r="AH528" s="99" t="s">
        <v>4854</v>
      </c>
      <c r="AI528" s="99" t="s">
        <v>4854</v>
      </c>
      <c r="AJ528" s="99" t="s">
        <v>4854</v>
      </c>
      <c r="AK528" s="99" t="s">
        <v>4854</v>
      </c>
      <c r="AL528" s="90">
        <v>2.0339999999999998</v>
      </c>
      <c r="AM528" s="102" t="s">
        <v>4854</v>
      </c>
      <c r="AN528" s="102" t="s">
        <v>4854</v>
      </c>
      <c r="AO528" s="102" t="s">
        <v>4854</v>
      </c>
      <c r="AP528" s="102" t="s">
        <v>4854</v>
      </c>
      <c r="AQ528" s="102" t="s">
        <v>4854</v>
      </c>
      <c r="AR528" s="102" t="s">
        <v>4854</v>
      </c>
      <c r="AS528" s="102" t="s">
        <v>4854</v>
      </c>
      <c r="AT528" s="21">
        <v>-0.21529999999999999</v>
      </c>
      <c r="AU528" s="102" t="s">
        <v>4854</v>
      </c>
      <c r="AV528" s="102" t="s">
        <v>4854</v>
      </c>
      <c r="AW528" s="102" t="s">
        <v>4854</v>
      </c>
      <c r="AX528" s="102" t="s">
        <v>4854</v>
      </c>
      <c r="AY528" s="102" t="s">
        <v>4854</v>
      </c>
      <c r="AZ528" s="102" t="s">
        <v>4854</v>
      </c>
      <c r="BA528" s="102" t="s">
        <v>4854</v>
      </c>
      <c r="BB528" s="21">
        <v>1.9E-2</v>
      </c>
      <c r="BC528" s="3" t="s">
        <v>4854</v>
      </c>
      <c r="BD528" s="3" t="s">
        <v>4854</v>
      </c>
      <c r="BE528" s="3" t="s">
        <v>4854</v>
      </c>
      <c r="BF528" s="3" t="s">
        <v>4854</v>
      </c>
      <c r="BG528" s="3" t="s">
        <v>4854</v>
      </c>
      <c r="BH528" s="3" t="s">
        <v>4854</v>
      </c>
      <c r="BI528" s="3" t="s">
        <v>4854</v>
      </c>
      <c r="BJ528" s="5">
        <v>559</v>
      </c>
      <c r="BK528" s="99" t="s">
        <v>4854</v>
      </c>
      <c r="BL528" s="99" t="s">
        <v>4854</v>
      </c>
      <c r="BM528" s="99" t="s">
        <v>4854</v>
      </c>
      <c r="BN528" s="99" t="s">
        <v>4854</v>
      </c>
      <c r="BO528" s="99" t="s">
        <v>4854</v>
      </c>
      <c r="BP528" s="99" t="s">
        <v>4854</v>
      </c>
      <c r="BQ528" s="99" t="s">
        <v>4854</v>
      </c>
      <c r="BR528" s="90">
        <v>0.78400000000000003</v>
      </c>
      <c r="BS528" s="5" t="s">
        <v>4857</v>
      </c>
    </row>
    <row r="529" spans="1:71" s="30" customFormat="1" ht="17.100000000000001" customHeight="1">
      <c r="A529" s="10">
        <v>518</v>
      </c>
      <c r="B529" s="10" t="s">
        <v>2947</v>
      </c>
      <c r="C529" s="4" t="s">
        <v>3178</v>
      </c>
      <c r="D529" s="4" t="s">
        <v>2938</v>
      </c>
      <c r="E529" s="7" t="s">
        <v>2939</v>
      </c>
      <c r="F529" s="10" t="s">
        <v>5110</v>
      </c>
      <c r="G529" s="4" t="s">
        <v>2940</v>
      </c>
      <c r="H529" s="7" t="s">
        <v>2941</v>
      </c>
      <c r="I529" s="4" t="s">
        <v>2942</v>
      </c>
      <c r="J529" s="10" t="s">
        <v>4695</v>
      </c>
      <c r="K529" s="4" t="s">
        <v>5642</v>
      </c>
      <c r="L529" s="4" t="s">
        <v>2948</v>
      </c>
      <c r="M529" s="10">
        <v>2</v>
      </c>
      <c r="N529" s="95">
        <v>681.36919999999998</v>
      </c>
      <c r="O529" s="37" t="str">
        <f>HYPERLINK("http://ms.phosphosite.org:5080/cgi-bin/plot-msms.cgi?MassType=1&amp;NumAxis=1&amp;Mod6=170&amp;Pep=LEKPAKYDDIK&amp;Dta=/var/www/html/dta/S01/10558.3689.2.dta&amp;Global_Mod=CS57.0215", "3689")</f>
        <v>3689</v>
      </c>
      <c r="P529" s="38" t="s">
        <v>4854</v>
      </c>
      <c r="Q529" s="38" t="s">
        <v>4854</v>
      </c>
      <c r="R529" s="38" t="s">
        <v>4854</v>
      </c>
      <c r="S529" s="37" t="str">
        <f>HYPERLINK("http://ms.phosphosite.org:5080/cgi-bin/plot-msms.cgi?MassType=1&amp;NumAxis=1&amp;Mod6=170&amp;Pep=LEKPAKYDDIK&amp;Dta=/var/www/html/dta/S01/10562.3735.2.dta&amp;Global_Mod=CS57.0215", "3735")</f>
        <v>3735</v>
      </c>
      <c r="T529" s="38" t="s">
        <v>4854</v>
      </c>
      <c r="U529" s="37" t="str">
        <f>HYPERLINK("http://ms.phosphosite.org:5080/cgi-bin/plot-msms.cgi?MassType=1&amp;NumAxis=1&amp;Mod6=170&amp;Pep=LEKPAKYDDIK&amp;Dta=/var/www/html/dta/S01/10564.4009.2.dta&amp;Global_Mod=CS57.0215", "4009")</f>
        <v>4009</v>
      </c>
      <c r="V529" s="37" t="str">
        <f>HYPERLINK("http://ms.phosphosite.org:5080/cgi-bin/plot-msms.cgi?MassType=1&amp;NumAxis=1&amp;Mod6=170&amp;Pep=LEKPAKYDDIK&amp;Dta=/var/www/html/dta/S01/10565.4078.2.dta&amp;Global_Mod=CS57.0215", "4078")</f>
        <v>4078</v>
      </c>
      <c r="W529" s="10">
        <v>3693</v>
      </c>
      <c r="X529" s="4" t="s">
        <v>4854</v>
      </c>
      <c r="Y529" s="4" t="s">
        <v>4854</v>
      </c>
      <c r="Z529" s="4" t="s">
        <v>4854</v>
      </c>
      <c r="AA529" s="10">
        <v>3730</v>
      </c>
      <c r="AB529" s="4" t="s">
        <v>4854</v>
      </c>
      <c r="AC529" s="10">
        <v>3999</v>
      </c>
      <c r="AD529" s="10">
        <v>4081</v>
      </c>
      <c r="AE529" s="91">
        <v>2.4820000000000002</v>
      </c>
      <c r="AF529" s="100" t="s">
        <v>4854</v>
      </c>
      <c r="AG529" s="100" t="s">
        <v>4854</v>
      </c>
      <c r="AH529" s="100" t="s">
        <v>4854</v>
      </c>
      <c r="AI529" s="91">
        <v>2.6869999999999998</v>
      </c>
      <c r="AJ529" s="100" t="s">
        <v>4854</v>
      </c>
      <c r="AK529" s="91">
        <v>2.2149999999999999</v>
      </c>
      <c r="AL529" s="91">
        <v>2.7639999999999998</v>
      </c>
      <c r="AM529" s="95">
        <v>-3.9100000000000003E-2</v>
      </c>
      <c r="AN529" s="103" t="s">
        <v>4854</v>
      </c>
      <c r="AO529" s="103" t="s">
        <v>4854</v>
      </c>
      <c r="AP529" s="103" t="s">
        <v>4854</v>
      </c>
      <c r="AQ529" s="95">
        <v>-0.29459999999999997</v>
      </c>
      <c r="AR529" s="103" t="s">
        <v>4854</v>
      </c>
      <c r="AS529" s="95">
        <v>0.23050000000000001</v>
      </c>
      <c r="AT529" s="95">
        <v>-0.52810000000000001</v>
      </c>
      <c r="AU529" s="95">
        <v>8.5000000000000006E-2</v>
      </c>
      <c r="AV529" s="103" t="s">
        <v>4854</v>
      </c>
      <c r="AW529" s="103" t="s">
        <v>4854</v>
      </c>
      <c r="AX529" s="103" t="s">
        <v>4854</v>
      </c>
      <c r="AY529" s="95">
        <v>1.9E-2</v>
      </c>
      <c r="AZ529" s="103" t="s">
        <v>4854</v>
      </c>
      <c r="BA529" s="95">
        <v>0.16</v>
      </c>
      <c r="BB529" s="95">
        <v>0.158</v>
      </c>
      <c r="BC529" s="10">
        <v>1</v>
      </c>
      <c r="BD529" s="4" t="s">
        <v>4854</v>
      </c>
      <c r="BE529" s="4" t="s">
        <v>4854</v>
      </c>
      <c r="BF529" s="4" t="s">
        <v>4854</v>
      </c>
      <c r="BG529" s="10">
        <v>1</v>
      </c>
      <c r="BH529" s="4" t="s">
        <v>4854</v>
      </c>
      <c r="BI529" s="10">
        <v>1</v>
      </c>
      <c r="BJ529" s="10">
        <v>2</v>
      </c>
      <c r="BK529" s="91">
        <v>0.99099999999999999</v>
      </c>
      <c r="BL529" s="100" t="s">
        <v>4854</v>
      </c>
      <c r="BM529" s="100" t="s">
        <v>4854</v>
      </c>
      <c r="BN529" s="100" t="s">
        <v>4854</v>
      </c>
      <c r="BO529" s="91">
        <v>0.98699999999999999</v>
      </c>
      <c r="BP529" s="100" t="s">
        <v>4854</v>
      </c>
      <c r="BQ529" s="91">
        <v>0.99399999999999999</v>
      </c>
      <c r="BR529" s="91">
        <v>0.99399999999999999</v>
      </c>
      <c r="BS529" s="10" t="s">
        <v>4857</v>
      </c>
    </row>
    <row r="530" spans="1:71" s="30" customFormat="1" ht="17.100000000000001" customHeight="1">
      <c r="A530" s="10">
        <v>519</v>
      </c>
      <c r="B530" s="10" t="s">
        <v>2949</v>
      </c>
      <c r="C530" s="4" t="s">
        <v>3178</v>
      </c>
      <c r="D530" s="4" t="s">
        <v>2938</v>
      </c>
      <c r="E530" s="7" t="s">
        <v>2939</v>
      </c>
      <c r="F530" s="10" t="s">
        <v>5110</v>
      </c>
      <c r="G530" s="4" t="s">
        <v>2940</v>
      </c>
      <c r="H530" s="7" t="s">
        <v>2941</v>
      </c>
      <c r="I530" s="4" t="s">
        <v>2942</v>
      </c>
      <c r="J530" s="10" t="s">
        <v>4695</v>
      </c>
      <c r="K530" s="4" t="s">
        <v>5642</v>
      </c>
      <c r="L530" s="4" t="s">
        <v>2948</v>
      </c>
      <c r="M530" s="10">
        <v>3</v>
      </c>
      <c r="N530" s="95">
        <v>454.58190000000002</v>
      </c>
      <c r="O530" s="37" t="str">
        <f>HYPERLINK("http://ms.phosphosite.org:5080/cgi-bin/plot-msms.cgi?MassType=1&amp;NumAxis=1&amp;Mod6=170&amp;Pep=LEKPAKYDDIK&amp;Dta=/var/www/html/dta/S01/10558.3683.3.dta&amp;Global_Mod=CS57.0215", "3683")</f>
        <v>3683</v>
      </c>
      <c r="P530" s="37" t="str">
        <f>HYPERLINK("http://ms.phosphosite.org:5080/cgi-bin/plot-msms.cgi?MassType=1&amp;NumAxis=1&amp;Mod6=170&amp;Pep=LEKPAKYDDIK&amp;Dta=/var/www/html/dta/S01/10559.3600.3.dta&amp;Global_Mod=CS57.0215", "3600")</f>
        <v>3600</v>
      </c>
      <c r="Q530" s="37" t="str">
        <f>HYPERLINK("http://ms.phosphosite.org:5080/cgi-bin/plot-msms.cgi?MassType=1&amp;NumAxis=1&amp;Mod6=170&amp;Pep=LEKPAKYDDIK&amp;Dta=/var/www/html/dta/S01/10560.3650.3.dta&amp;Global_Mod=CS57.0215", "3650")</f>
        <v>3650</v>
      </c>
      <c r="R530" s="38" t="s">
        <v>4854</v>
      </c>
      <c r="S530" s="38" t="s">
        <v>4854</v>
      </c>
      <c r="T530" s="37" t="str">
        <f>HYPERLINK("http://ms.phosphosite.org:5080/cgi-bin/plot-msms.cgi?MassType=1&amp;NumAxis=1&amp;Mod6=170&amp;Pep=LEKPAKYDDIK&amp;Dta=/var/www/html/dta/S01/10563.3636.3.dta&amp;Global_Mod=CS57.0215", "3636")</f>
        <v>3636</v>
      </c>
      <c r="U530" s="38" t="s">
        <v>4854</v>
      </c>
      <c r="V530" s="38" t="s">
        <v>4854</v>
      </c>
      <c r="W530" s="10">
        <v>3693</v>
      </c>
      <c r="X530" s="4" t="s">
        <v>4854</v>
      </c>
      <c r="Y530" s="10">
        <v>3613</v>
      </c>
      <c r="Z530" s="4" t="s">
        <v>4854</v>
      </c>
      <c r="AA530" s="4" t="s">
        <v>4854</v>
      </c>
      <c r="AB530" s="10">
        <v>3670</v>
      </c>
      <c r="AC530" s="4" t="s">
        <v>4854</v>
      </c>
      <c r="AD530" s="4" t="s">
        <v>4854</v>
      </c>
      <c r="AE530" s="91">
        <v>2.7909999999999999</v>
      </c>
      <c r="AF530" s="91">
        <v>1.8740000000000001</v>
      </c>
      <c r="AG530" s="91">
        <v>3.0430000000000001</v>
      </c>
      <c r="AH530" s="100" t="s">
        <v>4854</v>
      </c>
      <c r="AI530" s="100" t="s">
        <v>4854</v>
      </c>
      <c r="AJ530" s="91">
        <v>3.0510000000000002</v>
      </c>
      <c r="AK530" s="100" t="s">
        <v>4854</v>
      </c>
      <c r="AL530" s="100" t="s">
        <v>4854</v>
      </c>
      <c r="AM530" s="95">
        <v>-0.3468</v>
      </c>
      <c r="AN530" s="95">
        <v>-0.20569999999999999</v>
      </c>
      <c r="AO530" s="95">
        <v>-7.8700000000000006E-2</v>
      </c>
      <c r="AP530" s="103" t="s">
        <v>4854</v>
      </c>
      <c r="AQ530" s="103" t="s">
        <v>4854</v>
      </c>
      <c r="AR530" s="95">
        <v>0.12470000000000001</v>
      </c>
      <c r="AS530" s="103" t="s">
        <v>4854</v>
      </c>
      <c r="AT530" s="103" t="s">
        <v>4854</v>
      </c>
      <c r="AU530" s="95">
        <v>0.193</v>
      </c>
      <c r="AV530" s="95">
        <v>0.124</v>
      </c>
      <c r="AW530" s="95">
        <v>0.22800000000000001</v>
      </c>
      <c r="AX530" s="103" t="s">
        <v>4854</v>
      </c>
      <c r="AY530" s="103" t="s">
        <v>4854</v>
      </c>
      <c r="AZ530" s="95">
        <v>0.16900000000000001</v>
      </c>
      <c r="BA530" s="103" t="s">
        <v>4854</v>
      </c>
      <c r="BB530" s="103" t="s">
        <v>4854</v>
      </c>
      <c r="BC530" s="10">
        <v>2</v>
      </c>
      <c r="BD530" s="10">
        <v>62</v>
      </c>
      <c r="BE530" s="10">
        <v>20</v>
      </c>
      <c r="BF530" s="4" t="s">
        <v>4854</v>
      </c>
      <c r="BG530" s="4" t="s">
        <v>4854</v>
      </c>
      <c r="BH530" s="10">
        <v>1</v>
      </c>
      <c r="BI530" s="4" t="s">
        <v>4854</v>
      </c>
      <c r="BJ530" s="4" t="s">
        <v>4854</v>
      </c>
      <c r="BK530" s="91">
        <v>0.998</v>
      </c>
      <c r="BL530" s="91">
        <v>0.94599999999999995</v>
      </c>
      <c r="BM530" s="91">
        <v>0.999</v>
      </c>
      <c r="BN530" s="100" t="s">
        <v>4854</v>
      </c>
      <c r="BO530" s="100" t="s">
        <v>4854</v>
      </c>
      <c r="BP530" s="91">
        <v>0.999</v>
      </c>
      <c r="BQ530" s="100" t="s">
        <v>4854</v>
      </c>
      <c r="BR530" s="100" t="s">
        <v>4854</v>
      </c>
      <c r="BS530" s="10" t="s">
        <v>4857</v>
      </c>
    </row>
    <row r="531" spans="1:71" s="30" customFormat="1" ht="17.100000000000001" customHeight="1">
      <c r="A531" s="10">
        <v>520</v>
      </c>
      <c r="B531" s="10" t="s">
        <v>2950</v>
      </c>
      <c r="C531" s="4" t="s">
        <v>3178</v>
      </c>
      <c r="D531" s="4" t="s">
        <v>2938</v>
      </c>
      <c r="E531" s="7" t="s">
        <v>2939</v>
      </c>
      <c r="F531" s="10" t="s">
        <v>5110</v>
      </c>
      <c r="G531" s="4" t="s">
        <v>2940</v>
      </c>
      <c r="H531" s="7" t="s">
        <v>2941</v>
      </c>
      <c r="I531" s="4" t="s">
        <v>2942</v>
      </c>
      <c r="J531" s="10" t="s">
        <v>4695</v>
      </c>
      <c r="K531" s="4" t="s">
        <v>5642</v>
      </c>
      <c r="L531" s="4" t="s">
        <v>2948</v>
      </c>
      <c r="M531" s="10">
        <v>3</v>
      </c>
      <c r="N531" s="95">
        <v>454.58190000000002</v>
      </c>
      <c r="O531" s="38" t="s">
        <v>4854</v>
      </c>
      <c r="P531" s="38" t="s">
        <v>4854</v>
      </c>
      <c r="Q531" s="37" t="str">
        <f>HYPERLINK("http://ms.phosphosite.org:5080/cgi-bin/plot-msms.cgi?MassType=1&amp;NumAxis=1&amp;Mod6=170&amp;Pep=LEKPAKYDDIK&amp;Dta=/var/www/html/dta/S01/10560.3611.3.dta&amp;Global_Mod=CS57.0215", "3611")</f>
        <v>3611</v>
      </c>
      <c r="R531" s="38" t="s">
        <v>4854</v>
      </c>
      <c r="S531" s="38" t="s">
        <v>4854</v>
      </c>
      <c r="T531" s="37" t="str">
        <f>HYPERLINK("http://ms.phosphosite.org:5080/cgi-bin/plot-msms.cgi?MassType=1&amp;NumAxis=1&amp;Mod6=170&amp;Pep=LEKPAKYDDIK&amp;Dta=/var/www/html/dta/S01/10563.3696.3.dta&amp;Global_Mod=CS57.0215", "3696")</f>
        <v>3696</v>
      </c>
      <c r="U531" s="38" t="s">
        <v>4854</v>
      </c>
      <c r="V531" s="38" t="s">
        <v>4854</v>
      </c>
      <c r="W531" s="4" t="s">
        <v>4854</v>
      </c>
      <c r="X531" s="4" t="s">
        <v>4854</v>
      </c>
      <c r="Y531" s="10">
        <v>3613</v>
      </c>
      <c r="Z531" s="4" t="s">
        <v>4854</v>
      </c>
      <c r="AA531" s="4" t="s">
        <v>4854</v>
      </c>
      <c r="AB531" s="10">
        <v>3670</v>
      </c>
      <c r="AC531" s="4" t="s">
        <v>4854</v>
      </c>
      <c r="AD531" s="4" t="s">
        <v>4854</v>
      </c>
      <c r="AE531" s="100" t="s">
        <v>4854</v>
      </c>
      <c r="AF531" s="100" t="s">
        <v>4854</v>
      </c>
      <c r="AG531" s="91">
        <v>2.5259999999999998</v>
      </c>
      <c r="AH531" s="100" t="s">
        <v>4854</v>
      </c>
      <c r="AI531" s="100" t="s">
        <v>4854</v>
      </c>
      <c r="AJ531" s="91">
        <v>2.6379999999999999</v>
      </c>
      <c r="AK531" s="100" t="s">
        <v>4854</v>
      </c>
      <c r="AL531" s="100" t="s">
        <v>4854</v>
      </c>
      <c r="AM531" s="103" t="s">
        <v>4854</v>
      </c>
      <c r="AN531" s="103" t="s">
        <v>4854</v>
      </c>
      <c r="AO531" s="95">
        <v>-7.8700000000000006E-2</v>
      </c>
      <c r="AP531" s="103" t="s">
        <v>4854</v>
      </c>
      <c r="AQ531" s="103" t="s">
        <v>4854</v>
      </c>
      <c r="AR531" s="95">
        <v>9.7500000000000003E-2</v>
      </c>
      <c r="AS531" s="103" t="s">
        <v>4854</v>
      </c>
      <c r="AT531" s="103" t="s">
        <v>4854</v>
      </c>
      <c r="AU531" s="103" t="s">
        <v>4854</v>
      </c>
      <c r="AV531" s="103" t="s">
        <v>4854</v>
      </c>
      <c r="AW531" s="95">
        <v>0.193</v>
      </c>
      <c r="AX531" s="103" t="s">
        <v>4854</v>
      </c>
      <c r="AY531" s="103" t="s">
        <v>4854</v>
      </c>
      <c r="AZ531" s="95">
        <v>8.4000000000000005E-2</v>
      </c>
      <c r="BA531" s="103" t="s">
        <v>4854</v>
      </c>
      <c r="BB531" s="103" t="s">
        <v>4854</v>
      </c>
      <c r="BC531" s="4" t="s">
        <v>4854</v>
      </c>
      <c r="BD531" s="4" t="s">
        <v>4854</v>
      </c>
      <c r="BE531" s="10">
        <v>62</v>
      </c>
      <c r="BF531" s="4" t="s">
        <v>4854</v>
      </c>
      <c r="BG531" s="4" t="s">
        <v>4854</v>
      </c>
      <c r="BH531" s="10">
        <v>1</v>
      </c>
      <c r="BI531" s="4" t="s">
        <v>4854</v>
      </c>
      <c r="BJ531" s="4" t="s">
        <v>4854</v>
      </c>
      <c r="BK531" s="100" t="s">
        <v>4854</v>
      </c>
      <c r="BL531" s="100" t="s">
        <v>4854</v>
      </c>
      <c r="BM531" s="91">
        <v>0.99399999999999999</v>
      </c>
      <c r="BN531" s="100" t="s">
        <v>4854</v>
      </c>
      <c r="BO531" s="100" t="s">
        <v>4854</v>
      </c>
      <c r="BP531" s="91">
        <v>0.99099999999999999</v>
      </c>
      <c r="BQ531" s="100" t="s">
        <v>4854</v>
      </c>
      <c r="BR531" s="100" t="s">
        <v>4854</v>
      </c>
      <c r="BS531" s="10" t="s">
        <v>4857</v>
      </c>
    </row>
    <row r="532" spans="1:71" s="30" customFormat="1" ht="17.100000000000001" customHeight="1">
      <c r="A532" s="10">
        <v>521</v>
      </c>
      <c r="B532" s="10" t="s">
        <v>2951</v>
      </c>
      <c r="C532" s="4" t="s">
        <v>3178</v>
      </c>
      <c r="D532" s="4" t="s">
        <v>2938</v>
      </c>
      <c r="E532" s="7" t="s">
        <v>2939</v>
      </c>
      <c r="F532" s="10" t="s">
        <v>5110</v>
      </c>
      <c r="G532" s="4" t="s">
        <v>2940</v>
      </c>
      <c r="H532" s="7" t="s">
        <v>2941</v>
      </c>
      <c r="I532" s="4" t="s">
        <v>2942</v>
      </c>
      <c r="J532" s="10" t="s">
        <v>4695</v>
      </c>
      <c r="K532" s="4" t="s">
        <v>5642</v>
      </c>
      <c r="L532" s="4" t="s">
        <v>2952</v>
      </c>
      <c r="M532" s="10">
        <v>2</v>
      </c>
      <c r="N532" s="95">
        <v>745.41669999999999</v>
      </c>
      <c r="O532" s="37" t="str">
        <f>HYPERLINK("http://ms.phosphosite.org:5080/cgi-bin/plot-msms.cgi?MassType=1&amp;NumAxis=1&amp;Mod6=170&amp;Pep=LEKPAKYDDIKK&amp;Dta=/var/www/html/dta/S01/10558.2703.2.dta&amp;Global_Mod=CS57.0215", "2703")</f>
        <v>2703</v>
      </c>
      <c r="P532" s="37" t="str">
        <f>HYPERLINK("http://ms.phosphosite.org:5080/cgi-bin/plot-msms.cgi?MassType=1&amp;NumAxis=1&amp;Mod6=170&amp;Pep=LEKPAKYDDIKK&amp;Dta=/var/www/html/dta/S01/10559.2667.2.dta&amp;Global_Mod=CS57.0215", "2667")</f>
        <v>2667</v>
      </c>
      <c r="Q532" s="37" t="str">
        <f>HYPERLINK("http://ms.phosphosite.org:5080/cgi-bin/plot-msms.cgi?MassType=1&amp;NumAxis=1&amp;Mod6=170&amp;Pep=LEKPAKYDDIKK&amp;Dta=/var/www/html/dta/S01/10560.2657.2.dta&amp;Global_Mod=CS57.0215", "2657")</f>
        <v>2657</v>
      </c>
      <c r="R532" s="37" t="str">
        <f>HYPERLINK("http://ms.phosphosite.org:5080/cgi-bin/plot-msms.cgi?MassType=1&amp;NumAxis=1&amp;Mod6=170&amp;Pep=LEKPAKYDDIKK&amp;Dta=/var/www/html/dta/S01/10561.2672.2.dta&amp;Global_Mod=CS57.0215", "2672")</f>
        <v>2672</v>
      </c>
      <c r="S532" s="37" t="str">
        <f>HYPERLINK("http://ms.phosphosite.org:5080/cgi-bin/plot-msms.cgi?MassType=1&amp;NumAxis=1&amp;Mod6=170&amp;Pep=LEKPAKYDDIKK&amp;Dta=/var/www/html/dta/S01/10562.2744.2.dta&amp;Global_Mod=CS57.0215", "2744")</f>
        <v>2744</v>
      </c>
      <c r="T532" s="37" t="str">
        <f>HYPERLINK("http://ms.phosphosite.org:5080/cgi-bin/plot-msms.cgi?MassType=1&amp;NumAxis=1&amp;Mod6=170&amp;Pep=LEKPAKYDDIKK&amp;Dta=/var/www/html/dta/S01/10563.2673.2.dta&amp;Global_Mod=CS57.0215", "2673")</f>
        <v>2673</v>
      </c>
      <c r="U532" s="37" t="str">
        <f>HYPERLINK("http://ms.phosphosite.org:5080/cgi-bin/plot-msms.cgi?MassType=1&amp;NumAxis=1&amp;Mod6=170&amp;Pep=LEKPAKYDDIKK&amp;Dta=/var/www/html/dta/S01/10564.2981.2.dta&amp;Global_Mod=CS57.0215", "2981")</f>
        <v>2981</v>
      </c>
      <c r="V532" s="37" t="str">
        <f>HYPERLINK("http://ms.phosphosite.org:5080/cgi-bin/plot-msms.cgi?MassType=1&amp;NumAxis=1&amp;Mod6=170&amp;Pep=LEKPAKYDDIKK&amp;Dta=/var/www/html/dta/S01/10565.3032.2.dta&amp;Global_Mod=CS57.0215", "3032")</f>
        <v>3032</v>
      </c>
      <c r="W532" s="10">
        <v>2697</v>
      </c>
      <c r="X532" s="10">
        <v>2660</v>
      </c>
      <c r="Y532" s="10">
        <v>2647</v>
      </c>
      <c r="Z532" s="10">
        <v>2674</v>
      </c>
      <c r="AA532" s="10">
        <v>2745</v>
      </c>
      <c r="AB532" s="10">
        <v>2665</v>
      </c>
      <c r="AC532" s="10">
        <v>2973</v>
      </c>
      <c r="AD532" s="10">
        <v>3045</v>
      </c>
      <c r="AE532" s="91">
        <v>2.2109999999999999</v>
      </c>
      <c r="AF532" s="91">
        <v>2.9969999999999999</v>
      </c>
      <c r="AG532" s="91">
        <v>2.2050000000000001</v>
      </c>
      <c r="AH532" s="91">
        <v>2.4689999999999999</v>
      </c>
      <c r="AI532" s="91">
        <v>2.7069999999999999</v>
      </c>
      <c r="AJ532" s="91">
        <v>2.044</v>
      </c>
      <c r="AK532" s="91">
        <v>2.875</v>
      </c>
      <c r="AL532" s="91">
        <v>2.5019999999999998</v>
      </c>
      <c r="AM532" s="95">
        <v>0.69389999999999996</v>
      </c>
      <c r="AN532" s="95">
        <v>0.21729999999999999</v>
      </c>
      <c r="AO532" s="95">
        <v>5.0000000000000001E-4</v>
      </c>
      <c r="AP532" s="95">
        <v>0.81740000000000002</v>
      </c>
      <c r="AQ532" s="95">
        <v>1.696</v>
      </c>
      <c r="AR532" s="95">
        <v>1.8893</v>
      </c>
      <c r="AS532" s="95">
        <v>0.79730000000000001</v>
      </c>
      <c r="AT532" s="95">
        <v>0.50190000000000001</v>
      </c>
      <c r="AU532" s="95">
        <v>9.7000000000000003E-2</v>
      </c>
      <c r="AV532" s="95">
        <v>9.4E-2</v>
      </c>
      <c r="AW532" s="95">
        <v>6.2E-2</v>
      </c>
      <c r="AX532" s="95">
        <v>0.23599999999999999</v>
      </c>
      <c r="AY532" s="95">
        <v>0.16900000000000001</v>
      </c>
      <c r="AZ532" s="95">
        <v>0.21299999999999999</v>
      </c>
      <c r="BA532" s="95">
        <v>0.23</v>
      </c>
      <c r="BB532" s="95">
        <v>0.16500000000000001</v>
      </c>
      <c r="BC532" s="10">
        <v>4</v>
      </c>
      <c r="BD532" s="10">
        <v>1</v>
      </c>
      <c r="BE532" s="10">
        <v>2</v>
      </c>
      <c r="BF532" s="10">
        <v>1</v>
      </c>
      <c r="BG532" s="10">
        <v>1</v>
      </c>
      <c r="BH532" s="10">
        <v>2</v>
      </c>
      <c r="BI532" s="10">
        <v>1</v>
      </c>
      <c r="BJ532" s="10">
        <v>2</v>
      </c>
      <c r="BK532" s="91">
        <v>0.97699999999999998</v>
      </c>
      <c r="BL532" s="91">
        <v>0.996</v>
      </c>
      <c r="BM532" s="91">
        <v>0.97099999999999997</v>
      </c>
      <c r="BN532" s="91">
        <v>0.998</v>
      </c>
      <c r="BO532" s="91">
        <v>0.99299999999999999</v>
      </c>
      <c r="BP532" s="91">
        <v>0.98</v>
      </c>
      <c r="BQ532" s="91">
        <v>0.999</v>
      </c>
      <c r="BR532" s="91">
        <v>0.995</v>
      </c>
      <c r="BS532" s="10" t="s">
        <v>4857</v>
      </c>
    </row>
    <row r="533" spans="1:71" s="30" customFormat="1" ht="17.100000000000001" customHeight="1">
      <c r="A533" s="10">
        <v>522</v>
      </c>
      <c r="B533" s="10" t="s">
        <v>3372</v>
      </c>
      <c r="C533" s="4" t="s">
        <v>3178</v>
      </c>
      <c r="D533" s="4" t="s">
        <v>2938</v>
      </c>
      <c r="E533" s="7" t="s">
        <v>2939</v>
      </c>
      <c r="F533" s="10" t="s">
        <v>5110</v>
      </c>
      <c r="G533" s="4" t="s">
        <v>2940</v>
      </c>
      <c r="H533" s="7" t="s">
        <v>2941</v>
      </c>
      <c r="I533" s="4" t="s">
        <v>2942</v>
      </c>
      <c r="J533" s="10" t="s">
        <v>4695</v>
      </c>
      <c r="K533" s="4" t="s">
        <v>5642</v>
      </c>
      <c r="L533" s="4" t="s">
        <v>2952</v>
      </c>
      <c r="M533" s="10">
        <v>3</v>
      </c>
      <c r="N533" s="95">
        <v>497.28019999999998</v>
      </c>
      <c r="O533" s="37" t="str">
        <f>HYPERLINK("http://ms.phosphosite.org:5080/cgi-bin/plot-msms.cgi?MassType=1&amp;NumAxis=1&amp;Mod6=170&amp;Pep=LEKPAKYDDIKK&amp;Dta=/var/www/html/dta/S01/10558.2711.3.dta&amp;Global_Mod=CS57.0215", "2711")</f>
        <v>2711</v>
      </c>
      <c r="P533" s="37" t="str">
        <f>HYPERLINK("http://ms.phosphosite.org:5080/cgi-bin/plot-msms.cgi?MassType=1&amp;NumAxis=1&amp;Mod6=170&amp;Pep=LEKPAKYDDIKK&amp;Dta=/var/www/html/dta/S01/10559.2685.3.dta&amp;Global_Mod=CS57.0215", "2685")</f>
        <v>2685</v>
      </c>
      <c r="Q533" s="37" t="str">
        <f>HYPERLINK("http://ms.phosphosite.org:5080/cgi-bin/plot-msms.cgi?MassType=1&amp;NumAxis=1&amp;Mod6=170&amp;Pep=LEKPAKYDDIKK&amp;Dta=/var/www/html/dta/S01/10560.2627.3.dta&amp;Global_Mod=CS57.0215", "2627")</f>
        <v>2627</v>
      </c>
      <c r="R533" s="37" t="str">
        <f>HYPERLINK("http://ms.phosphosite.org:5080/cgi-bin/plot-msms.cgi?MassType=1&amp;NumAxis=1&amp;Mod6=170&amp;Pep=LEKPAKYDDIKK&amp;Dta=/var/www/html/dta/S01/10561.2667.3.dta&amp;Global_Mod=CS57.0215", "2667")</f>
        <v>2667</v>
      </c>
      <c r="S533" s="37" t="str">
        <f>HYPERLINK("http://ms.phosphosite.org:5080/cgi-bin/plot-msms.cgi?MassType=1&amp;NumAxis=1&amp;Mod6=170&amp;Pep=LEKPAKYDDIKK&amp;Dta=/var/www/html/dta/S01/10562.2747.3.dta&amp;Global_Mod=CS57.0215", "2747")</f>
        <v>2747</v>
      </c>
      <c r="T533" s="37" t="str">
        <f>HYPERLINK("http://ms.phosphosite.org:5080/cgi-bin/plot-msms.cgi?MassType=1&amp;NumAxis=1&amp;Mod6=170&amp;Pep=LEKPAKYDDIKK&amp;Dta=/var/www/html/dta/S01/10563.2666.3.dta&amp;Global_Mod=CS57.0215", "2666")</f>
        <v>2666</v>
      </c>
      <c r="U533" s="37" t="str">
        <f>HYPERLINK("http://ms.phosphosite.org:5080/cgi-bin/plot-msms.cgi?MassType=1&amp;NumAxis=1&amp;Mod6=170&amp;Pep=LEKPAKYDDIKK&amp;Dta=/var/www/html/dta/S01/10564.2947.3.dta&amp;Global_Mod=CS57.0215", "2947")</f>
        <v>2947</v>
      </c>
      <c r="V533" s="37" t="str">
        <f>HYPERLINK("http://ms.phosphosite.org:5080/cgi-bin/plot-msms.cgi?MassType=1&amp;NumAxis=1&amp;Mod6=170&amp;Pep=LEKPAKYDDIKK&amp;Dta=/var/www/html/dta/S01/10565.3014.3.dta&amp;Global_Mod=CS57.0215", "3014")</f>
        <v>3014</v>
      </c>
      <c r="W533" s="10">
        <v>2708</v>
      </c>
      <c r="X533" s="10">
        <v>2649</v>
      </c>
      <c r="Y533" s="10">
        <v>2614</v>
      </c>
      <c r="Z533" s="10">
        <v>2674</v>
      </c>
      <c r="AA533" s="10">
        <v>2756</v>
      </c>
      <c r="AB533" s="10">
        <v>2676</v>
      </c>
      <c r="AC533" s="10">
        <v>2962</v>
      </c>
      <c r="AD533" s="10">
        <v>3045</v>
      </c>
      <c r="AE533" s="91">
        <v>3.6789999999999998</v>
      </c>
      <c r="AF533" s="91">
        <v>3.85</v>
      </c>
      <c r="AG533" s="91">
        <v>3.3660000000000001</v>
      </c>
      <c r="AH533" s="91">
        <v>3.641</v>
      </c>
      <c r="AI533" s="91">
        <v>3.9039999999999999</v>
      </c>
      <c r="AJ533" s="91">
        <v>3.6560000000000001</v>
      </c>
      <c r="AK533" s="91">
        <v>3.3919999999999999</v>
      </c>
      <c r="AL533" s="91">
        <v>2.778</v>
      </c>
      <c r="AM533" s="95">
        <v>-0.98350000000000004</v>
      </c>
      <c r="AN533" s="95">
        <v>-0.29409999999999997</v>
      </c>
      <c r="AO533" s="95">
        <v>-0.90959999999999996</v>
      </c>
      <c r="AP533" s="95">
        <v>-0.43780000000000002</v>
      </c>
      <c r="AQ533" s="95">
        <v>-0.378</v>
      </c>
      <c r="AR533" s="95">
        <v>-0.43640000000000001</v>
      </c>
      <c r="AS533" s="95">
        <v>-0.85660000000000003</v>
      </c>
      <c r="AT533" s="95">
        <v>-0.66869999999999996</v>
      </c>
      <c r="AU533" s="95">
        <v>0.25600000000000001</v>
      </c>
      <c r="AV533" s="95">
        <v>0.22500000000000001</v>
      </c>
      <c r="AW533" s="95">
        <v>0.22900000000000001</v>
      </c>
      <c r="AX533" s="95">
        <v>0.19800000000000001</v>
      </c>
      <c r="AY533" s="95">
        <v>0.309</v>
      </c>
      <c r="AZ533" s="95">
        <v>0.3</v>
      </c>
      <c r="BA533" s="95">
        <v>0.31900000000000001</v>
      </c>
      <c r="BB533" s="95">
        <v>0.215</v>
      </c>
      <c r="BC533" s="10">
        <v>3</v>
      </c>
      <c r="BD533" s="10">
        <v>5</v>
      </c>
      <c r="BE533" s="10">
        <v>16</v>
      </c>
      <c r="BF533" s="10">
        <v>5</v>
      </c>
      <c r="BG533" s="10">
        <v>11</v>
      </c>
      <c r="BH533" s="10">
        <v>2</v>
      </c>
      <c r="BI533" s="10">
        <v>5</v>
      </c>
      <c r="BJ533" s="10">
        <v>10</v>
      </c>
      <c r="BK533" s="91">
        <v>0.999</v>
      </c>
      <c r="BL533" s="91">
        <v>1</v>
      </c>
      <c r="BM533" s="91">
        <v>0.998</v>
      </c>
      <c r="BN533" s="91">
        <v>0.998</v>
      </c>
      <c r="BO533" s="91">
        <v>1</v>
      </c>
      <c r="BP533" s="91">
        <v>1</v>
      </c>
      <c r="BQ533" s="91">
        <v>1</v>
      </c>
      <c r="BR533" s="91">
        <v>0.995</v>
      </c>
      <c r="BS533" s="10" t="s">
        <v>4857</v>
      </c>
    </row>
    <row r="534" spans="1:71" s="30" customFormat="1" ht="17.100000000000001" customHeight="1">
      <c r="A534" s="10">
        <v>523</v>
      </c>
      <c r="B534" s="10" t="s">
        <v>2953</v>
      </c>
      <c r="C534" s="4" t="s">
        <v>3178</v>
      </c>
      <c r="D534" s="4" t="s">
        <v>2938</v>
      </c>
      <c r="E534" s="7" t="s">
        <v>2939</v>
      </c>
      <c r="F534" s="10" t="s">
        <v>5110</v>
      </c>
      <c r="G534" s="4" t="s">
        <v>2940</v>
      </c>
      <c r="H534" s="7" t="s">
        <v>2941</v>
      </c>
      <c r="I534" s="4" t="s">
        <v>2942</v>
      </c>
      <c r="J534" s="10" t="s">
        <v>4695</v>
      </c>
      <c r="K534" s="4" t="s">
        <v>5642</v>
      </c>
      <c r="L534" s="4" t="s">
        <v>2952</v>
      </c>
      <c r="M534" s="10">
        <v>3</v>
      </c>
      <c r="N534" s="95">
        <v>497.28019999999998</v>
      </c>
      <c r="O534" s="38" t="s">
        <v>4854</v>
      </c>
      <c r="P534" s="38" t="s">
        <v>4854</v>
      </c>
      <c r="Q534" s="38" t="s">
        <v>4854</v>
      </c>
      <c r="R534" s="38" t="s">
        <v>4854</v>
      </c>
      <c r="S534" s="38" t="s">
        <v>4854</v>
      </c>
      <c r="T534" s="38" t="s">
        <v>4854</v>
      </c>
      <c r="U534" s="37" t="str">
        <f>HYPERLINK("http://ms.phosphosite.org:5080/cgi-bin/plot-msms.cgi?MassType=1&amp;NumAxis=1&amp;Mod6=170&amp;Pep=LEKPAKYDDIKK&amp;Dta=/var/www/html/dta/S01/10564.2964.3.dta&amp;Global_Mod=CS57.0215", "2964")</f>
        <v>2964</v>
      </c>
      <c r="V534" s="38" t="s">
        <v>4854</v>
      </c>
      <c r="W534" s="4" t="s">
        <v>4854</v>
      </c>
      <c r="X534" s="4" t="s">
        <v>4854</v>
      </c>
      <c r="Y534" s="4" t="s">
        <v>4854</v>
      </c>
      <c r="Z534" s="4" t="s">
        <v>4854</v>
      </c>
      <c r="AA534" s="4" t="s">
        <v>4854</v>
      </c>
      <c r="AB534" s="4" t="s">
        <v>4854</v>
      </c>
      <c r="AC534" s="10">
        <v>2962</v>
      </c>
      <c r="AD534" s="4" t="s">
        <v>4854</v>
      </c>
      <c r="AE534" s="100" t="s">
        <v>4854</v>
      </c>
      <c r="AF534" s="100" t="s">
        <v>4854</v>
      </c>
      <c r="AG534" s="100" t="s">
        <v>4854</v>
      </c>
      <c r="AH534" s="100" t="s">
        <v>4854</v>
      </c>
      <c r="AI534" s="100" t="s">
        <v>4854</v>
      </c>
      <c r="AJ534" s="100" t="s">
        <v>4854</v>
      </c>
      <c r="AK534" s="91">
        <v>2.9289999999999998</v>
      </c>
      <c r="AL534" s="100" t="s">
        <v>4854</v>
      </c>
      <c r="AM534" s="103" t="s">
        <v>4854</v>
      </c>
      <c r="AN534" s="103" t="s">
        <v>4854</v>
      </c>
      <c r="AO534" s="103" t="s">
        <v>4854</v>
      </c>
      <c r="AP534" s="103" t="s">
        <v>4854</v>
      </c>
      <c r="AQ534" s="103" t="s">
        <v>4854</v>
      </c>
      <c r="AR534" s="103" t="s">
        <v>4854</v>
      </c>
      <c r="AS534" s="95">
        <v>-0.84050000000000002</v>
      </c>
      <c r="AT534" s="103" t="s">
        <v>4854</v>
      </c>
      <c r="AU534" s="103" t="s">
        <v>4854</v>
      </c>
      <c r="AV534" s="103" t="s">
        <v>4854</v>
      </c>
      <c r="AW534" s="103" t="s">
        <v>4854</v>
      </c>
      <c r="AX534" s="103" t="s">
        <v>4854</v>
      </c>
      <c r="AY534" s="103" t="s">
        <v>4854</v>
      </c>
      <c r="AZ534" s="103" t="s">
        <v>4854</v>
      </c>
      <c r="BA534" s="95">
        <v>0.18099999999999999</v>
      </c>
      <c r="BB534" s="103" t="s">
        <v>4854</v>
      </c>
      <c r="BC534" s="4" t="s">
        <v>4854</v>
      </c>
      <c r="BD534" s="4" t="s">
        <v>4854</v>
      </c>
      <c r="BE534" s="4" t="s">
        <v>4854</v>
      </c>
      <c r="BF534" s="4" t="s">
        <v>4854</v>
      </c>
      <c r="BG534" s="4" t="s">
        <v>4854</v>
      </c>
      <c r="BH534" s="4" t="s">
        <v>4854</v>
      </c>
      <c r="BI534" s="10">
        <v>44</v>
      </c>
      <c r="BJ534" s="4" t="s">
        <v>4854</v>
      </c>
      <c r="BK534" s="100" t="s">
        <v>4854</v>
      </c>
      <c r="BL534" s="100" t="s">
        <v>4854</v>
      </c>
      <c r="BM534" s="100" t="s">
        <v>4854</v>
      </c>
      <c r="BN534" s="100" t="s">
        <v>4854</v>
      </c>
      <c r="BO534" s="100" t="s">
        <v>4854</v>
      </c>
      <c r="BP534" s="100" t="s">
        <v>4854</v>
      </c>
      <c r="BQ534" s="91">
        <v>0.99099999999999999</v>
      </c>
      <c r="BR534" s="100" t="s">
        <v>4854</v>
      </c>
      <c r="BS534" s="10" t="s">
        <v>4857</v>
      </c>
    </row>
    <row r="535" spans="1:71" s="30" customFormat="1" ht="17.100000000000001" customHeight="1">
      <c r="A535" s="14">
        <v>524</v>
      </c>
      <c r="B535" s="5" t="s">
        <v>2954</v>
      </c>
      <c r="C535" s="3" t="s">
        <v>3178</v>
      </c>
      <c r="D535" s="3" t="s">
        <v>2938</v>
      </c>
      <c r="E535" s="6" t="s">
        <v>2939</v>
      </c>
      <c r="F535" s="5" t="s">
        <v>4975</v>
      </c>
      <c r="G535" s="3" t="s">
        <v>2940</v>
      </c>
      <c r="H535" s="6" t="s">
        <v>2941</v>
      </c>
      <c r="I535" s="3" t="s">
        <v>2942</v>
      </c>
      <c r="J535" s="5" t="s">
        <v>4695</v>
      </c>
      <c r="K535" s="3" t="s">
        <v>5643</v>
      </c>
      <c r="L535" s="3" t="s">
        <v>2955</v>
      </c>
      <c r="M535" s="5">
        <v>2</v>
      </c>
      <c r="N535" s="21">
        <v>603.80930000000001</v>
      </c>
      <c r="O535" s="36" t="str">
        <f>HYPERLINK("http://ms.phosphosite.org:5080/cgi-bin/plot-msms.cgi?MassType=1&amp;NumAxis=1&amp;Mod6=170&amp;Pep=FNGTVKAENGK&amp;Dta=/var/www/html/dta/S01/10558.2479.2.dta&amp;Global_Mod=CS57.0215", "2479")</f>
        <v>2479</v>
      </c>
      <c r="P535" s="36" t="str">
        <f>HYPERLINK("http://ms.phosphosite.org:5080/cgi-bin/plot-msms.cgi?MassType=1&amp;NumAxis=1&amp;Mod6=170&amp;Pep=FNGTVKAENGK&amp;Dta=/var/www/html/dta/S01/10559.2441.2.dta&amp;Global_Mod=CS57.0215", "2441")</f>
        <v>2441</v>
      </c>
      <c r="Q535" s="36" t="str">
        <f>HYPERLINK("http://ms.phosphosite.org:5080/cgi-bin/plot-msms.cgi?MassType=1&amp;NumAxis=1&amp;Mod6=170&amp;Pep=FNGTVKAENGK&amp;Dta=/var/www/html/dta/S01/10560.2401.2.dta&amp;Global_Mod=CS57.0215", "2401")</f>
        <v>2401</v>
      </c>
      <c r="R535" s="35" t="s">
        <v>4854</v>
      </c>
      <c r="S535" s="36" t="str">
        <f>HYPERLINK("http://ms.phosphosite.org:5080/cgi-bin/plot-msms.cgi?MassType=1&amp;NumAxis=1&amp;Mod6=170&amp;Pep=FNGTVKAENGK&amp;Dta=/var/www/html/dta/S01/10562.2533.2.dta&amp;Global_Mod=CS57.0215", "2533")</f>
        <v>2533</v>
      </c>
      <c r="T535" s="35" t="s">
        <v>4854</v>
      </c>
      <c r="U535" s="35" t="s">
        <v>4854</v>
      </c>
      <c r="V535" s="35" t="s">
        <v>4854</v>
      </c>
      <c r="W535" s="5">
        <v>2466</v>
      </c>
      <c r="X535" s="5">
        <v>2428</v>
      </c>
      <c r="Y535" s="5">
        <v>2395</v>
      </c>
      <c r="Z535" s="3" t="s">
        <v>4854</v>
      </c>
      <c r="AA535" s="5">
        <v>2525</v>
      </c>
      <c r="AB535" s="3" t="s">
        <v>4854</v>
      </c>
      <c r="AC535" s="3" t="s">
        <v>4854</v>
      </c>
      <c r="AD535" s="3" t="s">
        <v>4854</v>
      </c>
      <c r="AE535" s="90">
        <v>2.5190000000000001</v>
      </c>
      <c r="AF535" s="90">
        <v>2.66</v>
      </c>
      <c r="AG535" s="90">
        <v>2.7850000000000001</v>
      </c>
      <c r="AH535" s="99" t="s">
        <v>4854</v>
      </c>
      <c r="AI535" s="90">
        <v>2.8370000000000002</v>
      </c>
      <c r="AJ535" s="99" t="s">
        <v>4854</v>
      </c>
      <c r="AK535" s="99" t="s">
        <v>4854</v>
      </c>
      <c r="AL535" s="99" t="s">
        <v>4854</v>
      </c>
      <c r="AM535" s="21">
        <v>-0.45029999999999998</v>
      </c>
      <c r="AN535" s="21">
        <v>-0.39400000000000002</v>
      </c>
      <c r="AO535" s="21">
        <v>-0.67830000000000001</v>
      </c>
      <c r="AP535" s="102" t="s">
        <v>4854</v>
      </c>
      <c r="AQ535" s="21">
        <v>-0.29199999999999998</v>
      </c>
      <c r="AR535" s="102" t="s">
        <v>4854</v>
      </c>
      <c r="AS535" s="102" t="s">
        <v>4854</v>
      </c>
      <c r="AT535" s="102" t="s">
        <v>4854</v>
      </c>
      <c r="AU535" s="21">
        <v>0.104</v>
      </c>
      <c r="AV535" s="21">
        <v>0.161</v>
      </c>
      <c r="AW535" s="21">
        <v>0.16700000000000001</v>
      </c>
      <c r="AX535" s="102" t="s">
        <v>4854</v>
      </c>
      <c r="AY535" s="21">
        <v>0.17100000000000001</v>
      </c>
      <c r="AZ535" s="102" t="s">
        <v>4854</v>
      </c>
      <c r="BA535" s="102" t="s">
        <v>4854</v>
      </c>
      <c r="BB535" s="102" t="s">
        <v>4854</v>
      </c>
      <c r="BC535" s="5">
        <v>1</v>
      </c>
      <c r="BD535" s="5">
        <v>1</v>
      </c>
      <c r="BE535" s="5">
        <v>1</v>
      </c>
      <c r="BF535" s="3" t="s">
        <v>4854</v>
      </c>
      <c r="BG535" s="5">
        <v>1</v>
      </c>
      <c r="BH535" s="3" t="s">
        <v>4854</v>
      </c>
      <c r="BI535" s="3" t="s">
        <v>4854</v>
      </c>
      <c r="BJ535" s="3" t="s">
        <v>4854</v>
      </c>
      <c r="BK535" s="90">
        <v>0.98599999999999999</v>
      </c>
      <c r="BL535" s="90">
        <v>0.997</v>
      </c>
      <c r="BM535" s="90">
        <v>0.996</v>
      </c>
      <c r="BN535" s="99" t="s">
        <v>4854</v>
      </c>
      <c r="BO535" s="90">
        <v>0.998</v>
      </c>
      <c r="BP535" s="99" t="s">
        <v>4854</v>
      </c>
      <c r="BQ535" s="99" t="s">
        <v>4854</v>
      </c>
      <c r="BR535" s="99" t="s">
        <v>4854</v>
      </c>
      <c r="BS535" s="5" t="s">
        <v>4857</v>
      </c>
    </row>
    <row r="536" spans="1:71" s="30" customFormat="1" ht="17.100000000000001" customHeight="1">
      <c r="A536" s="14">
        <v>525</v>
      </c>
      <c r="B536" s="5" t="s">
        <v>2956</v>
      </c>
      <c r="C536" s="3" t="s">
        <v>3178</v>
      </c>
      <c r="D536" s="3" t="s">
        <v>2938</v>
      </c>
      <c r="E536" s="6" t="s">
        <v>2939</v>
      </c>
      <c r="F536" s="5" t="s">
        <v>4975</v>
      </c>
      <c r="G536" s="3" t="s">
        <v>2940</v>
      </c>
      <c r="H536" s="6" t="s">
        <v>2941</v>
      </c>
      <c r="I536" s="3" t="s">
        <v>2942</v>
      </c>
      <c r="J536" s="5" t="s">
        <v>4695</v>
      </c>
      <c r="K536" s="3" t="s">
        <v>5643</v>
      </c>
      <c r="L536" s="3" t="s">
        <v>2955</v>
      </c>
      <c r="M536" s="5">
        <v>2</v>
      </c>
      <c r="N536" s="21">
        <v>603.80930000000001</v>
      </c>
      <c r="O536" s="35" t="s">
        <v>4854</v>
      </c>
      <c r="P536" s="35" t="s">
        <v>4854</v>
      </c>
      <c r="Q536" s="35" t="s">
        <v>4854</v>
      </c>
      <c r="R536" s="35" t="s">
        <v>4854</v>
      </c>
      <c r="S536" s="36" t="str">
        <f>HYPERLINK("http://ms.phosphosite.org:5080/cgi-bin/plot-msms.cgi?MassType=1&amp;NumAxis=1&amp;Mod6=170&amp;Pep=FNGTVKAENGK&amp;Dta=/var/www/html/dta/S01/10562.2539.2.dta&amp;Global_Mod=CS57.0215", "2539")</f>
        <v>2539</v>
      </c>
      <c r="T536" s="35" t="s">
        <v>4854</v>
      </c>
      <c r="U536" s="35" t="s">
        <v>4854</v>
      </c>
      <c r="V536" s="35" t="s">
        <v>4854</v>
      </c>
      <c r="W536" s="3" t="s">
        <v>4854</v>
      </c>
      <c r="X536" s="3" t="s">
        <v>4854</v>
      </c>
      <c r="Y536" s="3" t="s">
        <v>4854</v>
      </c>
      <c r="Z536" s="3" t="s">
        <v>4854</v>
      </c>
      <c r="AA536" s="5">
        <v>2525</v>
      </c>
      <c r="AB536" s="3" t="s">
        <v>4854</v>
      </c>
      <c r="AC536" s="3" t="s">
        <v>4854</v>
      </c>
      <c r="AD536" s="3" t="s">
        <v>4854</v>
      </c>
      <c r="AE536" s="99" t="s">
        <v>4854</v>
      </c>
      <c r="AF536" s="99" t="s">
        <v>4854</v>
      </c>
      <c r="AG536" s="99" t="s">
        <v>4854</v>
      </c>
      <c r="AH536" s="99" t="s">
        <v>4854</v>
      </c>
      <c r="AI536" s="90">
        <v>2.798</v>
      </c>
      <c r="AJ536" s="99" t="s">
        <v>4854</v>
      </c>
      <c r="AK536" s="99" t="s">
        <v>4854</v>
      </c>
      <c r="AL536" s="99" t="s">
        <v>4854</v>
      </c>
      <c r="AM536" s="102" t="s">
        <v>4854</v>
      </c>
      <c r="AN536" s="102" t="s">
        <v>4854</v>
      </c>
      <c r="AO536" s="102" t="s">
        <v>4854</v>
      </c>
      <c r="AP536" s="102" t="s">
        <v>4854</v>
      </c>
      <c r="AQ536" s="21">
        <v>-0.29199999999999998</v>
      </c>
      <c r="AR536" s="102" t="s">
        <v>4854</v>
      </c>
      <c r="AS536" s="102" t="s">
        <v>4854</v>
      </c>
      <c r="AT536" s="102" t="s">
        <v>4854</v>
      </c>
      <c r="AU536" s="102" t="s">
        <v>4854</v>
      </c>
      <c r="AV536" s="102" t="s">
        <v>4854</v>
      </c>
      <c r="AW536" s="102" t="s">
        <v>4854</v>
      </c>
      <c r="AX536" s="102" t="s">
        <v>4854</v>
      </c>
      <c r="AY536" s="21">
        <v>0.14299999999999999</v>
      </c>
      <c r="AZ536" s="102" t="s">
        <v>4854</v>
      </c>
      <c r="BA536" s="102" t="s">
        <v>4854</v>
      </c>
      <c r="BB536" s="102" t="s">
        <v>4854</v>
      </c>
      <c r="BC536" s="3" t="s">
        <v>4854</v>
      </c>
      <c r="BD536" s="3" t="s">
        <v>4854</v>
      </c>
      <c r="BE536" s="3" t="s">
        <v>4854</v>
      </c>
      <c r="BF536" s="3" t="s">
        <v>4854</v>
      </c>
      <c r="BG536" s="5">
        <v>1</v>
      </c>
      <c r="BH536" s="3" t="s">
        <v>4854</v>
      </c>
      <c r="BI536" s="3" t="s">
        <v>4854</v>
      </c>
      <c r="BJ536" s="3" t="s">
        <v>4854</v>
      </c>
      <c r="BK536" s="99" t="s">
        <v>4854</v>
      </c>
      <c r="BL536" s="99" t="s">
        <v>4854</v>
      </c>
      <c r="BM536" s="99" t="s">
        <v>4854</v>
      </c>
      <c r="BN536" s="99" t="s">
        <v>4854</v>
      </c>
      <c r="BO536" s="90">
        <v>0.998</v>
      </c>
      <c r="BP536" s="99" t="s">
        <v>4854</v>
      </c>
      <c r="BQ536" s="99" t="s">
        <v>4854</v>
      </c>
      <c r="BR536" s="99" t="s">
        <v>4854</v>
      </c>
      <c r="BS536" s="5" t="s">
        <v>4857</v>
      </c>
    </row>
    <row r="537" spans="1:71" s="30" customFormat="1" ht="17.100000000000001" customHeight="1">
      <c r="A537" s="10">
        <v>526</v>
      </c>
      <c r="B537" s="10" t="s">
        <v>2957</v>
      </c>
      <c r="C537" s="4" t="s">
        <v>3178</v>
      </c>
      <c r="D537" s="4" t="s">
        <v>2938</v>
      </c>
      <c r="E537" s="7" t="s">
        <v>2939</v>
      </c>
      <c r="F537" s="10" t="s">
        <v>5138</v>
      </c>
      <c r="G537" s="4" t="s">
        <v>2940</v>
      </c>
      <c r="H537" s="7" t="s">
        <v>2941</v>
      </c>
      <c r="I537" s="4" t="s">
        <v>2942</v>
      </c>
      <c r="J537" s="10" t="s">
        <v>4695</v>
      </c>
      <c r="K537" s="4" t="s">
        <v>5644</v>
      </c>
      <c r="L537" s="4" t="s">
        <v>2958</v>
      </c>
      <c r="M537" s="10">
        <v>3</v>
      </c>
      <c r="N537" s="95">
        <v>780.10910000000001</v>
      </c>
      <c r="O537" s="38" t="s">
        <v>4854</v>
      </c>
      <c r="P537" s="37" t="str">
        <f>HYPERLINK("http://ms.phosphosite.org:5080/cgi-bin/plot-msms.cgi?MassType=1&amp;NumAxis=1&amp;Mod6=170&amp;Pep=LVINGKPITIFQERDPTNIK&amp;Dta=/var/www/html/dta/S01/10559.10283.3.dta&amp;Global_Mod=CS57.0215", "10283")</f>
        <v>10283</v>
      </c>
      <c r="Q537" s="37" t="str">
        <f>HYPERLINK("http://ms.phosphosite.org:5080/cgi-bin/plot-msms.cgi?MassType=1&amp;NumAxis=1&amp;Mod6=170&amp;Pep=LVINGKPITIFQERDPTNIK&amp;Dta=/var/www/html/dta/S01/10560.10335.3.dta&amp;Global_Mod=CS57.0215", "10335")</f>
        <v>10335</v>
      </c>
      <c r="R537" s="38" t="s">
        <v>4854</v>
      </c>
      <c r="S537" s="37" t="str">
        <f>HYPERLINK("http://ms.phosphosite.org:5080/cgi-bin/plot-msms.cgi?MassType=1&amp;NumAxis=1&amp;Mod6=170&amp;Pep=LVINGKPITIFQERDPTNIK&amp;Dta=/var/www/html/dta/S01/10562.10515.3.dta&amp;Global_Mod=CS57.0215", "10515")</f>
        <v>10515</v>
      </c>
      <c r="T537" s="38" t="s">
        <v>4854</v>
      </c>
      <c r="U537" s="37" t="str">
        <f>HYPERLINK("http://ms.phosphosite.org:5080/cgi-bin/plot-msms.cgi?MassType=1&amp;NumAxis=1&amp;Mod6=170&amp;Pep=LVINGKPITIFQERDPTNIK&amp;Dta=/var/www/html/dta/S01/10564.10899.3.dta&amp;Global_Mod=CS57.0215", "10899")</f>
        <v>10899</v>
      </c>
      <c r="V537" s="38" t="s">
        <v>4854</v>
      </c>
      <c r="W537" s="4" t="s">
        <v>4854</v>
      </c>
      <c r="X537" s="10">
        <v>10300</v>
      </c>
      <c r="Y537" s="10">
        <v>10348</v>
      </c>
      <c r="Z537" s="4" t="s">
        <v>4854</v>
      </c>
      <c r="AA537" s="4" t="s">
        <v>4854</v>
      </c>
      <c r="AB537" s="4" t="s">
        <v>4854</v>
      </c>
      <c r="AC537" s="10">
        <v>10896</v>
      </c>
      <c r="AD537" s="4" t="s">
        <v>4854</v>
      </c>
      <c r="AE537" s="100" t="s">
        <v>4854</v>
      </c>
      <c r="AF537" s="91">
        <v>3.2469999999999999</v>
      </c>
      <c r="AG537" s="91">
        <v>2.6659999999999999</v>
      </c>
      <c r="AH537" s="100" t="s">
        <v>4854</v>
      </c>
      <c r="AI537" s="91">
        <v>2.399</v>
      </c>
      <c r="AJ537" s="100" t="s">
        <v>4854</v>
      </c>
      <c r="AK537" s="91">
        <v>2.64</v>
      </c>
      <c r="AL537" s="100" t="s">
        <v>4854</v>
      </c>
      <c r="AM537" s="103" t="s">
        <v>4854</v>
      </c>
      <c r="AN537" s="95">
        <v>0.25119999999999998</v>
      </c>
      <c r="AO537" s="95">
        <v>0.52110000000000001</v>
      </c>
      <c r="AP537" s="103" t="s">
        <v>4854</v>
      </c>
      <c r="AQ537" s="95">
        <v>0.33679999999999999</v>
      </c>
      <c r="AR537" s="103" t="s">
        <v>4854</v>
      </c>
      <c r="AS537" s="95">
        <v>0.72850000000000004</v>
      </c>
      <c r="AT537" s="103" t="s">
        <v>4854</v>
      </c>
      <c r="AU537" s="103" t="s">
        <v>4854</v>
      </c>
      <c r="AV537" s="95">
        <v>0.16200000000000001</v>
      </c>
      <c r="AW537" s="95">
        <v>0.185</v>
      </c>
      <c r="AX537" s="103" t="s">
        <v>4854</v>
      </c>
      <c r="AY537" s="95">
        <v>0.03</v>
      </c>
      <c r="AZ537" s="103" t="s">
        <v>4854</v>
      </c>
      <c r="BA537" s="95">
        <v>4.9000000000000002E-2</v>
      </c>
      <c r="BB537" s="103" t="s">
        <v>4854</v>
      </c>
      <c r="BC537" s="4" t="s">
        <v>4854</v>
      </c>
      <c r="BD537" s="10">
        <v>3</v>
      </c>
      <c r="BE537" s="10">
        <v>189</v>
      </c>
      <c r="BF537" s="4" t="s">
        <v>4854</v>
      </c>
      <c r="BG537" s="10">
        <v>373</v>
      </c>
      <c r="BH537" s="4" t="s">
        <v>4854</v>
      </c>
      <c r="BI537" s="10">
        <v>9</v>
      </c>
      <c r="BJ537" s="4" t="s">
        <v>4854</v>
      </c>
      <c r="BK537" s="100" t="s">
        <v>4854</v>
      </c>
      <c r="BL537" s="91">
        <v>0.997</v>
      </c>
      <c r="BM537" s="91">
        <v>0.98599999999999999</v>
      </c>
      <c r="BN537" s="100" t="s">
        <v>4854</v>
      </c>
      <c r="BO537" s="91">
        <v>0.83399999999999996</v>
      </c>
      <c r="BP537" s="100" t="s">
        <v>4854</v>
      </c>
      <c r="BQ537" s="91">
        <v>0.95599999999999996</v>
      </c>
      <c r="BR537" s="100" t="s">
        <v>4854</v>
      </c>
      <c r="BS537" s="10" t="s">
        <v>4857</v>
      </c>
    </row>
    <row r="538" spans="1:71" s="30" customFormat="1" ht="17.100000000000001" customHeight="1">
      <c r="A538" s="10">
        <v>527</v>
      </c>
      <c r="B538" s="10" t="s">
        <v>2959</v>
      </c>
      <c r="C538" s="4" t="s">
        <v>3178</v>
      </c>
      <c r="D538" s="4" t="s">
        <v>2938</v>
      </c>
      <c r="E538" s="7" t="s">
        <v>2939</v>
      </c>
      <c r="F538" s="10" t="s">
        <v>5138</v>
      </c>
      <c r="G538" s="4" t="s">
        <v>2940</v>
      </c>
      <c r="H538" s="7" t="s">
        <v>2941</v>
      </c>
      <c r="I538" s="4" t="s">
        <v>2942</v>
      </c>
      <c r="J538" s="10" t="s">
        <v>4695</v>
      </c>
      <c r="K538" s="4" t="s">
        <v>5644</v>
      </c>
      <c r="L538" s="4" t="s">
        <v>2958</v>
      </c>
      <c r="M538" s="10">
        <v>3</v>
      </c>
      <c r="N538" s="95">
        <v>780.10910000000001</v>
      </c>
      <c r="O538" s="38" t="s">
        <v>4854</v>
      </c>
      <c r="P538" s="38" t="s">
        <v>4854</v>
      </c>
      <c r="Q538" s="37" t="str">
        <f>HYPERLINK("http://ms.phosphosite.org:5080/cgi-bin/plot-msms.cgi?MassType=1&amp;NumAxis=1&amp;Mod6=170&amp;Pep=LVINGKPITIFQERDPTNIK&amp;Dta=/var/www/html/dta/S01/10560.10341.3.dta&amp;Global_Mod=CS57.0215", "10341")</f>
        <v>10341</v>
      </c>
      <c r="R538" s="38" t="s">
        <v>4854</v>
      </c>
      <c r="S538" s="38" t="s">
        <v>4854</v>
      </c>
      <c r="T538" s="38" t="s">
        <v>4854</v>
      </c>
      <c r="U538" s="38" t="s">
        <v>4854</v>
      </c>
      <c r="V538" s="38" t="s">
        <v>4854</v>
      </c>
      <c r="W538" s="4" t="s">
        <v>4854</v>
      </c>
      <c r="X538" s="4" t="s">
        <v>4854</v>
      </c>
      <c r="Y538" s="4" t="s">
        <v>4854</v>
      </c>
      <c r="Z538" s="4" t="s">
        <v>4854</v>
      </c>
      <c r="AA538" s="4" t="s">
        <v>4854</v>
      </c>
      <c r="AB538" s="4" t="s">
        <v>4854</v>
      </c>
      <c r="AC538" s="4" t="s">
        <v>4854</v>
      </c>
      <c r="AD538" s="4" t="s">
        <v>4854</v>
      </c>
      <c r="AE538" s="100" t="s">
        <v>4854</v>
      </c>
      <c r="AF538" s="100" t="s">
        <v>4854</v>
      </c>
      <c r="AG538" s="91">
        <v>2.294</v>
      </c>
      <c r="AH538" s="100" t="s">
        <v>4854</v>
      </c>
      <c r="AI538" s="100" t="s">
        <v>4854</v>
      </c>
      <c r="AJ538" s="100" t="s">
        <v>4854</v>
      </c>
      <c r="AK538" s="100" t="s">
        <v>4854</v>
      </c>
      <c r="AL538" s="100" t="s">
        <v>4854</v>
      </c>
      <c r="AM538" s="103" t="s">
        <v>4854</v>
      </c>
      <c r="AN538" s="103" t="s">
        <v>4854</v>
      </c>
      <c r="AO538" s="95">
        <v>0.52110000000000001</v>
      </c>
      <c r="AP538" s="103" t="s">
        <v>4854</v>
      </c>
      <c r="AQ538" s="103" t="s">
        <v>4854</v>
      </c>
      <c r="AR538" s="103" t="s">
        <v>4854</v>
      </c>
      <c r="AS538" s="103" t="s">
        <v>4854</v>
      </c>
      <c r="AT538" s="103" t="s">
        <v>4854</v>
      </c>
      <c r="AU538" s="103" t="s">
        <v>4854</v>
      </c>
      <c r="AV538" s="103" t="s">
        <v>4854</v>
      </c>
      <c r="AW538" s="95">
        <v>3.5999999999999997E-2</v>
      </c>
      <c r="AX538" s="103" t="s">
        <v>4854</v>
      </c>
      <c r="AY538" s="103" t="s">
        <v>4854</v>
      </c>
      <c r="AZ538" s="103" t="s">
        <v>4854</v>
      </c>
      <c r="BA538" s="103" t="s">
        <v>4854</v>
      </c>
      <c r="BB538" s="103" t="s">
        <v>4854</v>
      </c>
      <c r="BC538" s="4" t="s">
        <v>4854</v>
      </c>
      <c r="BD538" s="4" t="s">
        <v>4854</v>
      </c>
      <c r="BE538" s="10">
        <v>7</v>
      </c>
      <c r="BF538" s="4" t="s">
        <v>4854</v>
      </c>
      <c r="BG538" s="4" t="s">
        <v>4854</v>
      </c>
      <c r="BH538" s="4" t="s">
        <v>4854</v>
      </c>
      <c r="BI538" s="4" t="s">
        <v>4854</v>
      </c>
      <c r="BJ538" s="4" t="s">
        <v>4854</v>
      </c>
      <c r="BK538" s="100" t="s">
        <v>4854</v>
      </c>
      <c r="BL538" s="100" t="s">
        <v>4854</v>
      </c>
      <c r="BM538" s="91">
        <v>0.92400000000000004</v>
      </c>
      <c r="BN538" s="100" t="s">
        <v>4854</v>
      </c>
      <c r="BO538" s="100" t="s">
        <v>4854</v>
      </c>
      <c r="BP538" s="100" t="s">
        <v>4854</v>
      </c>
      <c r="BQ538" s="100" t="s">
        <v>4854</v>
      </c>
      <c r="BR538" s="100" t="s">
        <v>4854</v>
      </c>
      <c r="BS538" s="10" t="s">
        <v>4857</v>
      </c>
    </row>
    <row r="539" spans="1:71" s="30" customFormat="1" ht="17.100000000000001" customHeight="1">
      <c r="A539" s="14">
        <v>528</v>
      </c>
      <c r="B539" s="5" t="s">
        <v>2960</v>
      </c>
      <c r="C539" s="3" t="s">
        <v>3178</v>
      </c>
      <c r="D539" s="3" t="s">
        <v>2961</v>
      </c>
      <c r="E539" s="3" t="s">
        <v>2962</v>
      </c>
      <c r="F539" s="5" t="s">
        <v>4401</v>
      </c>
      <c r="G539" s="3" t="s">
        <v>2963</v>
      </c>
      <c r="H539" s="6" t="s">
        <v>2964</v>
      </c>
      <c r="I539" s="3" t="s">
        <v>2965</v>
      </c>
      <c r="J539" s="5" t="s">
        <v>4664</v>
      </c>
      <c r="K539" s="3" t="s">
        <v>5645</v>
      </c>
      <c r="L539" s="3" t="s">
        <v>2966</v>
      </c>
      <c r="M539" s="5">
        <v>2</v>
      </c>
      <c r="N539" s="21">
        <v>386.75</v>
      </c>
      <c r="O539" s="35" t="s">
        <v>4854</v>
      </c>
      <c r="P539" s="35" t="s">
        <v>4854</v>
      </c>
      <c r="Q539" s="35" t="s">
        <v>4854</v>
      </c>
      <c r="R539" s="36" t="str">
        <f>HYPERLINK("http://ms.phosphosite.org:5080/cgi-bin/plot-msms.cgi?MassType=1&amp;NumAxis=1&amp;Mod5=170&amp;Pep=ASLAKIK&amp;Dta=/var/www/html/dta/S01/10561.4791.2.dta&amp;Global_Mod=CS57.0215", "4791")</f>
        <v>4791</v>
      </c>
      <c r="S539" s="35" t="s">
        <v>4854</v>
      </c>
      <c r="T539" s="35" t="s">
        <v>4854</v>
      </c>
      <c r="U539" s="35" t="s">
        <v>4854</v>
      </c>
      <c r="V539" s="35" t="s">
        <v>4854</v>
      </c>
      <c r="W539" s="3" t="s">
        <v>4854</v>
      </c>
      <c r="X539" s="3" t="s">
        <v>4854</v>
      </c>
      <c r="Y539" s="3" t="s">
        <v>4854</v>
      </c>
      <c r="Z539" s="3" t="s">
        <v>4854</v>
      </c>
      <c r="AA539" s="3" t="s">
        <v>4854</v>
      </c>
      <c r="AB539" s="3" t="s">
        <v>4854</v>
      </c>
      <c r="AC539" s="3" t="s">
        <v>4854</v>
      </c>
      <c r="AD539" s="3" t="s">
        <v>4854</v>
      </c>
      <c r="AE539" s="99" t="s">
        <v>4854</v>
      </c>
      <c r="AF539" s="99" t="s">
        <v>4854</v>
      </c>
      <c r="AG539" s="99" t="s">
        <v>4854</v>
      </c>
      <c r="AH539" s="90">
        <v>1.7430000000000001</v>
      </c>
      <c r="AI539" s="99" t="s">
        <v>4854</v>
      </c>
      <c r="AJ539" s="99" t="s">
        <v>4854</v>
      </c>
      <c r="AK539" s="99" t="s">
        <v>4854</v>
      </c>
      <c r="AL539" s="99" t="s">
        <v>4854</v>
      </c>
      <c r="AM539" s="102" t="s">
        <v>4854</v>
      </c>
      <c r="AN539" s="102" t="s">
        <v>4854</v>
      </c>
      <c r="AO539" s="102" t="s">
        <v>4854</v>
      </c>
      <c r="AP539" s="21">
        <v>0.13100000000000001</v>
      </c>
      <c r="AQ539" s="102" t="s">
        <v>4854</v>
      </c>
      <c r="AR539" s="102" t="s">
        <v>4854</v>
      </c>
      <c r="AS539" s="102" t="s">
        <v>4854</v>
      </c>
      <c r="AT539" s="102" t="s">
        <v>4854</v>
      </c>
      <c r="AU539" s="102" t="s">
        <v>4854</v>
      </c>
      <c r="AV539" s="102" t="s">
        <v>4854</v>
      </c>
      <c r="AW539" s="102" t="s">
        <v>4854</v>
      </c>
      <c r="AX539" s="21">
        <v>8.9999999999999993E-3</v>
      </c>
      <c r="AY539" s="102" t="s">
        <v>4854</v>
      </c>
      <c r="AZ539" s="102" t="s">
        <v>4854</v>
      </c>
      <c r="BA539" s="102" t="s">
        <v>4854</v>
      </c>
      <c r="BB539" s="102" t="s">
        <v>4854</v>
      </c>
      <c r="BC539" s="3" t="s">
        <v>4854</v>
      </c>
      <c r="BD539" s="3" t="s">
        <v>4854</v>
      </c>
      <c r="BE539" s="3" t="s">
        <v>4854</v>
      </c>
      <c r="BF539" s="5">
        <v>3</v>
      </c>
      <c r="BG539" s="3" t="s">
        <v>4854</v>
      </c>
      <c r="BH539" s="3" t="s">
        <v>4854</v>
      </c>
      <c r="BI539" s="3" t="s">
        <v>4854</v>
      </c>
      <c r="BJ539" s="3" t="s">
        <v>4854</v>
      </c>
      <c r="BK539" s="99" t="s">
        <v>4854</v>
      </c>
      <c r="BL539" s="99" t="s">
        <v>4854</v>
      </c>
      <c r="BM539" s="99" t="s">
        <v>4854</v>
      </c>
      <c r="BN539" s="90">
        <v>6.6000000000000003E-2</v>
      </c>
      <c r="BO539" s="99" t="s">
        <v>4854</v>
      </c>
      <c r="BP539" s="99" t="s">
        <v>4854</v>
      </c>
      <c r="BQ539" s="99" t="s">
        <v>4854</v>
      </c>
      <c r="BR539" s="99" t="s">
        <v>4854</v>
      </c>
      <c r="BS539" s="5" t="s">
        <v>4857</v>
      </c>
    </row>
    <row r="540" spans="1:71" s="30" customFormat="1" ht="17.100000000000001" customHeight="1">
      <c r="A540" s="10">
        <v>529</v>
      </c>
      <c r="B540" s="10" t="s">
        <v>2967</v>
      </c>
      <c r="C540" s="4" t="s">
        <v>3178</v>
      </c>
      <c r="D540" s="4" t="s">
        <v>2968</v>
      </c>
      <c r="E540" s="4" t="s">
        <v>2969</v>
      </c>
      <c r="F540" s="10" t="s">
        <v>4750</v>
      </c>
      <c r="G540" s="4" t="s">
        <v>2970</v>
      </c>
      <c r="H540" s="7" t="s">
        <v>2971</v>
      </c>
      <c r="I540" s="4" t="s">
        <v>2972</v>
      </c>
      <c r="J540" s="10" t="s">
        <v>4631</v>
      </c>
      <c r="K540" s="4" t="s">
        <v>5646</v>
      </c>
      <c r="L540" s="4" t="s">
        <v>2973</v>
      </c>
      <c r="M540" s="10">
        <v>4</v>
      </c>
      <c r="N540" s="95">
        <v>751.33879999999999</v>
      </c>
      <c r="O540" s="37" t="str">
        <f>HYPERLINK("http://ms.phosphosite.org:5080/cgi-bin/plot-msms.cgi?MassType=1&amp;NumAxis=1&amp;Mod4=147&amp;Mod12=170&amp;Mod15=147&amp;Pep=GTHMQHAYDFYKPDMLSEYPVVDGK&amp;Dta=/var/www/html/dta/S01/10558.8445.4.dta&amp;Global_Mod=CS57.0215", "8445")</f>
        <v>8445</v>
      </c>
      <c r="P540" s="37" t="str">
        <f>HYPERLINK("http://ms.phosphosite.org:5080/cgi-bin/plot-msms.cgi?MassType=1&amp;NumAxis=1&amp;Mod4=147&amp;Mod12=170&amp;Mod15=147&amp;Pep=GTHMQHAYDFYKPDMLSEYPVVDGK&amp;Dta=/var/www/html/dta/S01/10559.8424.4.dta&amp;Global_Mod=CS57.0215", "8424")</f>
        <v>8424</v>
      </c>
      <c r="Q540" s="37" t="str">
        <f>HYPERLINK("http://ms.phosphosite.org:5080/cgi-bin/plot-msms.cgi?MassType=1&amp;NumAxis=1&amp;Mod4=147&amp;Mod12=170&amp;Mod15=147&amp;Pep=GTHMQHAYDFYKPDMLSEYPVVDGK&amp;Dta=/var/www/html/dta/S01/10560.8418.4.dta&amp;Global_Mod=CS57.0215", "8418")</f>
        <v>8418</v>
      </c>
      <c r="R540" s="37" t="str">
        <f>HYPERLINK("http://ms.phosphosite.org:5080/cgi-bin/plot-msms.cgi?MassType=1&amp;NumAxis=1&amp;Mod4=147&amp;Mod12=170&amp;Mod15=147&amp;Pep=GTHMQHAYDFYKPDMLSEYPVVDGK&amp;Dta=/var/www/html/dta/S01/10561.8366.4.dta&amp;Global_Mod=CS57.0215", "8366")</f>
        <v>8366</v>
      </c>
      <c r="S540" s="38" t="s">
        <v>4854</v>
      </c>
      <c r="T540" s="37" t="str">
        <f>HYPERLINK("http://ms.phosphosite.org:5080/cgi-bin/plot-msms.cgi?MassType=1&amp;NumAxis=1&amp;Mod4=147&amp;Mod12=170&amp;Mod15=147&amp;Pep=GTHMQHAYDFYKPDMLSEYPVVDGK&amp;Dta=/var/www/html/dta/S01/10563.8461.4.dta&amp;Global_Mod=CS57.0215", "8461")</f>
        <v>8461</v>
      </c>
      <c r="U540" s="38" t="s">
        <v>4854</v>
      </c>
      <c r="V540" s="38" t="s">
        <v>4854</v>
      </c>
      <c r="W540" s="10">
        <v>8403</v>
      </c>
      <c r="X540" s="10">
        <v>8384</v>
      </c>
      <c r="Y540" s="10">
        <v>8357</v>
      </c>
      <c r="Z540" s="10">
        <v>8406</v>
      </c>
      <c r="AA540" s="4" t="s">
        <v>4854</v>
      </c>
      <c r="AB540" s="10">
        <v>8510</v>
      </c>
      <c r="AC540" s="4" t="s">
        <v>4854</v>
      </c>
      <c r="AD540" s="4" t="s">
        <v>4854</v>
      </c>
      <c r="AE540" s="91">
        <v>3.7210000000000001</v>
      </c>
      <c r="AF540" s="91">
        <v>3.5169999999999999</v>
      </c>
      <c r="AG540" s="91">
        <v>3.931</v>
      </c>
      <c r="AH540" s="91">
        <v>3.9140000000000001</v>
      </c>
      <c r="AI540" s="100" t="s">
        <v>4854</v>
      </c>
      <c r="AJ540" s="91">
        <v>3.093</v>
      </c>
      <c r="AK540" s="100" t="s">
        <v>4854</v>
      </c>
      <c r="AL540" s="100" t="s">
        <v>4854</v>
      </c>
      <c r="AM540" s="95">
        <v>0.49159999999999998</v>
      </c>
      <c r="AN540" s="95">
        <v>0.86</v>
      </c>
      <c r="AO540" s="95">
        <v>1.2624</v>
      </c>
      <c r="AP540" s="95">
        <v>1.2346999999999999</v>
      </c>
      <c r="AQ540" s="103" t="s">
        <v>4854</v>
      </c>
      <c r="AR540" s="95">
        <v>0.92230000000000001</v>
      </c>
      <c r="AS540" s="103" t="s">
        <v>4854</v>
      </c>
      <c r="AT540" s="103" t="s">
        <v>4854</v>
      </c>
      <c r="AU540" s="95">
        <v>0.17699999999999999</v>
      </c>
      <c r="AV540" s="95">
        <v>0.311</v>
      </c>
      <c r="AW540" s="95">
        <v>0.251</v>
      </c>
      <c r="AX540" s="95">
        <v>0.3</v>
      </c>
      <c r="AY540" s="103" t="s">
        <v>4854</v>
      </c>
      <c r="AZ540" s="95">
        <v>0.252</v>
      </c>
      <c r="BA540" s="103" t="s">
        <v>4854</v>
      </c>
      <c r="BB540" s="103" t="s">
        <v>4854</v>
      </c>
      <c r="BC540" s="10">
        <v>2</v>
      </c>
      <c r="BD540" s="10">
        <v>1</v>
      </c>
      <c r="BE540" s="10">
        <v>2</v>
      </c>
      <c r="BF540" s="10">
        <v>1</v>
      </c>
      <c r="BG540" s="4" t="s">
        <v>4854</v>
      </c>
      <c r="BH540" s="10">
        <v>1</v>
      </c>
      <c r="BI540" s="4" t="s">
        <v>4854</v>
      </c>
      <c r="BJ540" s="4" t="s">
        <v>4854</v>
      </c>
      <c r="BK540" s="91">
        <v>1</v>
      </c>
      <c r="BL540" s="91">
        <v>1</v>
      </c>
      <c r="BM540" s="91">
        <v>1</v>
      </c>
      <c r="BN540" s="91">
        <v>1</v>
      </c>
      <c r="BO540" s="100" t="s">
        <v>4854</v>
      </c>
      <c r="BP540" s="91">
        <v>1</v>
      </c>
      <c r="BQ540" s="100" t="s">
        <v>4854</v>
      </c>
      <c r="BR540" s="100" t="s">
        <v>4854</v>
      </c>
      <c r="BS540" s="10" t="s">
        <v>4857</v>
      </c>
    </row>
    <row r="541" spans="1:71" s="30" customFormat="1" ht="17.100000000000001" customHeight="1">
      <c r="A541" s="10">
        <v>530</v>
      </c>
      <c r="B541" s="10" t="s">
        <v>2974</v>
      </c>
      <c r="C541" s="4" t="s">
        <v>3178</v>
      </c>
      <c r="D541" s="4" t="s">
        <v>2968</v>
      </c>
      <c r="E541" s="4" t="s">
        <v>2969</v>
      </c>
      <c r="F541" s="10" t="s">
        <v>4750</v>
      </c>
      <c r="G541" s="4" t="s">
        <v>2970</v>
      </c>
      <c r="H541" s="7" t="s">
        <v>2971</v>
      </c>
      <c r="I541" s="4" t="s">
        <v>2972</v>
      </c>
      <c r="J541" s="10" t="s">
        <v>4631</v>
      </c>
      <c r="K541" s="4" t="s">
        <v>5646</v>
      </c>
      <c r="L541" s="4" t="s">
        <v>2973</v>
      </c>
      <c r="M541" s="10">
        <v>4</v>
      </c>
      <c r="N541" s="95">
        <v>751.33879999999999</v>
      </c>
      <c r="O541" s="38" t="s">
        <v>4854</v>
      </c>
      <c r="P541" s="38" t="s">
        <v>4854</v>
      </c>
      <c r="Q541" s="37" t="str">
        <f>HYPERLINK("http://ms.phosphosite.org:5080/cgi-bin/plot-msms.cgi?MassType=1&amp;NumAxis=1&amp;Mod4=147&amp;Mod12=170&amp;Mod15=147&amp;Pep=GTHMQHAYDFYKPDMLSEYPVVDGK&amp;Dta=/var/www/html/dta/S01/10560.8321.4.dta&amp;Global_Mod=CS57.0215", "8321")</f>
        <v>8321</v>
      </c>
      <c r="R541" s="37" t="str">
        <f>HYPERLINK("http://ms.phosphosite.org:5080/cgi-bin/plot-msms.cgi?MassType=1&amp;NumAxis=1&amp;Mod4=147&amp;Mod12=170&amp;Mod15=147&amp;Pep=GTHMQHAYDFYKPDMLSEYPVVDGK&amp;Dta=/var/www/html/dta/S01/10561.8454.4.dta&amp;Global_Mod=CS57.0215", "8454")</f>
        <v>8454</v>
      </c>
      <c r="S541" s="38" t="s">
        <v>4854</v>
      </c>
      <c r="T541" s="38" t="s">
        <v>4854</v>
      </c>
      <c r="U541" s="38" t="s">
        <v>4854</v>
      </c>
      <c r="V541" s="38" t="s">
        <v>4854</v>
      </c>
      <c r="W541" s="4" t="s">
        <v>4854</v>
      </c>
      <c r="X541" s="4" t="s">
        <v>4854</v>
      </c>
      <c r="Y541" s="10">
        <v>8357</v>
      </c>
      <c r="Z541" s="10">
        <v>8406</v>
      </c>
      <c r="AA541" s="4" t="s">
        <v>4854</v>
      </c>
      <c r="AB541" s="4" t="s">
        <v>4854</v>
      </c>
      <c r="AC541" s="4" t="s">
        <v>4854</v>
      </c>
      <c r="AD541" s="4" t="s">
        <v>4854</v>
      </c>
      <c r="AE541" s="100" t="s">
        <v>4854</v>
      </c>
      <c r="AF541" s="100" t="s">
        <v>4854</v>
      </c>
      <c r="AG541" s="91">
        <v>3.613</v>
      </c>
      <c r="AH541" s="91">
        <v>3.6429999999999998</v>
      </c>
      <c r="AI541" s="100" t="s">
        <v>4854</v>
      </c>
      <c r="AJ541" s="100" t="s">
        <v>4854</v>
      </c>
      <c r="AK541" s="100" t="s">
        <v>4854</v>
      </c>
      <c r="AL541" s="100" t="s">
        <v>4854</v>
      </c>
      <c r="AM541" s="103" t="s">
        <v>4854</v>
      </c>
      <c r="AN541" s="103" t="s">
        <v>4854</v>
      </c>
      <c r="AO541" s="95">
        <v>1.1803999999999999</v>
      </c>
      <c r="AP541" s="95">
        <v>1.0589</v>
      </c>
      <c r="AQ541" s="103" t="s">
        <v>4854</v>
      </c>
      <c r="AR541" s="103" t="s">
        <v>4854</v>
      </c>
      <c r="AS541" s="103" t="s">
        <v>4854</v>
      </c>
      <c r="AT541" s="103" t="s">
        <v>4854</v>
      </c>
      <c r="AU541" s="103" t="s">
        <v>4854</v>
      </c>
      <c r="AV541" s="103" t="s">
        <v>4854</v>
      </c>
      <c r="AW541" s="95">
        <v>0.30199999999999999</v>
      </c>
      <c r="AX541" s="95">
        <v>0.247</v>
      </c>
      <c r="AY541" s="103" t="s">
        <v>4854</v>
      </c>
      <c r="AZ541" s="103" t="s">
        <v>4854</v>
      </c>
      <c r="BA541" s="103" t="s">
        <v>4854</v>
      </c>
      <c r="BB541" s="103" t="s">
        <v>4854</v>
      </c>
      <c r="BC541" s="4" t="s">
        <v>4854</v>
      </c>
      <c r="BD541" s="4" t="s">
        <v>4854</v>
      </c>
      <c r="BE541" s="10">
        <v>1</v>
      </c>
      <c r="BF541" s="10">
        <v>1</v>
      </c>
      <c r="BG541" s="4" t="s">
        <v>4854</v>
      </c>
      <c r="BH541" s="4" t="s">
        <v>4854</v>
      </c>
      <c r="BI541" s="4" t="s">
        <v>4854</v>
      </c>
      <c r="BJ541" s="4" t="s">
        <v>4854</v>
      </c>
      <c r="BK541" s="100" t="s">
        <v>4854</v>
      </c>
      <c r="BL541" s="100" t="s">
        <v>4854</v>
      </c>
      <c r="BM541" s="91">
        <v>1</v>
      </c>
      <c r="BN541" s="91">
        <v>1</v>
      </c>
      <c r="BO541" s="100" t="s">
        <v>4854</v>
      </c>
      <c r="BP541" s="100" t="s">
        <v>4854</v>
      </c>
      <c r="BQ541" s="100" t="s">
        <v>4854</v>
      </c>
      <c r="BR541" s="100" t="s">
        <v>4854</v>
      </c>
      <c r="BS541" s="10" t="s">
        <v>4857</v>
      </c>
    </row>
    <row r="542" spans="1:71" s="30" customFormat="1" ht="17.100000000000001" customHeight="1">
      <c r="A542" s="14">
        <v>531</v>
      </c>
      <c r="B542" s="5" t="s">
        <v>2975</v>
      </c>
      <c r="C542" s="3" t="s">
        <v>3178</v>
      </c>
      <c r="D542" s="3" t="s">
        <v>2976</v>
      </c>
      <c r="E542" s="3" t="s">
        <v>2977</v>
      </c>
      <c r="F542" s="5" t="s">
        <v>4327</v>
      </c>
      <c r="G542" s="3" t="s">
        <v>2978</v>
      </c>
      <c r="H542" s="6" t="s">
        <v>2979</v>
      </c>
      <c r="I542" s="3" t="s">
        <v>2980</v>
      </c>
      <c r="J542" s="5" t="s">
        <v>4696</v>
      </c>
      <c r="K542" s="3" t="s">
        <v>5647</v>
      </c>
      <c r="L542" s="3" t="s">
        <v>2981</v>
      </c>
      <c r="M542" s="5">
        <v>2</v>
      </c>
      <c r="N542" s="21">
        <v>704.35979999999995</v>
      </c>
      <c r="O542" s="35" t="s">
        <v>4854</v>
      </c>
      <c r="P542" s="35" t="s">
        <v>4854</v>
      </c>
      <c r="Q542" s="35" t="s">
        <v>4854</v>
      </c>
      <c r="R542" s="35" t="s">
        <v>4854</v>
      </c>
      <c r="S542" s="35" t="s">
        <v>4854</v>
      </c>
      <c r="T542" s="35" t="s">
        <v>4854</v>
      </c>
      <c r="U542" s="36" t="str">
        <f>HYPERLINK("http://ms.phosphosite.org:5080/cgi-bin/plot-msms.cgi?MassType=1&amp;NumAxis=1&amp;Mod1=147&amp;Mod10=170&amp;Pep=MLQAFLPDMKR&amp;Dta=/var/www/html/dta/S01/10564.8160.2.dta&amp;Global_Mod=CS57.0215", "8160")</f>
        <v>8160</v>
      </c>
      <c r="V542" s="35" t="s">
        <v>4854</v>
      </c>
      <c r="W542" s="3" t="s">
        <v>4854</v>
      </c>
      <c r="X542" s="3" t="s">
        <v>4854</v>
      </c>
      <c r="Y542" s="3" t="s">
        <v>4854</v>
      </c>
      <c r="Z542" s="3" t="s">
        <v>4854</v>
      </c>
      <c r="AA542" s="3" t="s">
        <v>4854</v>
      </c>
      <c r="AB542" s="3" t="s">
        <v>4854</v>
      </c>
      <c r="AC542" s="5">
        <v>8168</v>
      </c>
      <c r="AD542" s="3" t="s">
        <v>4854</v>
      </c>
      <c r="AE542" s="99" t="s">
        <v>4854</v>
      </c>
      <c r="AF542" s="99" t="s">
        <v>4854</v>
      </c>
      <c r="AG542" s="99" t="s">
        <v>4854</v>
      </c>
      <c r="AH542" s="99" t="s">
        <v>4854</v>
      </c>
      <c r="AI542" s="99" t="s">
        <v>4854</v>
      </c>
      <c r="AJ542" s="99" t="s">
        <v>4854</v>
      </c>
      <c r="AK542" s="90">
        <v>2.4660000000000002</v>
      </c>
      <c r="AL542" s="99" t="s">
        <v>4854</v>
      </c>
      <c r="AM542" s="102" t="s">
        <v>4854</v>
      </c>
      <c r="AN542" s="102" t="s">
        <v>4854</v>
      </c>
      <c r="AO542" s="102" t="s">
        <v>4854</v>
      </c>
      <c r="AP542" s="102" t="s">
        <v>4854</v>
      </c>
      <c r="AQ542" s="102" t="s">
        <v>4854</v>
      </c>
      <c r="AR542" s="102" t="s">
        <v>4854</v>
      </c>
      <c r="AS542" s="21">
        <v>0.32619999999999999</v>
      </c>
      <c r="AT542" s="102" t="s">
        <v>4854</v>
      </c>
      <c r="AU542" s="102" t="s">
        <v>4854</v>
      </c>
      <c r="AV542" s="102" t="s">
        <v>4854</v>
      </c>
      <c r="AW542" s="102" t="s">
        <v>4854</v>
      </c>
      <c r="AX542" s="102" t="s">
        <v>4854</v>
      </c>
      <c r="AY542" s="102" t="s">
        <v>4854</v>
      </c>
      <c r="AZ542" s="102" t="s">
        <v>4854</v>
      </c>
      <c r="BA542" s="21">
        <v>2.8000000000000001E-2</v>
      </c>
      <c r="BB542" s="102" t="s">
        <v>4854</v>
      </c>
      <c r="BC542" s="3" t="s">
        <v>4854</v>
      </c>
      <c r="BD542" s="3" t="s">
        <v>4854</v>
      </c>
      <c r="BE542" s="3" t="s">
        <v>4854</v>
      </c>
      <c r="BF542" s="3" t="s">
        <v>4854</v>
      </c>
      <c r="BG542" s="3" t="s">
        <v>4854</v>
      </c>
      <c r="BH542" s="3" t="s">
        <v>4854</v>
      </c>
      <c r="BI542" s="5">
        <v>2</v>
      </c>
      <c r="BJ542" s="3" t="s">
        <v>4854</v>
      </c>
      <c r="BK542" s="99" t="s">
        <v>4854</v>
      </c>
      <c r="BL542" s="99" t="s">
        <v>4854</v>
      </c>
      <c r="BM542" s="99" t="s">
        <v>4854</v>
      </c>
      <c r="BN542" s="99" t="s">
        <v>4854</v>
      </c>
      <c r="BO542" s="99" t="s">
        <v>4854</v>
      </c>
      <c r="BP542" s="99" t="s">
        <v>4854</v>
      </c>
      <c r="BQ542" s="90">
        <v>0.996</v>
      </c>
      <c r="BR542" s="99" t="s">
        <v>4854</v>
      </c>
      <c r="BS542" s="5" t="s">
        <v>4857</v>
      </c>
    </row>
    <row r="543" spans="1:71" s="30" customFormat="1" ht="17.100000000000001" customHeight="1">
      <c r="A543" s="10">
        <v>532</v>
      </c>
      <c r="B543" s="10" t="s">
        <v>2982</v>
      </c>
      <c r="C543" s="4" t="s">
        <v>3178</v>
      </c>
      <c r="D543" s="4" t="s">
        <v>2983</v>
      </c>
      <c r="E543" s="7" t="s">
        <v>2984</v>
      </c>
      <c r="F543" s="10" t="s">
        <v>4387</v>
      </c>
      <c r="G543" s="4" t="s">
        <v>2985</v>
      </c>
      <c r="H543" s="7" t="s">
        <v>2986</v>
      </c>
      <c r="I543" s="4" t="s">
        <v>2987</v>
      </c>
      <c r="J543" s="10" t="s">
        <v>4716</v>
      </c>
      <c r="K543" s="4" t="s">
        <v>5648</v>
      </c>
      <c r="L543" s="4" t="s">
        <v>2988</v>
      </c>
      <c r="M543" s="10">
        <v>2</v>
      </c>
      <c r="N543" s="95">
        <v>628.34500000000003</v>
      </c>
      <c r="O543" s="37" t="str">
        <f>HYPERLINK("http://ms.phosphosite.org:5080/cgi-bin/plot-msms.cgi?MassType=1&amp;NumAxis=1&amp;Mod5=160&amp;Mod6=170&amp;Pep=EAIICKNIPR&amp;Dta=/var/www/html/dta/S01/10558.6407.2.dta&amp;Global_Mod=CS57.0215", "6407")</f>
        <v>6407</v>
      </c>
      <c r="P543" s="37" t="str">
        <f>HYPERLINK("http://ms.phosphosite.org:5080/cgi-bin/plot-msms.cgi?MassType=1&amp;NumAxis=1&amp;Mod5=160&amp;Mod6=170&amp;Pep=EAIICKNIPR&amp;Dta=/var/www/html/dta/S01/10559.6365.2.dta&amp;Global_Mod=CS57.0215", "6365")</f>
        <v>6365</v>
      </c>
      <c r="Q543" s="37" t="str">
        <f>HYPERLINK("http://ms.phosphosite.org:5080/cgi-bin/plot-msms.cgi?MassType=1&amp;NumAxis=1&amp;Mod5=160&amp;Mod6=170&amp;Pep=EAIICKNIPR&amp;Dta=/var/www/html/dta/S01/10560.6360.2.dta&amp;Global_Mod=CS57.0215", "6360")</f>
        <v>6360</v>
      </c>
      <c r="R543" s="37" t="str">
        <f>HYPERLINK("http://ms.phosphosite.org:5080/cgi-bin/plot-msms.cgi?MassType=1&amp;NumAxis=1&amp;Mod5=160&amp;Mod6=170&amp;Pep=EAIICKNIPR&amp;Dta=/var/www/html/dta/S01/10561.6402.2.dta&amp;Global_Mod=CS57.0215", "6402")</f>
        <v>6402</v>
      </c>
      <c r="S543" s="37" t="str">
        <f>HYPERLINK("http://ms.phosphosite.org:5080/cgi-bin/plot-msms.cgi?MassType=1&amp;NumAxis=1&amp;Mod5=160&amp;Mod6=170&amp;Pep=EAIICKNIPR&amp;Dta=/var/www/html/dta/S01/10562.6498.2.dta&amp;Global_Mod=CS57.0215", "6498")</f>
        <v>6498</v>
      </c>
      <c r="T543" s="37" t="str">
        <f>HYPERLINK("http://ms.phosphosite.org:5080/cgi-bin/plot-msms.cgi?MassType=1&amp;NumAxis=1&amp;Mod5=160&amp;Mod6=170&amp;Pep=EAIICKNIPR&amp;Dta=/var/www/html/dta/S01/10563.6461.2.dta&amp;Global_Mod=CS57.0215", "6461")</f>
        <v>6461</v>
      </c>
      <c r="U543" s="37" t="str">
        <f>HYPERLINK("http://ms.phosphosite.org:5080/cgi-bin/plot-msms.cgi?MassType=1&amp;NumAxis=1&amp;Mod5=160&amp;Mod6=170&amp;Pep=EAIICKNIPR&amp;Dta=/var/www/html/dta/S01/10564.6803.2.dta&amp;Global_Mod=CS57.0215", "6803")</f>
        <v>6803</v>
      </c>
      <c r="V543" s="37" t="str">
        <f>HYPERLINK("http://ms.phosphosite.org:5080/cgi-bin/plot-msms.cgi?MassType=1&amp;NumAxis=1&amp;Mod5=160&amp;Mod6=170&amp;Pep=EAIICKNIPR&amp;Dta=/var/www/html/dta/S01/10565.6874.2.dta&amp;Global_Mod=CS57.0215", "6874")</f>
        <v>6874</v>
      </c>
      <c r="W543" s="10">
        <v>6413</v>
      </c>
      <c r="X543" s="10">
        <v>6371</v>
      </c>
      <c r="Y543" s="10">
        <v>6366</v>
      </c>
      <c r="Z543" s="10">
        <v>6404</v>
      </c>
      <c r="AA543" s="10">
        <v>6510</v>
      </c>
      <c r="AB543" s="10">
        <v>6475</v>
      </c>
      <c r="AC543" s="10">
        <v>6804</v>
      </c>
      <c r="AD543" s="10">
        <v>6889</v>
      </c>
      <c r="AE543" s="91">
        <v>1.9890000000000001</v>
      </c>
      <c r="AF543" s="91">
        <v>2.71</v>
      </c>
      <c r="AG543" s="91">
        <v>2.0190000000000001</v>
      </c>
      <c r="AH543" s="91">
        <v>2.5150000000000001</v>
      </c>
      <c r="AI543" s="91">
        <v>2.1960000000000002</v>
      </c>
      <c r="AJ543" s="91">
        <v>2.0950000000000002</v>
      </c>
      <c r="AK543" s="91">
        <v>2.5920000000000001</v>
      </c>
      <c r="AL543" s="91">
        <v>2.2370000000000001</v>
      </c>
      <c r="AM543" s="95">
        <v>0.3503</v>
      </c>
      <c r="AN543" s="95">
        <v>0.95789999999999997</v>
      </c>
      <c r="AO543" s="95">
        <v>0.91649999999999998</v>
      </c>
      <c r="AP543" s="95">
        <v>0.66479999999999995</v>
      </c>
      <c r="AQ543" s="95">
        <v>0.76039999999999996</v>
      </c>
      <c r="AR543" s="95">
        <v>0.39090000000000003</v>
      </c>
      <c r="AS543" s="95">
        <v>0.52859999999999996</v>
      </c>
      <c r="AT543" s="95">
        <v>0.19020000000000001</v>
      </c>
      <c r="AU543" s="95">
        <v>2.1000000000000001E-2</v>
      </c>
      <c r="AV543" s="95">
        <v>0.28000000000000003</v>
      </c>
      <c r="AW543" s="95">
        <v>0.11600000000000001</v>
      </c>
      <c r="AX543" s="95">
        <v>0.26900000000000002</v>
      </c>
      <c r="AY543" s="95">
        <v>0.27700000000000002</v>
      </c>
      <c r="AZ543" s="95">
        <v>0.219</v>
      </c>
      <c r="BA543" s="95">
        <v>0.26100000000000001</v>
      </c>
      <c r="BB543" s="95">
        <v>0.22700000000000001</v>
      </c>
      <c r="BC543" s="10">
        <v>1</v>
      </c>
      <c r="BD543" s="10">
        <v>1</v>
      </c>
      <c r="BE543" s="10">
        <v>1</v>
      </c>
      <c r="BF543" s="10">
        <v>1</v>
      </c>
      <c r="BG543" s="10">
        <v>3</v>
      </c>
      <c r="BH543" s="10">
        <v>1</v>
      </c>
      <c r="BI543" s="10">
        <v>1</v>
      </c>
      <c r="BJ543" s="10">
        <v>1</v>
      </c>
      <c r="BK543" s="91">
        <v>0.95</v>
      </c>
      <c r="BL543" s="91">
        <v>0.999</v>
      </c>
      <c r="BM543" s="91">
        <v>0.98499999999999999</v>
      </c>
      <c r="BN543" s="91">
        <v>0.999</v>
      </c>
      <c r="BO543" s="91">
        <v>0.998</v>
      </c>
      <c r="BP543" s="91">
        <v>0.996</v>
      </c>
      <c r="BQ543" s="91">
        <v>0.999</v>
      </c>
      <c r="BR543" s="91">
        <v>0.998</v>
      </c>
      <c r="BS543" s="10" t="s">
        <v>4857</v>
      </c>
    </row>
    <row r="544" spans="1:71" s="30" customFormat="1" ht="17.100000000000001" customHeight="1">
      <c r="A544" s="14">
        <v>533</v>
      </c>
      <c r="B544" s="5" t="s">
        <v>2989</v>
      </c>
      <c r="C544" s="3" t="s">
        <v>3178</v>
      </c>
      <c r="D544" s="3" t="s">
        <v>2983</v>
      </c>
      <c r="E544" s="6" t="s">
        <v>2984</v>
      </c>
      <c r="F544" s="5" t="s">
        <v>3848</v>
      </c>
      <c r="G544" s="3" t="s">
        <v>2985</v>
      </c>
      <c r="H544" s="6" t="s">
        <v>2986</v>
      </c>
      <c r="I544" s="3" t="s">
        <v>2987</v>
      </c>
      <c r="J544" s="5" t="s">
        <v>4716</v>
      </c>
      <c r="K544" s="3" t="s">
        <v>5649</v>
      </c>
      <c r="L544" s="3" t="s">
        <v>2990</v>
      </c>
      <c r="M544" s="5">
        <v>2</v>
      </c>
      <c r="N544" s="21">
        <v>869.40430000000003</v>
      </c>
      <c r="O544" s="36" t="str">
        <f>HYPERLINK("http://ms.phosphosite.org:5080/cgi-bin/plot-msms.cgi?MassType=1&amp;NumAxis=1&amp;Mod7=170&amp;Mod9=160&amp;Pep=SQFEAQKICYEHR&amp;Dta=/var/www/html/dta/S01/10558.5092.2.dta&amp;Global_Mod=CS57.0215", "5092")</f>
        <v>5092</v>
      </c>
      <c r="P544" s="36" t="str">
        <f>HYPERLINK("http://ms.phosphosite.org:5080/cgi-bin/plot-msms.cgi?MassType=1&amp;NumAxis=1&amp;Mod7=170&amp;Mod9=160&amp;Pep=SQFEAQKICYEHR&amp;Dta=/var/www/html/dta/S01/10559.4983.2.dta&amp;Global_Mod=CS57.0215", "4983")</f>
        <v>4983</v>
      </c>
      <c r="Q544" s="35" t="s">
        <v>4854</v>
      </c>
      <c r="R544" s="35" t="s">
        <v>4854</v>
      </c>
      <c r="S544" s="36" t="str">
        <f>HYPERLINK("http://ms.phosphosite.org:5080/cgi-bin/plot-msms.cgi?MassType=1&amp;NumAxis=1&amp;Mod7=170&amp;Mod9=160&amp;Pep=SQFEAQKICYEHR&amp;Dta=/var/www/html/dta/S01/10562.5097.2.dta&amp;Global_Mod=CS57.0215", "5097")</f>
        <v>5097</v>
      </c>
      <c r="T544" s="35" t="s">
        <v>4854</v>
      </c>
      <c r="U544" s="35" t="s">
        <v>4854</v>
      </c>
      <c r="V544" s="35" t="s">
        <v>4854</v>
      </c>
      <c r="W544" s="5">
        <v>5063</v>
      </c>
      <c r="X544" s="5">
        <v>4987</v>
      </c>
      <c r="Y544" s="3" t="s">
        <v>4854</v>
      </c>
      <c r="Z544" s="3" t="s">
        <v>4854</v>
      </c>
      <c r="AA544" s="5">
        <v>5109</v>
      </c>
      <c r="AB544" s="3" t="s">
        <v>4854</v>
      </c>
      <c r="AC544" s="3" t="s">
        <v>4854</v>
      </c>
      <c r="AD544" s="3" t="s">
        <v>4854</v>
      </c>
      <c r="AE544" s="90">
        <v>3.1560000000000001</v>
      </c>
      <c r="AF544" s="90">
        <v>3.992</v>
      </c>
      <c r="AG544" s="99" t="s">
        <v>4854</v>
      </c>
      <c r="AH544" s="99" t="s">
        <v>4854</v>
      </c>
      <c r="AI544" s="90">
        <v>3.5840000000000001</v>
      </c>
      <c r="AJ544" s="99" t="s">
        <v>4854</v>
      </c>
      <c r="AK544" s="99" t="s">
        <v>4854</v>
      </c>
      <c r="AL544" s="99" t="s">
        <v>4854</v>
      </c>
      <c r="AM544" s="21">
        <v>0.13020000000000001</v>
      </c>
      <c r="AN544" s="21">
        <v>0.61529999999999996</v>
      </c>
      <c r="AO544" s="102" t="s">
        <v>4854</v>
      </c>
      <c r="AP544" s="102" t="s">
        <v>4854</v>
      </c>
      <c r="AQ544" s="21">
        <v>4.4400000000000002E-2</v>
      </c>
      <c r="AR544" s="102" t="s">
        <v>4854</v>
      </c>
      <c r="AS544" s="102" t="s">
        <v>4854</v>
      </c>
      <c r="AT544" s="102" t="s">
        <v>4854</v>
      </c>
      <c r="AU544" s="21">
        <v>0.43</v>
      </c>
      <c r="AV544" s="21">
        <v>0.48099999999999998</v>
      </c>
      <c r="AW544" s="102" t="s">
        <v>4854</v>
      </c>
      <c r="AX544" s="102" t="s">
        <v>4854</v>
      </c>
      <c r="AY544" s="21">
        <v>0.48499999999999999</v>
      </c>
      <c r="AZ544" s="102" t="s">
        <v>4854</v>
      </c>
      <c r="BA544" s="102" t="s">
        <v>4854</v>
      </c>
      <c r="BB544" s="102" t="s">
        <v>4854</v>
      </c>
      <c r="BC544" s="5">
        <v>1</v>
      </c>
      <c r="BD544" s="5">
        <v>1</v>
      </c>
      <c r="BE544" s="3" t="s">
        <v>4854</v>
      </c>
      <c r="BF544" s="3" t="s">
        <v>4854</v>
      </c>
      <c r="BG544" s="5">
        <v>1</v>
      </c>
      <c r="BH544" s="3" t="s">
        <v>4854</v>
      </c>
      <c r="BI544" s="3" t="s">
        <v>4854</v>
      </c>
      <c r="BJ544" s="3" t="s">
        <v>4854</v>
      </c>
      <c r="BK544" s="90">
        <v>1</v>
      </c>
      <c r="BL544" s="90">
        <v>1</v>
      </c>
      <c r="BM544" s="99" t="s">
        <v>4854</v>
      </c>
      <c r="BN544" s="99" t="s">
        <v>4854</v>
      </c>
      <c r="BO544" s="90">
        <v>1</v>
      </c>
      <c r="BP544" s="99" t="s">
        <v>4854</v>
      </c>
      <c r="BQ544" s="99" t="s">
        <v>4854</v>
      </c>
      <c r="BR544" s="99" t="s">
        <v>4854</v>
      </c>
      <c r="BS544" s="5" t="s">
        <v>4857</v>
      </c>
    </row>
    <row r="545" spans="1:71" s="30" customFormat="1" ht="17.100000000000001" customHeight="1">
      <c r="A545" s="14">
        <v>534</v>
      </c>
      <c r="B545" s="5" t="s">
        <v>2859</v>
      </c>
      <c r="C545" s="3" t="s">
        <v>3178</v>
      </c>
      <c r="D545" s="3" t="s">
        <v>2983</v>
      </c>
      <c r="E545" s="6" t="s">
        <v>2984</v>
      </c>
      <c r="F545" s="5" t="s">
        <v>3848</v>
      </c>
      <c r="G545" s="3" t="s">
        <v>2985</v>
      </c>
      <c r="H545" s="6" t="s">
        <v>2986</v>
      </c>
      <c r="I545" s="3" t="s">
        <v>2987</v>
      </c>
      <c r="J545" s="5" t="s">
        <v>4716</v>
      </c>
      <c r="K545" s="3" t="s">
        <v>5649</v>
      </c>
      <c r="L545" s="3" t="s">
        <v>2990</v>
      </c>
      <c r="M545" s="5">
        <v>3</v>
      </c>
      <c r="N545" s="21">
        <v>579.93859999999995</v>
      </c>
      <c r="O545" s="35" t="s">
        <v>4854</v>
      </c>
      <c r="P545" s="36" t="str">
        <f>HYPERLINK("http://ms.phosphosite.org:5080/cgi-bin/plot-msms.cgi?MassType=1&amp;NumAxis=1&amp;Mod7=170&amp;Mod9=160&amp;Pep=SQFEAQKICYEHR&amp;Dta=/var/www/html/dta/S01/10559.4990.3.dta&amp;Global_Mod=CS57.0215", "4990")</f>
        <v>4990</v>
      </c>
      <c r="Q545" s="36" t="str">
        <f>HYPERLINK("http://ms.phosphosite.org:5080/cgi-bin/plot-msms.cgi?MassType=1&amp;NumAxis=1&amp;Mod7=170&amp;Mod9=160&amp;Pep=SQFEAQKICYEHR&amp;Dta=/var/www/html/dta/S01/10560.4970.3.dta&amp;Global_Mod=CS57.0215", "4970")</f>
        <v>4970</v>
      </c>
      <c r="R545" s="36" t="str">
        <f>HYPERLINK("http://ms.phosphosite.org:5080/cgi-bin/plot-msms.cgi?MassType=1&amp;NumAxis=1&amp;Mod7=170&amp;Mod9=160&amp;Pep=SQFEAQKICYEHR&amp;Dta=/var/www/html/dta/S01/10561.5008.3.dta&amp;Global_Mod=CS57.0215", "5008")</f>
        <v>5008</v>
      </c>
      <c r="S545" s="36" t="str">
        <f>HYPERLINK("http://ms.phosphosite.org:5080/cgi-bin/plot-msms.cgi?MassType=1&amp;NumAxis=1&amp;Mod7=170&amp;Mod9=160&amp;Pep=SQFEAQKICYEHR&amp;Dta=/var/www/html/dta/S01/10562.5121.3.dta&amp;Global_Mod=CS57.0215", "5121")</f>
        <v>5121</v>
      </c>
      <c r="T545" s="36" t="str">
        <f>HYPERLINK("http://ms.phosphosite.org:5080/cgi-bin/plot-msms.cgi?MassType=1&amp;NumAxis=1&amp;Mod7=170&amp;Mod9=160&amp;Pep=SQFEAQKICYEHR&amp;Dta=/var/www/html/dta/S01/10563.5046.3.dta&amp;Global_Mod=CS57.0215", "5046")</f>
        <v>5046</v>
      </c>
      <c r="U545" s="36" t="str">
        <f>HYPERLINK("http://ms.phosphosite.org:5080/cgi-bin/plot-msms.cgi?MassType=1&amp;NumAxis=1&amp;Mod7=170&amp;Mod9=160&amp;Pep=SQFEAQKICYEHR&amp;Dta=/var/www/html/dta/S01/10564.5366.3.dta&amp;Global_Mod=CS57.0215", "5366")</f>
        <v>5366</v>
      </c>
      <c r="V545" s="36" t="str">
        <f>HYPERLINK("http://ms.phosphosite.org:5080/cgi-bin/plot-msms.cgi?MassType=1&amp;NumAxis=1&amp;Mod7=170&amp;Mod9=160&amp;Pep=SQFEAQKICYEHR&amp;Dta=/var/www/html/dta/S01/10565.5495.3.dta&amp;Global_Mod=CS57.0215", "5495")</f>
        <v>5495</v>
      </c>
      <c r="W545" s="3" t="s">
        <v>4854</v>
      </c>
      <c r="X545" s="5">
        <v>4987</v>
      </c>
      <c r="Y545" s="3" t="s">
        <v>4854</v>
      </c>
      <c r="Z545" s="5">
        <v>5007</v>
      </c>
      <c r="AA545" s="5">
        <v>5109</v>
      </c>
      <c r="AB545" s="5">
        <v>5034</v>
      </c>
      <c r="AC545" s="5">
        <v>5374</v>
      </c>
      <c r="AD545" s="5">
        <v>5493</v>
      </c>
      <c r="AE545" s="99" t="s">
        <v>4854</v>
      </c>
      <c r="AF545" s="90">
        <v>2.226</v>
      </c>
      <c r="AG545" s="90">
        <v>1.742</v>
      </c>
      <c r="AH545" s="90">
        <v>1.9510000000000001</v>
      </c>
      <c r="AI545" s="90">
        <v>2.4950000000000001</v>
      </c>
      <c r="AJ545" s="90">
        <v>1.6910000000000001</v>
      </c>
      <c r="AK545" s="90">
        <v>1.704</v>
      </c>
      <c r="AL545" s="90">
        <v>1.9550000000000001</v>
      </c>
      <c r="AM545" s="102" t="s">
        <v>4854</v>
      </c>
      <c r="AN545" s="21">
        <v>-0.22489999999999999</v>
      </c>
      <c r="AO545" s="21">
        <v>-0.21909999999999999</v>
      </c>
      <c r="AP545" s="21">
        <v>-0.1115</v>
      </c>
      <c r="AQ545" s="21">
        <v>-0.33879999999999999</v>
      </c>
      <c r="AR545" s="21">
        <v>-0.1598</v>
      </c>
      <c r="AS545" s="21">
        <v>-0.19439999999999999</v>
      </c>
      <c r="AT545" s="21">
        <v>-0.45040000000000002</v>
      </c>
      <c r="AU545" s="102" t="s">
        <v>4854</v>
      </c>
      <c r="AV545" s="21">
        <v>0.222</v>
      </c>
      <c r="AW545" s="21">
        <v>0</v>
      </c>
      <c r="AX545" s="21">
        <v>0.183</v>
      </c>
      <c r="AY545" s="21">
        <v>0.39700000000000002</v>
      </c>
      <c r="AZ545" s="21">
        <v>0.13400000000000001</v>
      </c>
      <c r="BA545" s="21">
        <v>0.14199999999999999</v>
      </c>
      <c r="BB545" s="21">
        <v>0.219</v>
      </c>
      <c r="BC545" s="3" t="s">
        <v>4854</v>
      </c>
      <c r="BD545" s="5">
        <v>1</v>
      </c>
      <c r="BE545" s="5">
        <v>1</v>
      </c>
      <c r="BF545" s="5">
        <v>1</v>
      </c>
      <c r="BG545" s="5">
        <v>1</v>
      </c>
      <c r="BH545" s="5">
        <v>1</v>
      </c>
      <c r="BI545" s="5">
        <v>1</v>
      </c>
      <c r="BJ545" s="5">
        <v>1</v>
      </c>
      <c r="BK545" s="99" t="s">
        <v>4854</v>
      </c>
      <c r="BL545" s="90">
        <v>0.997</v>
      </c>
      <c r="BM545" s="90">
        <v>0.86499999999999999</v>
      </c>
      <c r="BN545" s="90">
        <v>0.99199999999999999</v>
      </c>
      <c r="BO545" s="90">
        <v>1</v>
      </c>
      <c r="BP545" s="90">
        <v>0.97299999999999998</v>
      </c>
      <c r="BQ545" s="90">
        <v>0.97699999999999998</v>
      </c>
      <c r="BR545" s="90">
        <v>0.99</v>
      </c>
      <c r="BS545" s="5" t="s">
        <v>4857</v>
      </c>
    </row>
    <row r="546" spans="1:71" s="30" customFormat="1" ht="17.100000000000001" customHeight="1">
      <c r="A546" s="10">
        <v>535</v>
      </c>
      <c r="B546" s="10" t="s">
        <v>2860</v>
      </c>
      <c r="C546" s="4" t="s">
        <v>3178</v>
      </c>
      <c r="D546" s="4" t="s">
        <v>2983</v>
      </c>
      <c r="E546" s="7" t="s">
        <v>2984</v>
      </c>
      <c r="F546" s="10" t="s">
        <v>4533</v>
      </c>
      <c r="G546" s="4" t="s">
        <v>2985</v>
      </c>
      <c r="H546" s="7" t="s">
        <v>2986</v>
      </c>
      <c r="I546" s="4" t="s">
        <v>2987</v>
      </c>
      <c r="J546" s="10" t="s">
        <v>4716</v>
      </c>
      <c r="K546" s="4" t="s">
        <v>5650</v>
      </c>
      <c r="L546" s="4" t="s">
        <v>2861</v>
      </c>
      <c r="M546" s="10">
        <v>2</v>
      </c>
      <c r="N546" s="95">
        <v>425.24509999999998</v>
      </c>
      <c r="O546" s="37" t="str">
        <f>HYPERLINK("http://ms.phosphosite.org:5080/cgi-bin/plot-msms.cgi?MassType=1&amp;NumAxis=1&amp;Mod1=170&amp;Pep=KYNVGVK&amp;Dta=/var/www/html/dta/S01/10558.2810.2.dta&amp;Global_Mod=CS57.0215", "2810")</f>
        <v>2810</v>
      </c>
      <c r="P546" s="37" t="str">
        <f>HYPERLINK("http://ms.phosphosite.org:5080/cgi-bin/plot-msms.cgi?MassType=1&amp;NumAxis=1&amp;Mod1=170&amp;Pep=KYNVGVK&amp;Dta=/var/www/html/dta/S01/10559.2752.2.dta&amp;Global_Mod=CS57.0215", "2752")</f>
        <v>2752</v>
      </c>
      <c r="Q546" s="38" t="s">
        <v>4854</v>
      </c>
      <c r="R546" s="37" t="str">
        <f>HYPERLINK("http://ms.phosphosite.org:5080/cgi-bin/plot-msms.cgi?MassType=1&amp;NumAxis=1&amp;Mod1=170&amp;Pep=KYNVGVK&amp;Dta=/var/www/html/dta/S01/10561.2764.2.dta&amp;Global_Mod=CS57.0215", "2764")</f>
        <v>2764</v>
      </c>
      <c r="S546" s="38" t="s">
        <v>4854</v>
      </c>
      <c r="T546" s="38" t="s">
        <v>4854</v>
      </c>
      <c r="U546" s="37" t="str">
        <f>HYPERLINK("http://ms.phosphosite.org:5080/cgi-bin/plot-msms.cgi?MassType=1&amp;NumAxis=1&amp;Mod1=170&amp;Pep=KYNVGVK&amp;Dta=/var/www/html/dta/S01/10564.3109.2.dta&amp;Global_Mod=CS57.0215", "3109")</f>
        <v>3109</v>
      </c>
      <c r="V546" s="38" t="s">
        <v>4854</v>
      </c>
      <c r="W546" s="10">
        <v>2829</v>
      </c>
      <c r="X546" s="10">
        <v>2759</v>
      </c>
      <c r="Y546" s="4" t="s">
        <v>4854</v>
      </c>
      <c r="Z546" s="10">
        <v>2773</v>
      </c>
      <c r="AA546" s="4" t="s">
        <v>4854</v>
      </c>
      <c r="AB546" s="4" t="s">
        <v>4854</v>
      </c>
      <c r="AC546" s="10">
        <v>3105</v>
      </c>
      <c r="AD546" s="4" t="s">
        <v>4854</v>
      </c>
      <c r="AE546" s="91">
        <v>2.3170000000000002</v>
      </c>
      <c r="AF546" s="91">
        <v>2.5219999999999998</v>
      </c>
      <c r="AG546" s="100" t="s">
        <v>4854</v>
      </c>
      <c r="AH546" s="91">
        <v>2.5880000000000001</v>
      </c>
      <c r="AI546" s="100" t="s">
        <v>4854</v>
      </c>
      <c r="AJ546" s="100" t="s">
        <v>4854</v>
      </c>
      <c r="AK546" s="91">
        <v>2.54</v>
      </c>
      <c r="AL546" s="100" t="s">
        <v>4854</v>
      </c>
      <c r="AM546" s="95">
        <v>9.6100000000000005E-2</v>
      </c>
      <c r="AN546" s="95">
        <v>0.85060000000000002</v>
      </c>
      <c r="AO546" s="103" t="s">
        <v>4854</v>
      </c>
      <c r="AP546" s="95">
        <v>0.5575</v>
      </c>
      <c r="AQ546" s="103" t="s">
        <v>4854</v>
      </c>
      <c r="AR546" s="103" t="s">
        <v>4854</v>
      </c>
      <c r="AS546" s="95">
        <v>1.0920000000000001</v>
      </c>
      <c r="AT546" s="103" t="s">
        <v>4854</v>
      </c>
      <c r="AU546" s="95">
        <v>9.5000000000000001E-2</v>
      </c>
      <c r="AV546" s="95">
        <v>0.187</v>
      </c>
      <c r="AW546" s="103" t="s">
        <v>4854</v>
      </c>
      <c r="AX546" s="95">
        <v>0.10100000000000001</v>
      </c>
      <c r="AY546" s="103" t="s">
        <v>4854</v>
      </c>
      <c r="AZ546" s="103" t="s">
        <v>4854</v>
      </c>
      <c r="BA546" s="95">
        <v>0.16600000000000001</v>
      </c>
      <c r="BB546" s="103" t="s">
        <v>4854</v>
      </c>
      <c r="BC546" s="10">
        <v>4</v>
      </c>
      <c r="BD546" s="10">
        <v>3</v>
      </c>
      <c r="BE546" s="4" t="s">
        <v>4854</v>
      </c>
      <c r="BF546" s="10">
        <v>4</v>
      </c>
      <c r="BG546" s="4" t="s">
        <v>4854</v>
      </c>
      <c r="BH546" s="4" t="s">
        <v>4854</v>
      </c>
      <c r="BI546" s="10">
        <v>1</v>
      </c>
      <c r="BJ546" s="4" t="s">
        <v>4854</v>
      </c>
      <c r="BK546" s="91">
        <v>0.999</v>
      </c>
      <c r="BL546" s="91">
        <v>1</v>
      </c>
      <c r="BM546" s="100" t="s">
        <v>4854</v>
      </c>
      <c r="BN546" s="91">
        <v>0.999</v>
      </c>
      <c r="BO546" s="100" t="s">
        <v>4854</v>
      </c>
      <c r="BP546" s="100" t="s">
        <v>4854</v>
      </c>
      <c r="BQ546" s="91">
        <v>1</v>
      </c>
      <c r="BR546" s="100" t="s">
        <v>4854</v>
      </c>
      <c r="BS546" s="10" t="s">
        <v>4857</v>
      </c>
    </row>
    <row r="547" spans="1:71" s="30" customFormat="1" ht="17.100000000000001" customHeight="1">
      <c r="A547" s="14">
        <v>536</v>
      </c>
      <c r="B547" s="5" t="s">
        <v>2862</v>
      </c>
      <c r="C547" s="3" t="s">
        <v>3178</v>
      </c>
      <c r="D547" s="3" t="s">
        <v>2983</v>
      </c>
      <c r="E547" s="6" t="s">
        <v>2984</v>
      </c>
      <c r="F547" s="5" t="s">
        <v>4998</v>
      </c>
      <c r="G547" s="3" t="s">
        <v>2985</v>
      </c>
      <c r="H547" s="6" t="s">
        <v>2986</v>
      </c>
      <c r="I547" s="3" t="s">
        <v>2987</v>
      </c>
      <c r="J547" s="5" t="s">
        <v>4716</v>
      </c>
      <c r="K547" s="3" t="s">
        <v>5651</v>
      </c>
      <c r="L547" s="3" t="s">
        <v>2863</v>
      </c>
      <c r="M547" s="5">
        <v>2</v>
      </c>
      <c r="N547" s="21">
        <v>616.80060000000003</v>
      </c>
      <c r="O547" s="36" t="str">
        <f>HYPERLINK("http://ms.phosphosite.org:5080/cgi-bin/plot-msms.cgi?MassType=1&amp;NumAxis=1&amp;Mod1=160&amp;Mod9=170&amp;Pep=CATITPDEKR&amp;Dta=/var/www/html/dta/S01/10558.2821.2.dta&amp;Global_Mod=CS57.0215", "2821")</f>
        <v>2821</v>
      </c>
      <c r="P547" s="36" t="str">
        <f>HYPERLINK("http://ms.phosphosite.org:5080/cgi-bin/plot-msms.cgi?MassType=1&amp;NumAxis=1&amp;Mod1=160&amp;Mod9=170&amp;Pep=CATITPDEKR&amp;Dta=/var/www/html/dta/S01/10559.2772.2.dta&amp;Global_Mod=CS57.0215", "2772")</f>
        <v>2772</v>
      </c>
      <c r="Q547" s="36" t="str">
        <f>HYPERLINK("http://ms.phosphosite.org:5080/cgi-bin/plot-msms.cgi?MassType=1&amp;NumAxis=1&amp;Mod1=160&amp;Mod9=170&amp;Pep=CATITPDEKR&amp;Dta=/var/www/html/dta/S01/10560.2753.2.dta&amp;Global_Mod=CS57.0215", "2753")</f>
        <v>2753</v>
      </c>
      <c r="R547" s="36" t="str">
        <f>HYPERLINK("http://ms.phosphosite.org:5080/cgi-bin/plot-msms.cgi?MassType=1&amp;NumAxis=1&amp;Mod1=160&amp;Mod9=170&amp;Pep=CATITPDEKR&amp;Dta=/var/www/html/dta/S01/10561.2778.2.dta&amp;Global_Mod=CS57.0215", "2778")</f>
        <v>2778</v>
      </c>
      <c r="S547" s="36" t="str">
        <f>HYPERLINK("http://ms.phosphosite.org:5080/cgi-bin/plot-msms.cgi?MassType=1&amp;NumAxis=1&amp;Mod1=160&amp;Mod9=170&amp;Pep=CATITPDEKR&amp;Dta=/var/www/html/dta/S01/10562.2862.2.dta&amp;Global_Mod=CS57.0215", "2862")</f>
        <v>2862</v>
      </c>
      <c r="T547" s="36" t="str">
        <f>HYPERLINK("http://ms.phosphosite.org:5080/cgi-bin/plot-msms.cgi?MassType=1&amp;NumAxis=1&amp;Mod1=160&amp;Mod9=170&amp;Pep=CATITPDEKR&amp;Dta=/var/www/html/dta/S01/10563.2799.2.dta&amp;Global_Mod=CS57.0215", "2799")</f>
        <v>2799</v>
      </c>
      <c r="U547" s="36" t="str">
        <f>HYPERLINK("http://ms.phosphosite.org:5080/cgi-bin/plot-msms.cgi?MassType=1&amp;NumAxis=1&amp;Mod1=160&amp;Mod9=170&amp;Pep=CATITPDEKR&amp;Dta=/var/www/html/dta/S01/10564.3099.2.dta&amp;Global_Mod=CS57.0215", "3099")</f>
        <v>3099</v>
      </c>
      <c r="V547" s="36" t="str">
        <f>HYPERLINK("http://ms.phosphosite.org:5080/cgi-bin/plot-msms.cgi?MassType=1&amp;NumAxis=1&amp;Mod1=160&amp;Mod9=170&amp;Pep=CATITPDEKR&amp;Dta=/var/www/html/dta/S01/10565.3172.2.dta&amp;Global_Mod=CS57.0215", "3172")</f>
        <v>3172</v>
      </c>
      <c r="W547" s="5">
        <v>2840</v>
      </c>
      <c r="X547" s="5">
        <v>2792</v>
      </c>
      <c r="Y547" s="5">
        <v>2768</v>
      </c>
      <c r="Z547" s="5">
        <v>2806</v>
      </c>
      <c r="AA547" s="5">
        <v>2877</v>
      </c>
      <c r="AB547" s="5">
        <v>2807</v>
      </c>
      <c r="AC547" s="5">
        <v>3116</v>
      </c>
      <c r="AD547" s="5">
        <v>3176</v>
      </c>
      <c r="AE547" s="90">
        <v>2.6659999999999999</v>
      </c>
      <c r="AF547" s="90">
        <v>2.46</v>
      </c>
      <c r="AG547" s="90">
        <v>2.2189999999999999</v>
      </c>
      <c r="AH547" s="90">
        <v>2.694</v>
      </c>
      <c r="AI547" s="90">
        <v>2.5059999999999998</v>
      </c>
      <c r="AJ547" s="90">
        <v>2.528</v>
      </c>
      <c r="AK547" s="90">
        <v>2.4239999999999999</v>
      </c>
      <c r="AL547" s="90">
        <v>2.4489999999999998</v>
      </c>
      <c r="AM547" s="21">
        <v>-0.30320000000000003</v>
      </c>
      <c r="AN547" s="21">
        <v>-0.36170000000000002</v>
      </c>
      <c r="AO547" s="21">
        <v>9.7500000000000003E-2</v>
      </c>
      <c r="AP547" s="21">
        <v>0.42609999999999998</v>
      </c>
      <c r="AQ547" s="21">
        <v>0.16489999999999999</v>
      </c>
      <c r="AR547" s="21">
        <v>0.23139999999999999</v>
      </c>
      <c r="AS547" s="21">
        <v>-0.1288</v>
      </c>
      <c r="AT547" s="21">
        <v>-0.29509999999999997</v>
      </c>
      <c r="AU547" s="21">
        <v>0.17399999999999999</v>
      </c>
      <c r="AV547" s="21">
        <v>0.17699999999999999</v>
      </c>
      <c r="AW547" s="21">
        <v>0.215</v>
      </c>
      <c r="AX547" s="21">
        <v>0.221</v>
      </c>
      <c r="AY547" s="21">
        <v>0.219</v>
      </c>
      <c r="AZ547" s="21">
        <v>0.216</v>
      </c>
      <c r="BA547" s="21">
        <v>0.188</v>
      </c>
      <c r="BB547" s="21">
        <v>0.21199999999999999</v>
      </c>
      <c r="BC547" s="5">
        <v>2</v>
      </c>
      <c r="BD547" s="5">
        <v>1</v>
      </c>
      <c r="BE547" s="5">
        <v>2</v>
      </c>
      <c r="BF547" s="5">
        <v>3</v>
      </c>
      <c r="BG547" s="5">
        <v>1</v>
      </c>
      <c r="BH547" s="5">
        <v>1</v>
      </c>
      <c r="BI547" s="5">
        <v>1</v>
      </c>
      <c r="BJ547" s="5">
        <v>2</v>
      </c>
      <c r="BK547" s="90">
        <v>1</v>
      </c>
      <c r="BL547" s="90">
        <v>1</v>
      </c>
      <c r="BM547" s="90">
        <v>0.999</v>
      </c>
      <c r="BN547" s="90">
        <v>1</v>
      </c>
      <c r="BO547" s="90">
        <v>1</v>
      </c>
      <c r="BP547" s="90">
        <v>1</v>
      </c>
      <c r="BQ547" s="90">
        <v>1</v>
      </c>
      <c r="BR547" s="90">
        <v>1</v>
      </c>
      <c r="BS547" s="5" t="s">
        <v>4857</v>
      </c>
    </row>
    <row r="548" spans="1:71" s="30" customFormat="1" ht="17.100000000000001" customHeight="1">
      <c r="A548" s="10">
        <v>537</v>
      </c>
      <c r="B548" s="10" t="s">
        <v>2864</v>
      </c>
      <c r="C548" s="4" t="s">
        <v>3178</v>
      </c>
      <c r="D548" s="4" t="s">
        <v>2865</v>
      </c>
      <c r="E548" s="4" t="s">
        <v>2866</v>
      </c>
      <c r="F548" s="10" t="s">
        <v>5165</v>
      </c>
      <c r="G548" s="4" t="s">
        <v>2867</v>
      </c>
      <c r="H548" s="7" t="s">
        <v>2868</v>
      </c>
      <c r="I548" s="4" t="s">
        <v>2869</v>
      </c>
      <c r="J548" s="10" t="s">
        <v>4666</v>
      </c>
      <c r="K548" s="4" t="s">
        <v>5652</v>
      </c>
      <c r="L548" s="4" t="s">
        <v>2870</v>
      </c>
      <c r="M548" s="10">
        <v>2</v>
      </c>
      <c r="N548" s="95">
        <v>731.33759999999995</v>
      </c>
      <c r="O548" s="37" t="str">
        <f>HYPERLINK("http://ms.phosphosite.org:5080/cgi-bin/plot-msms.cgi?MassType=1&amp;NumAxis=1&amp;Mod3=160&amp;Mod7=170&amp;Pep=SYCYVSKEEVR&amp;Dta=/var/www/html/dta/S01/10558.5334.2.dta&amp;Global_Mod=CS57.0215", "5334")</f>
        <v>5334</v>
      </c>
      <c r="P548" s="38" t="s">
        <v>4854</v>
      </c>
      <c r="Q548" s="38" t="s">
        <v>4854</v>
      </c>
      <c r="R548" s="38" t="s">
        <v>4854</v>
      </c>
      <c r="S548" s="38" t="s">
        <v>4854</v>
      </c>
      <c r="T548" s="38" t="s">
        <v>4854</v>
      </c>
      <c r="U548" s="38" t="s">
        <v>4854</v>
      </c>
      <c r="V548" s="38" t="s">
        <v>4854</v>
      </c>
      <c r="W548" s="10">
        <v>5316</v>
      </c>
      <c r="X548" s="4" t="s">
        <v>4854</v>
      </c>
      <c r="Y548" s="4" t="s">
        <v>4854</v>
      </c>
      <c r="Z548" s="4" t="s">
        <v>4854</v>
      </c>
      <c r="AA548" s="4" t="s">
        <v>4854</v>
      </c>
      <c r="AB548" s="4" t="s">
        <v>4854</v>
      </c>
      <c r="AC548" s="4" t="s">
        <v>4854</v>
      </c>
      <c r="AD548" s="4" t="s">
        <v>4854</v>
      </c>
      <c r="AE548" s="91">
        <v>3.6120000000000001</v>
      </c>
      <c r="AF548" s="100" t="s">
        <v>4854</v>
      </c>
      <c r="AG548" s="100" t="s">
        <v>4854</v>
      </c>
      <c r="AH548" s="100" t="s">
        <v>4854</v>
      </c>
      <c r="AI548" s="100" t="s">
        <v>4854</v>
      </c>
      <c r="AJ548" s="100" t="s">
        <v>4854</v>
      </c>
      <c r="AK548" s="100" t="s">
        <v>4854</v>
      </c>
      <c r="AL548" s="100" t="s">
        <v>4854</v>
      </c>
      <c r="AM548" s="95">
        <v>0.15670000000000001</v>
      </c>
      <c r="AN548" s="103" t="s">
        <v>4854</v>
      </c>
      <c r="AO548" s="103" t="s">
        <v>4854</v>
      </c>
      <c r="AP548" s="103" t="s">
        <v>4854</v>
      </c>
      <c r="AQ548" s="103" t="s">
        <v>4854</v>
      </c>
      <c r="AR548" s="103" t="s">
        <v>4854</v>
      </c>
      <c r="AS548" s="103" t="s">
        <v>4854</v>
      </c>
      <c r="AT548" s="103" t="s">
        <v>4854</v>
      </c>
      <c r="AU548" s="95">
        <v>0.28399999999999997</v>
      </c>
      <c r="AV548" s="103" t="s">
        <v>4854</v>
      </c>
      <c r="AW548" s="103" t="s">
        <v>4854</v>
      </c>
      <c r="AX548" s="103" t="s">
        <v>4854</v>
      </c>
      <c r="AY548" s="103" t="s">
        <v>4854</v>
      </c>
      <c r="AZ548" s="103" t="s">
        <v>4854</v>
      </c>
      <c r="BA548" s="103" t="s">
        <v>4854</v>
      </c>
      <c r="BB548" s="103" t="s">
        <v>4854</v>
      </c>
      <c r="BC548" s="10">
        <v>1</v>
      </c>
      <c r="BD548" s="4" t="s">
        <v>4854</v>
      </c>
      <c r="BE548" s="4" t="s">
        <v>4854</v>
      </c>
      <c r="BF548" s="4" t="s">
        <v>4854</v>
      </c>
      <c r="BG548" s="4" t="s">
        <v>4854</v>
      </c>
      <c r="BH548" s="4" t="s">
        <v>4854</v>
      </c>
      <c r="BI548" s="4" t="s">
        <v>4854</v>
      </c>
      <c r="BJ548" s="4" t="s">
        <v>4854</v>
      </c>
      <c r="BK548" s="91">
        <v>1</v>
      </c>
      <c r="BL548" s="100" t="s">
        <v>4854</v>
      </c>
      <c r="BM548" s="100" t="s">
        <v>4854</v>
      </c>
      <c r="BN548" s="100" t="s">
        <v>4854</v>
      </c>
      <c r="BO548" s="100" t="s">
        <v>4854</v>
      </c>
      <c r="BP548" s="100" t="s">
        <v>4854</v>
      </c>
      <c r="BQ548" s="100" t="s">
        <v>4854</v>
      </c>
      <c r="BR548" s="100" t="s">
        <v>4854</v>
      </c>
      <c r="BS548" s="10" t="s">
        <v>4857</v>
      </c>
    </row>
    <row r="549" spans="1:71" s="30" customFormat="1" ht="17.100000000000001" customHeight="1">
      <c r="A549" s="14">
        <v>538</v>
      </c>
      <c r="B549" s="5" t="s">
        <v>2871</v>
      </c>
      <c r="C549" s="3" t="s">
        <v>3178</v>
      </c>
      <c r="D549" s="3" t="s">
        <v>2872</v>
      </c>
      <c r="E549" s="3" t="s">
        <v>2873</v>
      </c>
      <c r="F549" s="5" t="s">
        <v>5184</v>
      </c>
      <c r="G549" s="3" t="s">
        <v>2874</v>
      </c>
      <c r="H549" s="6" t="s">
        <v>2875</v>
      </c>
      <c r="I549" s="3" t="s">
        <v>2876</v>
      </c>
      <c r="J549" s="5" t="s">
        <v>4696</v>
      </c>
      <c r="K549" s="3" t="s">
        <v>5653</v>
      </c>
      <c r="L549" s="3" t="s">
        <v>2877</v>
      </c>
      <c r="M549" s="5">
        <v>2</v>
      </c>
      <c r="N549" s="21">
        <v>619.32479999999998</v>
      </c>
      <c r="O549" s="36" t="str">
        <f>HYPERLINK("http://ms.phosphosite.org:5080/cgi-bin/plot-msms.cgi?MassType=1&amp;NumAxis=1&amp;Mod8=170&amp;Pep=SQGTALEKYAK&amp;Dta=/var/www/html/dta/S01/10558.4555.2.dta&amp;Global_Mod=CS57.0215", "4555")</f>
        <v>4555</v>
      </c>
      <c r="P549" s="36" t="str">
        <f>HYPERLINK("http://ms.phosphosite.org:5080/cgi-bin/plot-msms.cgi?MassType=1&amp;NumAxis=1&amp;Mod8=170&amp;Pep=SQGTALEKYAK&amp;Dta=/var/www/html/dta/S01/10559.4462.2.dta&amp;Global_Mod=CS57.0215", "4462")</f>
        <v>4462</v>
      </c>
      <c r="Q549" s="36" t="str">
        <f>HYPERLINK("http://ms.phosphosite.org:5080/cgi-bin/plot-msms.cgi?MassType=1&amp;NumAxis=1&amp;Mod8=170&amp;Pep=SQGTALEKYAK&amp;Dta=/var/www/html/dta/S01/10560.4447.2.dta&amp;Global_Mod=CS57.0215", "4447")</f>
        <v>4447</v>
      </c>
      <c r="R549" s="36" t="str">
        <f>HYPERLINK("http://ms.phosphosite.org:5080/cgi-bin/plot-msms.cgi?MassType=1&amp;NumAxis=1&amp;Mod8=170&amp;Pep=SQGTALEKYAK&amp;Dta=/var/www/html/dta/S01/10561.4469.2.dta&amp;Global_Mod=CS57.0215", "4469")</f>
        <v>4469</v>
      </c>
      <c r="S549" s="36" t="str">
        <f>HYPERLINK("http://ms.phosphosite.org:5080/cgi-bin/plot-msms.cgi?MassType=1&amp;NumAxis=1&amp;Mod8=170&amp;Pep=SQGTALEKYAK&amp;Dta=/var/www/html/dta/S01/10562.4598.2.dta&amp;Global_Mod=CS57.0215", "4598")</f>
        <v>4598</v>
      </c>
      <c r="T549" s="36" t="str">
        <f>HYPERLINK("http://ms.phosphosite.org:5080/cgi-bin/plot-msms.cgi?MassType=1&amp;NumAxis=1&amp;Mod8=170&amp;Pep=SQGTALEKYAK&amp;Dta=/var/www/html/dta/S01/10563.4520.2.dta&amp;Global_Mod=CS57.0215", "4520")</f>
        <v>4520</v>
      </c>
      <c r="U549" s="36" t="str">
        <f>HYPERLINK("http://ms.phosphosite.org:5080/cgi-bin/plot-msms.cgi?MassType=1&amp;NumAxis=1&amp;Mod8=170&amp;Pep=SQGTALEKYAK&amp;Dta=/var/www/html/dta/S01/10564.4869.2.dta&amp;Global_Mod=CS57.0215", "4869")</f>
        <v>4869</v>
      </c>
      <c r="V549" s="36" t="str">
        <f>HYPERLINK("http://ms.phosphosite.org:5080/cgi-bin/plot-msms.cgi?MassType=1&amp;NumAxis=1&amp;Mod8=170&amp;Pep=SQGTALEKYAK&amp;Dta=/var/www/html/dta/S01/10565.4971.2.dta&amp;Global_Mod=CS57.0215", "4971")</f>
        <v>4971</v>
      </c>
      <c r="W549" s="5">
        <v>4564</v>
      </c>
      <c r="X549" s="5">
        <v>4448</v>
      </c>
      <c r="Y549" s="5">
        <v>4444</v>
      </c>
      <c r="Z549" s="5">
        <v>4479</v>
      </c>
      <c r="AA549" s="5">
        <v>4586</v>
      </c>
      <c r="AB549" s="5">
        <v>4530</v>
      </c>
      <c r="AC549" s="5">
        <v>4879</v>
      </c>
      <c r="AD549" s="5">
        <v>4990</v>
      </c>
      <c r="AE549" s="90">
        <v>3.2160000000000002</v>
      </c>
      <c r="AF549" s="90">
        <v>3.528</v>
      </c>
      <c r="AG549" s="90">
        <v>3.7719999999999998</v>
      </c>
      <c r="AH549" s="90">
        <v>3.3769999999999998</v>
      </c>
      <c r="AI549" s="90">
        <v>3.2970000000000002</v>
      </c>
      <c r="AJ549" s="90">
        <v>3.6309999999999998</v>
      </c>
      <c r="AK549" s="90">
        <v>3.3530000000000002</v>
      </c>
      <c r="AL549" s="90">
        <v>3.3170000000000002</v>
      </c>
      <c r="AM549" s="21">
        <v>9.4399999999999998E-2</v>
      </c>
      <c r="AN549" s="21">
        <v>6.6100000000000006E-2</v>
      </c>
      <c r="AO549" s="21">
        <v>0.29799999999999999</v>
      </c>
      <c r="AP549" s="21">
        <v>0.24310000000000001</v>
      </c>
      <c r="AQ549" s="21">
        <v>7.1800000000000003E-2</v>
      </c>
      <c r="AR549" s="21">
        <v>0.1041</v>
      </c>
      <c r="AS549" s="21">
        <v>0.14530000000000001</v>
      </c>
      <c r="AT549" s="21">
        <v>0.21160000000000001</v>
      </c>
      <c r="AU549" s="21">
        <v>0.40799999999999997</v>
      </c>
      <c r="AV549" s="21">
        <v>0.45300000000000001</v>
      </c>
      <c r="AW549" s="21">
        <v>0.435</v>
      </c>
      <c r="AX549" s="21">
        <v>0.42899999999999999</v>
      </c>
      <c r="AY549" s="21">
        <v>0.39900000000000002</v>
      </c>
      <c r="AZ549" s="21">
        <v>0.38600000000000001</v>
      </c>
      <c r="BA549" s="21">
        <v>0.45600000000000002</v>
      </c>
      <c r="BB549" s="21">
        <v>0.38</v>
      </c>
      <c r="BC549" s="5">
        <v>1</v>
      </c>
      <c r="BD549" s="5">
        <v>1</v>
      </c>
      <c r="BE549" s="5">
        <v>1</v>
      </c>
      <c r="BF549" s="5">
        <v>1</v>
      </c>
      <c r="BG549" s="5">
        <v>1</v>
      </c>
      <c r="BH549" s="5">
        <v>1</v>
      </c>
      <c r="BI549" s="5">
        <v>1</v>
      </c>
      <c r="BJ549" s="5">
        <v>1</v>
      </c>
      <c r="BK549" s="90">
        <v>1</v>
      </c>
      <c r="BL549" s="90">
        <v>1</v>
      </c>
      <c r="BM549" s="90">
        <v>1</v>
      </c>
      <c r="BN549" s="90">
        <v>1</v>
      </c>
      <c r="BO549" s="90">
        <v>1</v>
      </c>
      <c r="BP549" s="90">
        <v>1</v>
      </c>
      <c r="BQ549" s="90">
        <v>1</v>
      </c>
      <c r="BR549" s="90">
        <v>1</v>
      </c>
      <c r="BS549" s="5" t="s">
        <v>4857</v>
      </c>
    </row>
    <row r="550" spans="1:71" s="30" customFormat="1" ht="17.100000000000001" customHeight="1">
      <c r="A550" s="10">
        <v>539</v>
      </c>
      <c r="B550" s="10" t="s">
        <v>2878</v>
      </c>
      <c r="C550" s="4" t="s">
        <v>3178</v>
      </c>
      <c r="D550" s="4" t="s">
        <v>2879</v>
      </c>
      <c r="E550" s="4" t="s">
        <v>2880</v>
      </c>
      <c r="F550" s="10" t="s">
        <v>2881</v>
      </c>
      <c r="G550" s="4" t="s">
        <v>2882</v>
      </c>
      <c r="H550" s="7" t="s">
        <v>2883</v>
      </c>
      <c r="I550" s="4" t="s">
        <v>2884</v>
      </c>
      <c r="J550" s="10" t="s">
        <v>4443</v>
      </c>
      <c r="K550" s="4" t="s">
        <v>5654</v>
      </c>
      <c r="L550" s="4" t="s">
        <v>2885</v>
      </c>
      <c r="M550" s="10">
        <v>3</v>
      </c>
      <c r="N550" s="95">
        <v>637.35199999999998</v>
      </c>
      <c r="O550" s="38" t="s">
        <v>4854</v>
      </c>
      <c r="P550" s="37" t="str">
        <f>HYPERLINK("http://ms.phosphosite.org:5080/cgi-bin/plot-msms.cgi?MassType=1&amp;NumAxis=1&amp;Mod2=170&amp;Mod3=147&amp;Mod8=170&amp;Pep=IKMDIHKKVTDPSVAK&amp;Dta=/var/www/html/dta/S01/10559.2390.3.dta&amp;Global_Mod=CS57.0215", "2390")</f>
        <v>2390</v>
      </c>
      <c r="Q550" s="38" t="s">
        <v>4854</v>
      </c>
      <c r="R550" s="38" t="s">
        <v>4854</v>
      </c>
      <c r="S550" s="38" t="s">
        <v>4854</v>
      </c>
      <c r="T550" s="38" t="s">
        <v>4854</v>
      </c>
      <c r="U550" s="38" t="s">
        <v>4854</v>
      </c>
      <c r="V550" s="38" t="s">
        <v>4854</v>
      </c>
      <c r="W550" s="4" t="s">
        <v>4854</v>
      </c>
      <c r="X550" s="4" t="s">
        <v>4854</v>
      </c>
      <c r="Y550" s="4" t="s">
        <v>4854</v>
      </c>
      <c r="Z550" s="4" t="s">
        <v>4854</v>
      </c>
      <c r="AA550" s="4" t="s">
        <v>4854</v>
      </c>
      <c r="AB550" s="4" t="s">
        <v>4854</v>
      </c>
      <c r="AC550" s="4" t="s">
        <v>4854</v>
      </c>
      <c r="AD550" s="4" t="s">
        <v>4854</v>
      </c>
      <c r="AE550" s="100" t="s">
        <v>4854</v>
      </c>
      <c r="AF550" s="91">
        <v>2.5409999999999999</v>
      </c>
      <c r="AG550" s="100" t="s">
        <v>4854</v>
      </c>
      <c r="AH550" s="100" t="s">
        <v>4854</v>
      </c>
      <c r="AI550" s="100" t="s">
        <v>4854</v>
      </c>
      <c r="AJ550" s="100" t="s">
        <v>4854</v>
      </c>
      <c r="AK550" s="100" t="s">
        <v>4854</v>
      </c>
      <c r="AL550" s="100" t="s">
        <v>4854</v>
      </c>
      <c r="AM550" s="103" t="s">
        <v>4854</v>
      </c>
      <c r="AN550" s="95">
        <v>1.4994000000000001</v>
      </c>
      <c r="AO550" s="103" t="s">
        <v>4854</v>
      </c>
      <c r="AP550" s="103" t="s">
        <v>4854</v>
      </c>
      <c r="AQ550" s="103" t="s">
        <v>4854</v>
      </c>
      <c r="AR550" s="103" t="s">
        <v>4854</v>
      </c>
      <c r="AS550" s="103" t="s">
        <v>4854</v>
      </c>
      <c r="AT550" s="103" t="s">
        <v>4854</v>
      </c>
      <c r="AU550" s="103" t="s">
        <v>4854</v>
      </c>
      <c r="AV550" s="95">
        <v>6.2E-2</v>
      </c>
      <c r="AW550" s="103" t="s">
        <v>4854</v>
      </c>
      <c r="AX550" s="103" t="s">
        <v>4854</v>
      </c>
      <c r="AY550" s="103" t="s">
        <v>4854</v>
      </c>
      <c r="AZ550" s="103" t="s">
        <v>4854</v>
      </c>
      <c r="BA550" s="103" t="s">
        <v>4854</v>
      </c>
      <c r="BB550" s="103" t="s">
        <v>4854</v>
      </c>
      <c r="BC550" s="4" t="s">
        <v>4854</v>
      </c>
      <c r="BD550" s="10">
        <v>46</v>
      </c>
      <c r="BE550" s="4" t="s">
        <v>4854</v>
      </c>
      <c r="BF550" s="4" t="s">
        <v>4854</v>
      </c>
      <c r="BG550" s="4" t="s">
        <v>4854</v>
      </c>
      <c r="BH550" s="4" t="s">
        <v>4854</v>
      </c>
      <c r="BI550" s="4" t="s">
        <v>4854</v>
      </c>
      <c r="BJ550" s="4" t="s">
        <v>4854</v>
      </c>
      <c r="BK550" s="100" t="s">
        <v>4854</v>
      </c>
      <c r="BL550" s="91">
        <v>7.3999999999999996E-2</v>
      </c>
      <c r="BM550" s="100" t="s">
        <v>4854</v>
      </c>
      <c r="BN550" s="100" t="s">
        <v>4854</v>
      </c>
      <c r="BO550" s="100" t="s">
        <v>4854</v>
      </c>
      <c r="BP550" s="100" t="s">
        <v>4854</v>
      </c>
      <c r="BQ550" s="100" t="s">
        <v>4854</v>
      </c>
      <c r="BR550" s="100" t="s">
        <v>4854</v>
      </c>
      <c r="BS550" s="10" t="s">
        <v>4857</v>
      </c>
    </row>
    <row r="551" spans="1:71" s="30" customFormat="1" ht="17.100000000000001" customHeight="1">
      <c r="A551" s="14">
        <v>540</v>
      </c>
      <c r="B551" s="5" t="s">
        <v>2886</v>
      </c>
      <c r="C551" s="3" t="s">
        <v>3178</v>
      </c>
      <c r="D551" s="3" t="s">
        <v>2887</v>
      </c>
      <c r="E551" s="3" t="s">
        <v>2888</v>
      </c>
      <c r="F551" s="5" t="s">
        <v>4697</v>
      </c>
      <c r="G551" s="3" t="s">
        <v>2889</v>
      </c>
      <c r="H551" s="6" t="s">
        <v>2890</v>
      </c>
      <c r="I551" s="3" t="s">
        <v>2891</v>
      </c>
      <c r="J551" s="5" t="s">
        <v>4666</v>
      </c>
      <c r="K551" s="3" t="s">
        <v>5655</v>
      </c>
      <c r="L551" s="3" t="s">
        <v>2892</v>
      </c>
      <c r="M551" s="5">
        <v>3</v>
      </c>
      <c r="N551" s="21">
        <v>410.56650000000002</v>
      </c>
      <c r="O551" s="36" t="str">
        <f>HYPERLINK("http://ms.phosphosite.org:5080/cgi-bin/plot-msms.cgi?MassType=1&amp;NumAxis=1&amp;Mod5=170&amp;Pep=QASLKSGLDLR&amp;Dta=/var/www/html/dta/S01/10558.2387.3.dta&amp;Global_Mod=CS57.0215", "2387")</f>
        <v>2387</v>
      </c>
      <c r="P551" s="35" t="s">
        <v>4854</v>
      </c>
      <c r="Q551" s="35" t="s">
        <v>4854</v>
      </c>
      <c r="R551" s="35" t="s">
        <v>4854</v>
      </c>
      <c r="S551" s="35" t="s">
        <v>4854</v>
      </c>
      <c r="T551" s="35" t="s">
        <v>4854</v>
      </c>
      <c r="U551" s="35" t="s">
        <v>4854</v>
      </c>
      <c r="V551" s="35" t="s">
        <v>4854</v>
      </c>
      <c r="W551" s="3" t="s">
        <v>4854</v>
      </c>
      <c r="X551" s="3" t="s">
        <v>4854</v>
      </c>
      <c r="Y551" s="3" t="s">
        <v>4854</v>
      </c>
      <c r="Z551" s="3" t="s">
        <v>4854</v>
      </c>
      <c r="AA551" s="3" t="s">
        <v>4854</v>
      </c>
      <c r="AB551" s="3" t="s">
        <v>4854</v>
      </c>
      <c r="AC551" s="3" t="s">
        <v>4854</v>
      </c>
      <c r="AD551" s="3" t="s">
        <v>4854</v>
      </c>
      <c r="AE551" s="90">
        <v>2.3130000000000002</v>
      </c>
      <c r="AF551" s="99" t="s">
        <v>4854</v>
      </c>
      <c r="AG551" s="99" t="s">
        <v>4854</v>
      </c>
      <c r="AH551" s="99" t="s">
        <v>4854</v>
      </c>
      <c r="AI551" s="99" t="s">
        <v>4854</v>
      </c>
      <c r="AJ551" s="99" t="s">
        <v>4854</v>
      </c>
      <c r="AK551" s="99" t="s">
        <v>4854</v>
      </c>
      <c r="AL551" s="99" t="s">
        <v>4854</v>
      </c>
      <c r="AM551" s="21">
        <v>0.60529999999999995</v>
      </c>
      <c r="AN551" s="102" t="s">
        <v>4854</v>
      </c>
      <c r="AO551" s="102" t="s">
        <v>4854</v>
      </c>
      <c r="AP551" s="102" t="s">
        <v>4854</v>
      </c>
      <c r="AQ551" s="102" t="s">
        <v>4854</v>
      </c>
      <c r="AR551" s="102" t="s">
        <v>4854</v>
      </c>
      <c r="AS551" s="102" t="s">
        <v>4854</v>
      </c>
      <c r="AT551" s="102" t="s">
        <v>4854</v>
      </c>
      <c r="AU551" s="21">
        <v>1.0999999999999999E-2</v>
      </c>
      <c r="AV551" s="102" t="s">
        <v>4854</v>
      </c>
      <c r="AW551" s="102" t="s">
        <v>4854</v>
      </c>
      <c r="AX551" s="102" t="s">
        <v>4854</v>
      </c>
      <c r="AY551" s="102" t="s">
        <v>4854</v>
      </c>
      <c r="AZ551" s="102" t="s">
        <v>4854</v>
      </c>
      <c r="BA551" s="102" t="s">
        <v>4854</v>
      </c>
      <c r="BB551" s="102" t="s">
        <v>4854</v>
      </c>
      <c r="BC551" s="5">
        <v>1</v>
      </c>
      <c r="BD551" s="3" t="s">
        <v>4854</v>
      </c>
      <c r="BE551" s="3" t="s">
        <v>4854</v>
      </c>
      <c r="BF551" s="3" t="s">
        <v>4854</v>
      </c>
      <c r="BG551" s="3" t="s">
        <v>4854</v>
      </c>
      <c r="BH551" s="3" t="s">
        <v>4854</v>
      </c>
      <c r="BI551" s="3" t="s">
        <v>4854</v>
      </c>
      <c r="BJ551" s="3" t="s">
        <v>4854</v>
      </c>
      <c r="BK551" s="90">
        <v>9.2999999999999999E-2</v>
      </c>
      <c r="BL551" s="99" t="s">
        <v>4854</v>
      </c>
      <c r="BM551" s="99" t="s">
        <v>4854</v>
      </c>
      <c r="BN551" s="99" t="s">
        <v>4854</v>
      </c>
      <c r="BO551" s="99" t="s">
        <v>4854</v>
      </c>
      <c r="BP551" s="99" t="s">
        <v>4854</v>
      </c>
      <c r="BQ551" s="99" t="s">
        <v>4854</v>
      </c>
      <c r="BR551" s="99" t="s">
        <v>4854</v>
      </c>
      <c r="BS551" s="5" t="s">
        <v>4857</v>
      </c>
    </row>
    <row r="552" spans="1:71" s="30" customFormat="1" ht="17.100000000000001" customHeight="1">
      <c r="A552" s="10">
        <v>541</v>
      </c>
      <c r="B552" s="10" t="s">
        <v>2893</v>
      </c>
      <c r="C552" s="4" t="s">
        <v>3178</v>
      </c>
      <c r="D552" s="4" t="s">
        <v>2894</v>
      </c>
      <c r="E552" s="4" t="s">
        <v>2895</v>
      </c>
      <c r="F552" s="10" t="s">
        <v>5114</v>
      </c>
      <c r="G552" s="4" t="s">
        <v>2896</v>
      </c>
      <c r="H552" s="7" t="s">
        <v>2897</v>
      </c>
      <c r="I552" s="4" t="s">
        <v>2898</v>
      </c>
      <c r="J552" s="10" t="s">
        <v>3988</v>
      </c>
      <c r="K552" s="4" t="s">
        <v>5656</v>
      </c>
      <c r="L552" s="4" t="s">
        <v>2899</v>
      </c>
      <c r="M552" s="10">
        <v>3</v>
      </c>
      <c r="N552" s="95">
        <v>738.3818</v>
      </c>
      <c r="O552" s="37" t="str">
        <f>HYPERLINK("http://ms.phosphosite.org:5080/cgi-bin/plot-msms.cgi?MassType=1&amp;NumAxis=1&amp;Mod5=170&amp;Mod9=170&amp;Mod11=170&amp;Pep=QSSAKVQSKNKYLHSPER&amp;Dta=/var/www/html/dta/S01/10558.5192.3.dta&amp;Global_Mod=CS57.0215", "5192")</f>
        <v>5192</v>
      </c>
      <c r="P552" s="38" t="s">
        <v>4854</v>
      </c>
      <c r="Q552" s="38" t="s">
        <v>4854</v>
      </c>
      <c r="R552" s="38" t="s">
        <v>4854</v>
      </c>
      <c r="S552" s="38" t="s">
        <v>4854</v>
      </c>
      <c r="T552" s="38" t="s">
        <v>4854</v>
      </c>
      <c r="U552" s="37" t="str">
        <f>HYPERLINK("http://ms.phosphosite.org:5080/cgi-bin/plot-msms.cgi?MassType=1&amp;NumAxis=1&amp;Mod5=170&amp;Mod9=170&amp;Mod11=170&amp;Pep=QSSAKVQSKNKYLHSPER&amp;Dta=/var/www/html/dta/S01/10564.5460.3.dta&amp;Global_Mod=CS57.0215", "5460")</f>
        <v>5460</v>
      </c>
      <c r="V552" s="37" t="str">
        <f>HYPERLINK("http://ms.phosphosite.org:5080/cgi-bin/plot-msms.cgi?MassType=1&amp;NumAxis=1&amp;Mod5=170&amp;Mod9=170&amp;Mod11=170&amp;Pep=QSSAKVQSKNKYLHSPER&amp;Dta=/var/www/html/dta/S01/10565.5578.3.dta&amp;Global_Mod=CS57.0215", "5578")</f>
        <v>5578</v>
      </c>
      <c r="W552" s="4" t="s">
        <v>4854</v>
      </c>
      <c r="X552" s="4" t="s">
        <v>4854</v>
      </c>
      <c r="Y552" s="4" t="s">
        <v>4854</v>
      </c>
      <c r="Z552" s="4" t="s">
        <v>4854</v>
      </c>
      <c r="AA552" s="4" t="s">
        <v>4854</v>
      </c>
      <c r="AB552" s="4" t="s">
        <v>4854</v>
      </c>
      <c r="AC552" s="4" t="s">
        <v>4854</v>
      </c>
      <c r="AD552" s="10">
        <v>5570</v>
      </c>
      <c r="AE552" s="91">
        <v>2.4319999999999999</v>
      </c>
      <c r="AF552" s="100" t="s">
        <v>4854</v>
      </c>
      <c r="AG552" s="100" t="s">
        <v>4854</v>
      </c>
      <c r="AH552" s="100" t="s">
        <v>4854</v>
      </c>
      <c r="AI552" s="100" t="s">
        <v>4854</v>
      </c>
      <c r="AJ552" s="100" t="s">
        <v>4854</v>
      </c>
      <c r="AK552" s="91">
        <v>2.3919999999999999</v>
      </c>
      <c r="AL552" s="91">
        <v>2.8559999999999999</v>
      </c>
      <c r="AM552" s="95">
        <v>0.69069999999999998</v>
      </c>
      <c r="AN552" s="103" t="s">
        <v>4854</v>
      </c>
      <c r="AO552" s="103" t="s">
        <v>4854</v>
      </c>
      <c r="AP552" s="103" t="s">
        <v>4854</v>
      </c>
      <c r="AQ552" s="103" t="s">
        <v>4854</v>
      </c>
      <c r="AR552" s="103" t="s">
        <v>4854</v>
      </c>
      <c r="AS552" s="95">
        <v>-0.4516</v>
      </c>
      <c r="AT552" s="95">
        <v>-0.114</v>
      </c>
      <c r="AU552" s="95">
        <v>8.9999999999999993E-3</v>
      </c>
      <c r="AV552" s="103" t="s">
        <v>4854</v>
      </c>
      <c r="AW552" s="103" t="s">
        <v>4854</v>
      </c>
      <c r="AX552" s="103" t="s">
        <v>4854</v>
      </c>
      <c r="AY552" s="103" t="s">
        <v>4854</v>
      </c>
      <c r="AZ552" s="103" t="s">
        <v>4854</v>
      </c>
      <c r="BA552" s="95">
        <v>0.17899999999999999</v>
      </c>
      <c r="BB552" s="95">
        <v>0.29899999999999999</v>
      </c>
      <c r="BC552" s="10">
        <v>725</v>
      </c>
      <c r="BD552" s="4" t="s">
        <v>4854</v>
      </c>
      <c r="BE552" s="4" t="s">
        <v>4854</v>
      </c>
      <c r="BF552" s="4" t="s">
        <v>4854</v>
      </c>
      <c r="BG552" s="4" t="s">
        <v>4854</v>
      </c>
      <c r="BH552" s="4" t="s">
        <v>4854</v>
      </c>
      <c r="BI552" s="10">
        <v>15</v>
      </c>
      <c r="BJ552" s="10">
        <v>6</v>
      </c>
      <c r="BK552" s="91">
        <v>0.218</v>
      </c>
      <c r="BL552" s="100" t="s">
        <v>4854</v>
      </c>
      <c r="BM552" s="100" t="s">
        <v>4854</v>
      </c>
      <c r="BN552" s="100" t="s">
        <v>4854</v>
      </c>
      <c r="BO552" s="100" t="s">
        <v>4854</v>
      </c>
      <c r="BP552" s="100" t="s">
        <v>4854</v>
      </c>
      <c r="BQ552" s="91">
        <v>0.76600000000000001</v>
      </c>
      <c r="BR552" s="91">
        <v>0.99</v>
      </c>
      <c r="BS552" s="10" t="s">
        <v>4857</v>
      </c>
    </row>
    <row r="553" spans="1:71" s="30" customFormat="1" ht="17.100000000000001" customHeight="1">
      <c r="A553" s="14">
        <v>542</v>
      </c>
      <c r="B553" s="5" t="s">
        <v>2900</v>
      </c>
      <c r="C553" s="3" t="s">
        <v>3178</v>
      </c>
      <c r="D553" s="3" t="s">
        <v>2901</v>
      </c>
      <c r="E553" s="6" t="s">
        <v>2902</v>
      </c>
      <c r="F553" s="5" t="s">
        <v>4982</v>
      </c>
      <c r="G553" s="3" t="s">
        <v>2903</v>
      </c>
      <c r="H553" s="6" t="s">
        <v>2904</v>
      </c>
      <c r="I553" s="3" t="s">
        <v>2905</v>
      </c>
      <c r="J553" s="5" t="s">
        <v>4669</v>
      </c>
      <c r="K553" s="3" t="s">
        <v>5657</v>
      </c>
      <c r="L553" s="3" t="s">
        <v>2906</v>
      </c>
      <c r="M553" s="5">
        <v>4</v>
      </c>
      <c r="N553" s="21">
        <v>967.21489999999994</v>
      </c>
      <c r="O553" s="35" t="s">
        <v>4854</v>
      </c>
      <c r="P553" s="35" t="s">
        <v>4854</v>
      </c>
      <c r="Q553" s="35" t="s">
        <v>4854</v>
      </c>
      <c r="R553" s="36" t="str">
        <f>HYPERLINK("http://ms.phosphosite.org:5080/cgi-bin/plot-msms.cgi?MassType=1&amp;NumAxis=1&amp;Mod20=170&amp;Mod31=147&amp;Pep=AALHLYSNTLNFQISEVEPKYYADGEDAYAMKR&amp;Dta=/var/www/html/dta/S01/10561.11026.4.dta&amp;Global_Mod=CS57.0215", "11026")</f>
        <v>11026</v>
      </c>
      <c r="S553" s="35" t="s">
        <v>4854</v>
      </c>
      <c r="T553" s="35" t="s">
        <v>4854</v>
      </c>
      <c r="U553" s="36" t="str">
        <f>HYPERLINK("http://ms.phosphosite.org:5080/cgi-bin/plot-msms.cgi?MassType=1&amp;NumAxis=1&amp;Mod20=170&amp;Mod31=147&amp;Pep=AALHLYSNTLNFQISEVEPKYYADGEDAYAMKR&amp;Dta=/var/www/html/dta/S01/10564.11621.4.dta&amp;Global_Mod=CS57.0215", "11621")</f>
        <v>11621</v>
      </c>
      <c r="V553" s="35" t="s">
        <v>4854</v>
      </c>
      <c r="W553" s="3" t="s">
        <v>4854</v>
      </c>
      <c r="X553" s="3" t="s">
        <v>4854</v>
      </c>
      <c r="Y553" s="3" t="s">
        <v>4854</v>
      </c>
      <c r="Z553" s="5">
        <v>11049</v>
      </c>
      <c r="AA553" s="3" t="s">
        <v>4854</v>
      </c>
      <c r="AB553" s="3" t="s">
        <v>4854</v>
      </c>
      <c r="AC553" s="5">
        <v>11658</v>
      </c>
      <c r="AD553" s="3" t="s">
        <v>4854</v>
      </c>
      <c r="AE553" s="99" t="s">
        <v>4854</v>
      </c>
      <c r="AF553" s="99" t="s">
        <v>4854</v>
      </c>
      <c r="AG553" s="99" t="s">
        <v>4854</v>
      </c>
      <c r="AH553" s="90">
        <v>2.7909999999999999</v>
      </c>
      <c r="AI553" s="99" t="s">
        <v>4854</v>
      </c>
      <c r="AJ553" s="99" t="s">
        <v>4854</v>
      </c>
      <c r="AK553" s="90">
        <v>3.6760000000000002</v>
      </c>
      <c r="AL553" s="99" t="s">
        <v>4854</v>
      </c>
      <c r="AM553" s="102" t="s">
        <v>4854</v>
      </c>
      <c r="AN553" s="102" t="s">
        <v>4854</v>
      </c>
      <c r="AO553" s="102" t="s">
        <v>4854</v>
      </c>
      <c r="AP553" s="21">
        <v>1.0636000000000001</v>
      </c>
      <c r="AQ553" s="102" t="s">
        <v>4854</v>
      </c>
      <c r="AR553" s="102" t="s">
        <v>4854</v>
      </c>
      <c r="AS553" s="21">
        <v>0.82089999999999996</v>
      </c>
      <c r="AT553" s="102" t="s">
        <v>4854</v>
      </c>
      <c r="AU553" s="102" t="s">
        <v>4854</v>
      </c>
      <c r="AV553" s="102" t="s">
        <v>4854</v>
      </c>
      <c r="AW553" s="102" t="s">
        <v>4854</v>
      </c>
      <c r="AX553" s="21">
        <v>0.192</v>
      </c>
      <c r="AY553" s="102" t="s">
        <v>4854</v>
      </c>
      <c r="AZ553" s="102" t="s">
        <v>4854</v>
      </c>
      <c r="BA553" s="21">
        <v>7.6999999999999999E-2</v>
      </c>
      <c r="BB553" s="102" t="s">
        <v>4854</v>
      </c>
      <c r="BC553" s="3" t="s">
        <v>4854</v>
      </c>
      <c r="BD553" s="3" t="s">
        <v>4854</v>
      </c>
      <c r="BE553" s="3" t="s">
        <v>4854</v>
      </c>
      <c r="BF553" s="5">
        <v>506</v>
      </c>
      <c r="BG553" s="3" t="s">
        <v>4854</v>
      </c>
      <c r="BH553" s="3" t="s">
        <v>4854</v>
      </c>
      <c r="BI553" s="5">
        <v>25</v>
      </c>
      <c r="BJ553" s="3" t="s">
        <v>4854</v>
      </c>
      <c r="BK553" s="99" t="s">
        <v>4854</v>
      </c>
      <c r="BL553" s="99" t="s">
        <v>4854</v>
      </c>
      <c r="BM553" s="99" t="s">
        <v>4854</v>
      </c>
      <c r="BN553" s="90">
        <v>0.95499999999999996</v>
      </c>
      <c r="BO553" s="99" t="s">
        <v>4854</v>
      </c>
      <c r="BP553" s="99" t="s">
        <v>4854</v>
      </c>
      <c r="BQ553" s="90">
        <v>0.96099999999999997</v>
      </c>
      <c r="BR553" s="99" t="s">
        <v>4854</v>
      </c>
      <c r="BS553" s="5" t="s">
        <v>4857</v>
      </c>
    </row>
    <row r="554" spans="1:71" s="30" customFormat="1" ht="17.100000000000001" customHeight="1">
      <c r="A554" s="10">
        <v>543</v>
      </c>
      <c r="B554" s="10" t="s">
        <v>4502</v>
      </c>
      <c r="C554" s="4" t="s">
        <v>3178</v>
      </c>
      <c r="D554" s="4" t="s">
        <v>2901</v>
      </c>
      <c r="E554" s="7" t="s">
        <v>2902</v>
      </c>
      <c r="F554" s="10" t="s">
        <v>4294</v>
      </c>
      <c r="G554" s="4" t="s">
        <v>2903</v>
      </c>
      <c r="H554" s="7" t="s">
        <v>2904</v>
      </c>
      <c r="I554" s="4" t="s">
        <v>2905</v>
      </c>
      <c r="J554" s="10" t="s">
        <v>4669</v>
      </c>
      <c r="K554" s="4" t="s">
        <v>5658</v>
      </c>
      <c r="L554" s="4" t="s">
        <v>2907</v>
      </c>
      <c r="M554" s="10">
        <v>4</v>
      </c>
      <c r="N554" s="95">
        <v>967.21489999999994</v>
      </c>
      <c r="O554" s="37" t="str">
        <f>HYPERLINK("http://ms.phosphosite.org:5080/cgi-bin/plot-msms.cgi?MassType=1&amp;NumAxis=1&amp;Mod31=147&amp;Mod32=170&amp;Pep=AALHLYSNTLNFQISEVEPKYYADGEDAYAMKR&amp;Dta=/var/www/html/dta/S01/10558.10963.4.dta&amp;Global_Mod=CS57.0215", "10963")</f>
        <v>10963</v>
      </c>
      <c r="P554" s="38" t="s">
        <v>4854</v>
      </c>
      <c r="Q554" s="38" t="s">
        <v>4854</v>
      </c>
      <c r="R554" s="38" t="s">
        <v>4854</v>
      </c>
      <c r="S554" s="38" t="s">
        <v>4854</v>
      </c>
      <c r="T554" s="38" t="s">
        <v>4854</v>
      </c>
      <c r="U554" s="38" t="s">
        <v>4854</v>
      </c>
      <c r="V554" s="38" t="s">
        <v>4854</v>
      </c>
      <c r="W554" s="4" t="s">
        <v>4854</v>
      </c>
      <c r="X554" s="4" t="s">
        <v>4854</v>
      </c>
      <c r="Y554" s="4" t="s">
        <v>4854</v>
      </c>
      <c r="Z554" s="4" t="s">
        <v>4854</v>
      </c>
      <c r="AA554" s="4" t="s">
        <v>4854</v>
      </c>
      <c r="AB554" s="4" t="s">
        <v>4854</v>
      </c>
      <c r="AC554" s="4" t="s">
        <v>4854</v>
      </c>
      <c r="AD554" s="4" t="s">
        <v>4854</v>
      </c>
      <c r="AE554" s="91">
        <v>3.0289999999999999</v>
      </c>
      <c r="AF554" s="100" t="s">
        <v>4854</v>
      </c>
      <c r="AG554" s="100" t="s">
        <v>4854</v>
      </c>
      <c r="AH554" s="100" t="s">
        <v>4854</v>
      </c>
      <c r="AI554" s="100" t="s">
        <v>4854</v>
      </c>
      <c r="AJ554" s="100" t="s">
        <v>4854</v>
      </c>
      <c r="AK554" s="100" t="s">
        <v>4854</v>
      </c>
      <c r="AL554" s="100" t="s">
        <v>4854</v>
      </c>
      <c r="AM554" s="95">
        <v>0.79300000000000004</v>
      </c>
      <c r="AN554" s="103" t="s">
        <v>4854</v>
      </c>
      <c r="AO554" s="103" t="s">
        <v>4854</v>
      </c>
      <c r="AP554" s="103" t="s">
        <v>4854</v>
      </c>
      <c r="AQ554" s="103" t="s">
        <v>4854</v>
      </c>
      <c r="AR554" s="103" t="s">
        <v>4854</v>
      </c>
      <c r="AS554" s="103" t="s">
        <v>4854</v>
      </c>
      <c r="AT554" s="103" t="s">
        <v>4854</v>
      </c>
      <c r="AU554" s="95">
        <v>6.9000000000000006E-2</v>
      </c>
      <c r="AV554" s="103" t="s">
        <v>4854</v>
      </c>
      <c r="AW554" s="103" t="s">
        <v>4854</v>
      </c>
      <c r="AX554" s="103" t="s">
        <v>4854</v>
      </c>
      <c r="AY554" s="103" t="s">
        <v>4854</v>
      </c>
      <c r="AZ554" s="103" t="s">
        <v>4854</v>
      </c>
      <c r="BA554" s="103" t="s">
        <v>4854</v>
      </c>
      <c r="BB554" s="103" t="s">
        <v>4854</v>
      </c>
      <c r="BC554" s="10">
        <v>60</v>
      </c>
      <c r="BD554" s="4" t="s">
        <v>4854</v>
      </c>
      <c r="BE554" s="4" t="s">
        <v>4854</v>
      </c>
      <c r="BF554" s="4" t="s">
        <v>4854</v>
      </c>
      <c r="BG554" s="4" t="s">
        <v>4854</v>
      </c>
      <c r="BH554" s="4" t="s">
        <v>4854</v>
      </c>
      <c r="BI554" s="4" t="s">
        <v>4854</v>
      </c>
      <c r="BJ554" s="4" t="s">
        <v>4854</v>
      </c>
      <c r="BK554" s="91">
        <v>0.91600000000000004</v>
      </c>
      <c r="BL554" s="100" t="s">
        <v>4854</v>
      </c>
      <c r="BM554" s="100" t="s">
        <v>4854</v>
      </c>
      <c r="BN554" s="100" t="s">
        <v>4854</v>
      </c>
      <c r="BO554" s="100" t="s">
        <v>4854</v>
      </c>
      <c r="BP554" s="100" t="s">
        <v>4854</v>
      </c>
      <c r="BQ554" s="100" t="s">
        <v>4854</v>
      </c>
      <c r="BR554" s="100" t="s">
        <v>4854</v>
      </c>
      <c r="BS554" s="10" t="s">
        <v>4857</v>
      </c>
    </row>
    <row r="555" spans="1:71" s="30" customFormat="1" ht="17.100000000000001" customHeight="1">
      <c r="A555" s="14">
        <v>544</v>
      </c>
      <c r="B555" s="5" t="s">
        <v>2908</v>
      </c>
      <c r="C555" s="3" t="s">
        <v>3178</v>
      </c>
      <c r="D555" s="3" t="s">
        <v>2909</v>
      </c>
      <c r="E555" s="3" t="s">
        <v>2910</v>
      </c>
      <c r="F555" s="5" t="s">
        <v>4982</v>
      </c>
      <c r="G555" s="3" t="s">
        <v>2911</v>
      </c>
      <c r="H555" s="6" t="s">
        <v>2912</v>
      </c>
      <c r="I555" s="3" t="s">
        <v>2913</v>
      </c>
      <c r="J555" s="5" t="s">
        <v>4664</v>
      </c>
      <c r="K555" s="3" t="s">
        <v>5659</v>
      </c>
      <c r="L555" s="3" t="s">
        <v>2914</v>
      </c>
      <c r="M555" s="5">
        <v>4</v>
      </c>
      <c r="N555" s="21">
        <v>963.71100000000001</v>
      </c>
      <c r="O555" s="35" t="s">
        <v>4854</v>
      </c>
      <c r="P555" s="36" t="str">
        <f>HYPERLINK("http://ms.phosphosite.org:5080/cgi-bin/plot-msms.cgi?MassType=1&amp;NumAxis=1&amp;Mod20=170&amp;Mod31=147&amp;Pep=AALHLYSNTLNFQVSEVEPKYYADGEDAYAMKR&amp;Dta=/var/www/html/dta/S01/10559.10506.4.dta&amp;Global_Mod=CS57.0215", "10506")</f>
        <v>10506</v>
      </c>
      <c r="Q555" s="36" t="str">
        <f>HYPERLINK("http://ms.phosphosite.org:5080/cgi-bin/plot-msms.cgi?MassType=1&amp;NumAxis=1&amp;Mod20=170&amp;Mod31=147&amp;Pep=AALHLYSNTLNFQVSEVEPKYYADGEDAYAMKR&amp;Dta=/var/www/html/dta/S01/10560.10530.4.dta&amp;Global_Mod=CS57.0215", "10530")</f>
        <v>10530</v>
      </c>
      <c r="R555" s="36" t="str">
        <f>HYPERLINK("http://ms.phosphosite.org:5080/cgi-bin/plot-msms.cgi?MassType=1&amp;NumAxis=1&amp;Mod20=170&amp;Mod31=147&amp;Pep=AALHLYSNTLNFQVSEVEPKYYADGEDAYAMKR&amp;Dta=/var/www/html/dta/S01/10561.10536.4.dta&amp;Global_Mod=CS57.0215", "10536")</f>
        <v>10536</v>
      </c>
      <c r="S555" s="36" t="str">
        <f>HYPERLINK("http://ms.phosphosite.org:5080/cgi-bin/plot-msms.cgi?MassType=1&amp;NumAxis=1&amp;Mod20=170&amp;Mod31=147&amp;Pep=AALHLYSNTLNFQVSEVEPKYYADGEDAYAMKR&amp;Dta=/var/www/html/dta/S01/10562.10692.4.dta&amp;Global_Mod=CS57.0215", "10692")</f>
        <v>10692</v>
      </c>
      <c r="T555" s="35" t="s">
        <v>4854</v>
      </c>
      <c r="U555" s="35" t="s">
        <v>4854</v>
      </c>
      <c r="V555" s="35" t="s">
        <v>4854</v>
      </c>
      <c r="W555" s="3" t="s">
        <v>4854</v>
      </c>
      <c r="X555" s="5">
        <v>10465</v>
      </c>
      <c r="Y555" s="5">
        <v>10535</v>
      </c>
      <c r="Z555" s="5">
        <v>10539</v>
      </c>
      <c r="AA555" s="3" t="s">
        <v>4854</v>
      </c>
      <c r="AB555" s="3" t="s">
        <v>4854</v>
      </c>
      <c r="AC555" s="3" t="s">
        <v>4854</v>
      </c>
      <c r="AD555" s="3" t="s">
        <v>4854</v>
      </c>
      <c r="AE555" s="99" t="s">
        <v>4854</v>
      </c>
      <c r="AF555" s="90">
        <v>3.198</v>
      </c>
      <c r="AG555" s="90">
        <v>3.7229999999999999</v>
      </c>
      <c r="AH555" s="90">
        <v>3.0830000000000002</v>
      </c>
      <c r="AI555" s="90">
        <v>2.355</v>
      </c>
      <c r="AJ555" s="99" t="s">
        <v>4854</v>
      </c>
      <c r="AK555" s="99" t="s">
        <v>4854</v>
      </c>
      <c r="AL555" s="99" t="s">
        <v>4854</v>
      </c>
      <c r="AM555" s="102" t="s">
        <v>4854</v>
      </c>
      <c r="AN555" s="21">
        <v>2.0807000000000002</v>
      </c>
      <c r="AO555" s="21">
        <v>1.1359999999999999</v>
      </c>
      <c r="AP555" s="21">
        <v>1.0376000000000001</v>
      </c>
      <c r="AQ555" s="21">
        <v>1.4986999999999999</v>
      </c>
      <c r="AR555" s="102" t="s">
        <v>4854</v>
      </c>
      <c r="AS555" s="102" t="s">
        <v>4854</v>
      </c>
      <c r="AT555" s="102" t="s">
        <v>4854</v>
      </c>
      <c r="AU555" s="102" t="s">
        <v>4854</v>
      </c>
      <c r="AV555" s="21">
        <v>4.7E-2</v>
      </c>
      <c r="AW555" s="21">
        <v>0.307</v>
      </c>
      <c r="AX555" s="21">
        <v>0.188</v>
      </c>
      <c r="AY555" s="21">
        <v>6.7000000000000004E-2</v>
      </c>
      <c r="AZ555" s="102" t="s">
        <v>4854</v>
      </c>
      <c r="BA555" s="102" t="s">
        <v>4854</v>
      </c>
      <c r="BB555" s="102" t="s">
        <v>4854</v>
      </c>
      <c r="BC555" s="3" t="s">
        <v>4854</v>
      </c>
      <c r="BD555" s="5">
        <v>1</v>
      </c>
      <c r="BE555" s="5">
        <v>1</v>
      </c>
      <c r="BF555" s="5">
        <v>3</v>
      </c>
      <c r="BG555" s="5">
        <v>20</v>
      </c>
      <c r="BH555" s="3" t="s">
        <v>4854</v>
      </c>
      <c r="BI555" s="3" t="s">
        <v>4854</v>
      </c>
      <c r="BJ555" s="3" t="s">
        <v>4854</v>
      </c>
      <c r="BK555" s="99" t="s">
        <v>4854</v>
      </c>
      <c r="BL555" s="90">
        <v>0.95599999999999996</v>
      </c>
      <c r="BM555" s="90">
        <v>1</v>
      </c>
      <c r="BN555" s="90">
        <v>0.998</v>
      </c>
      <c r="BO555" s="90">
        <v>0.91900000000000004</v>
      </c>
      <c r="BP555" s="99" t="s">
        <v>4854</v>
      </c>
      <c r="BQ555" s="99" t="s">
        <v>4854</v>
      </c>
      <c r="BR555" s="99" t="s">
        <v>4854</v>
      </c>
      <c r="BS555" s="5" t="s">
        <v>4857</v>
      </c>
    </row>
    <row r="556" spans="1:71" s="30" customFormat="1" ht="17.100000000000001" customHeight="1">
      <c r="A556" s="10">
        <v>545</v>
      </c>
      <c r="B556" s="10" t="s">
        <v>2915</v>
      </c>
      <c r="C556" s="4" t="s">
        <v>3178</v>
      </c>
      <c r="D556" s="4" t="s">
        <v>2916</v>
      </c>
      <c r="E556" s="4" t="s">
        <v>2917</v>
      </c>
      <c r="F556" s="10" t="s">
        <v>5173</v>
      </c>
      <c r="G556" s="4" t="s">
        <v>2918</v>
      </c>
      <c r="H556" s="7" t="s">
        <v>2919</v>
      </c>
      <c r="I556" s="4" t="s">
        <v>2920</v>
      </c>
      <c r="J556" s="10" t="s">
        <v>4697</v>
      </c>
      <c r="K556" s="4" t="s">
        <v>5660</v>
      </c>
      <c r="L556" s="4" t="s">
        <v>2794</v>
      </c>
      <c r="M556" s="10">
        <v>2</v>
      </c>
      <c r="N556" s="95">
        <v>1002.5199</v>
      </c>
      <c r="O556" s="37" t="str">
        <f>HYPERLINK("http://ms.phosphosite.org:5080/cgi-bin/plot-msms.cgi?MassType=1&amp;NumAxis=1&amp;Mod4=170&amp;Pep=LITKDLSEPYSIYTYR&amp;Dta=/var/www/html/dta/S01/10558.10420.2.dta&amp;Global_Mod=CS57.0215", "10420")</f>
        <v>10420</v>
      </c>
      <c r="P556" s="37" t="str">
        <f>HYPERLINK("http://ms.phosphosite.org:5080/cgi-bin/plot-msms.cgi?MassType=1&amp;NumAxis=1&amp;Mod4=170&amp;Pep=LITKDLSEPYSIYTYR&amp;Dta=/var/www/html/dta/S01/10559.10400.2.dta&amp;Global_Mod=CS57.0215", "10400")</f>
        <v>10400</v>
      </c>
      <c r="Q556" s="37" t="str">
        <f>HYPERLINK("http://ms.phosphosite.org:5080/cgi-bin/plot-msms.cgi?MassType=1&amp;NumAxis=1&amp;Mod4=170&amp;Pep=LITKDLSEPYSIYTYR&amp;Dta=/var/www/html/dta/S01/10560.10440.2.dta&amp;Global_Mod=CS57.0215", "10440")</f>
        <v>10440</v>
      </c>
      <c r="R556" s="37" t="str">
        <f>HYPERLINK("http://ms.phosphosite.org:5080/cgi-bin/plot-msms.cgi?MassType=1&amp;NumAxis=1&amp;Mod4=170&amp;Pep=LITKDLSEPYSIYTYR&amp;Dta=/var/www/html/dta/S01/10561.10453.2.dta&amp;Global_Mod=CS57.0215", "10453")</f>
        <v>10453</v>
      </c>
      <c r="S556" s="37" t="str">
        <f>HYPERLINK("http://ms.phosphosite.org:5080/cgi-bin/plot-msms.cgi?MassType=1&amp;NumAxis=1&amp;Mod4=170&amp;Pep=LITKDLSEPYSIYTYR&amp;Dta=/var/www/html/dta/S01/10562.10611.2.dta&amp;Global_Mod=CS57.0215", "10611")</f>
        <v>10611</v>
      </c>
      <c r="T556" s="37" t="str">
        <f>HYPERLINK("http://ms.phosphosite.org:5080/cgi-bin/plot-msms.cgi?MassType=1&amp;NumAxis=1&amp;Mod4=170&amp;Pep=LITKDLSEPYSIYTYR&amp;Dta=/var/www/html/dta/S01/10563.10566.2.dta&amp;Global_Mod=CS57.0215", "10566")</f>
        <v>10566</v>
      </c>
      <c r="U556" s="37" t="str">
        <f>HYPERLINK("http://ms.phosphosite.org:5080/cgi-bin/plot-msms.cgi?MassType=1&amp;NumAxis=1&amp;Mod4=170&amp;Pep=LITKDLSEPYSIYTYR&amp;Dta=/var/www/html/dta/S01/10564.11049.2.dta&amp;Global_Mod=CS57.0215", "11049")</f>
        <v>11049</v>
      </c>
      <c r="V556" s="37" t="str">
        <f>HYPERLINK("http://ms.phosphosite.org:5080/cgi-bin/plot-msms.cgi?MassType=1&amp;NumAxis=1&amp;Mod4=170&amp;Pep=LITKDLSEPYSIYTYR&amp;Dta=/var/www/html/dta/S01/10565.11010.2.dta&amp;Global_Mod=CS57.0215", "11010")</f>
        <v>11010</v>
      </c>
      <c r="W556" s="10">
        <v>10449</v>
      </c>
      <c r="X556" s="10">
        <v>10432</v>
      </c>
      <c r="Y556" s="10">
        <v>10469</v>
      </c>
      <c r="Z556" s="10">
        <v>10473</v>
      </c>
      <c r="AA556" s="10">
        <v>10642</v>
      </c>
      <c r="AB556" s="10">
        <v>10600</v>
      </c>
      <c r="AC556" s="10">
        <v>11072</v>
      </c>
      <c r="AD556" s="4" t="s">
        <v>4854</v>
      </c>
      <c r="AE556" s="91">
        <v>3.7429999999999999</v>
      </c>
      <c r="AF556" s="91">
        <v>3.698</v>
      </c>
      <c r="AG556" s="91">
        <v>3.641</v>
      </c>
      <c r="AH556" s="91">
        <v>3.7589999999999999</v>
      </c>
      <c r="AI556" s="91">
        <v>3.7749999999999999</v>
      </c>
      <c r="AJ556" s="91">
        <v>4.0460000000000003</v>
      </c>
      <c r="AK556" s="91">
        <v>3.7669999999999999</v>
      </c>
      <c r="AL556" s="91">
        <v>1.1759999999999999</v>
      </c>
      <c r="AM556" s="95">
        <v>1.0568</v>
      </c>
      <c r="AN556" s="95">
        <v>1.1516</v>
      </c>
      <c r="AO556" s="95">
        <v>1.3277000000000001</v>
      </c>
      <c r="AP556" s="95">
        <v>1.1890000000000001</v>
      </c>
      <c r="AQ556" s="95">
        <v>0.9355</v>
      </c>
      <c r="AR556" s="95">
        <v>1.2494000000000001</v>
      </c>
      <c r="AS556" s="95">
        <v>0.91559999999999997</v>
      </c>
      <c r="AT556" s="95">
        <v>0.6391</v>
      </c>
      <c r="AU556" s="95">
        <v>0.52400000000000002</v>
      </c>
      <c r="AV556" s="95">
        <v>0.53800000000000003</v>
      </c>
      <c r="AW556" s="95">
        <v>0.48899999999999999</v>
      </c>
      <c r="AX556" s="95">
        <v>0.53600000000000003</v>
      </c>
      <c r="AY556" s="95">
        <v>0.5</v>
      </c>
      <c r="AZ556" s="95">
        <v>0.52800000000000002</v>
      </c>
      <c r="BA556" s="95">
        <v>0.49</v>
      </c>
      <c r="BB556" s="95">
        <v>0.27500000000000002</v>
      </c>
      <c r="BC556" s="10">
        <v>1</v>
      </c>
      <c r="BD556" s="10">
        <v>1</v>
      </c>
      <c r="BE556" s="10">
        <v>1</v>
      </c>
      <c r="BF556" s="10">
        <v>1</v>
      </c>
      <c r="BG556" s="10">
        <v>1</v>
      </c>
      <c r="BH556" s="10">
        <v>1</v>
      </c>
      <c r="BI556" s="10">
        <v>1</v>
      </c>
      <c r="BJ556" s="10">
        <v>182</v>
      </c>
      <c r="BK556" s="91">
        <v>1</v>
      </c>
      <c r="BL556" s="91">
        <v>1</v>
      </c>
      <c r="BM556" s="91">
        <v>1</v>
      </c>
      <c r="BN556" s="91">
        <v>1</v>
      </c>
      <c r="BO556" s="91">
        <v>1</v>
      </c>
      <c r="BP556" s="91">
        <v>1</v>
      </c>
      <c r="BQ556" s="91">
        <v>1</v>
      </c>
      <c r="BR556" s="91">
        <v>0.82299999999999995</v>
      </c>
      <c r="BS556" s="10" t="s">
        <v>4857</v>
      </c>
    </row>
    <row r="557" spans="1:71" s="30" customFormat="1" ht="17.100000000000001" customHeight="1">
      <c r="A557" s="10">
        <v>546</v>
      </c>
      <c r="B557" s="10" t="s">
        <v>2795</v>
      </c>
      <c r="C557" s="4" t="s">
        <v>3178</v>
      </c>
      <c r="D557" s="4" t="s">
        <v>2916</v>
      </c>
      <c r="E557" s="4" t="s">
        <v>2917</v>
      </c>
      <c r="F557" s="10" t="s">
        <v>5173</v>
      </c>
      <c r="G557" s="4" t="s">
        <v>2918</v>
      </c>
      <c r="H557" s="7" t="s">
        <v>2919</v>
      </c>
      <c r="I557" s="4" t="s">
        <v>2920</v>
      </c>
      <c r="J557" s="10" t="s">
        <v>4697</v>
      </c>
      <c r="K557" s="4" t="s">
        <v>5660</v>
      </c>
      <c r="L557" s="4" t="s">
        <v>2794</v>
      </c>
      <c r="M557" s="10">
        <v>3</v>
      </c>
      <c r="N557" s="95">
        <v>668.68230000000005</v>
      </c>
      <c r="O557" s="38" t="s">
        <v>4854</v>
      </c>
      <c r="P557" s="38" t="s">
        <v>4854</v>
      </c>
      <c r="Q557" s="38" t="s">
        <v>4854</v>
      </c>
      <c r="R557" s="38" t="s">
        <v>4854</v>
      </c>
      <c r="S557" s="38" t="s">
        <v>4854</v>
      </c>
      <c r="T557" s="38" t="s">
        <v>4854</v>
      </c>
      <c r="U557" s="37" t="str">
        <f>HYPERLINK("http://ms.phosphosite.org:5080/cgi-bin/plot-msms.cgi?MassType=1&amp;NumAxis=1&amp;Mod4=170&amp;Pep=LITKDLSEPYSIYTYR&amp;Dta=/var/www/html/dta/S01/10564.11074.3.dta&amp;Global_Mod=CS57.0215", "11074")</f>
        <v>11074</v>
      </c>
      <c r="V557" s="37" t="str">
        <f>HYPERLINK("http://ms.phosphosite.org:5080/cgi-bin/plot-msms.cgi?MassType=1&amp;NumAxis=1&amp;Mod4=170&amp;Pep=LITKDLSEPYSIYTYR&amp;Dta=/var/www/html/dta/S01/10565.11016.3.dta&amp;Global_Mod=CS57.0215", "11016")</f>
        <v>11016</v>
      </c>
      <c r="W557" s="4" t="s">
        <v>4854</v>
      </c>
      <c r="X557" s="4" t="s">
        <v>4854</v>
      </c>
      <c r="Y557" s="4" t="s">
        <v>4854</v>
      </c>
      <c r="Z557" s="4" t="s">
        <v>4854</v>
      </c>
      <c r="AA557" s="4" t="s">
        <v>4854</v>
      </c>
      <c r="AB557" s="4" t="s">
        <v>4854</v>
      </c>
      <c r="AC557" s="10">
        <v>11083</v>
      </c>
      <c r="AD557" s="10">
        <v>11047</v>
      </c>
      <c r="AE557" s="100" t="s">
        <v>4854</v>
      </c>
      <c r="AF557" s="100" t="s">
        <v>4854</v>
      </c>
      <c r="AG557" s="100" t="s">
        <v>4854</v>
      </c>
      <c r="AH557" s="100" t="s">
        <v>4854</v>
      </c>
      <c r="AI557" s="100" t="s">
        <v>4854</v>
      </c>
      <c r="AJ557" s="100" t="s">
        <v>4854</v>
      </c>
      <c r="AK557" s="91">
        <v>3.6579999999999999</v>
      </c>
      <c r="AL557" s="91">
        <v>3.2719999999999998</v>
      </c>
      <c r="AM557" s="103" t="s">
        <v>4854</v>
      </c>
      <c r="AN557" s="103" t="s">
        <v>4854</v>
      </c>
      <c r="AO557" s="103" t="s">
        <v>4854</v>
      </c>
      <c r="AP557" s="103" t="s">
        <v>4854</v>
      </c>
      <c r="AQ557" s="103" t="s">
        <v>4854</v>
      </c>
      <c r="AR557" s="103" t="s">
        <v>4854</v>
      </c>
      <c r="AS557" s="95">
        <v>0.4929</v>
      </c>
      <c r="AT557" s="95">
        <v>0.31879999999999997</v>
      </c>
      <c r="AU557" s="103" t="s">
        <v>4854</v>
      </c>
      <c r="AV557" s="103" t="s">
        <v>4854</v>
      </c>
      <c r="AW557" s="103" t="s">
        <v>4854</v>
      </c>
      <c r="AX557" s="103" t="s">
        <v>4854</v>
      </c>
      <c r="AY557" s="103" t="s">
        <v>4854</v>
      </c>
      <c r="AZ557" s="103" t="s">
        <v>4854</v>
      </c>
      <c r="BA557" s="95">
        <v>0.35</v>
      </c>
      <c r="BB557" s="95">
        <v>0.24099999999999999</v>
      </c>
      <c r="BC557" s="4" t="s">
        <v>4854</v>
      </c>
      <c r="BD557" s="4" t="s">
        <v>4854</v>
      </c>
      <c r="BE557" s="4" t="s">
        <v>4854</v>
      </c>
      <c r="BF557" s="4" t="s">
        <v>4854</v>
      </c>
      <c r="BG557" s="4" t="s">
        <v>4854</v>
      </c>
      <c r="BH557" s="4" t="s">
        <v>4854</v>
      </c>
      <c r="BI557" s="10">
        <v>1</v>
      </c>
      <c r="BJ557" s="10">
        <v>1</v>
      </c>
      <c r="BK557" s="100" t="s">
        <v>4854</v>
      </c>
      <c r="BL557" s="100" t="s">
        <v>4854</v>
      </c>
      <c r="BM557" s="100" t="s">
        <v>4854</v>
      </c>
      <c r="BN557" s="100" t="s">
        <v>4854</v>
      </c>
      <c r="BO557" s="100" t="s">
        <v>4854</v>
      </c>
      <c r="BP557" s="100" t="s">
        <v>4854</v>
      </c>
      <c r="BQ557" s="91">
        <v>1</v>
      </c>
      <c r="BR557" s="91">
        <v>0.999</v>
      </c>
      <c r="BS557" s="10" t="s">
        <v>4857</v>
      </c>
    </row>
    <row r="558" spans="1:71" s="30" customFormat="1" ht="17.100000000000001" customHeight="1">
      <c r="A558" s="14">
        <v>547</v>
      </c>
      <c r="B558" s="5" t="s">
        <v>4428</v>
      </c>
      <c r="C558" s="3" t="s">
        <v>3178</v>
      </c>
      <c r="D558" s="3" t="s">
        <v>2796</v>
      </c>
      <c r="E558" s="3" t="s">
        <v>2797</v>
      </c>
      <c r="F558" s="5" t="s">
        <v>5121</v>
      </c>
      <c r="G558" s="3" t="s">
        <v>2798</v>
      </c>
      <c r="H558" s="6" t="s">
        <v>2799</v>
      </c>
      <c r="I558" s="3" t="s">
        <v>2800</v>
      </c>
      <c r="J558" s="5" t="s">
        <v>2801</v>
      </c>
      <c r="K558" s="3" t="s">
        <v>5661</v>
      </c>
      <c r="L558" s="3" t="s">
        <v>2802</v>
      </c>
      <c r="M558" s="5">
        <v>2</v>
      </c>
      <c r="N558" s="21">
        <v>1009.0251</v>
      </c>
      <c r="O558" s="36" t="str">
        <f>HYPERLINK("http://ms.phosphosite.org:5080/cgi-bin/plot-msms.cgi?MassType=1&amp;NumAxis=1&amp;Mod13=170&amp;Pep=LNQVIFPVSYNDKFYK&amp;Dta=/var/www/html/dta/S01/10558.11250.2.dta&amp;Global_Mod=CS57.0215", "11250")</f>
        <v>11250</v>
      </c>
      <c r="P558" s="35" t="s">
        <v>4854</v>
      </c>
      <c r="Q558" s="36" t="str">
        <f>HYPERLINK("http://ms.phosphosite.org:5080/cgi-bin/plot-msms.cgi?MassType=1&amp;NumAxis=1&amp;Mod13=170&amp;Pep=LNQVIFPVSYNDKFYK&amp;Dta=/var/www/html/dta/S01/10560.11279.2.dta&amp;Global_Mod=CS57.0215", "11279")</f>
        <v>11279</v>
      </c>
      <c r="R558" s="36" t="str">
        <f>HYPERLINK("http://ms.phosphosite.org:5080/cgi-bin/plot-msms.cgi?MassType=1&amp;NumAxis=1&amp;Mod13=170&amp;Pep=LNQVIFPVSYNDKFYK&amp;Dta=/var/www/html/dta/S01/10561.11317.2.dta&amp;Global_Mod=CS57.0215", "11317")</f>
        <v>11317</v>
      </c>
      <c r="S558" s="36" t="str">
        <f>HYPERLINK("http://ms.phosphosite.org:5080/cgi-bin/plot-msms.cgi?MassType=1&amp;NumAxis=1&amp;Mod13=170&amp;Pep=LNQVIFPVSYNDKFYK&amp;Dta=/var/www/html/dta/S01/10562.11494.2.dta&amp;Global_Mod=CS57.0215", "11494")</f>
        <v>11494</v>
      </c>
      <c r="T558" s="36" t="str">
        <f>HYPERLINK("http://ms.phosphosite.org:5080/cgi-bin/plot-msms.cgi?MassType=1&amp;NumAxis=1&amp;Mod13=170&amp;Pep=LNQVIFPVSYNDKFYK&amp;Dta=/var/www/html/dta/S01/10563.11416.2.dta&amp;Global_Mod=CS57.0215", "11416")</f>
        <v>11416</v>
      </c>
      <c r="U558" s="36" t="str">
        <f>HYPERLINK("http://ms.phosphosite.org:5080/cgi-bin/plot-msms.cgi?MassType=1&amp;NumAxis=1&amp;Mod13=170&amp;Pep=LNQVIFPVSYNDKFYK&amp;Dta=/var/www/html/dta/S01/10564.11976.2.dta&amp;Global_Mod=CS57.0215", "11976")</f>
        <v>11976</v>
      </c>
      <c r="V558" s="36" t="str">
        <f>HYPERLINK("http://ms.phosphosite.org:5080/cgi-bin/plot-msms.cgi?MassType=1&amp;NumAxis=1&amp;Mod13=170&amp;Pep=LNQVIFPVSYNDKFYK&amp;Dta=/var/www/html/dta/S01/10565.11896.2.dta&amp;Global_Mod=CS57.0215", "11896")</f>
        <v>11896</v>
      </c>
      <c r="W558" s="5">
        <v>11251</v>
      </c>
      <c r="X558" s="3" t="s">
        <v>4854</v>
      </c>
      <c r="Y558" s="5">
        <v>11296</v>
      </c>
      <c r="Z558" s="5">
        <v>11335</v>
      </c>
      <c r="AA558" s="5">
        <v>11511</v>
      </c>
      <c r="AB558" s="5">
        <v>11432</v>
      </c>
      <c r="AC558" s="5">
        <v>11977</v>
      </c>
      <c r="AD558" s="5">
        <v>11887</v>
      </c>
      <c r="AE558" s="90">
        <v>2.855</v>
      </c>
      <c r="AF558" s="99" t="s">
        <v>4854</v>
      </c>
      <c r="AG558" s="90">
        <v>2.5489999999999999</v>
      </c>
      <c r="AH558" s="90">
        <v>2.899</v>
      </c>
      <c r="AI558" s="90">
        <v>2.9780000000000002</v>
      </c>
      <c r="AJ558" s="90">
        <v>2.7349999999999999</v>
      </c>
      <c r="AK558" s="90">
        <v>2.633</v>
      </c>
      <c r="AL558" s="90">
        <v>2.7559999999999998</v>
      </c>
      <c r="AM558" s="21">
        <v>0.95620000000000005</v>
      </c>
      <c r="AN558" s="102" t="s">
        <v>4854</v>
      </c>
      <c r="AO558" s="21">
        <v>1.1921999999999999</v>
      </c>
      <c r="AP558" s="21">
        <v>1.3365</v>
      </c>
      <c r="AQ558" s="21">
        <v>1.1034999999999999</v>
      </c>
      <c r="AR558" s="21">
        <v>1.1287</v>
      </c>
      <c r="AS558" s="21">
        <v>1.0802</v>
      </c>
      <c r="AT558" s="21">
        <v>0.76290000000000002</v>
      </c>
      <c r="AU558" s="21">
        <v>0.36</v>
      </c>
      <c r="AV558" s="102" t="s">
        <v>4854</v>
      </c>
      <c r="AW558" s="21">
        <v>0.30499999999999999</v>
      </c>
      <c r="AX558" s="21">
        <v>0.35</v>
      </c>
      <c r="AY558" s="21">
        <v>0.40699999999999997</v>
      </c>
      <c r="AZ558" s="21">
        <v>0.35199999999999998</v>
      </c>
      <c r="BA558" s="21">
        <v>0.20499999999999999</v>
      </c>
      <c r="BB558" s="21">
        <v>0.23200000000000001</v>
      </c>
      <c r="BC558" s="5">
        <v>1</v>
      </c>
      <c r="BD558" s="3" t="s">
        <v>4854</v>
      </c>
      <c r="BE558" s="5">
        <v>1</v>
      </c>
      <c r="BF558" s="5">
        <v>1</v>
      </c>
      <c r="BG558" s="5">
        <v>1</v>
      </c>
      <c r="BH558" s="5">
        <v>1</v>
      </c>
      <c r="BI558" s="5">
        <v>1</v>
      </c>
      <c r="BJ558" s="5">
        <v>1</v>
      </c>
      <c r="BK558" s="90">
        <v>1</v>
      </c>
      <c r="BL558" s="99" t="s">
        <v>4854</v>
      </c>
      <c r="BM558" s="90">
        <v>0.999</v>
      </c>
      <c r="BN558" s="90">
        <v>0.999</v>
      </c>
      <c r="BO558" s="90">
        <v>1</v>
      </c>
      <c r="BP558" s="90">
        <v>1</v>
      </c>
      <c r="BQ558" s="90">
        <v>0.998</v>
      </c>
      <c r="BR558" s="90">
        <v>0.999</v>
      </c>
      <c r="BS558" s="5" t="s">
        <v>4857</v>
      </c>
    </row>
    <row r="559" spans="1:71" s="30" customFormat="1" ht="17.100000000000001" customHeight="1">
      <c r="A559" s="14">
        <v>548</v>
      </c>
      <c r="B559" s="5" t="s">
        <v>2803</v>
      </c>
      <c r="C559" s="3" t="s">
        <v>3178</v>
      </c>
      <c r="D559" s="3" t="s">
        <v>2796</v>
      </c>
      <c r="E559" s="3" t="s">
        <v>2797</v>
      </c>
      <c r="F559" s="5" t="s">
        <v>5121</v>
      </c>
      <c r="G559" s="3" t="s">
        <v>2798</v>
      </c>
      <c r="H559" s="6" t="s">
        <v>2799</v>
      </c>
      <c r="I559" s="3" t="s">
        <v>2800</v>
      </c>
      <c r="J559" s="5" t="s">
        <v>2801</v>
      </c>
      <c r="K559" s="3" t="s">
        <v>5661</v>
      </c>
      <c r="L559" s="3" t="s">
        <v>2802</v>
      </c>
      <c r="M559" s="5">
        <v>3</v>
      </c>
      <c r="N559" s="21">
        <v>673.01919999999996</v>
      </c>
      <c r="O559" s="35" t="s">
        <v>4854</v>
      </c>
      <c r="P559" s="35" t="s">
        <v>4854</v>
      </c>
      <c r="Q559" s="35" t="s">
        <v>4854</v>
      </c>
      <c r="R559" s="35" t="s">
        <v>4854</v>
      </c>
      <c r="S559" s="35" t="s">
        <v>4854</v>
      </c>
      <c r="T559" s="36" t="str">
        <f>HYPERLINK("http://ms.phosphosite.org:5080/cgi-bin/plot-msms.cgi?MassType=1&amp;NumAxis=1&amp;Mod13=170&amp;Pep=LNQVIFPVSYNDKFYK&amp;Dta=/var/www/html/dta/S01/10563.11435.3.dta&amp;Global_Mod=CS57.0215", "11435")</f>
        <v>11435</v>
      </c>
      <c r="U559" s="35" t="s">
        <v>4854</v>
      </c>
      <c r="V559" s="35" t="s">
        <v>4854</v>
      </c>
      <c r="W559" s="3" t="s">
        <v>4854</v>
      </c>
      <c r="X559" s="3" t="s">
        <v>4854</v>
      </c>
      <c r="Y559" s="3" t="s">
        <v>4854</v>
      </c>
      <c r="Z559" s="3" t="s">
        <v>4854</v>
      </c>
      <c r="AA559" s="3" t="s">
        <v>4854</v>
      </c>
      <c r="AB559" s="3" t="s">
        <v>4854</v>
      </c>
      <c r="AC559" s="3" t="s">
        <v>4854</v>
      </c>
      <c r="AD559" s="3" t="s">
        <v>4854</v>
      </c>
      <c r="AE559" s="99" t="s">
        <v>4854</v>
      </c>
      <c r="AF559" s="99" t="s">
        <v>4854</v>
      </c>
      <c r="AG559" s="99" t="s">
        <v>4854</v>
      </c>
      <c r="AH559" s="99" t="s">
        <v>4854</v>
      </c>
      <c r="AI559" s="99" t="s">
        <v>4854</v>
      </c>
      <c r="AJ559" s="90">
        <v>2.2999999999999998</v>
      </c>
      <c r="AK559" s="99" t="s">
        <v>4854</v>
      </c>
      <c r="AL559" s="99" t="s">
        <v>4854</v>
      </c>
      <c r="AM559" s="102" t="s">
        <v>4854</v>
      </c>
      <c r="AN559" s="102" t="s">
        <v>4854</v>
      </c>
      <c r="AO559" s="102" t="s">
        <v>4854</v>
      </c>
      <c r="AP559" s="102" t="s">
        <v>4854</v>
      </c>
      <c r="AQ559" s="102" t="s">
        <v>4854</v>
      </c>
      <c r="AR559" s="21">
        <v>1.8571</v>
      </c>
      <c r="AS559" s="102" t="s">
        <v>4854</v>
      </c>
      <c r="AT559" s="102" t="s">
        <v>4854</v>
      </c>
      <c r="AU559" s="102" t="s">
        <v>4854</v>
      </c>
      <c r="AV559" s="102" t="s">
        <v>4854</v>
      </c>
      <c r="AW559" s="102" t="s">
        <v>4854</v>
      </c>
      <c r="AX559" s="102" t="s">
        <v>4854</v>
      </c>
      <c r="AY559" s="102" t="s">
        <v>4854</v>
      </c>
      <c r="AZ559" s="21">
        <v>3.3000000000000002E-2</v>
      </c>
      <c r="BA559" s="102" t="s">
        <v>4854</v>
      </c>
      <c r="BB559" s="102" t="s">
        <v>4854</v>
      </c>
      <c r="BC559" s="3" t="s">
        <v>4854</v>
      </c>
      <c r="BD559" s="3" t="s">
        <v>4854</v>
      </c>
      <c r="BE559" s="3" t="s">
        <v>4854</v>
      </c>
      <c r="BF559" s="3" t="s">
        <v>4854</v>
      </c>
      <c r="BG559" s="3" t="s">
        <v>4854</v>
      </c>
      <c r="BH559" s="5">
        <v>249</v>
      </c>
      <c r="BI559" s="3" t="s">
        <v>4854</v>
      </c>
      <c r="BJ559" s="3" t="s">
        <v>4854</v>
      </c>
      <c r="BK559" s="99" t="s">
        <v>4854</v>
      </c>
      <c r="BL559" s="99" t="s">
        <v>4854</v>
      </c>
      <c r="BM559" s="99" t="s">
        <v>4854</v>
      </c>
      <c r="BN559" s="99" t="s">
        <v>4854</v>
      </c>
      <c r="BO559" s="99" t="s">
        <v>4854</v>
      </c>
      <c r="BP559" s="90">
        <v>0.81299999999999994</v>
      </c>
      <c r="BQ559" s="99" t="s">
        <v>4854</v>
      </c>
      <c r="BR559" s="99" t="s">
        <v>4854</v>
      </c>
      <c r="BS559" s="5" t="s">
        <v>4857</v>
      </c>
    </row>
    <row r="560" spans="1:71" s="30" customFormat="1" ht="17.100000000000001" customHeight="1">
      <c r="A560" s="14">
        <v>549</v>
      </c>
      <c r="B560" s="5" t="s">
        <v>2804</v>
      </c>
      <c r="C560" s="3" t="s">
        <v>3178</v>
      </c>
      <c r="D560" s="3" t="s">
        <v>2796</v>
      </c>
      <c r="E560" s="3" t="s">
        <v>2797</v>
      </c>
      <c r="F560" s="5" t="s">
        <v>5121</v>
      </c>
      <c r="G560" s="3" t="s">
        <v>2798</v>
      </c>
      <c r="H560" s="6" t="s">
        <v>2799</v>
      </c>
      <c r="I560" s="3" t="s">
        <v>2800</v>
      </c>
      <c r="J560" s="5" t="s">
        <v>2801</v>
      </c>
      <c r="K560" s="3" t="s">
        <v>5661</v>
      </c>
      <c r="L560" s="3" t="s">
        <v>2805</v>
      </c>
      <c r="M560" s="5">
        <v>3</v>
      </c>
      <c r="N560" s="21">
        <v>1024.2094</v>
      </c>
      <c r="O560" s="35" t="s">
        <v>4854</v>
      </c>
      <c r="P560" s="36" t="str">
        <f>HYPERLINK("http://ms.phosphosite.org:5080/cgi-bin/plot-msms.cgi?MassType=1&amp;NumAxis=1&amp;Mod13=170&amp;Pep=LNQVIFPVSYNDKFYKDVLEVGELAK&amp;Dta=/var/www/html/dta/S01/10559.14819.3.dta&amp;Global_Mod=CS57.0215", "14819")</f>
        <v>14819</v>
      </c>
      <c r="Q560" s="35" t="s">
        <v>4854</v>
      </c>
      <c r="R560" s="35" t="s">
        <v>4854</v>
      </c>
      <c r="S560" s="35" t="s">
        <v>4854</v>
      </c>
      <c r="T560" s="36" t="str">
        <f>HYPERLINK("http://ms.phosphosite.org:5080/cgi-bin/plot-msms.cgi?MassType=1&amp;NumAxis=1&amp;Mod13=170&amp;Pep=LNQVIFPVSYNDKFYKDVLEVGELAK&amp;Dta=/var/www/html/dta/S01/10563.14922.3.dta&amp;Global_Mod=CS57.0215", "14922")</f>
        <v>14922</v>
      </c>
      <c r="U560" s="35" t="s">
        <v>4854</v>
      </c>
      <c r="V560" s="35" t="s">
        <v>4854</v>
      </c>
      <c r="W560" s="3" t="s">
        <v>4854</v>
      </c>
      <c r="X560" s="5">
        <v>14870</v>
      </c>
      <c r="Y560" s="3" t="s">
        <v>4854</v>
      </c>
      <c r="Z560" s="3" t="s">
        <v>4854</v>
      </c>
      <c r="AA560" s="3" t="s">
        <v>4854</v>
      </c>
      <c r="AB560" s="3" t="s">
        <v>4854</v>
      </c>
      <c r="AC560" s="3" t="s">
        <v>4854</v>
      </c>
      <c r="AD560" s="3" t="s">
        <v>4854</v>
      </c>
      <c r="AE560" s="99" t="s">
        <v>4854</v>
      </c>
      <c r="AF560" s="90">
        <v>2.7829999999999999</v>
      </c>
      <c r="AG560" s="99" t="s">
        <v>4854</v>
      </c>
      <c r="AH560" s="99" t="s">
        <v>4854</v>
      </c>
      <c r="AI560" s="99" t="s">
        <v>4854</v>
      </c>
      <c r="AJ560" s="90">
        <v>2.0840000000000001</v>
      </c>
      <c r="AK560" s="99" t="s">
        <v>4854</v>
      </c>
      <c r="AL560" s="99" t="s">
        <v>4854</v>
      </c>
      <c r="AM560" s="102" t="s">
        <v>4854</v>
      </c>
      <c r="AN560" s="21">
        <v>1.6778999999999999</v>
      </c>
      <c r="AO560" s="102" t="s">
        <v>4854</v>
      </c>
      <c r="AP560" s="102" t="s">
        <v>4854</v>
      </c>
      <c r="AQ560" s="102" t="s">
        <v>4854</v>
      </c>
      <c r="AR560" s="21">
        <v>1.6063000000000001</v>
      </c>
      <c r="AS560" s="102" t="s">
        <v>4854</v>
      </c>
      <c r="AT560" s="102" t="s">
        <v>4854</v>
      </c>
      <c r="AU560" s="102" t="s">
        <v>4854</v>
      </c>
      <c r="AV560" s="21">
        <v>0.27800000000000002</v>
      </c>
      <c r="AW560" s="102" t="s">
        <v>4854</v>
      </c>
      <c r="AX560" s="102" t="s">
        <v>4854</v>
      </c>
      <c r="AY560" s="102" t="s">
        <v>4854</v>
      </c>
      <c r="AZ560" s="21">
        <v>8.1000000000000003E-2</v>
      </c>
      <c r="BA560" s="102" t="s">
        <v>4854</v>
      </c>
      <c r="BB560" s="102" t="s">
        <v>4854</v>
      </c>
      <c r="BC560" s="3" t="s">
        <v>4854</v>
      </c>
      <c r="BD560" s="5">
        <v>2</v>
      </c>
      <c r="BE560" s="3" t="s">
        <v>4854</v>
      </c>
      <c r="BF560" s="3" t="s">
        <v>4854</v>
      </c>
      <c r="BG560" s="3" t="s">
        <v>4854</v>
      </c>
      <c r="BH560" s="5">
        <v>9</v>
      </c>
      <c r="BI560" s="3" t="s">
        <v>4854</v>
      </c>
      <c r="BJ560" s="3" t="s">
        <v>4854</v>
      </c>
      <c r="BK560" s="99" t="s">
        <v>4854</v>
      </c>
      <c r="BL560" s="90">
        <v>0.996</v>
      </c>
      <c r="BM560" s="99" t="s">
        <v>4854</v>
      </c>
      <c r="BN560" s="99" t="s">
        <v>4854</v>
      </c>
      <c r="BO560" s="99" t="s">
        <v>4854</v>
      </c>
      <c r="BP560" s="90">
        <v>0.78500000000000003</v>
      </c>
      <c r="BQ560" s="99" t="s">
        <v>4854</v>
      </c>
      <c r="BR560" s="99" t="s">
        <v>4854</v>
      </c>
      <c r="BS560" s="5" t="s">
        <v>4857</v>
      </c>
    </row>
    <row r="561" spans="1:71" s="30" customFormat="1" ht="17.100000000000001" customHeight="1">
      <c r="A561" s="14">
        <v>550</v>
      </c>
      <c r="B561" s="5" t="s">
        <v>2806</v>
      </c>
      <c r="C561" s="3" t="s">
        <v>3178</v>
      </c>
      <c r="D561" s="3" t="s">
        <v>2796</v>
      </c>
      <c r="E561" s="3" t="s">
        <v>2797</v>
      </c>
      <c r="F561" s="5" t="s">
        <v>5121</v>
      </c>
      <c r="G561" s="3" t="s">
        <v>2798</v>
      </c>
      <c r="H561" s="6" t="s">
        <v>2799</v>
      </c>
      <c r="I561" s="3" t="s">
        <v>2800</v>
      </c>
      <c r="J561" s="5" t="s">
        <v>2801</v>
      </c>
      <c r="K561" s="3" t="s">
        <v>5661</v>
      </c>
      <c r="L561" s="3" t="s">
        <v>2807</v>
      </c>
      <c r="M561" s="5">
        <v>3</v>
      </c>
      <c r="N561" s="21">
        <v>725.05290000000002</v>
      </c>
      <c r="O561" s="35" t="s">
        <v>4854</v>
      </c>
      <c r="P561" s="35" t="s">
        <v>4854</v>
      </c>
      <c r="Q561" s="35" t="s">
        <v>4854</v>
      </c>
      <c r="R561" s="35" t="s">
        <v>4854</v>
      </c>
      <c r="S561" s="35" t="s">
        <v>4854</v>
      </c>
      <c r="T561" s="35" t="s">
        <v>4854</v>
      </c>
      <c r="U561" s="35" t="s">
        <v>4854</v>
      </c>
      <c r="V561" s="36" t="str">
        <f>HYPERLINK("http://ms.phosphosite.org:5080/cgi-bin/plot-msms.cgi?MassType=1&amp;NumAxis=1&amp;Mod14=170&amp;Pep=RLNQVIFPVSYNDKFYK&amp;Dta=/var/www/html/dta/S01/10565.10529.3.dta&amp;Global_Mod=CS57.0215", "10529")</f>
        <v>10529</v>
      </c>
      <c r="W561" s="3" t="s">
        <v>4854</v>
      </c>
      <c r="X561" s="3" t="s">
        <v>4854</v>
      </c>
      <c r="Y561" s="3" t="s">
        <v>4854</v>
      </c>
      <c r="Z561" s="3" t="s">
        <v>4854</v>
      </c>
      <c r="AA561" s="3" t="s">
        <v>4854</v>
      </c>
      <c r="AB561" s="3" t="s">
        <v>4854</v>
      </c>
      <c r="AC561" s="3" t="s">
        <v>4854</v>
      </c>
      <c r="AD561" s="5">
        <v>10541</v>
      </c>
      <c r="AE561" s="99" t="s">
        <v>4854</v>
      </c>
      <c r="AF561" s="99" t="s">
        <v>4854</v>
      </c>
      <c r="AG561" s="99" t="s">
        <v>4854</v>
      </c>
      <c r="AH561" s="99" t="s">
        <v>4854</v>
      </c>
      <c r="AI561" s="99" t="s">
        <v>4854</v>
      </c>
      <c r="AJ561" s="99" t="s">
        <v>4854</v>
      </c>
      <c r="AK561" s="99" t="s">
        <v>4854</v>
      </c>
      <c r="AL561" s="90">
        <v>4.0780000000000003</v>
      </c>
      <c r="AM561" s="102" t="s">
        <v>4854</v>
      </c>
      <c r="AN561" s="102" t="s">
        <v>4854</v>
      </c>
      <c r="AO561" s="102" t="s">
        <v>4854</v>
      </c>
      <c r="AP561" s="102" t="s">
        <v>4854</v>
      </c>
      <c r="AQ561" s="102" t="s">
        <v>4854</v>
      </c>
      <c r="AR561" s="102" t="s">
        <v>4854</v>
      </c>
      <c r="AS561" s="102" t="s">
        <v>4854</v>
      </c>
      <c r="AT561" s="21">
        <v>0.23319999999999999</v>
      </c>
      <c r="AU561" s="102" t="s">
        <v>4854</v>
      </c>
      <c r="AV561" s="102" t="s">
        <v>4854</v>
      </c>
      <c r="AW561" s="102" t="s">
        <v>4854</v>
      </c>
      <c r="AX561" s="102" t="s">
        <v>4854</v>
      </c>
      <c r="AY561" s="102" t="s">
        <v>4854</v>
      </c>
      <c r="AZ561" s="102" t="s">
        <v>4854</v>
      </c>
      <c r="BA561" s="102" t="s">
        <v>4854</v>
      </c>
      <c r="BB561" s="21">
        <v>0.32700000000000001</v>
      </c>
      <c r="BC561" s="3" t="s">
        <v>4854</v>
      </c>
      <c r="BD561" s="3" t="s">
        <v>4854</v>
      </c>
      <c r="BE561" s="3" t="s">
        <v>4854</v>
      </c>
      <c r="BF561" s="3" t="s">
        <v>4854</v>
      </c>
      <c r="BG561" s="3" t="s">
        <v>4854</v>
      </c>
      <c r="BH561" s="3" t="s">
        <v>4854</v>
      </c>
      <c r="BI561" s="3" t="s">
        <v>4854</v>
      </c>
      <c r="BJ561" s="5">
        <v>1</v>
      </c>
      <c r="BK561" s="99" t="s">
        <v>4854</v>
      </c>
      <c r="BL561" s="99" t="s">
        <v>4854</v>
      </c>
      <c r="BM561" s="99" t="s">
        <v>4854</v>
      </c>
      <c r="BN561" s="99" t="s">
        <v>4854</v>
      </c>
      <c r="BO561" s="99" t="s">
        <v>4854</v>
      </c>
      <c r="BP561" s="99" t="s">
        <v>4854</v>
      </c>
      <c r="BQ561" s="99" t="s">
        <v>4854</v>
      </c>
      <c r="BR561" s="90">
        <v>1</v>
      </c>
      <c r="BS561" s="5" t="s">
        <v>4857</v>
      </c>
    </row>
    <row r="562" spans="1:71" s="30" customFormat="1" ht="17.100000000000001" customHeight="1">
      <c r="A562" s="14">
        <v>551</v>
      </c>
      <c r="B562" s="5" t="s">
        <v>2808</v>
      </c>
      <c r="C562" s="3" t="s">
        <v>3178</v>
      </c>
      <c r="D562" s="3" t="s">
        <v>2796</v>
      </c>
      <c r="E562" s="3" t="s">
        <v>2797</v>
      </c>
      <c r="F562" s="5" t="s">
        <v>5121</v>
      </c>
      <c r="G562" s="3" t="s">
        <v>2798</v>
      </c>
      <c r="H562" s="6" t="s">
        <v>2799</v>
      </c>
      <c r="I562" s="3" t="s">
        <v>2800</v>
      </c>
      <c r="J562" s="5" t="s">
        <v>2801</v>
      </c>
      <c r="K562" s="3" t="s">
        <v>5661</v>
      </c>
      <c r="L562" s="3" t="s">
        <v>2809</v>
      </c>
      <c r="M562" s="5">
        <v>3</v>
      </c>
      <c r="N562" s="21">
        <v>1076.2430999999999</v>
      </c>
      <c r="O562" s="35" t="s">
        <v>4854</v>
      </c>
      <c r="P562" s="36" t="str">
        <f>HYPERLINK("http://ms.phosphosite.org:5080/cgi-bin/plot-msms.cgi?MassType=1&amp;NumAxis=1&amp;Mod14=170&amp;Pep=RLNQVIFPVSYNDKFYKDVLEVGELAK&amp;Dta=/var/www/html/dta/S01/10559.13747.3.dta&amp;Global_Mod=CS57.0215", "13747")</f>
        <v>13747</v>
      </c>
      <c r="Q562" s="35" t="s">
        <v>4854</v>
      </c>
      <c r="R562" s="35" t="s">
        <v>4854</v>
      </c>
      <c r="S562" s="35" t="s">
        <v>4854</v>
      </c>
      <c r="T562" s="35" t="s">
        <v>4854</v>
      </c>
      <c r="U562" s="35" t="s">
        <v>4854</v>
      </c>
      <c r="V562" s="36" t="str">
        <f>HYPERLINK("http://ms.phosphosite.org:5080/cgi-bin/plot-msms.cgi?MassType=1&amp;NumAxis=1&amp;Mod14=170&amp;Pep=RLNQVIFPVSYNDKFYKDVLEVGELAK&amp;Dta=/var/www/html/dta/S01/10565.14437.3.dta&amp;Global_Mod=CS57.0215", "14437")</f>
        <v>14437</v>
      </c>
      <c r="W562" s="3" t="s">
        <v>4854</v>
      </c>
      <c r="X562" s="5">
        <v>13748</v>
      </c>
      <c r="Y562" s="3" t="s">
        <v>4854</v>
      </c>
      <c r="Z562" s="3" t="s">
        <v>4854</v>
      </c>
      <c r="AA562" s="3" t="s">
        <v>4854</v>
      </c>
      <c r="AB562" s="3" t="s">
        <v>4854</v>
      </c>
      <c r="AC562" s="3" t="s">
        <v>4854</v>
      </c>
      <c r="AD562" s="5">
        <v>14428</v>
      </c>
      <c r="AE562" s="99" t="s">
        <v>4854</v>
      </c>
      <c r="AF562" s="90">
        <v>2.2429999999999999</v>
      </c>
      <c r="AG562" s="99" t="s">
        <v>4854</v>
      </c>
      <c r="AH562" s="99" t="s">
        <v>4854</v>
      </c>
      <c r="AI562" s="99" t="s">
        <v>4854</v>
      </c>
      <c r="AJ562" s="99" t="s">
        <v>4854</v>
      </c>
      <c r="AK562" s="99" t="s">
        <v>4854</v>
      </c>
      <c r="AL562" s="90">
        <v>2.14</v>
      </c>
      <c r="AM562" s="102" t="s">
        <v>4854</v>
      </c>
      <c r="AN562" s="21">
        <v>1.1318999999999999</v>
      </c>
      <c r="AO562" s="102" t="s">
        <v>4854</v>
      </c>
      <c r="AP562" s="102" t="s">
        <v>4854</v>
      </c>
      <c r="AQ562" s="102" t="s">
        <v>4854</v>
      </c>
      <c r="AR562" s="102" t="s">
        <v>4854</v>
      </c>
      <c r="AS562" s="102" t="s">
        <v>4854</v>
      </c>
      <c r="AT562" s="21">
        <v>0.35920000000000002</v>
      </c>
      <c r="AU562" s="102" t="s">
        <v>4854</v>
      </c>
      <c r="AV562" s="21">
        <v>0.34300000000000003</v>
      </c>
      <c r="AW562" s="102" t="s">
        <v>4854</v>
      </c>
      <c r="AX562" s="102" t="s">
        <v>4854</v>
      </c>
      <c r="AY562" s="102" t="s">
        <v>4854</v>
      </c>
      <c r="AZ562" s="102" t="s">
        <v>4854</v>
      </c>
      <c r="BA562" s="102" t="s">
        <v>4854</v>
      </c>
      <c r="BB562" s="21">
        <v>0.26900000000000002</v>
      </c>
      <c r="BC562" s="3" t="s">
        <v>4854</v>
      </c>
      <c r="BD562" s="5">
        <v>1</v>
      </c>
      <c r="BE562" s="3" t="s">
        <v>4854</v>
      </c>
      <c r="BF562" s="3" t="s">
        <v>4854</v>
      </c>
      <c r="BG562" s="3" t="s">
        <v>4854</v>
      </c>
      <c r="BH562" s="3" t="s">
        <v>4854</v>
      </c>
      <c r="BI562" s="3" t="s">
        <v>4854</v>
      </c>
      <c r="BJ562" s="5">
        <v>1</v>
      </c>
      <c r="BK562" s="99" t="s">
        <v>4854</v>
      </c>
      <c r="BL562" s="90">
        <v>0.999</v>
      </c>
      <c r="BM562" s="99" t="s">
        <v>4854</v>
      </c>
      <c r="BN562" s="99" t="s">
        <v>4854</v>
      </c>
      <c r="BO562" s="99" t="s">
        <v>4854</v>
      </c>
      <c r="BP562" s="99" t="s">
        <v>4854</v>
      </c>
      <c r="BQ562" s="99" t="s">
        <v>4854</v>
      </c>
      <c r="BR562" s="90">
        <v>0.998</v>
      </c>
      <c r="BS562" s="5" t="s">
        <v>4857</v>
      </c>
    </row>
    <row r="563" spans="1:71" s="30" customFormat="1" ht="17.100000000000001" customHeight="1">
      <c r="A563" s="14">
        <v>552</v>
      </c>
      <c r="B563" s="5" t="s">
        <v>4408</v>
      </c>
      <c r="C563" s="3" t="s">
        <v>3178</v>
      </c>
      <c r="D563" s="3" t="s">
        <v>2796</v>
      </c>
      <c r="E563" s="3" t="s">
        <v>2797</v>
      </c>
      <c r="F563" s="5" t="s">
        <v>5121</v>
      </c>
      <c r="G563" s="3" t="s">
        <v>2798</v>
      </c>
      <c r="H563" s="6" t="s">
        <v>2799</v>
      </c>
      <c r="I563" s="3" t="s">
        <v>2800</v>
      </c>
      <c r="J563" s="5" t="s">
        <v>2801</v>
      </c>
      <c r="K563" s="3" t="s">
        <v>5661</v>
      </c>
      <c r="L563" s="3" t="s">
        <v>2809</v>
      </c>
      <c r="M563" s="5">
        <v>4</v>
      </c>
      <c r="N563" s="21">
        <v>807.43409999999994</v>
      </c>
      <c r="O563" s="36" t="str">
        <f>HYPERLINK("http://ms.phosphosite.org:5080/cgi-bin/plot-msms.cgi?MassType=1&amp;NumAxis=1&amp;Mod14=170&amp;Pep=RLNQVIFPVSYNDKFYKDVLEVGELAK&amp;Dta=/var/www/html/dta/S01/10558.13252.4.dta&amp;Global_Mod=CS57.0215", "13252")</f>
        <v>13252</v>
      </c>
      <c r="P563" s="35" t="s">
        <v>4854</v>
      </c>
      <c r="Q563" s="35" t="s">
        <v>4854</v>
      </c>
      <c r="R563" s="35" t="s">
        <v>4854</v>
      </c>
      <c r="S563" s="35" t="s">
        <v>4854</v>
      </c>
      <c r="T563" s="35" t="s">
        <v>4854</v>
      </c>
      <c r="U563" s="36" t="str">
        <f>HYPERLINK("http://ms.phosphosite.org:5080/cgi-bin/plot-msms.cgi?MassType=1&amp;NumAxis=1&amp;Mod14=170&amp;Pep=RLNQVIFPVSYNDKFYKDVLEVGELAK&amp;Dta=/var/www/html/dta/S01/10564.14541.4.dta&amp;Global_Mod=CS57.0215", "14541")</f>
        <v>14541</v>
      </c>
      <c r="V563" s="35" t="s">
        <v>4854</v>
      </c>
      <c r="W563" s="5">
        <v>13704</v>
      </c>
      <c r="X563" s="3" t="s">
        <v>4854</v>
      </c>
      <c r="Y563" s="3" t="s">
        <v>4854</v>
      </c>
      <c r="Z563" s="3" t="s">
        <v>4854</v>
      </c>
      <c r="AA563" s="3" t="s">
        <v>4854</v>
      </c>
      <c r="AB563" s="3" t="s">
        <v>4854</v>
      </c>
      <c r="AC563" s="5">
        <v>14496</v>
      </c>
      <c r="AD563" s="3" t="s">
        <v>4854</v>
      </c>
      <c r="AE563" s="90">
        <v>3.3380000000000001</v>
      </c>
      <c r="AF563" s="99" t="s">
        <v>4854</v>
      </c>
      <c r="AG563" s="99" t="s">
        <v>4854</v>
      </c>
      <c r="AH563" s="99" t="s">
        <v>4854</v>
      </c>
      <c r="AI563" s="99" t="s">
        <v>4854</v>
      </c>
      <c r="AJ563" s="99" t="s">
        <v>4854</v>
      </c>
      <c r="AK563" s="90">
        <v>4.851</v>
      </c>
      <c r="AL563" s="99" t="s">
        <v>4854</v>
      </c>
      <c r="AM563" s="21">
        <v>0.22409999999999999</v>
      </c>
      <c r="AN563" s="102" t="s">
        <v>4854</v>
      </c>
      <c r="AO563" s="102" t="s">
        <v>4854</v>
      </c>
      <c r="AP563" s="102" t="s">
        <v>4854</v>
      </c>
      <c r="AQ563" s="102" t="s">
        <v>4854</v>
      </c>
      <c r="AR563" s="102" t="s">
        <v>4854</v>
      </c>
      <c r="AS563" s="21">
        <v>1.1526000000000001</v>
      </c>
      <c r="AT563" s="102" t="s">
        <v>4854</v>
      </c>
      <c r="AU563" s="21">
        <v>6.5000000000000002E-2</v>
      </c>
      <c r="AV563" s="102" t="s">
        <v>4854</v>
      </c>
      <c r="AW563" s="102" t="s">
        <v>4854</v>
      </c>
      <c r="AX563" s="102" t="s">
        <v>4854</v>
      </c>
      <c r="AY563" s="102" t="s">
        <v>4854</v>
      </c>
      <c r="AZ563" s="102" t="s">
        <v>4854</v>
      </c>
      <c r="BA563" s="21">
        <v>0.38900000000000001</v>
      </c>
      <c r="BB563" s="102" t="s">
        <v>4854</v>
      </c>
      <c r="BC563" s="5">
        <v>1</v>
      </c>
      <c r="BD563" s="3" t="s">
        <v>4854</v>
      </c>
      <c r="BE563" s="3" t="s">
        <v>4854</v>
      </c>
      <c r="BF563" s="3" t="s">
        <v>4854</v>
      </c>
      <c r="BG563" s="3" t="s">
        <v>4854</v>
      </c>
      <c r="BH563" s="3" t="s">
        <v>4854</v>
      </c>
      <c r="BI563" s="5">
        <v>1</v>
      </c>
      <c r="BJ563" s="3" t="s">
        <v>4854</v>
      </c>
      <c r="BK563" s="90">
        <v>0.99399999999999999</v>
      </c>
      <c r="BL563" s="99" t="s">
        <v>4854</v>
      </c>
      <c r="BM563" s="99" t="s">
        <v>4854</v>
      </c>
      <c r="BN563" s="99" t="s">
        <v>4854</v>
      </c>
      <c r="BO563" s="99" t="s">
        <v>4854</v>
      </c>
      <c r="BP563" s="99" t="s">
        <v>4854</v>
      </c>
      <c r="BQ563" s="90">
        <v>1</v>
      </c>
      <c r="BR563" s="99" t="s">
        <v>4854</v>
      </c>
      <c r="BS563" s="5" t="s">
        <v>4857</v>
      </c>
    </row>
    <row r="564" spans="1:71" s="30" customFormat="1" ht="17.100000000000001" customHeight="1">
      <c r="A564" s="10">
        <v>553</v>
      </c>
      <c r="B564" s="10" t="s">
        <v>2810</v>
      </c>
      <c r="C564" s="4" t="s">
        <v>3178</v>
      </c>
      <c r="D564" s="4" t="s">
        <v>2796</v>
      </c>
      <c r="E564" s="4" t="s">
        <v>2797</v>
      </c>
      <c r="F564" s="10" t="s">
        <v>5160</v>
      </c>
      <c r="G564" s="4" t="s">
        <v>2798</v>
      </c>
      <c r="H564" s="7" t="s">
        <v>2799</v>
      </c>
      <c r="I564" s="4" t="s">
        <v>2800</v>
      </c>
      <c r="J564" s="10" t="s">
        <v>2801</v>
      </c>
      <c r="K564" s="4" t="s">
        <v>5662</v>
      </c>
      <c r="L564" s="4" t="s">
        <v>2811</v>
      </c>
      <c r="M564" s="10">
        <v>3</v>
      </c>
      <c r="N564" s="95">
        <v>1024.2094</v>
      </c>
      <c r="O564" s="37" t="str">
        <f>HYPERLINK("http://ms.phosphosite.org:5080/cgi-bin/plot-msms.cgi?MassType=1&amp;NumAxis=1&amp;Mod16=170&amp;Pep=LNQVIFPVSYNDKFYKDVLEVGELAK&amp;Dta=/var/www/html/dta/S01/10558.14344.3.dta&amp;Global_Mod=CS57.0215", "14344")</f>
        <v>14344</v>
      </c>
      <c r="P564" s="38" t="s">
        <v>4854</v>
      </c>
      <c r="Q564" s="37" t="str">
        <f>HYPERLINK("http://ms.phosphosite.org:5080/cgi-bin/plot-msms.cgi?MassType=1&amp;NumAxis=1&amp;Mod16=170&amp;Pep=LNQVIFPVSYNDKFYKDVLEVGELAK&amp;Dta=/var/www/html/dta/S01/10560.14388.3.dta&amp;Global_Mod=CS57.0215", "14388")</f>
        <v>14388</v>
      </c>
      <c r="R564" s="38" t="s">
        <v>4854</v>
      </c>
      <c r="S564" s="38" t="s">
        <v>4854</v>
      </c>
      <c r="T564" s="38" t="s">
        <v>4854</v>
      </c>
      <c r="U564" s="37" t="str">
        <f>HYPERLINK("http://ms.phosphosite.org:5080/cgi-bin/plot-msms.cgi?MassType=1&amp;NumAxis=1&amp;Mod16=170&amp;Pep=LNQVIFPVSYNDKFYKDVLEVGELAK&amp;Dta=/var/www/html/dta/S01/10564.15575.3.dta&amp;Global_Mod=CS57.0215", "15575")</f>
        <v>15575</v>
      </c>
      <c r="V564" s="37" t="str">
        <f>HYPERLINK("http://ms.phosphosite.org:5080/cgi-bin/plot-msms.cgi?MassType=1&amp;NumAxis=1&amp;Mod16=170&amp;Pep=LNQVIFPVSYNDKFYKDVLEVGELAK&amp;Dta=/var/www/html/dta/S01/10565.15045.3.dta&amp;Global_Mod=CS57.0215", "15045")</f>
        <v>15045</v>
      </c>
      <c r="W564" s="4" t="s">
        <v>4854</v>
      </c>
      <c r="X564" s="4" t="s">
        <v>4854</v>
      </c>
      <c r="Y564" s="4" t="s">
        <v>4854</v>
      </c>
      <c r="Z564" s="4" t="s">
        <v>4854</v>
      </c>
      <c r="AA564" s="4" t="s">
        <v>4854</v>
      </c>
      <c r="AB564" s="4" t="s">
        <v>4854</v>
      </c>
      <c r="AC564" s="4" t="s">
        <v>4854</v>
      </c>
      <c r="AD564" s="10">
        <v>15550</v>
      </c>
      <c r="AE564" s="91">
        <v>1.93</v>
      </c>
      <c r="AF564" s="100" t="s">
        <v>4854</v>
      </c>
      <c r="AG564" s="91">
        <v>1.905</v>
      </c>
      <c r="AH564" s="100" t="s">
        <v>4854</v>
      </c>
      <c r="AI564" s="100" t="s">
        <v>4854</v>
      </c>
      <c r="AJ564" s="100" t="s">
        <v>4854</v>
      </c>
      <c r="AK564" s="91">
        <v>2.0169999999999999</v>
      </c>
      <c r="AL564" s="91">
        <v>1.974</v>
      </c>
      <c r="AM564" s="95">
        <v>0.72989999999999999</v>
      </c>
      <c r="AN564" s="103" t="s">
        <v>4854</v>
      </c>
      <c r="AO564" s="95">
        <v>0.60650000000000004</v>
      </c>
      <c r="AP564" s="103" t="s">
        <v>4854</v>
      </c>
      <c r="AQ564" s="103" t="s">
        <v>4854</v>
      </c>
      <c r="AR564" s="103" t="s">
        <v>4854</v>
      </c>
      <c r="AS564" s="95">
        <v>1.4796</v>
      </c>
      <c r="AT564" s="95">
        <v>0.55530000000000002</v>
      </c>
      <c r="AU564" s="95">
        <v>9.4E-2</v>
      </c>
      <c r="AV564" s="103" t="s">
        <v>4854</v>
      </c>
      <c r="AW564" s="95">
        <v>9.0999999999999998E-2</v>
      </c>
      <c r="AX564" s="103" t="s">
        <v>4854</v>
      </c>
      <c r="AY564" s="103" t="s">
        <v>4854</v>
      </c>
      <c r="AZ564" s="103" t="s">
        <v>4854</v>
      </c>
      <c r="BA564" s="95">
        <v>0.105</v>
      </c>
      <c r="BB564" s="95">
        <v>0.20799999999999999</v>
      </c>
      <c r="BC564" s="10">
        <v>335</v>
      </c>
      <c r="BD564" s="4" t="s">
        <v>4854</v>
      </c>
      <c r="BE564" s="10">
        <v>148</v>
      </c>
      <c r="BF564" s="4" t="s">
        <v>4854</v>
      </c>
      <c r="BG564" s="4" t="s">
        <v>4854</v>
      </c>
      <c r="BH564" s="4" t="s">
        <v>4854</v>
      </c>
      <c r="BI564" s="10">
        <v>43</v>
      </c>
      <c r="BJ564" s="10">
        <v>1</v>
      </c>
      <c r="BK564" s="91">
        <v>0.84699999999999998</v>
      </c>
      <c r="BL564" s="100" t="s">
        <v>4854</v>
      </c>
      <c r="BM564" s="91">
        <v>0.86099999999999999</v>
      </c>
      <c r="BN564" s="100" t="s">
        <v>4854</v>
      </c>
      <c r="BO564" s="100" t="s">
        <v>4854</v>
      </c>
      <c r="BP564" s="100" t="s">
        <v>4854</v>
      </c>
      <c r="BQ564" s="91">
        <v>0.75600000000000001</v>
      </c>
      <c r="BR564" s="91">
        <v>0.99299999999999999</v>
      </c>
      <c r="BS564" s="10" t="s">
        <v>4857</v>
      </c>
    </row>
    <row r="565" spans="1:71" s="30" customFormat="1" ht="17.100000000000001" customHeight="1">
      <c r="A565" s="10">
        <v>554</v>
      </c>
      <c r="B565" s="10" t="s">
        <v>2812</v>
      </c>
      <c r="C565" s="4" t="s">
        <v>3178</v>
      </c>
      <c r="D565" s="4" t="s">
        <v>2796</v>
      </c>
      <c r="E565" s="4" t="s">
        <v>2797</v>
      </c>
      <c r="F565" s="10" t="s">
        <v>5160</v>
      </c>
      <c r="G565" s="4" t="s">
        <v>2798</v>
      </c>
      <c r="H565" s="7" t="s">
        <v>2799</v>
      </c>
      <c r="I565" s="4" t="s">
        <v>2800</v>
      </c>
      <c r="J565" s="10" t="s">
        <v>2801</v>
      </c>
      <c r="K565" s="4" t="s">
        <v>5662</v>
      </c>
      <c r="L565" s="4" t="s">
        <v>2813</v>
      </c>
      <c r="M565" s="10">
        <v>4</v>
      </c>
      <c r="N565" s="95">
        <v>807.43409999999994</v>
      </c>
      <c r="O565" s="38" t="s">
        <v>4854</v>
      </c>
      <c r="P565" s="37" t="str">
        <f>HYPERLINK("http://ms.phosphosite.org:5080/cgi-bin/plot-msms.cgi?MassType=1&amp;NumAxis=1&amp;Mod17=170&amp;Pep=RLNQVIFPVSYNDKFYKDVLEVGELAK&amp;Dta=/var/www/html/dta/S01/10559.13729.4.dta&amp;Global_Mod=CS57.0215", "13729")</f>
        <v>13729</v>
      </c>
      <c r="Q565" s="38" t="s">
        <v>4854</v>
      </c>
      <c r="R565" s="37" t="str">
        <f>HYPERLINK("http://ms.phosphosite.org:5080/cgi-bin/plot-msms.cgi?MassType=1&amp;NumAxis=1&amp;Mod17=170&amp;Pep=RLNQVIFPVSYNDKFYKDVLEVGELAK&amp;Dta=/var/www/html/dta/S01/10561.13297.4.dta&amp;Global_Mod=CS57.0215", "13297")</f>
        <v>13297</v>
      </c>
      <c r="S565" s="37" t="str">
        <f>HYPERLINK("http://ms.phosphosite.org:5080/cgi-bin/plot-msms.cgi?MassType=1&amp;NumAxis=1&amp;Mod17=170&amp;Pep=RLNQVIFPVSYNDKFYKDVLEVGELAK&amp;Dta=/var/www/html/dta/S01/10562.13924.4.dta&amp;Global_Mod=CS57.0215", "13924")</f>
        <v>13924</v>
      </c>
      <c r="T565" s="38" t="s">
        <v>4854</v>
      </c>
      <c r="U565" s="38" t="s">
        <v>4854</v>
      </c>
      <c r="V565" s="37" t="str">
        <f>HYPERLINK("http://ms.phosphosite.org:5080/cgi-bin/plot-msms.cgi?MassType=1&amp;NumAxis=1&amp;Mod17=170&amp;Pep=RLNQVIFPVSYNDKFYKDVLEVGELAK&amp;Dta=/var/www/html/dta/S01/10565.14412.4.dta&amp;Global_Mod=CS57.0215", "14412")</f>
        <v>14412</v>
      </c>
      <c r="W565" s="4" t="s">
        <v>4854</v>
      </c>
      <c r="X565" s="10">
        <v>13759</v>
      </c>
      <c r="Y565" s="4" t="s">
        <v>4854</v>
      </c>
      <c r="Z565" s="10">
        <v>13744</v>
      </c>
      <c r="AA565" s="10">
        <v>13953</v>
      </c>
      <c r="AB565" s="4" t="s">
        <v>4854</v>
      </c>
      <c r="AC565" s="4" t="s">
        <v>4854</v>
      </c>
      <c r="AD565" s="10">
        <v>14428</v>
      </c>
      <c r="AE565" s="100" t="s">
        <v>4854</v>
      </c>
      <c r="AF565" s="91">
        <v>5.08</v>
      </c>
      <c r="AG565" s="100" t="s">
        <v>4854</v>
      </c>
      <c r="AH565" s="91">
        <v>3.5459999999999998</v>
      </c>
      <c r="AI565" s="91">
        <v>5.8470000000000004</v>
      </c>
      <c r="AJ565" s="100" t="s">
        <v>4854</v>
      </c>
      <c r="AK565" s="100" t="s">
        <v>4854</v>
      </c>
      <c r="AL565" s="91">
        <v>3.2</v>
      </c>
      <c r="AM565" s="103" t="s">
        <v>4854</v>
      </c>
      <c r="AN565" s="95">
        <v>1.3466</v>
      </c>
      <c r="AO565" s="103" t="s">
        <v>4854</v>
      </c>
      <c r="AP565" s="95">
        <v>0.58799999999999997</v>
      </c>
      <c r="AQ565" s="95">
        <v>0.66979999999999995</v>
      </c>
      <c r="AR565" s="103" t="s">
        <v>4854</v>
      </c>
      <c r="AS565" s="103" t="s">
        <v>4854</v>
      </c>
      <c r="AT565" s="95">
        <v>0.95640000000000003</v>
      </c>
      <c r="AU565" s="103" t="s">
        <v>4854</v>
      </c>
      <c r="AV565" s="95">
        <v>0.34799999999999998</v>
      </c>
      <c r="AW565" s="103" t="s">
        <v>4854</v>
      </c>
      <c r="AX565" s="95">
        <v>0.23499999999999999</v>
      </c>
      <c r="AY565" s="95">
        <v>0.39800000000000002</v>
      </c>
      <c r="AZ565" s="103" t="s">
        <v>4854</v>
      </c>
      <c r="BA565" s="103" t="s">
        <v>4854</v>
      </c>
      <c r="BB565" s="95">
        <v>0.16200000000000001</v>
      </c>
      <c r="BC565" s="4" t="s">
        <v>4854</v>
      </c>
      <c r="BD565" s="10">
        <v>1</v>
      </c>
      <c r="BE565" s="4" t="s">
        <v>4854</v>
      </c>
      <c r="BF565" s="10">
        <v>2</v>
      </c>
      <c r="BG565" s="10">
        <v>1</v>
      </c>
      <c r="BH565" s="4" t="s">
        <v>4854</v>
      </c>
      <c r="BI565" s="4" t="s">
        <v>4854</v>
      </c>
      <c r="BJ565" s="10">
        <v>7</v>
      </c>
      <c r="BK565" s="100" t="s">
        <v>4854</v>
      </c>
      <c r="BL565" s="91">
        <v>1</v>
      </c>
      <c r="BM565" s="100" t="s">
        <v>4854</v>
      </c>
      <c r="BN565" s="91">
        <v>1</v>
      </c>
      <c r="BO565" s="91">
        <v>1</v>
      </c>
      <c r="BP565" s="100" t="s">
        <v>4854</v>
      </c>
      <c r="BQ565" s="100" t="s">
        <v>4854</v>
      </c>
      <c r="BR565" s="91">
        <v>0.996</v>
      </c>
      <c r="BS565" s="10" t="s">
        <v>4857</v>
      </c>
    </row>
    <row r="566" spans="1:71" s="30" customFormat="1" ht="17.100000000000001" customHeight="1">
      <c r="A566" s="10">
        <v>555</v>
      </c>
      <c r="B566" s="10" t="s">
        <v>2814</v>
      </c>
      <c r="C566" s="4" t="s">
        <v>3178</v>
      </c>
      <c r="D566" s="4" t="s">
        <v>2796</v>
      </c>
      <c r="E566" s="4" t="s">
        <v>2797</v>
      </c>
      <c r="F566" s="10" t="s">
        <v>5160</v>
      </c>
      <c r="G566" s="4" t="s">
        <v>2798</v>
      </c>
      <c r="H566" s="7" t="s">
        <v>2799</v>
      </c>
      <c r="I566" s="4" t="s">
        <v>2800</v>
      </c>
      <c r="J566" s="10" t="s">
        <v>2801</v>
      </c>
      <c r="K566" s="4" t="s">
        <v>5662</v>
      </c>
      <c r="L566" s="4" t="s">
        <v>2813</v>
      </c>
      <c r="M566" s="10">
        <v>4</v>
      </c>
      <c r="N566" s="95">
        <v>807.43409999999994</v>
      </c>
      <c r="O566" s="38" t="s">
        <v>4854</v>
      </c>
      <c r="P566" s="38" t="s">
        <v>4854</v>
      </c>
      <c r="Q566" s="38" t="s">
        <v>4854</v>
      </c>
      <c r="R566" s="37" t="str">
        <f>HYPERLINK("http://ms.phosphosite.org:5080/cgi-bin/plot-msms.cgi?MassType=1&amp;NumAxis=1&amp;Mod17=170&amp;Pep=RLNQVIFPVSYNDKFYKDVLEVGELAK&amp;Dta=/var/www/html/dta/S01/10561.13804.4.dta&amp;Global_Mod=CS57.0215", "13804")</f>
        <v>13804</v>
      </c>
      <c r="S566" s="38" t="s">
        <v>4854</v>
      </c>
      <c r="T566" s="38" t="s">
        <v>4854</v>
      </c>
      <c r="U566" s="38" t="s">
        <v>4854</v>
      </c>
      <c r="V566" s="38" t="s">
        <v>4854</v>
      </c>
      <c r="W566" s="4" t="s">
        <v>4854</v>
      </c>
      <c r="X566" s="4" t="s">
        <v>4854</v>
      </c>
      <c r="Y566" s="4" t="s">
        <v>4854</v>
      </c>
      <c r="Z566" s="10">
        <v>13744</v>
      </c>
      <c r="AA566" s="4" t="s">
        <v>4854</v>
      </c>
      <c r="AB566" s="4" t="s">
        <v>4854</v>
      </c>
      <c r="AC566" s="4" t="s">
        <v>4854</v>
      </c>
      <c r="AD566" s="4" t="s">
        <v>4854</v>
      </c>
      <c r="AE566" s="100" t="s">
        <v>4854</v>
      </c>
      <c r="AF566" s="100" t="s">
        <v>4854</v>
      </c>
      <c r="AG566" s="100" t="s">
        <v>4854</v>
      </c>
      <c r="AH566" s="91">
        <v>3.395</v>
      </c>
      <c r="AI566" s="100" t="s">
        <v>4854</v>
      </c>
      <c r="AJ566" s="100" t="s">
        <v>4854</v>
      </c>
      <c r="AK566" s="100" t="s">
        <v>4854</v>
      </c>
      <c r="AL566" s="100" t="s">
        <v>4854</v>
      </c>
      <c r="AM566" s="103" t="s">
        <v>4854</v>
      </c>
      <c r="AN566" s="103" t="s">
        <v>4854</v>
      </c>
      <c r="AO566" s="103" t="s">
        <v>4854</v>
      </c>
      <c r="AP566" s="95">
        <v>1.2552000000000001</v>
      </c>
      <c r="AQ566" s="103" t="s">
        <v>4854</v>
      </c>
      <c r="AR566" s="103" t="s">
        <v>4854</v>
      </c>
      <c r="AS566" s="103" t="s">
        <v>4854</v>
      </c>
      <c r="AT566" s="103" t="s">
        <v>4854</v>
      </c>
      <c r="AU566" s="103" t="s">
        <v>4854</v>
      </c>
      <c r="AV566" s="103" t="s">
        <v>4854</v>
      </c>
      <c r="AW566" s="103" t="s">
        <v>4854</v>
      </c>
      <c r="AX566" s="95">
        <v>0.16700000000000001</v>
      </c>
      <c r="AY566" s="103" t="s">
        <v>4854</v>
      </c>
      <c r="AZ566" s="103" t="s">
        <v>4854</v>
      </c>
      <c r="BA566" s="103" t="s">
        <v>4854</v>
      </c>
      <c r="BB566" s="103" t="s">
        <v>4854</v>
      </c>
      <c r="BC566" s="4" t="s">
        <v>4854</v>
      </c>
      <c r="BD566" s="4" t="s">
        <v>4854</v>
      </c>
      <c r="BE566" s="4" t="s">
        <v>4854</v>
      </c>
      <c r="BF566" s="10">
        <v>1</v>
      </c>
      <c r="BG566" s="4" t="s">
        <v>4854</v>
      </c>
      <c r="BH566" s="4" t="s">
        <v>4854</v>
      </c>
      <c r="BI566" s="4" t="s">
        <v>4854</v>
      </c>
      <c r="BJ566" s="4" t="s">
        <v>4854</v>
      </c>
      <c r="BK566" s="100" t="s">
        <v>4854</v>
      </c>
      <c r="BL566" s="100" t="s">
        <v>4854</v>
      </c>
      <c r="BM566" s="100" t="s">
        <v>4854</v>
      </c>
      <c r="BN566" s="91">
        <v>0.999</v>
      </c>
      <c r="BO566" s="100" t="s">
        <v>4854</v>
      </c>
      <c r="BP566" s="100" t="s">
        <v>4854</v>
      </c>
      <c r="BQ566" s="100" t="s">
        <v>4854</v>
      </c>
      <c r="BR566" s="100" t="s">
        <v>4854</v>
      </c>
      <c r="BS566" s="10" t="s">
        <v>4857</v>
      </c>
    </row>
    <row r="567" spans="1:71" s="30" customFormat="1" ht="17.100000000000001" customHeight="1">
      <c r="A567" s="14">
        <v>556</v>
      </c>
      <c r="B567" s="5" t="s">
        <v>2815</v>
      </c>
      <c r="C567" s="3" t="s">
        <v>3178</v>
      </c>
      <c r="D567" s="3" t="s">
        <v>2796</v>
      </c>
      <c r="E567" s="3" t="s">
        <v>2797</v>
      </c>
      <c r="F567" s="5" t="s">
        <v>2816</v>
      </c>
      <c r="G567" s="3" t="s">
        <v>2798</v>
      </c>
      <c r="H567" s="6" t="s">
        <v>2799</v>
      </c>
      <c r="I567" s="3" t="s">
        <v>2800</v>
      </c>
      <c r="J567" s="5" t="s">
        <v>2801</v>
      </c>
      <c r="K567" s="3" t="s">
        <v>5663</v>
      </c>
      <c r="L567" s="3" t="s">
        <v>2817</v>
      </c>
      <c r="M567" s="5">
        <v>3</v>
      </c>
      <c r="N567" s="21">
        <v>1024.2094</v>
      </c>
      <c r="O567" s="35" t="s">
        <v>4854</v>
      </c>
      <c r="P567" s="36" t="str">
        <f>HYPERLINK("http://ms.phosphosite.org:5080/cgi-bin/plot-msms.cgi?MassType=1&amp;NumAxis=1&amp;Mod26=170&amp;Pep=LNQVIFPVSYNDKFYKDVLEVGELAK&amp;Dta=/var/www/html/dta/S01/10559.14905.3.dta&amp;Global_Mod=CS57.0215", "14905")</f>
        <v>14905</v>
      </c>
      <c r="Q567" s="35" t="s">
        <v>4854</v>
      </c>
      <c r="R567" s="36" t="str">
        <f>HYPERLINK("http://ms.phosphosite.org:5080/cgi-bin/plot-msms.cgi?MassType=1&amp;NumAxis=1&amp;Mod26=170&amp;Pep=LNQVIFPVSYNDKFYKDVLEVGELAK&amp;Dta=/var/www/html/dta/S01/10561.14813.3.dta&amp;Global_Mod=CS57.0215", "14813")</f>
        <v>14813</v>
      </c>
      <c r="S567" s="35" t="s">
        <v>4854</v>
      </c>
      <c r="T567" s="35" t="s">
        <v>4854</v>
      </c>
      <c r="U567" s="35" t="s">
        <v>4854</v>
      </c>
      <c r="V567" s="35" t="s">
        <v>4854</v>
      </c>
      <c r="W567" s="3" t="s">
        <v>4854</v>
      </c>
      <c r="X567" s="3" t="s">
        <v>4854</v>
      </c>
      <c r="Y567" s="3" t="s">
        <v>4854</v>
      </c>
      <c r="Z567" s="3" t="s">
        <v>4854</v>
      </c>
      <c r="AA567" s="3" t="s">
        <v>4854</v>
      </c>
      <c r="AB567" s="3" t="s">
        <v>4854</v>
      </c>
      <c r="AC567" s="3" t="s">
        <v>4854</v>
      </c>
      <c r="AD567" s="3" t="s">
        <v>4854</v>
      </c>
      <c r="AE567" s="99" t="s">
        <v>4854</v>
      </c>
      <c r="AF567" s="90">
        <v>1.9510000000000001</v>
      </c>
      <c r="AG567" s="99" t="s">
        <v>4854</v>
      </c>
      <c r="AH567" s="90">
        <v>1.978</v>
      </c>
      <c r="AI567" s="99" t="s">
        <v>4854</v>
      </c>
      <c r="AJ567" s="99" t="s">
        <v>4854</v>
      </c>
      <c r="AK567" s="99" t="s">
        <v>4854</v>
      </c>
      <c r="AL567" s="99" t="s">
        <v>4854</v>
      </c>
      <c r="AM567" s="102" t="s">
        <v>4854</v>
      </c>
      <c r="AN567" s="21">
        <v>1.716</v>
      </c>
      <c r="AO567" s="102" t="s">
        <v>4854</v>
      </c>
      <c r="AP567" s="21">
        <v>1.7215</v>
      </c>
      <c r="AQ567" s="102" t="s">
        <v>4854</v>
      </c>
      <c r="AR567" s="102" t="s">
        <v>4854</v>
      </c>
      <c r="AS567" s="102" t="s">
        <v>4854</v>
      </c>
      <c r="AT567" s="102" t="s">
        <v>4854</v>
      </c>
      <c r="AU567" s="102" t="s">
        <v>4854</v>
      </c>
      <c r="AV567" s="21">
        <v>0.2</v>
      </c>
      <c r="AW567" s="102" t="s">
        <v>4854</v>
      </c>
      <c r="AX567" s="21">
        <v>0.16200000000000001</v>
      </c>
      <c r="AY567" s="102" t="s">
        <v>4854</v>
      </c>
      <c r="AZ567" s="102" t="s">
        <v>4854</v>
      </c>
      <c r="BA567" s="102" t="s">
        <v>4854</v>
      </c>
      <c r="BB567" s="102" t="s">
        <v>4854</v>
      </c>
      <c r="BC567" s="3" t="s">
        <v>4854</v>
      </c>
      <c r="BD567" s="5">
        <v>14</v>
      </c>
      <c r="BE567" s="3" t="s">
        <v>4854</v>
      </c>
      <c r="BF567" s="5">
        <v>232</v>
      </c>
      <c r="BG567" s="3" t="s">
        <v>4854</v>
      </c>
      <c r="BH567" s="3" t="s">
        <v>4854</v>
      </c>
      <c r="BI567" s="3" t="s">
        <v>4854</v>
      </c>
      <c r="BJ567" s="3" t="s">
        <v>4854</v>
      </c>
      <c r="BK567" s="99" t="s">
        <v>4854</v>
      </c>
      <c r="BL567" s="90">
        <v>0.93500000000000005</v>
      </c>
      <c r="BM567" s="99" t="s">
        <v>4854</v>
      </c>
      <c r="BN567" s="90">
        <v>0.80700000000000005</v>
      </c>
      <c r="BO567" s="99" t="s">
        <v>4854</v>
      </c>
      <c r="BP567" s="99" t="s">
        <v>4854</v>
      </c>
      <c r="BQ567" s="99" t="s">
        <v>4854</v>
      </c>
      <c r="BR567" s="99" t="s">
        <v>4854</v>
      </c>
      <c r="BS567" s="5" t="s">
        <v>4857</v>
      </c>
    </row>
    <row r="568" spans="1:71" s="30" customFormat="1" ht="17.100000000000001" customHeight="1">
      <c r="A568" s="10">
        <v>557</v>
      </c>
      <c r="B568" s="10" t="s">
        <v>2818</v>
      </c>
      <c r="C568" s="4" t="s">
        <v>3178</v>
      </c>
      <c r="D568" s="7" t="s">
        <v>2819</v>
      </c>
      <c r="E568" s="4" t="s">
        <v>2820</v>
      </c>
      <c r="F568" s="10" t="s">
        <v>2821</v>
      </c>
      <c r="G568" s="4" t="s">
        <v>2822</v>
      </c>
      <c r="H568" s="7" t="s">
        <v>2823</v>
      </c>
      <c r="I568" s="4" t="s">
        <v>2824</v>
      </c>
      <c r="J568" s="10" t="s">
        <v>4708</v>
      </c>
      <c r="K568" s="4" t="s">
        <v>5664</v>
      </c>
      <c r="L568" s="4" t="s">
        <v>2825</v>
      </c>
      <c r="M568" s="10">
        <v>3</v>
      </c>
      <c r="N568" s="95">
        <v>886.80730000000005</v>
      </c>
      <c r="O568" s="38" t="s">
        <v>4854</v>
      </c>
      <c r="P568" s="38" t="s">
        <v>4854</v>
      </c>
      <c r="Q568" s="37" t="str">
        <f>HYPERLINK("http://ms.phosphosite.org:5080/cgi-bin/plot-msms.cgi?MassType=1&amp;NumAxis=1&amp;Mod2=170&amp;Mod21=170&amp;Pep=VKMGAYHTIELEPNRQFTLAKK&amp;Dta=/var/www/html/dta/S01/10560.12161.3.dta&amp;Global_Mod=CS57.0215", "12161")</f>
        <v>12161</v>
      </c>
      <c r="R568" s="38" t="s">
        <v>4854</v>
      </c>
      <c r="S568" s="38" t="s">
        <v>4854</v>
      </c>
      <c r="T568" s="38" t="s">
        <v>4854</v>
      </c>
      <c r="U568" s="38" t="s">
        <v>4854</v>
      </c>
      <c r="V568" s="38" t="s">
        <v>4854</v>
      </c>
      <c r="W568" s="4" t="s">
        <v>4854</v>
      </c>
      <c r="X568" s="4" t="s">
        <v>4854</v>
      </c>
      <c r="Y568" s="4" t="s">
        <v>4854</v>
      </c>
      <c r="Z568" s="4" t="s">
        <v>4854</v>
      </c>
      <c r="AA568" s="4" t="s">
        <v>4854</v>
      </c>
      <c r="AB568" s="4" t="s">
        <v>4854</v>
      </c>
      <c r="AC568" s="4" t="s">
        <v>4854</v>
      </c>
      <c r="AD568" s="4" t="s">
        <v>4854</v>
      </c>
      <c r="AE568" s="100" t="s">
        <v>4854</v>
      </c>
      <c r="AF568" s="100" t="s">
        <v>4854</v>
      </c>
      <c r="AG568" s="91">
        <v>2.79</v>
      </c>
      <c r="AH568" s="100" t="s">
        <v>4854</v>
      </c>
      <c r="AI568" s="100" t="s">
        <v>4854</v>
      </c>
      <c r="AJ568" s="100" t="s">
        <v>4854</v>
      </c>
      <c r="AK568" s="100" t="s">
        <v>4854</v>
      </c>
      <c r="AL568" s="100" t="s">
        <v>4854</v>
      </c>
      <c r="AM568" s="103" t="s">
        <v>4854</v>
      </c>
      <c r="AN568" s="103" t="s">
        <v>4854</v>
      </c>
      <c r="AO568" s="95">
        <v>1.1023000000000001</v>
      </c>
      <c r="AP568" s="103" t="s">
        <v>4854</v>
      </c>
      <c r="AQ568" s="103" t="s">
        <v>4854</v>
      </c>
      <c r="AR568" s="103" t="s">
        <v>4854</v>
      </c>
      <c r="AS568" s="103" t="s">
        <v>4854</v>
      </c>
      <c r="AT568" s="103" t="s">
        <v>4854</v>
      </c>
      <c r="AU568" s="103" t="s">
        <v>4854</v>
      </c>
      <c r="AV568" s="103" t="s">
        <v>4854</v>
      </c>
      <c r="AW568" s="95">
        <v>0.13400000000000001</v>
      </c>
      <c r="AX568" s="103" t="s">
        <v>4854</v>
      </c>
      <c r="AY568" s="103" t="s">
        <v>4854</v>
      </c>
      <c r="AZ568" s="103" t="s">
        <v>4854</v>
      </c>
      <c r="BA568" s="103" t="s">
        <v>4854</v>
      </c>
      <c r="BB568" s="103" t="s">
        <v>4854</v>
      </c>
      <c r="BC568" s="4" t="s">
        <v>4854</v>
      </c>
      <c r="BD568" s="4" t="s">
        <v>4854</v>
      </c>
      <c r="BE568" s="10">
        <v>5</v>
      </c>
      <c r="BF568" s="4" t="s">
        <v>4854</v>
      </c>
      <c r="BG568" s="4" t="s">
        <v>4854</v>
      </c>
      <c r="BH568" s="4" t="s">
        <v>4854</v>
      </c>
      <c r="BI568" s="4" t="s">
        <v>4854</v>
      </c>
      <c r="BJ568" s="4" t="s">
        <v>4854</v>
      </c>
      <c r="BK568" s="100" t="s">
        <v>4854</v>
      </c>
      <c r="BL568" s="100" t="s">
        <v>4854</v>
      </c>
      <c r="BM568" s="91">
        <v>0.30199999999999999</v>
      </c>
      <c r="BN568" s="100" t="s">
        <v>4854</v>
      </c>
      <c r="BO568" s="100" t="s">
        <v>4854</v>
      </c>
      <c r="BP568" s="100" t="s">
        <v>4854</v>
      </c>
      <c r="BQ568" s="100" t="s">
        <v>4854</v>
      </c>
      <c r="BR568" s="100" t="s">
        <v>4854</v>
      </c>
      <c r="BS568" s="10" t="s">
        <v>4857</v>
      </c>
    </row>
    <row r="569" spans="1:71" s="30" customFormat="1" ht="17.100000000000001" customHeight="1">
      <c r="A569" s="14">
        <v>558</v>
      </c>
      <c r="B569" s="5" t="s">
        <v>2826</v>
      </c>
      <c r="C569" s="3" t="s">
        <v>3178</v>
      </c>
      <c r="D569" s="3" t="s">
        <v>2827</v>
      </c>
      <c r="E569" s="6" t="s">
        <v>2828</v>
      </c>
      <c r="F569" s="5" t="s">
        <v>2829</v>
      </c>
      <c r="G569" s="3" t="s">
        <v>2830</v>
      </c>
      <c r="H569" s="6" t="s">
        <v>2831</v>
      </c>
      <c r="I569" s="3" t="s">
        <v>2832</v>
      </c>
      <c r="J569" s="5" t="s">
        <v>2833</v>
      </c>
      <c r="K569" s="3" t="s">
        <v>5665</v>
      </c>
      <c r="L569" s="3" t="s">
        <v>2834</v>
      </c>
      <c r="M569" s="5">
        <v>2</v>
      </c>
      <c r="N569" s="21">
        <v>447.27640000000002</v>
      </c>
      <c r="O569" s="35" t="s">
        <v>4854</v>
      </c>
      <c r="P569" s="35" t="s">
        <v>4854</v>
      </c>
      <c r="Q569" s="35" t="s">
        <v>4854</v>
      </c>
      <c r="R569" s="36" t="str">
        <f>HYPERLINK("http://ms.phosphosite.org:5080/cgi-bin/plot-msms.cgi?MassType=1&amp;NumAxis=1&amp;Mod5=170&amp;Pep=KAYTKLK&amp;Dta=/var/www/html/dta/S01/10561.1678.2.dta&amp;Global_Mod=CS57.0215", "1678")</f>
        <v>1678</v>
      </c>
      <c r="S569" s="35" t="s">
        <v>4854</v>
      </c>
      <c r="T569" s="35" t="s">
        <v>4854</v>
      </c>
      <c r="U569" s="35" t="s">
        <v>4854</v>
      </c>
      <c r="V569" s="35" t="s">
        <v>4854</v>
      </c>
      <c r="W569" s="3" t="s">
        <v>4854</v>
      </c>
      <c r="X569" s="3" t="s">
        <v>4854</v>
      </c>
      <c r="Y569" s="3" t="s">
        <v>4854</v>
      </c>
      <c r="Z569" s="3" t="s">
        <v>4854</v>
      </c>
      <c r="AA569" s="3" t="s">
        <v>4854</v>
      </c>
      <c r="AB569" s="3" t="s">
        <v>4854</v>
      </c>
      <c r="AC569" s="3" t="s">
        <v>4854</v>
      </c>
      <c r="AD569" s="3" t="s">
        <v>4854</v>
      </c>
      <c r="AE569" s="99" t="s">
        <v>4854</v>
      </c>
      <c r="AF569" s="99" t="s">
        <v>4854</v>
      </c>
      <c r="AG569" s="99" t="s">
        <v>4854</v>
      </c>
      <c r="AH569" s="90">
        <v>2.274</v>
      </c>
      <c r="AI569" s="99" t="s">
        <v>4854</v>
      </c>
      <c r="AJ569" s="99" t="s">
        <v>4854</v>
      </c>
      <c r="AK569" s="99" t="s">
        <v>4854</v>
      </c>
      <c r="AL569" s="99" t="s">
        <v>4854</v>
      </c>
      <c r="AM569" s="102" t="s">
        <v>4854</v>
      </c>
      <c r="AN569" s="102" t="s">
        <v>4854</v>
      </c>
      <c r="AO569" s="102" t="s">
        <v>4854</v>
      </c>
      <c r="AP569" s="21">
        <v>0.1414</v>
      </c>
      <c r="AQ569" s="102" t="s">
        <v>4854</v>
      </c>
      <c r="AR569" s="102" t="s">
        <v>4854</v>
      </c>
      <c r="AS569" s="102" t="s">
        <v>4854</v>
      </c>
      <c r="AT569" s="102" t="s">
        <v>4854</v>
      </c>
      <c r="AU569" s="102" t="s">
        <v>4854</v>
      </c>
      <c r="AV569" s="102" t="s">
        <v>4854</v>
      </c>
      <c r="AW569" s="102" t="s">
        <v>4854</v>
      </c>
      <c r="AX569" s="21">
        <v>2.5999999999999999E-2</v>
      </c>
      <c r="AY569" s="102" t="s">
        <v>4854</v>
      </c>
      <c r="AZ569" s="102" t="s">
        <v>4854</v>
      </c>
      <c r="BA569" s="102" t="s">
        <v>4854</v>
      </c>
      <c r="BB569" s="102" t="s">
        <v>4854</v>
      </c>
      <c r="BC569" s="3" t="s">
        <v>4854</v>
      </c>
      <c r="BD569" s="3" t="s">
        <v>4854</v>
      </c>
      <c r="BE569" s="3" t="s">
        <v>4854</v>
      </c>
      <c r="BF569" s="5">
        <v>2</v>
      </c>
      <c r="BG569" s="3" t="s">
        <v>4854</v>
      </c>
      <c r="BH569" s="3" t="s">
        <v>4854</v>
      </c>
      <c r="BI569" s="3" t="s">
        <v>4854</v>
      </c>
      <c r="BJ569" s="3" t="s">
        <v>4854</v>
      </c>
      <c r="BK569" s="99" t="s">
        <v>4854</v>
      </c>
      <c r="BL569" s="99" t="s">
        <v>4854</v>
      </c>
      <c r="BM569" s="99" t="s">
        <v>4854</v>
      </c>
      <c r="BN569" s="90">
        <v>0.317</v>
      </c>
      <c r="BO569" s="99" t="s">
        <v>4854</v>
      </c>
      <c r="BP569" s="99" t="s">
        <v>4854</v>
      </c>
      <c r="BQ569" s="99" t="s">
        <v>4854</v>
      </c>
      <c r="BR569" s="99" t="s">
        <v>4854</v>
      </c>
      <c r="BS569" s="5" t="s">
        <v>4857</v>
      </c>
    </row>
    <row r="570" spans="1:71" s="30" customFormat="1" ht="17.100000000000001" customHeight="1">
      <c r="A570" s="10">
        <v>559</v>
      </c>
      <c r="B570" s="10" t="s">
        <v>2835</v>
      </c>
      <c r="C570" s="4" t="s">
        <v>3178</v>
      </c>
      <c r="D570" s="4" t="s">
        <v>2836</v>
      </c>
      <c r="E570" s="7" t="s">
        <v>2837</v>
      </c>
      <c r="F570" s="10" t="s">
        <v>5294</v>
      </c>
      <c r="G570" s="4" t="s">
        <v>2838</v>
      </c>
      <c r="H570" s="7" t="s">
        <v>2839</v>
      </c>
      <c r="I570" s="4" t="s">
        <v>2840</v>
      </c>
      <c r="J570" s="10" t="s">
        <v>4738</v>
      </c>
      <c r="K570" s="4" t="s">
        <v>5666</v>
      </c>
      <c r="L570" s="4" t="s">
        <v>2841</v>
      </c>
      <c r="M570" s="10">
        <v>2</v>
      </c>
      <c r="N570" s="95">
        <v>478.28980000000001</v>
      </c>
      <c r="O570" s="37" t="str">
        <f>HYPERLINK("http://ms.phosphosite.org:5080/cgi-bin/plot-msms.cgi?MassType=1&amp;NumAxis=1&amp;Mod6=170&amp;Pep=HVVFGKVK&amp;Dta=/var/www/html/dta/S01/10558.3257.2.dta&amp;Global_Mod=CS57.0215", "3257")</f>
        <v>3257</v>
      </c>
      <c r="P570" s="37" t="str">
        <f>HYPERLINK("http://ms.phosphosite.org:5080/cgi-bin/plot-msms.cgi?MassType=1&amp;NumAxis=1&amp;Mod6=170&amp;Pep=HVVFGKVK&amp;Dta=/var/www/html/dta/S01/10559.3277.2.dta&amp;Global_Mod=CS57.0215", "3277")</f>
        <v>3277</v>
      </c>
      <c r="Q570" s="38" t="s">
        <v>4854</v>
      </c>
      <c r="R570" s="37" t="str">
        <f>HYPERLINK("http://ms.phosphosite.org:5080/cgi-bin/plot-msms.cgi?MassType=1&amp;NumAxis=1&amp;Mod6=170&amp;Pep=HVVFGKVK&amp;Dta=/var/www/html/dta/S01/10561.3212.2.dta&amp;Global_Mod=CS57.0215", "3212")</f>
        <v>3212</v>
      </c>
      <c r="S570" s="37" t="str">
        <f>HYPERLINK("http://ms.phosphosite.org:5080/cgi-bin/plot-msms.cgi?MassType=1&amp;NumAxis=1&amp;Mod6=170&amp;Pep=HVVFGKVK&amp;Dta=/var/www/html/dta/S01/10562.3300.2.dta&amp;Global_Mod=CS57.0215", "3300")</f>
        <v>3300</v>
      </c>
      <c r="T570" s="37" t="str">
        <f>HYPERLINK("http://ms.phosphosite.org:5080/cgi-bin/plot-msms.cgi?MassType=1&amp;NumAxis=1&amp;Mod6=170&amp;Pep=HVVFGKVK&amp;Dta=/var/www/html/dta/S01/10563.3233.2.dta&amp;Global_Mod=CS57.0215", "3233")</f>
        <v>3233</v>
      </c>
      <c r="U570" s="37" t="str">
        <f>HYPERLINK("http://ms.phosphosite.org:5080/cgi-bin/plot-msms.cgi?MassType=1&amp;NumAxis=1&amp;Mod6=170&amp;Pep=HVVFGKVK&amp;Dta=/var/www/html/dta/S01/10564.3600.2.dta&amp;Global_Mod=CS57.0215", "3600")</f>
        <v>3600</v>
      </c>
      <c r="V570" s="37" t="str">
        <f>HYPERLINK("http://ms.phosphosite.org:5080/cgi-bin/plot-msms.cgi?MassType=1&amp;NumAxis=1&amp;Mod6=170&amp;Pep=HVVFGKVK&amp;Dta=/var/www/html/dta/S01/10565.3680.2.dta&amp;Global_Mod=CS57.0215", "3680")</f>
        <v>3680</v>
      </c>
      <c r="W570" s="10">
        <v>3305</v>
      </c>
      <c r="X570" s="10">
        <v>3231</v>
      </c>
      <c r="Y570" s="4" t="s">
        <v>4854</v>
      </c>
      <c r="Z570" s="10">
        <v>3251</v>
      </c>
      <c r="AA570" s="10">
        <v>3328</v>
      </c>
      <c r="AB570" s="10">
        <v>3273</v>
      </c>
      <c r="AC570" s="10">
        <v>3627</v>
      </c>
      <c r="AD570" s="10">
        <v>3707</v>
      </c>
      <c r="AE570" s="91">
        <v>1.9930000000000001</v>
      </c>
      <c r="AF570" s="91">
        <v>1.966</v>
      </c>
      <c r="AG570" s="100" t="s">
        <v>4854</v>
      </c>
      <c r="AH570" s="91">
        <v>2.048</v>
      </c>
      <c r="AI570" s="91">
        <v>2.0030000000000001</v>
      </c>
      <c r="AJ570" s="91">
        <v>1.9470000000000001</v>
      </c>
      <c r="AK570" s="91">
        <v>2.1829999999999998</v>
      </c>
      <c r="AL570" s="91">
        <v>2.2490000000000001</v>
      </c>
      <c r="AM570" s="95">
        <v>-0.2419</v>
      </c>
      <c r="AN570" s="95">
        <v>-0.1623</v>
      </c>
      <c r="AO570" s="103" t="s">
        <v>4854</v>
      </c>
      <c r="AP570" s="95">
        <v>3.1300000000000001E-2</v>
      </c>
      <c r="AQ570" s="95">
        <v>7.1099999999999997E-2</v>
      </c>
      <c r="AR570" s="95">
        <v>-6.9199999999999998E-2</v>
      </c>
      <c r="AS570" s="95">
        <v>0.14219999999999999</v>
      </c>
      <c r="AT570" s="95">
        <v>0.251</v>
      </c>
      <c r="AU570" s="95">
        <v>2.1000000000000001E-2</v>
      </c>
      <c r="AV570" s="95">
        <v>0.184</v>
      </c>
      <c r="AW570" s="103" t="s">
        <v>4854</v>
      </c>
      <c r="AX570" s="95">
        <v>0.161</v>
      </c>
      <c r="AY570" s="95">
        <v>2.5000000000000001E-2</v>
      </c>
      <c r="AZ570" s="95">
        <v>0.104</v>
      </c>
      <c r="BA570" s="95">
        <v>0.17</v>
      </c>
      <c r="BB570" s="95">
        <v>0.19700000000000001</v>
      </c>
      <c r="BC570" s="10">
        <v>1</v>
      </c>
      <c r="BD570" s="10">
        <v>1</v>
      </c>
      <c r="BE570" s="4" t="s">
        <v>4854</v>
      </c>
      <c r="BF570" s="10">
        <v>1</v>
      </c>
      <c r="BG570" s="10">
        <v>1</v>
      </c>
      <c r="BH570" s="10">
        <v>1</v>
      </c>
      <c r="BI570" s="10">
        <v>1</v>
      </c>
      <c r="BJ570" s="10">
        <v>2</v>
      </c>
      <c r="BK570" s="91">
        <v>0.96299999999999997</v>
      </c>
      <c r="BL570" s="91">
        <v>0.99399999999999999</v>
      </c>
      <c r="BM570" s="100" t="s">
        <v>4854</v>
      </c>
      <c r="BN570" s="91">
        <v>0.99399999999999999</v>
      </c>
      <c r="BO570" s="91">
        <v>0.96499999999999997</v>
      </c>
      <c r="BP570" s="91">
        <v>0.98399999999999999</v>
      </c>
      <c r="BQ570" s="91">
        <v>0.996</v>
      </c>
      <c r="BR570" s="91">
        <v>0.997</v>
      </c>
      <c r="BS570" s="10" t="s">
        <v>4857</v>
      </c>
    </row>
    <row r="571" spans="1:71" s="30" customFormat="1" ht="17.100000000000001" customHeight="1">
      <c r="A571" s="14">
        <v>560</v>
      </c>
      <c r="B571" s="5" t="s">
        <v>2842</v>
      </c>
      <c r="C571" s="3" t="s">
        <v>3178</v>
      </c>
      <c r="D571" s="3" t="s">
        <v>2843</v>
      </c>
      <c r="E571" s="3" t="s">
        <v>2844</v>
      </c>
      <c r="F571" s="5" t="s">
        <v>5324</v>
      </c>
      <c r="G571" s="3" t="s">
        <v>2845</v>
      </c>
      <c r="H571" s="6" t="s">
        <v>2846</v>
      </c>
      <c r="I571" s="3" t="s">
        <v>2847</v>
      </c>
      <c r="J571" s="5" t="s">
        <v>2848</v>
      </c>
      <c r="K571" s="3" t="s">
        <v>5667</v>
      </c>
      <c r="L571" s="3" t="s">
        <v>2849</v>
      </c>
      <c r="M571" s="5">
        <v>2</v>
      </c>
      <c r="N571" s="21">
        <v>941.97029999999995</v>
      </c>
      <c r="O571" s="36" t="str">
        <f>HYPERLINK("http://ms.phosphosite.org:5080/cgi-bin/plot-msms.cgi?MassType=1&amp;NumAxis=1&amp;Mod12=170&amp;Pep=VLYPNDNFFEGKELR&amp;Dta=/var/www/html/dta/S01/10558.10572.2.dta&amp;Global_Mod=CS57.0215", "10572")</f>
        <v>10572</v>
      </c>
      <c r="P571" s="35" t="s">
        <v>4854</v>
      </c>
      <c r="Q571" s="35" t="s">
        <v>4854</v>
      </c>
      <c r="R571" s="36" t="str">
        <f>HYPERLINK("http://ms.phosphosite.org:5080/cgi-bin/plot-msms.cgi?MassType=1&amp;NumAxis=1&amp;Mod12=170&amp;Pep=VLYPNDNFFEGKELR&amp;Dta=/var/www/html/dta/S01/10561.10626.2.dta&amp;Global_Mod=CS57.0215", "10626")</f>
        <v>10626</v>
      </c>
      <c r="S571" s="36" t="str">
        <f>HYPERLINK("http://ms.phosphosite.org:5080/cgi-bin/plot-msms.cgi?MassType=1&amp;NumAxis=1&amp;Mod12=170&amp;Pep=VLYPNDNFFEGKELR&amp;Dta=/var/www/html/dta/S01/10562.10767.2.dta&amp;Global_Mod=CS57.0215", "10767")</f>
        <v>10767</v>
      </c>
      <c r="T571" s="35" t="s">
        <v>4854</v>
      </c>
      <c r="U571" s="35" t="s">
        <v>4854</v>
      </c>
      <c r="V571" s="36" t="str">
        <f>HYPERLINK("http://ms.phosphosite.org:5080/cgi-bin/plot-msms.cgi?MassType=1&amp;NumAxis=1&amp;Mod12=170&amp;Pep=VLYPNDNFFEGKELR&amp;Dta=/var/www/html/dta/S01/10565.11177.2.dta&amp;Global_Mod=CS57.0215", "11177")</f>
        <v>11177</v>
      </c>
      <c r="W571" s="5">
        <v>10570</v>
      </c>
      <c r="X571" s="3" t="s">
        <v>4854</v>
      </c>
      <c r="Y571" s="3" t="s">
        <v>4854</v>
      </c>
      <c r="Z571" s="5">
        <v>10616</v>
      </c>
      <c r="AA571" s="5">
        <v>10763</v>
      </c>
      <c r="AB571" s="3" t="s">
        <v>4854</v>
      </c>
      <c r="AC571" s="3" t="s">
        <v>4854</v>
      </c>
      <c r="AD571" s="5">
        <v>11179</v>
      </c>
      <c r="AE571" s="90">
        <v>2.911</v>
      </c>
      <c r="AF571" s="99" t="s">
        <v>4854</v>
      </c>
      <c r="AG571" s="99" t="s">
        <v>4854</v>
      </c>
      <c r="AH571" s="90">
        <v>2.3239999999999998</v>
      </c>
      <c r="AI571" s="90">
        <v>2.5550000000000002</v>
      </c>
      <c r="AJ571" s="99" t="s">
        <v>4854</v>
      </c>
      <c r="AK571" s="99" t="s">
        <v>4854</v>
      </c>
      <c r="AL571" s="90">
        <v>2.7989999999999999</v>
      </c>
      <c r="AM571" s="21">
        <v>1.51</v>
      </c>
      <c r="AN571" s="102" t="s">
        <v>4854</v>
      </c>
      <c r="AO571" s="102" t="s">
        <v>4854</v>
      </c>
      <c r="AP571" s="21">
        <v>1.5817000000000001</v>
      </c>
      <c r="AQ571" s="21">
        <v>1.6151</v>
      </c>
      <c r="AR571" s="102" t="s">
        <v>4854</v>
      </c>
      <c r="AS571" s="102" t="s">
        <v>4854</v>
      </c>
      <c r="AT571" s="21">
        <v>1.0787</v>
      </c>
      <c r="AU571" s="21">
        <v>0.157</v>
      </c>
      <c r="AV571" s="102" t="s">
        <v>4854</v>
      </c>
      <c r="AW571" s="102" t="s">
        <v>4854</v>
      </c>
      <c r="AX571" s="21">
        <v>0.106</v>
      </c>
      <c r="AY571" s="21">
        <v>0.20599999999999999</v>
      </c>
      <c r="AZ571" s="102" t="s">
        <v>4854</v>
      </c>
      <c r="BA571" s="102" t="s">
        <v>4854</v>
      </c>
      <c r="BB571" s="21">
        <v>0.13600000000000001</v>
      </c>
      <c r="BC571" s="5">
        <v>2</v>
      </c>
      <c r="BD571" s="3" t="s">
        <v>4854</v>
      </c>
      <c r="BE571" s="3" t="s">
        <v>4854</v>
      </c>
      <c r="BF571" s="5">
        <v>1</v>
      </c>
      <c r="BG571" s="5">
        <v>3</v>
      </c>
      <c r="BH571" s="3" t="s">
        <v>4854</v>
      </c>
      <c r="BI571" s="3" t="s">
        <v>4854</v>
      </c>
      <c r="BJ571" s="5">
        <v>1</v>
      </c>
      <c r="BK571" s="90">
        <v>0.99</v>
      </c>
      <c r="BL571" s="99" t="s">
        <v>4854</v>
      </c>
      <c r="BM571" s="99" t="s">
        <v>4854</v>
      </c>
      <c r="BN571" s="90">
        <v>0.96</v>
      </c>
      <c r="BO571" s="90">
        <v>0.98799999999999999</v>
      </c>
      <c r="BP571" s="99" t="s">
        <v>4854</v>
      </c>
      <c r="BQ571" s="99" t="s">
        <v>4854</v>
      </c>
      <c r="BR571" s="90">
        <v>0.996</v>
      </c>
      <c r="BS571" s="5" t="s">
        <v>4857</v>
      </c>
    </row>
    <row r="572" spans="1:71" s="30" customFormat="1" ht="17.100000000000001" customHeight="1">
      <c r="A572" s="14">
        <v>561</v>
      </c>
      <c r="B572" s="5" t="s">
        <v>2850</v>
      </c>
      <c r="C572" s="3" t="s">
        <v>3178</v>
      </c>
      <c r="D572" s="3" t="s">
        <v>2843</v>
      </c>
      <c r="E572" s="3" t="s">
        <v>2844</v>
      </c>
      <c r="F572" s="5" t="s">
        <v>5324</v>
      </c>
      <c r="G572" s="3" t="s">
        <v>2845</v>
      </c>
      <c r="H572" s="6" t="s">
        <v>2846</v>
      </c>
      <c r="I572" s="3" t="s">
        <v>2847</v>
      </c>
      <c r="J572" s="5" t="s">
        <v>2848</v>
      </c>
      <c r="K572" s="3" t="s">
        <v>5667</v>
      </c>
      <c r="L572" s="3" t="s">
        <v>2849</v>
      </c>
      <c r="M572" s="5">
        <v>3</v>
      </c>
      <c r="N572" s="21">
        <v>628.31600000000003</v>
      </c>
      <c r="O572" s="35" t="s">
        <v>4854</v>
      </c>
      <c r="P572" s="35" t="s">
        <v>4854</v>
      </c>
      <c r="Q572" s="36" t="str">
        <f>HYPERLINK("http://ms.phosphosite.org:5080/cgi-bin/plot-msms.cgi?MassType=1&amp;NumAxis=1&amp;Mod12=170&amp;Pep=VLYPNDNFFEGKELR&amp;Dta=/var/www/html/dta/S01/10560.10585.3.dta&amp;Global_Mod=CS57.0215", "10585")</f>
        <v>10585</v>
      </c>
      <c r="R572" s="36" t="str">
        <f>HYPERLINK("http://ms.phosphosite.org:5080/cgi-bin/plot-msms.cgi?MassType=1&amp;NumAxis=1&amp;Mod12=170&amp;Pep=VLYPNDNFFEGKELR&amp;Dta=/var/www/html/dta/S01/10561.10598.3.dta&amp;Global_Mod=CS57.0215", "10598")</f>
        <v>10598</v>
      </c>
      <c r="S572" s="35" t="s">
        <v>4854</v>
      </c>
      <c r="T572" s="35" t="s">
        <v>4854</v>
      </c>
      <c r="U572" s="36" t="str">
        <f>HYPERLINK("http://ms.phosphosite.org:5080/cgi-bin/plot-msms.cgi?MassType=1&amp;NumAxis=1&amp;Mod12=170&amp;Pep=VLYPNDNFFEGKELR&amp;Dta=/var/www/html/dta/S01/10564.11207.3.dta&amp;Global_Mod=CS57.0215", "11207")</f>
        <v>11207</v>
      </c>
      <c r="V572" s="35" t="s">
        <v>4854</v>
      </c>
      <c r="W572" s="3" t="s">
        <v>4854</v>
      </c>
      <c r="X572" s="3" t="s">
        <v>4854</v>
      </c>
      <c r="Y572" s="5">
        <v>10601</v>
      </c>
      <c r="Z572" s="5">
        <v>10605</v>
      </c>
      <c r="AA572" s="3" t="s">
        <v>4854</v>
      </c>
      <c r="AB572" s="3" t="s">
        <v>4854</v>
      </c>
      <c r="AC572" s="5">
        <v>11204</v>
      </c>
      <c r="AD572" s="3" t="s">
        <v>4854</v>
      </c>
      <c r="AE572" s="99" t="s">
        <v>4854</v>
      </c>
      <c r="AF572" s="99" t="s">
        <v>4854</v>
      </c>
      <c r="AG572" s="90">
        <v>5.0640000000000001</v>
      </c>
      <c r="AH572" s="90">
        <v>3.052</v>
      </c>
      <c r="AI572" s="99" t="s">
        <v>4854</v>
      </c>
      <c r="AJ572" s="99" t="s">
        <v>4854</v>
      </c>
      <c r="AK572" s="90">
        <v>3.4380000000000002</v>
      </c>
      <c r="AL572" s="99" t="s">
        <v>4854</v>
      </c>
      <c r="AM572" s="102" t="s">
        <v>4854</v>
      </c>
      <c r="AN572" s="102" t="s">
        <v>4854</v>
      </c>
      <c r="AO572" s="21">
        <v>1.0468999999999999</v>
      </c>
      <c r="AP572" s="21">
        <v>1.3438000000000001</v>
      </c>
      <c r="AQ572" s="102" t="s">
        <v>4854</v>
      </c>
      <c r="AR572" s="102" t="s">
        <v>4854</v>
      </c>
      <c r="AS572" s="21">
        <v>1.7612000000000001</v>
      </c>
      <c r="AT572" s="102" t="s">
        <v>4854</v>
      </c>
      <c r="AU572" s="102" t="s">
        <v>4854</v>
      </c>
      <c r="AV572" s="102" t="s">
        <v>4854</v>
      </c>
      <c r="AW572" s="21">
        <v>0.26400000000000001</v>
      </c>
      <c r="AX572" s="21">
        <v>0.221</v>
      </c>
      <c r="AY572" s="102" t="s">
        <v>4854</v>
      </c>
      <c r="AZ572" s="102" t="s">
        <v>4854</v>
      </c>
      <c r="BA572" s="21">
        <v>0.16</v>
      </c>
      <c r="BB572" s="102" t="s">
        <v>4854</v>
      </c>
      <c r="BC572" s="3" t="s">
        <v>4854</v>
      </c>
      <c r="BD572" s="3" t="s">
        <v>4854</v>
      </c>
      <c r="BE572" s="5">
        <v>1</v>
      </c>
      <c r="BF572" s="5">
        <v>1</v>
      </c>
      <c r="BG572" s="3" t="s">
        <v>4854</v>
      </c>
      <c r="BH572" s="3" t="s">
        <v>4854</v>
      </c>
      <c r="BI572" s="5">
        <v>1</v>
      </c>
      <c r="BJ572" s="3" t="s">
        <v>4854</v>
      </c>
      <c r="BK572" s="99" t="s">
        <v>4854</v>
      </c>
      <c r="BL572" s="99" t="s">
        <v>4854</v>
      </c>
      <c r="BM572" s="90">
        <v>1</v>
      </c>
      <c r="BN572" s="90">
        <v>0.999</v>
      </c>
      <c r="BO572" s="99" t="s">
        <v>4854</v>
      </c>
      <c r="BP572" s="99" t="s">
        <v>4854</v>
      </c>
      <c r="BQ572" s="90">
        <v>0.999</v>
      </c>
      <c r="BR572" s="99" t="s">
        <v>4854</v>
      </c>
      <c r="BS572" s="5" t="s">
        <v>4857</v>
      </c>
    </row>
    <row r="573" spans="1:71" s="30" customFormat="1" ht="17.100000000000001" customHeight="1">
      <c r="A573" s="10">
        <v>562</v>
      </c>
      <c r="B573" s="10" t="s">
        <v>2851</v>
      </c>
      <c r="C573" s="4" t="s">
        <v>3178</v>
      </c>
      <c r="D573" s="4" t="s">
        <v>2852</v>
      </c>
      <c r="E573" s="4" t="s">
        <v>2853</v>
      </c>
      <c r="F573" s="10" t="s">
        <v>5074</v>
      </c>
      <c r="G573" s="4" t="s">
        <v>2854</v>
      </c>
      <c r="H573" s="7" t="s">
        <v>2855</v>
      </c>
      <c r="I573" s="4" t="s">
        <v>2856</v>
      </c>
      <c r="J573" s="10" t="s">
        <v>4696</v>
      </c>
      <c r="K573" s="4" t="s">
        <v>5668</v>
      </c>
      <c r="L573" s="4" t="s">
        <v>2857</v>
      </c>
      <c r="M573" s="10">
        <v>2</v>
      </c>
      <c r="N573" s="95">
        <v>588.32460000000003</v>
      </c>
      <c r="O573" s="38" t="s">
        <v>4854</v>
      </c>
      <c r="P573" s="38" t="s">
        <v>4854</v>
      </c>
      <c r="Q573" s="37" t="str">
        <f>HYPERLINK("http://ms.phosphosite.org:5080/cgi-bin/plot-msms.cgi?MassType=1&amp;NumAxis=1&amp;Mod7=170&amp;Pep=FAADAIKLER&amp;Dta=/var/www/html/dta/S01/10560.7012.2.dta&amp;Global_Mod=CS57.0215", "7012")</f>
        <v>7012</v>
      </c>
      <c r="R573" s="38" t="s">
        <v>4854</v>
      </c>
      <c r="S573" s="37" t="str">
        <f>HYPERLINK("http://ms.phosphosite.org:5080/cgi-bin/plot-msms.cgi?MassType=1&amp;NumAxis=1&amp;Mod7=170&amp;Pep=FAADAIKLER&amp;Dta=/var/www/html/dta/S01/10562.7174.2.dta&amp;Global_Mod=CS57.0215", "7174")</f>
        <v>7174</v>
      </c>
      <c r="T573" s="38" t="s">
        <v>4854</v>
      </c>
      <c r="U573" s="38" t="s">
        <v>4854</v>
      </c>
      <c r="V573" s="38" t="s">
        <v>4854</v>
      </c>
      <c r="W573" s="4" t="s">
        <v>4854</v>
      </c>
      <c r="X573" s="4" t="s">
        <v>4854</v>
      </c>
      <c r="Y573" s="10">
        <v>7004</v>
      </c>
      <c r="Z573" s="4" t="s">
        <v>4854</v>
      </c>
      <c r="AA573" s="10">
        <v>7170</v>
      </c>
      <c r="AB573" s="4" t="s">
        <v>4854</v>
      </c>
      <c r="AC573" s="4" t="s">
        <v>4854</v>
      </c>
      <c r="AD573" s="4" t="s">
        <v>4854</v>
      </c>
      <c r="AE573" s="100" t="s">
        <v>4854</v>
      </c>
      <c r="AF573" s="100" t="s">
        <v>4854</v>
      </c>
      <c r="AG573" s="91">
        <v>2.5009999999999999</v>
      </c>
      <c r="AH573" s="100" t="s">
        <v>4854</v>
      </c>
      <c r="AI573" s="91">
        <v>2.57</v>
      </c>
      <c r="AJ573" s="100" t="s">
        <v>4854</v>
      </c>
      <c r="AK573" s="100" t="s">
        <v>4854</v>
      </c>
      <c r="AL573" s="100" t="s">
        <v>4854</v>
      </c>
      <c r="AM573" s="103" t="s">
        <v>4854</v>
      </c>
      <c r="AN573" s="103" t="s">
        <v>4854</v>
      </c>
      <c r="AO573" s="95">
        <v>0.75849999999999995</v>
      </c>
      <c r="AP573" s="103" t="s">
        <v>4854</v>
      </c>
      <c r="AQ573" s="95">
        <v>0.74239999999999995</v>
      </c>
      <c r="AR573" s="103" t="s">
        <v>4854</v>
      </c>
      <c r="AS573" s="103" t="s">
        <v>4854</v>
      </c>
      <c r="AT573" s="103" t="s">
        <v>4854</v>
      </c>
      <c r="AU573" s="103" t="s">
        <v>4854</v>
      </c>
      <c r="AV573" s="103" t="s">
        <v>4854</v>
      </c>
      <c r="AW573" s="95">
        <v>0.26500000000000001</v>
      </c>
      <c r="AX573" s="103" t="s">
        <v>4854</v>
      </c>
      <c r="AY573" s="95">
        <v>0.29399999999999998</v>
      </c>
      <c r="AZ573" s="103" t="s">
        <v>4854</v>
      </c>
      <c r="BA573" s="103" t="s">
        <v>4854</v>
      </c>
      <c r="BB573" s="103" t="s">
        <v>4854</v>
      </c>
      <c r="BC573" s="4" t="s">
        <v>4854</v>
      </c>
      <c r="BD573" s="4" t="s">
        <v>4854</v>
      </c>
      <c r="BE573" s="10">
        <v>2</v>
      </c>
      <c r="BF573" s="4" t="s">
        <v>4854</v>
      </c>
      <c r="BG573" s="10">
        <v>6</v>
      </c>
      <c r="BH573" s="4" t="s">
        <v>4854</v>
      </c>
      <c r="BI573" s="4" t="s">
        <v>4854</v>
      </c>
      <c r="BJ573" s="4" t="s">
        <v>4854</v>
      </c>
      <c r="BK573" s="100" t="s">
        <v>4854</v>
      </c>
      <c r="BL573" s="100" t="s">
        <v>4854</v>
      </c>
      <c r="BM573" s="91">
        <v>0.999</v>
      </c>
      <c r="BN573" s="100" t="s">
        <v>4854</v>
      </c>
      <c r="BO573" s="91">
        <v>0.999</v>
      </c>
      <c r="BP573" s="100" t="s">
        <v>4854</v>
      </c>
      <c r="BQ573" s="100" t="s">
        <v>4854</v>
      </c>
      <c r="BR573" s="100" t="s">
        <v>4854</v>
      </c>
      <c r="BS573" s="10" t="s">
        <v>4857</v>
      </c>
    </row>
    <row r="574" spans="1:71" s="30" customFormat="1" ht="17.100000000000001" customHeight="1">
      <c r="A574" s="14">
        <v>563</v>
      </c>
      <c r="B574" s="5" t="s">
        <v>2858</v>
      </c>
      <c r="C574" s="3" t="s">
        <v>3178</v>
      </c>
      <c r="D574" s="3" t="s">
        <v>2730</v>
      </c>
      <c r="E574" s="3" t="s">
        <v>2731</v>
      </c>
      <c r="F574" s="5" t="s">
        <v>4166</v>
      </c>
      <c r="G574" s="3" t="s">
        <v>2732</v>
      </c>
      <c r="H574" s="6" t="s">
        <v>2733</v>
      </c>
      <c r="I574" s="3" t="s">
        <v>2734</v>
      </c>
      <c r="J574" s="5" t="s">
        <v>4754</v>
      </c>
      <c r="K574" s="3" t="s">
        <v>5669</v>
      </c>
      <c r="L574" s="3" t="s">
        <v>2735</v>
      </c>
      <c r="M574" s="5">
        <v>3</v>
      </c>
      <c r="N574" s="21">
        <v>502.90719999999999</v>
      </c>
      <c r="O574" s="35" t="s">
        <v>4854</v>
      </c>
      <c r="P574" s="35" t="s">
        <v>4854</v>
      </c>
      <c r="Q574" s="35" t="s">
        <v>4854</v>
      </c>
      <c r="R574" s="35" t="s">
        <v>4854</v>
      </c>
      <c r="S574" s="35" t="s">
        <v>4854</v>
      </c>
      <c r="T574" s="36" t="str">
        <f>HYPERLINK("http://ms.phosphosite.org:5080/cgi-bin/plot-msms.cgi?MassType=1&amp;NumAxis=1&amp;Mod10=170&amp;Pep=LRDEDDADYKPK&amp;Dta=/var/www/html/dta/S01/10563.2873.3.dta&amp;Global_Mod=CS57.0215", "2873")</f>
        <v>2873</v>
      </c>
      <c r="U574" s="35" t="s">
        <v>4854</v>
      </c>
      <c r="V574" s="35" t="s">
        <v>4854</v>
      </c>
      <c r="W574" s="3" t="s">
        <v>4854</v>
      </c>
      <c r="X574" s="3" t="s">
        <v>4854</v>
      </c>
      <c r="Y574" s="3" t="s">
        <v>4854</v>
      </c>
      <c r="Z574" s="3" t="s">
        <v>4854</v>
      </c>
      <c r="AA574" s="3" t="s">
        <v>4854</v>
      </c>
      <c r="AB574" s="3" t="s">
        <v>4854</v>
      </c>
      <c r="AC574" s="3" t="s">
        <v>4854</v>
      </c>
      <c r="AD574" s="3" t="s">
        <v>4854</v>
      </c>
      <c r="AE574" s="99" t="s">
        <v>4854</v>
      </c>
      <c r="AF574" s="99" t="s">
        <v>4854</v>
      </c>
      <c r="AG574" s="99" t="s">
        <v>4854</v>
      </c>
      <c r="AH574" s="99" t="s">
        <v>4854</v>
      </c>
      <c r="AI574" s="99" t="s">
        <v>4854</v>
      </c>
      <c r="AJ574" s="90">
        <v>2.2280000000000002</v>
      </c>
      <c r="AK574" s="99" t="s">
        <v>4854</v>
      </c>
      <c r="AL574" s="99" t="s">
        <v>4854</v>
      </c>
      <c r="AM574" s="102" t="s">
        <v>4854</v>
      </c>
      <c r="AN574" s="102" t="s">
        <v>4854</v>
      </c>
      <c r="AO574" s="102" t="s">
        <v>4854</v>
      </c>
      <c r="AP574" s="102" t="s">
        <v>4854</v>
      </c>
      <c r="AQ574" s="102" t="s">
        <v>4854</v>
      </c>
      <c r="AR574" s="21">
        <v>-0.184</v>
      </c>
      <c r="AS574" s="102" t="s">
        <v>4854</v>
      </c>
      <c r="AT574" s="102" t="s">
        <v>4854</v>
      </c>
      <c r="AU574" s="102" t="s">
        <v>4854</v>
      </c>
      <c r="AV574" s="102" t="s">
        <v>4854</v>
      </c>
      <c r="AW574" s="102" t="s">
        <v>4854</v>
      </c>
      <c r="AX574" s="102" t="s">
        <v>4854</v>
      </c>
      <c r="AY574" s="102" t="s">
        <v>4854</v>
      </c>
      <c r="AZ574" s="21">
        <v>2.1000000000000001E-2</v>
      </c>
      <c r="BA574" s="102" t="s">
        <v>4854</v>
      </c>
      <c r="BB574" s="102" t="s">
        <v>4854</v>
      </c>
      <c r="BC574" s="3" t="s">
        <v>4854</v>
      </c>
      <c r="BD574" s="3" t="s">
        <v>4854</v>
      </c>
      <c r="BE574" s="3" t="s">
        <v>4854</v>
      </c>
      <c r="BF574" s="3" t="s">
        <v>4854</v>
      </c>
      <c r="BG574" s="3" t="s">
        <v>4854</v>
      </c>
      <c r="BH574" s="5">
        <v>39</v>
      </c>
      <c r="BI574" s="3" t="s">
        <v>4854</v>
      </c>
      <c r="BJ574" s="3" t="s">
        <v>4854</v>
      </c>
      <c r="BK574" s="99" t="s">
        <v>4854</v>
      </c>
      <c r="BL574" s="99" t="s">
        <v>4854</v>
      </c>
      <c r="BM574" s="99" t="s">
        <v>4854</v>
      </c>
      <c r="BN574" s="99" t="s">
        <v>4854</v>
      </c>
      <c r="BO574" s="99" t="s">
        <v>4854</v>
      </c>
      <c r="BP574" s="90">
        <v>0.89500000000000002</v>
      </c>
      <c r="BQ574" s="99" t="s">
        <v>4854</v>
      </c>
      <c r="BR574" s="99" t="s">
        <v>4854</v>
      </c>
      <c r="BS574" s="5" t="s">
        <v>4857</v>
      </c>
    </row>
    <row r="575" spans="1:71" s="30" customFormat="1" ht="17.100000000000001" customHeight="1">
      <c r="A575" s="10">
        <v>564</v>
      </c>
      <c r="B575" s="10" t="s">
        <v>4263</v>
      </c>
      <c r="C575" s="4" t="s">
        <v>3178</v>
      </c>
      <c r="D575" s="4" t="s">
        <v>2736</v>
      </c>
      <c r="E575" s="4" t="s">
        <v>2737</v>
      </c>
      <c r="F575" s="10" t="s">
        <v>4849</v>
      </c>
      <c r="G575" s="4" t="s">
        <v>2738</v>
      </c>
      <c r="H575" s="7" t="s">
        <v>2739</v>
      </c>
      <c r="I575" s="4" t="s">
        <v>2740</v>
      </c>
      <c r="J575" s="10" t="s">
        <v>4695</v>
      </c>
      <c r="K575" s="4" t="s">
        <v>5670</v>
      </c>
      <c r="L575" s="4" t="s">
        <v>2741</v>
      </c>
      <c r="M575" s="10">
        <v>3</v>
      </c>
      <c r="N575" s="95">
        <v>827.07749999999999</v>
      </c>
      <c r="O575" s="38" t="s">
        <v>4854</v>
      </c>
      <c r="P575" s="38" t="s">
        <v>4854</v>
      </c>
      <c r="Q575" s="38" t="s">
        <v>4854</v>
      </c>
      <c r="R575" s="38" t="s">
        <v>4854</v>
      </c>
      <c r="S575" s="38" t="s">
        <v>4854</v>
      </c>
      <c r="T575" s="38" t="s">
        <v>4854</v>
      </c>
      <c r="U575" s="38" t="s">
        <v>4854</v>
      </c>
      <c r="V575" s="37" t="str">
        <f>HYPERLINK("http://ms.phosphosite.org:5080/cgi-bin/plot-msms.cgi?MassType=1&amp;NumAxis=1&amp;Mod16=170&amp;Pep=MASILPASNRSMRPDKNTYER&amp;Dta=/var/www/html/dta/S01/10565.11479.3.dta&amp;Global_Mod=CS57.0215", "11479")</f>
        <v>11479</v>
      </c>
      <c r="W575" s="4" t="s">
        <v>4854</v>
      </c>
      <c r="X575" s="4" t="s">
        <v>4854</v>
      </c>
      <c r="Y575" s="4" t="s">
        <v>4854</v>
      </c>
      <c r="Z575" s="4" t="s">
        <v>4854</v>
      </c>
      <c r="AA575" s="4" t="s">
        <v>4854</v>
      </c>
      <c r="AB575" s="4" t="s">
        <v>4854</v>
      </c>
      <c r="AC575" s="4" t="s">
        <v>4854</v>
      </c>
      <c r="AD575" s="4" t="s">
        <v>4854</v>
      </c>
      <c r="AE575" s="100" t="s">
        <v>4854</v>
      </c>
      <c r="AF575" s="100" t="s">
        <v>4854</v>
      </c>
      <c r="AG575" s="100" t="s">
        <v>4854</v>
      </c>
      <c r="AH575" s="100" t="s">
        <v>4854</v>
      </c>
      <c r="AI575" s="100" t="s">
        <v>4854</v>
      </c>
      <c r="AJ575" s="100" t="s">
        <v>4854</v>
      </c>
      <c r="AK575" s="100" t="s">
        <v>4854</v>
      </c>
      <c r="AL575" s="91">
        <v>1.71</v>
      </c>
      <c r="AM575" s="103" t="s">
        <v>4854</v>
      </c>
      <c r="AN575" s="103" t="s">
        <v>4854</v>
      </c>
      <c r="AO575" s="103" t="s">
        <v>4854</v>
      </c>
      <c r="AP575" s="103" t="s">
        <v>4854</v>
      </c>
      <c r="AQ575" s="103" t="s">
        <v>4854</v>
      </c>
      <c r="AR575" s="103" t="s">
        <v>4854</v>
      </c>
      <c r="AS575" s="103" t="s">
        <v>4854</v>
      </c>
      <c r="AT575" s="95">
        <v>1.5736000000000001</v>
      </c>
      <c r="AU575" s="103" t="s">
        <v>4854</v>
      </c>
      <c r="AV575" s="103" t="s">
        <v>4854</v>
      </c>
      <c r="AW575" s="103" t="s">
        <v>4854</v>
      </c>
      <c r="AX575" s="103" t="s">
        <v>4854</v>
      </c>
      <c r="AY575" s="103" t="s">
        <v>4854</v>
      </c>
      <c r="AZ575" s="103" t="s">
        <v>4854</v>
      </c>
      <c r="BA575" s="103" t="s">
        <v>4854</v>
      </c>
      <c r="BB575" s="95">
        <v>7.0000000000000001E-3</v>
      </c>
      <c r="BC575" s="4" t="s">
        <v>4854</v>
      </c>
      <c r="BD575" s="4" t="s">
        <v>4854</v>
      </c>
      <c r="BE575" s="4" t="s">
        <v>4854</v>
      </c>
      <c r="BF575" s="4" t="s">
        <v>4854</v>
      </c>
      <c r="BG575" s="4" t="s">
        <v>4854</v>
      </c>
      <c r="BH575" s="4" t="s">
        <v>4854</v>
      </c>
      <c r="BI575" s="4" t="s">
        <v>4854</v>
      </c>
      <c r="BJ575" s="10">
        <v>434</v>
      </c>
      <c r="BK575" s="100" t="s">
        <v>4854</v>
      </c>
      <c r="BL575" s="100" t="s">
        <v>4854</v>
      </c>
      <c r="BM575" s="100" t="s">
        <v>4854</v>
      </c>
      <c r="BN575" s="100" t="s">
        <v>4854</v>
      </c>
      <c r="BO575" s="100" t="s">
        <v>4854</v>
      </c>
      <c r="BP575" s="100" t="s">
        <v>4854</v>
      </c>
      <c r="BQ575" s="100" t="s">
        <v>4854</v>
      </c>
      <c r="BR575" s="91">
        <v>0.57999999999999996</v>
      </c>
      <c r="BS575" s="10" t="s">
        <v>4857</v>
      </c>
    </row>
    <row r="576" spans="1:71" s="30" customFormat="1" ht="17.100000000000001" customHeight="1">
      <c r="A576" s="14">
        <v>565</v>
      </c>
      <c r="B576" s="5" t="s">
        <v>2742</v>
      </c>
      <c r="C576" s="3" t="s">
        <v>3178</v>
      </c>
      <c r="D576" s="3" t="s">
        <v>2743</v>
      </c>
      <c r="E576" s="3" t="s">
        <v>2744</v>
      </c>
      <c r="F576" s="5" t="s">
        <v>5301</v>
      </c>
      <c r="G576" s="3" t="s">
        <v>2745</v>
      </c>
      <c r="H576" s="6" t="s">
        <v>2746</v>
      </c>
      <c r="I576" s="3" t="s">
        <v>2747</v>
      </c>
      <c r="J576" s="5" t="s">
        <v>4700</v>
      </c>
      <c r="K576" s="3" t="s">
        <v>5671</v>
      </c>
      <c r="L576" s="3" t="s">
        <v>2748</v>
      </c>
      <c r="M576" s="5">
        <v>2</v>
      </c>
      <c r="N576" s="21">
        <v>559.32349999999997</v>
      </c>
      <c r="O576" s="35" t="s">
        <v>4854</v>
      </c>
      <c r="P576" s="35" t="s">
        <v>4854</v>
      </c>
      <c r="Q576" s="35" t="s">
        <v>4854</v>
      </c>
      <c r="R576" s="35" t="s">
        <v>4854</v>
      </c>
      <c r="S576" s="35" t="s">
        <v>4854</v>
      </c>
      <c r="T576" s="35" t="s">
        <v>4854</v>
      </c>
      <c r="U576" s="36" t="str">
        <f>HYPERLINK("http://ms.phosphosite.org:5080/cgi-bin/plot-msms.cgi?MassType=1&amp;NumAxis=1&amp;Mod4=170&amp;Pep=TMQKLVVTR&amp;Dta=/var/www/html/dta/S01/10564.5582.2.dta&amp;Global_Mod=CS57.0215", "5582")</f>
        <v>5582</v>
      </c>
      <c r="V576" s="35" t="s">
        <v>4854</v>
      </c>
      <c r="W576" s="3" t="s">
        <v>4854</v>
      </c>
      <c r="X576" s="3" t="s">
        <v>4854</v>
      </c>
      <c r="Y576" s="3" t="s">
        <v>4854</v>
      </c>
      <c r="Z576" s="3" t="s">
        <v>4854</v>
      </c>
      <c r="AA576" s="3" t="s">
        <v>4854</v>
      </c>
      <c r="AB576" s="3" t="s">
        <v>4854</v>
      </c>
      <c r="AC576" s="3" t="s">
        <v>4854</v>
      </c>
      <c r="AD576" s="3" t="s">
        <v>4854</v>
      </c>
      <c r="AE576" s="99" t="s">
        <v>4854</v>
      </c>
      <c r="AF576" s="99" t="s">
        <v>4854</v>
      </c>
      <c r="AG576" s="99" t="s">
        <v>4854</v>
      </c>
      <c r="AH576" s="99" t="s">
        <v>4854</v>
      </c>
      <c r="AI576" s="99" t="s">
        <v>4854</v>
      </c>
      <c r="AJ576" s="99" t="s">
        <v>4854</v>
      </c>
      <c r="AK576" s="90">
        <v>2.121</v>
      </c>
      <c r="AL576" s="99" t="s">
        <v>4854</v>
      </c>
      <c r="AM576" s="102" t="s">
        <v>4854</v>
      </c>
      <c r="AN576" s="102" t="s">
        <v>4854</v>
      </c>
      <c r="AO576" s="102" t="s">
        <v>4854</v>
      </c>
      <c r="AP576" s="102" t="s">
        <v>4854</v>
      </c>
      <c r="AQ576" s="102" t="s">
        <v>4854</v>
      </c>
      <c r="AR576" s="102" t="s">
        <v>4854</v>
      </c>
      <c r="AS576" s="21">
        <v>1.9686999999999999</v>
      </c>
      <c r="AT576" s="102" t="s">
        <v>4854</v>
      </c>
      <c r="AU576" s="102" t="s">
        <v>4854</v>
      </c>
      <c r="AV576" s="102" t="s">
        <v>4854</v>
      </c>
      <c r="AW576" s="102" t="s">
        <v>4854</v>
      </c>
      <c r="AX576" s="102" t="s">
        <v>4854</v>
      </c>
      <c r="AY576" s="102" t="s">
        <v>4854</v>
      </c>
      <c r="AZ576" s="102" t="s">
        <v>4854</v>
      </c>
      <c r="BA576" s="21">
        <v>4.0000000000000001E-3</v>
      </c>
      <c r="BB576" s="102" t="s">
        <v>4854</v>
      </c>
      <c r="BC576" s="3" t="s">
        <v>4854</v>
      </c>
      <c r="BD576" s="3" t="s">
        <v>4854</v>
      </c>
      <c r="BE576" s="3" t="s">
        <v>4854</v>
      </c>
      <c r="BF576" s="3" t="s">
        <v>4854</v>
      </c>
      <c r="BG576" s="3" t="s">
        <v>4854</v>
      </c>
      <c r="BH576" s="3" t="s">
        <v>4854</v>
      </c>
      <c r="BI576" s="5">
        <v>95</v>
      </c>
      <c r="BJ576" s="3" t="s">
        <v>4854</v>
      </c>
      <c r="BK576" s="99" t="s">
        <v>4854</v>
      </c>
      <c r="BL576" s="99" t="s">
        <v>4854</v>
      </c>
      <c r="BM576" s="99" t="s">
        <v>4854</v>
      </c>
      <c r="BN576" s="99" t="s">
        <v>4854</v>
      </c>
      <c r="BO576" s="99" t="s">
        <v>4854</v>
      </c>
      <c r="BP576" s="99" t="s">
        <v>4854</v>
      </c>
      <c r="BQ576" s="90">
        <v>0.85</v>
      </c>
      <c r="BR576" s="99" t="s">
        <v>4854</v>
      </c>
      <c r="BS576" s="5" t="s">
        <v>4857</v>
      </c>
    </row>
    <row r="577" spans="1:71" ht="17.100000000000001" customHeight="1">
      <c r="A577" s="31">
        <v>566</v>
      </c>
      <c r="B577" s="2" t="s">
        <v>2749</v>
      </c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94"/>
      <c r="O577" s="34"/>
      <c r="P577" s="34"/>
      <c r="Q577" s="34"/>
      <c r="R577" s="34"/>
      <c r="S577" s="34"/>
      <c r="T577" s="34"/>
      <c r="U577" s="34"/>
      <c r="V577" s="34"/>
      <c r="W577" s="1"/>
      <c r="X577" s="1"/>
      <c r="Y577" s="1"/>
      <c r="Z577" s="1"/>
      <c r="AA577" s="1"/>
      <c r="AB577" s="1"/>
      <c r="AC577" s="1"/>
      <c r="AD577" s="1"/>
      <c r="AE577" s="89"/>
      <c r="AF577" s="89"/>
      <c r="AG577" s="89"/>
      <c r="AH577" s="89"/>
      <c r="AI577" s="89"/>
      <c r="AJ577" s="89"/>
      <c r="AK577" s="89"/>
      <c r="AL577" s="89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1"/>
      <c r="BD577" s="1"/>
      <c r="BE577" s="1"/>
      <c r="BF577" s="1"/>
      <c r="BG577" s="1"/>
      <c r="BH577" s="1"/>
      <c r="BI577" s="1"/>
      <c r="BJ577" s="1"/>
      <c r="BK577" s="89"/>
      <c r="BL577" s="89"/>
      <c r="BM577" s="89"/>
      <c r="BN577" s="89"/>
      <c r="BO577" s="89"/>
      <c r="BP577" s="89"/>
      <c r="BQ577" s="89"/>
      <c r="BR577" s="89"/>
      <c r="BS577" s="1"/>
    </row>
    <row r="578" spans="1:71" s="30" customFormat="1" ht="17.100000000000001" customHeight="1">
      <c r="A578" s="10">
        <v>567</v>
      </c>
      <c r="B578" s="10" t="s">
        <v>2750</v>
      </c>
      <c r="C578" s="4" t="s">
        <v>2749</v>
      </c>
      <c r="D578" s="4" t="s">
        <v>2751</v>
      </c>
      <c r="E578" s="4" t="s">
        <v>2752</v>
      </c>
      <c r="F578" s="10" t="s">
        <v>3193</v>
      </c>
      <c r="G578" s="4" t="s">
        <v>2753</v>
      </c>
      <c r="H578" s="7" t="s">
        <v>2754</v>
      </c>
      <c r="I578" s="4" t="s">
        <v>2755</v>
      </c>
      <c r="J578" s="10" t="s">
        <v>4422</v>
      </c>
      <c r="K578" s="4" t="s">
        <v>5672</v>
      </c>
      <c r="L578" s="4" t="s">
        <v>2756</v>
      </c>
      <c r="M578" s="10">
        <v>3</v>
      </c>
      <c r="N578" s="95">
        <v>558.62369999999999</v>
      </c>
      <c r="O578" s="38" t="s">
        <v>4854</v>
      </c>
      <c r="P578" s="38" t="s">
        <v>4854</v>
      </c>
      <c r="Q578" s="37" t="str">
        <f>HYPERLINK("http://ms.phosphosite.org:5080/cgi-bin/plot-msms.cgi?MassType=1&amp;NumAxis=1&amp;Mod14=170&amp;Pep=RNGLSQTVSQEERK&amp;Dta=/var/www/html/dta/S01/10560.5553.3.dta&amp;Global_Mod=CS57.0215", "5553")</f>
        <v>5553</v>
      </c>
      <c r="R578" s="38" t="s">
        <v>4854</v>
      </c>
      <c r="S578" s="38" t="s">
        <v>4854</v>
      </c>
      <c r="T578" s="37" t="str">
        <f>HYPERLINK("http://ms.phosphosite.org:5080/cgi-bin/plot-msms.cgi?MassType=1&amp;NumAxis=1&amp;Mod14=170&amp;Pep=RNGLSQTVSQEERK&amp;Dta=/var/www/html/dta/S01/10563.5653.3.dta&amp;Global_Mod=CS57.0215", "5653")</f>
        <v>5653</v>
      </c>
      <c r="U578" s="38" t="s">
        <v>4854</v>
      </c>
      <c r="V578" s="38" t="s">
        <v>4854</v>
      </c>
      <c r="W578" s="4" t="s">
        <v>4854</v>
      </c>
      <c r="X578" s="4" t="s">
        <v>4854</v>
      </c>
      <c r="Y578" s="10">
        <v>5519</v>
      </c>
      <c r="Z578" s="4" t="s">
        <v>4854</v>
      </c>
      <c r="AA578" s="4" t="s">
        <v>4854</v>
      </c>
      <c r="AB578" s="4" t="s">
        <v>4854</v>
      </c>
      <c r="AC578" s="4" t="s">
        <v>4854</v>
      </c>
      <c r="AD578" s="4" t="s">
        <v>4854</v>
      </c>
      <c r="AE578" s="100" t="s">
        <v>4854</v>
      </c>
      <c r="AF578" s="100" t="s">
        <v>4854</v>
      </c>
      <c r="AG578" s="91">
        <v>2.6459999999999999</v>
      </c>
      <c r="AH578" s="100" t="s">
        <v>4854</v>
      </c>
      <c r="AI578" s="100" t="s">
        <v>4854</v>
      </c>
      <c r="AJ578" s="91">
        <v>2.2839999999999998</v>
      </c>
      <c r="AK578" s="100" t="s">
        <v>4854</v>
      </c>
      <c r="AL578" s="100" t="s">
        <v>4854</v>
      </c>
      <c r="AM578" s="103" t="s">
        <v>4854</v>
      </c>
      <c r="AN578" s="103" t="s">
        <v>4854</v>
      </c>
      <c r="AO578" s="95">
        <v>2.6989000000000001</v>
      </c>
      <c r="AP578" s="103" t="s">
        <v>4854</v>
      </c>
      <c r="AQ578" s="103" t="s">
        <v>4854</v>
      </c>
      <c r="AR578" s="95">
        <v>2.7376999999999998</v>
      </c>
      <c r="AS578" s="103" t="s">
        <v>4854</v>
      </c>
      <c r="AT578" s="103" t="s">
        <v>4854</v>
      </c>
      <c r="AU578" s="103" t="s">
        <v>4854</v>
      </c>
      <c r="AV578" s="103" t="s">
        <v>4854</v>
      </c>
      <c r="AW578" s="95">
        <v>5.8000000000000003E-2</v>
      </c>
      <c r="AX578" s="103" t="s">
        <v>4854</v>
      </c>
      <c r="AY578" s="103" t="s">
        <v>4854</v>
      </c>
      <c r="AZ578" s="95">
        <v>2.9000000000000001E-2</v>
      </c>
      <c r="BA578" s="103" t="s">
        <v>4854</v>
      </c>
      <c r="BB578" s="103" t="s">
        <v>4854</v>
      </c>
      <c r="BC578" s="4" t="s">
        <v>4854</v>
      </c>
      <c r="BD578" s="4" t="s">
        <v>4854</v>
      </c>
      <c r="BE578" s="10">
        <v>7</v>
      </c>
      <c r="BF578" s="4" t="s">
        <v>4854</v>
      </c>
      <c r="BG578" s="4" t="s">
        <v>4854</v>
      </c>
      <c r="BH578" s="10">
        <v>160</v>
      </c>
      <c r="BI578" s="4" t="s">
        <v>4854</v>
      </c>
      <c r="BJ578" s="4" t="s">
        <v>4854</v>
      </c>
      <c r="BK578" s="100" t="s">
        <v>4854</v>
      </c>
      <c r="BL578" s="100" t="s">
        <v>4854</v>
      </c>
      <c r="BM578" s="91">
        <v>0.98099999999999998</v>
      </c>
      <c r="BN578" s="100" t="s">
        <v>4854</v>
      </c>
      <c r="BO578" s="100" t="s">
        <v>4854</v>
      </c>
      <c r="BP578" s="91">
        <v>0.90500000000000003</v>
      </c>
      <c r="BQ578" s="100" t="s">
        <v>4854</v>
      </c>
      <c r="BR578" s="100" t="s">
        <v>4854</v>
      </c>
      <c r="BS578" s="10" t="s">
        <v>4857</v>
      </c>
    </row>
    <row r="579" spans="1:71" s="30" customFormat="1" ht="17.100000000000001" customHeight="1">
      <c r="A579" s="14">
        <v>568</v>
      </c>
      <c r="B579" s="5" t="s">
        <v>2757</v>
      </c>
      <c r="C579" s="3" t="s">
        <v>2749</v>
      </c>
      <c r="D579" s="3" t="s">
        <v>2758</v>
      </c>
      <c r="E579" s="3" t="s">
        <v>2759</v>
      </c>
      <c r="F579" s="5" t="s">
        <v>5101</v>
      </c>
      <c r="G579" s="3" t="s">
        <v>2760</v>
      </c>
      <c r="H579" s="6" t="s">
        <v>2761</v>
      </c>
      <c r="I579" s="3" t="s">
        <v>2762</v>
      </c>
      <c r="J579" s="5" t="s">
        <v>2763</v>
      </c>
      <c r="K579" s="3" t="s">
        <v>5673</v>
      </c>
      <c r="L579" s="3" t="s">
        <v>2764</v>
      </c>
      <c r="M579" s="5">
        <v>2</v>
      </c>
      <c r="N579" s="21">
        <v>697.35220000000004</v>
      </c>
      <c r="O579" s="36" t="str">
        <f>HYPERLINK("http://ms.phosphosite.org:5080/cgi-bin/plot-msms.cgi?MassType=1&amp;NumAxis=1&amp;Mod10=170&amp;Pep=AHGELHEQFKR&amp;Dta=/var/www/html/dta/S01/10558.2147.2.dta&amp;Global_Mod=CS57.0215", "2147")</f>
        <v>2147</v>
      </c>
      <c r="P579" s="36" t="str">
        <f>HYPERLINK("http://ms.phosphosite.org:5080/cgi-bin/plot-msms.cgi?MassType=1&amp;NumAxis=1&amp;Mod10=170&amp;Pep=AHGELHEQFKR&amp;Dta=/var/www/html/dta/S01/10559.2108.2.dta&amp;Global_Mod=CS57.0215", "2108")</f>
        <v>2108</v>
      </c>
      <c r="Q579" s="36" t="str">
        <f>HYPERLINK("http://ms.phosphosite.org:5080/cgi-bin/plot-msms.cgi?MassType=1&amp;NumAxis=1&amp;Mod10=170&amp;Pep=AHGELHEQFKR&amp;Dta=/var/www/html/dta/S01/10560.2077.2.dta&amp;Global_Mod=CS57.0215", "2077")</f>
        <v>2077</v>
      </c>
      <c r="R579" s="36" t="str">
        <f>HYPERLINK("http://ms.phosphosite.org:5080/cgi-bin/plot-msms.cgi?MassType=1&amp;NumAxis=1&amp;Mod10=170&amp;Pep=AHGELHEQFKR&amp;Dta=/var/www/html/dta/S01/10561.2131.2.dta&amp;Global_Mod=CS57.0215", "2131")</f>
        <v>2131</v>
      </c>
      <c r="S579" s="36" t="str">
        <f>HYPERLINK("http://ms.phosphosite.org:5080/cgi-bin/plot-msms.cgi?MassType=1&amp;NumAxis=1&amp;Mod10=170&amp;Pep=AHGELHEQFKR&amp;Dta=/var/www/html/dta/S01/10562.2192.2.dta&amp;Global_Mod=CS57.0215", "2192")</f>
        <v>2192</v>
      </c>
      <c r="T579" s="36" t="str">
        <f>HYPERLINK("http://ms.phosphosite.org:5080/cgi-bin/plot-msms.cgi?MassType=1&amp;NumAxis=1&amp;Mod10=170&amp;Pep=AHGELHEQFKR&amp;Dta=/var/www/html/dta/S01/10563.2103.2.dta&amp;Global_Mod=CS57.0215", "2103")</f>
        <v>2103</v>
      </c>
      <c r="U579" s="36" t="str">
        <f>HYPERLINK("http://ms.phosphosite.org:5080/cgi-bin/plot-msms.cgi?MassType=1&amp;NumAxis=1&amp;Mod10=170&amp;Pep=AHGELHEQFKR&amp;Dta=/var/www/html/dta/S01/10564.2384.2.dta&amp;Global_Mod=CS57.0215", "2384")</f>
        <v>2384</v>
      </c>
      <c r="V579" s="36" t="str">
        <f>HYPERLINK("http://ms.phosphosite.org:5080/cgi-bin/plot-msms.cgi?MassType=1&amp;NumAxis=1&amp;Mod10=170&amp;Pep=AHGELHEQFKR&amp;Dta=/var/www/html/dta/S01/10565.2471.2.dta&amp;Global_Mod=CS57.0215", "2471")</f>
        <v>2471</v>
      </c>
      <c r="W579" s="5">
        <v>2160</v>
      </c>
      <c r="X579" s="5">
        <v>2134</v>
      </c>
      <c r="Y579" s="5">
        <v>2069</v>
      </c>
      <c r="Z579" s="5">
        <v>2125</v>
      </c>
      <c r="AA579" s="5">
        <v>2195</v>
      </c>
      <c r="AB579" s="5">
        <v>2115</v>
      </c>
      <c r="AC579" s="5">
        <v>2398</v>
      </c>
      <c r="AD579" s="5">
        <v>2476</v>
      </c>
      <c r="AE579" s="90">
        <v>2.698</v>
      </c>
      <c r="AF579" s="90">
        <v>3.722</v>
      </c>
      <c r="AG579" s="90">
        <v>3.0790000000000002</v>
      </c>
      <c r="AH579" s="90">
        <v>2.6349999999999998</v>
      </c>
      <c r="AI579" s="90">
        <v>2.7519999999999998</v>
      </c>
      <c r="AJ579" s="90">
        <v>2.9529999999999998</v>
      </c>
      <c r="AK579" s="90">
        <v>3.371</v>
      </c>
      <c r="AL579" s="90">
        <v>3.18</v>
      </c>
      <c r="AM579" s="21">
        <v>0.38340000000000002</v>
      </c>
      <c r="AN579" s="21">
        <v>0.45300000000000001</v>
      </c>
      <c r="AO579" s="21">
        <v>0.2011</v>
      </c>
      <c r="AP579" s="21">
        <v>0.7278</v>
      </c>
      <c r="AQ579" s="21">
        <v>1.1167</v>
      </c>
      <c r="AR579" s="21">
        <v>0.34250000000000003</v>
      </c>
      <c r="AS579" s="21">
        <v>-0.57450000000000001</v>
      </c>
      <c r="AT579" s="21">
        <v>-0.35420000000000001</v>
      </c>
      <c r="AU579" s="21">
        <v>0.33300000000000002</v>
      </c>
      <c r="AV579" s="21">
        <v>0.42399999999999999</v>
      </c>
      <c r="AW579" s="21">
        <v>0.33800000000000002</v>
      </c>
      <c r="AX579" s="21">
        <v>0.39200000000000002</v>
      </c>
      <c r="AY579" s="21">
        <v>0.34300000000000003</v>
      </c>
      <c r="AZ579" s="21">
        <v>0.46</v>
      </c>
      <c r="BA579" s="21">
        <v>0.38800000000000001</v>
      </c>
      <c r="BB579" s="21">
        <v>0.33900000000000002</v>
      </c>
      <c r="BC579" s="5">
        <v>1</v>
      </c>
      <c r="BD579" s="5">
        <v>1</v>
      </c>
      <c r="BE579" s="5">
        <v>1</v>
      </c>
      <c r="BF579" s="5">
        <v>1</v>
      </c>
      <c r="BG579" s="5">
        <v>1</v>
      </c>
      <c r="BH579" s="5">
        <v>1</v>
      </c>
      <c r="BI579" s="5">
        <v>1</v>
      </c>
      <c r="BJ579" s="5">
        <v>1</v>
      </c>
      <c r="BK579" s="90">
        <v>1</v>
      </c>
      <c r="BL579" s="90">
        <v>1</v>
      </c>
      <c r="BM579" s="90">
        <v>1</v>
      </c>
      <c r="BN579" s="90">
        <v>1</v>
      </c>
      <c r="BO579" s="90">
        <v>1</v>
      </c>
      <c r="BP579" s="90">
        <v>1</v>
      </c>
      <c r="BQ579" s="90">
        <v>1</v>
      </c>
      <c r="BR579" s="90">
        <v>1</v>
      </c>
      <c r="BS579" s="5" t="s">
        <v>4857</v>
      </c>
    </row>
    <row r="580" spans="1:71" s="30" customFormat="1" ht="17.100000000000001" customHeight="1">
      <c r="A580" s="14">
        <v>569</v>
      </c>
      <c r="B580" s="5" t="s">
        <v>2765</v>
      </c>
      <c r="C580" s="3" t="s">
        <v>2749</v>
      </c>
      <c r="D580" s="3" t="s">
        <v>2758</v>
      </c>
      <c r="E580" s="3" t="s">
        <v>2759</v>
      </c>
      <c r="F580" s="5" t="s">
        <v>5101</v>
      </c>
      <c r="G580" s="3" t="s">
        <v>2760</v>
      </c>
      <c r="H580" s="6" t="s">
        <v>2761</v>
      </c>
      <c r="I580" s="3" t="s">
        <v>2762</v>
      </c>
      <c r="J580" s="5" t="s">
        <v>2763</v>
      </c>
      <c r="K580" s="3" t="s">
        <v>5673</v>
      </c>
      <c r="L580" s="3" t="s">
        <v>2764</v>
      </c>
      <c r="M580" s="5">
        <v>3</v>
      </c>
      <c r="N580" s="21">
        <v>465.23719999999997</v>
      </c>
      <c r="O580" s="36" t="str">
        <f>HYPERLINK("http://ms.phosphosite.org:5080/cgi-bin/plot-msms.cgi?MassType=1&amp;NumAxis=1&amp;Mod10=170&amp;Pep=AHGELHEQFKR&amp;Dta=/var/www/html/dta/S01/10558.2172.3.dta&amp;Global_Mod=CS57.0215", "2172")</f>
        <v>2172</v>
      </c>
      <c r="P580" s="36" t="str">
        <f>HYPERLINK("http://ms.phosphosite.org:5080/cgi-bin/plot-msms.cgi?MassType=1&amp;NumAxis=1&amp;Mod10=170&amp;Pep=AHGELHEQFKR&amp;Dta=/var/www/html/dta/S01/10559.2146.3.dta&amp;Global_Mod=CS57.0215", "2146")</f>
        <v>2146</v>
      </c>
      <c r="Q580" s="35" t="s">
        <v>4854</v>
      </c>
      <c r="R580" s="36" t="str">
        <f>HYPERLINK("http://ms.phosphosite.org:5080/cgi-bin/plot-msms.cgi?MassType=1&amp;NumAxis=1&amp;Mod10=170&amp;Pep=AHGELHEQFKR&amp;Dta=/var/www/html/dta/S01/10561.2148.3.dta&amp;Global_Mod=CS57.0215", "2148")</f>
        <v>2148</v>
      </c>
      <c r="S580" s="35" t="s">
        <v>4854</v>
      </c>
      <c r="T580" s="36" t="str">
        <f>HYPERLINK("http://ms.phosphosite.org:5080/cgi-bin/plot-msms.cgi?MassType=1&amp;NumAxis=1&amp;Mod10=170&amp;Pep=AHGELHEQFKR&amp;Dta=/var/www/html/dta/S01/10563.2127.3.dta&amp;Global_Mod=CS57.0215", "2127")</f>
        <v>2127</v>
      </c>
      <c r="U580" s="36" t="str">
        <f>HYPERLINK("http://ms.phosphosite.org:5080/cgi-bin/plot-msms.cgi?MassType=1&amp;NumAxis=1&amp;Mod10=170&amp;Pep=AHGELHEQFKR&amp;Dta=/var/www/html/dta/S01/10564.2400.3.dta&amp;Global_Mod=CS57.0215", "2400")</f>
        <v>2400</v>
      </c>
      <c r="V580" s="35" t="s">
        <v>4854</v>
      </c>
      <c r="W580" s="5">
        <v>2171</v>
      </c>
      <c r="X580" s="5">
        <v>2123</v>
      </c>
      <c r="Y580" s="3" t="s">
        <v>4854</v>
      </c>
      <c r="Z580" s="5">
        <v>2136</v>
      </c>
      <c r="AA580" s="3" t="s">
        <v>4854</v>
      </c>
      <c r="AB580" s="5">
        <v>2115</v>
      </c>
      <c r="AC580" s="5">
        <v>2387</v>
      </c>
      <c r="AD580" s="3" t="s">
        <v>4854</v>
      </c>
      <c r="AE580" s="90">
        <v>2.1859999999999999</v>
      </c>
      <c r="AF580" s="90">
        <v>2.5139999999999998</v>
      </c>
      <c r="AG580" s="99" t="s">
        <v>4854</v>
      </c>
      <c r="AH580" s="90">
        <v>2.3130000000000002</v>
      </c>
      <c r="AI580" s="99" t="s">
        <v>4854</v>
      </c>
      <c r="AJ580" s="90">
        <v>2.181</v>
      </c>
      <c r="AK580" s="90">
        <v>2.0129999999999999</v>
      </c>
      <c r="AL580" s="99" t="s">
        <v>4854</v>
      </c>
      <c r="AM580" s="21">
        <v>0.32450000000000001</v>
      </c>
      <c r="AN580" s="21">
        <v>-3.3999999999999998E-3</v>
      </c>
      <c r="AO580" s="102" t="s">
        <v>4854</v>
      </c>
      <c r="AP580" s="21">
        <v>0.55200000000000005</v>
      </c>
      <c r="AQ580" s="102" t="s">
        <v>4854</v>
      </c>
      <c r="AR580" s="21">
        <v>0.69399999999999995</v>
      </c>
      <c r="AS580" s="21">
        <v>-0.37</v>
      </c>
      <c r="AT580" s="102" t="s">
        <v>4854</v>
      </c>
      <c r="AU580" s="21">
        <v>0.1</v>
      </c>
      <c r="AV580" s="21">
        <v>0.05</v>
      </c>
      <c r="AW580" s="102" t="s">
        <v>4854</v>
      </c>
      <c r="AX580" s="21">
        <v>8.7999999999999995E-2</v>
      </c>
      <c r="AY580" s="102" t="s">
        <v>4854</v>
      </c>
      <c r="AZ580" s="21">
        <v>0.252</v>
      </c>
      <c r="BA580" s="21">
        <v>0.13100000000000001</v>
      </c>
      <c r="BB580" s="102" t="s">
        <v>4854</v>
      </c>
      <c r="BC580" s="5">
        <v>1</v>
      </c>
      <c r="BD580" s="5">
        <v>2</v>
      </c>
      <c r="BE580" s="3" t="s">
        <v>4854</v>
      </c>
      <c r="BF580" s="5">
        <v>5</v>
      </c>
      <c r="BG580" s="3" t="s">
        <v>4854</v>
      </c>
      <c r="BH580" s="5">
        <v>13</v>
      </c>
      <c r="BI580" s="5">
        <v>3</v>
      </c>
      <c r="BJ580" s="3" t="s">
        <v>4854</v>
      </c>
      <c r="BK580" s="90">
        <v>0.997</v>
      </c>
      <c r="BL580" s="90">
        <v>0.996</v>
      </c>
      <c r="BM580" s="99" t="s">
        <v>4854</v>
      </c>
      <c r="BN580" s="90">
        <v>0.996</v>
      </c>
      <c r="BO580" s="99" t="s">
        <v>4854</v>
      </c>
      <c r="BP580" s="90">
        <v>0.999</v>
      </c>
      <c r="BQ580" s="90">
        <v>0.99299999999999999</v>
      </c>
      <c r="BR580" s="99" t="s">
        <v>4854</v>
      </c>
      <c r="BS580" s="5" t="s">
        <v>4857</v>
      </c>
    </row>
    <row r="581" spans="1:71" s="30" customFormat="1" ht="17.100000000000001" customHeight="1">
      <c r="A581" s="10">
        <v>570</v>
      </c>
      <c r="B581" s="10" t="s">
        <v>2766</v>
      </c>
      <c r="C581" s="4" t="s">
        <v>2749</v>
      </c>
      <c r="D581" s="4" t="s">
        <v>2767</v>
      </c>
      <c r="E581" s="7" t="s">
        <v>2768</v>
      </c>
      <c r="F581" s="10" t="s">
        <v>4622</v>
      </c>
      <c r="G581" s="4" t="s">
        <v>2769</v>
      </c>
      <c r="H581" s="7" t="s">
        <v>2770</v>
      </c>
      <c r="I581" s="4" t="s">
        <v>2771</v>
      </c>
      <c r="J581" s="10" t="s">
        <v>4782</v>
      </c>
      <c r="K581" s="4" t="s">
        <v>5674</v>
      </c>
      <c r="L581" s="4" t="s">
        <v>2772</v>
      </c>
      <c r="M581" s="10">
        <v>2</v>
      </c>
      <c r="N581" s="95">
        <v>566.83989999999994</v>
      </c>
      <c r="O581" s="38" t="s">
        <v>4854</v>
      </c>
      <c r="P581" s="38" t="s">
        <v>4854</v>
      </c>
      <c r="Q581" s="38" t="s">
        <v>4854</v>
      </c>
      <c r="R581" s="38" t="s">
        <v>4854</v>
      </c>
      <c r="S581" s="38" t="s">
        <v>4854</v>
      </c>
      <c r="T581" s="38" t="s">
        <v>4854</v>
      </c>
      <c r="U581" s="37" t="str">
        <f>HYPERLINK("http://ms.phosphosite.org:5080/cgi-bin/plot-msms.cgi?MassType=1&amp;NumAxis=1&amp;Mod7=170&amp;Pep=IINVGGKYVK&amp;Dta=/var/www/html/dta/S01/10564.6385.2.dta&amp;Global_Mod=CS57.0215", "6385")</f>
        <v>6385</v>
      </c>
      <c r="V581" s="38" t="s">
        <v>4854</v>
      </c>
      <c r="W581" s="4" t="s">
        <v>4854</v>
      </c>
      <c r="X581" s="4" t="s">
        <v>4854</v>
      </c>
      <c r="Y581" s="4" t="s">
        <v>4854</v>
      </c>
      <c r="Z581" s="4" t="s">
        <v>4854</v>
      </c>
      <c r="AA581" s="4" t="s">
        <v>4854</v>
      </c>
      <c r="AB581" s="4" t="s">
        <v>4854</v>
      </c>
      <c r="AC581" s="10">
        <v>6375</v>
      </c>
      <c r="AD581" s="4" t="s">
        <v>4854</v>
      </c>
      <c r="AE581" s="100" t="s">
        <v>4854</v>
      </c>
      <c r="AF581" s="100" t="s">
        <v>4854</v>
      </c>
      <c r="AG581" s="100" t="s">
        <v>4854</v>
      </c>
      <c r="AH581" s="100" t="s">
        <v>4854</v>
      </c>
      <c r="AI581" s="100" t="s">
        <v>4854</v>
      </c>
      <c r="AJ581" s="100" t="s">
        <v>4854</v>
      </c>
      <c r="AK581" s="91">
        <v>2.0150000000000001</v>
      </c>
      <c r="AL581" s="100" t="s">
        <v>4854</v>
      </c>
      <c r="AM581" s="103" t="s">
        <v>4854</v>
      </c>
      <c r="AN581" s="103" t="s">
        <v>4854</v>
      </c>
      <c r="AO581" s="103" t="s">
        <v>4854</v>
      </c>
      <c r="AP581" s="103" t="s">
        <v>4854</v>
      </c>
      <c r="AQ581" s="103" t="s">
        <v>4854</v>
      </c>
      <c r="AR581" s="103" t="s">
        <v>4854</v>
      </c>
      <c r="AS581" s="95">
        <v>-4.4999999999999997E-3</v>
      </c>
      <c r="AT581" s="103" t="s">
        <v>4854</v>
      </c>
      <c r="AU581" s="103" t="s">
        <v>4854</v>
      </c>
      <c r="AV581" s="103" t="s">
        <v>4854</v>
      </c>
      <c r="AW581" s="103" t="s">
        <v>4854</v>
      </c>
      <c r="AX581" s="103" t="s">
        <v>4854</v>
      </c>
      <c r="AY581" s="103" t="s">
        <v>4854</v>
      </c>
      <c r="AZ581" s="103" t="s">
        <v>4854</v>
      </c>
      <c r="BA581" s="95">
        <v>0.14599999999999999</v>
      </c>
      <c r="BB581" s="103" t="s">
        <v>4854</v>
      </c>
      <c r="BC581" s="4" t="s">
        <v>4854</v>
      </c>
      <c r="BD581" s="4" t="s">
        <v>4854</v>
      </c>
      <c r="BE581" s="4" t="s">
        <v>4854</v>
      </c>
      <c r="BF581" s="4" t="s">
        <v>4854</v>
      </c>
      <c r="BG581" s="4" t="s">
        <v>4854</v>
      </c>
      <c r="BH581" s="4" t="s">
        <v>4854</v>
      </c>
      <c r="BI581" s="10">
        <v>1</v>
      </c>
      <c r="BJ581" s="4" t="s">
        <v>4854</v>
      </c>
      <c r="BK581" s="100" t="s">
        <v>4854</v>
      </c>
      <c r="BL581" s="100" t="s">
        <v>4854</v>
      </c>
      <c r="BM581" s="100" t="s">
        <v>4854</v>
      </c>
      <c r="BN581" s="100" t="s">
        <v>4854</v>
      </c>
      <c r="BO581" s="100" t="s">
        <v>4854</v>
      </c>
      <c r="BP581" s="100" t="s">
        <v>4854</v>
      </c>
      <c r="BQ581" s="91">
        <v>0.98899999999999999</v>
      </c>
      <c r="BR581" s="100" t="s">
        <v>4854</v>
      </c>
      <c r="BS581" s="10" t="s">
        <v>4857</v>
      </c>
    </row>
    <row r="582" spans="1:71" s="30" customFormat="1" ht="17.100000000000001" customHeight="1">
      <c r="A582" s="14">
        <v>571</v>
      </c>
      <c r="B582" s="5" t="s">
        <v>2773</v>
      </c>
      <c r="C582" s="3" t="s">
        <v>2749</v>
      </c>
      <c r="D582" s="3" t="s">
        <v>2774</v>
      </c>
      <c r="E582" s="6" t="s">
        <v>2775</v>
      </c>
      <c r="F582" s="5" t="s">
        <v>5133</v>
      </c>
      <c r="G582" s="3" t="s">
        <v>2776</v>
      </c>
      <c r="H582" s="6" t="s">
        <v>2777</v>
      </c>
      <c r="I582" s="3" t="s">
        <v>2778</v>
      </c>
      <c r="J582" s="5" t="s">
        <v>4782</v>
      </c>
      <c r="K582" s="3" t="s">
        <v>5675</v>
      </c>
      <c r="L582" s="3" t="s">
        <v>2779</v>
      </c>
      <c r="M582" s="5">
        <v>3</v>
      </c>
      <c r="N582" s="21">
        <v>927.78660000000002</v>
      </c>
      <c r="O582" s="35" t="s">
        <v>4854</v>
      </c>
      <c r="P582" s="35" t="s">
        <v>4854</v>
      </c>
      <c r="Q582" s="35" t="s">
        <v>4854</v>
      </c>
      <c r="R582" s="35" t="s">
        <v>4854</v>
      </c>
      <c r="S582" s="35" t="s">
        <v>4854</v>
      </c>
      <c r="T582" s="35" t="s">
        <v>4854</v>
      </c>
      <c r="U582" s="36" t="str">
        <f>HYPERLINK("http://ms.phosphosite.org:5080/cgi-bin/plot-msms.cgi?MassType=1&amp;NumAxis=1&amp;Mod14=160&amp;Mod16=170&amp;Pep=AWVWNTHADFADECPKPELLAIR&amp;Dta=/var/www/html/dta/S01/10564.12981.3.dta&amp;Global_Mod=CS57.0215", "12981")</f>
        <v>12981</v>
      </c>
      <c r="V582" s="36" t="str">
        <f>HYPERLINK("http://ms.phosphosite.org:5080/cgi-bin/plot-msms.cgi?MassType=1&amp;NumAxis=1&amp;Mod14=160&amp;Mod16=170&amp;Pep=AWVWNTHADFADECPKPELLAIR&amp;Dta=/var/www/html/dta/S01/10565.12911.3.dta&amp;Global_Mod=CS57.0215", "12911")</f>
        <v>12911</v>
      </c>
      <c r="W582" s="3" t="s">
        <v>4854</v>
      </c>
      <c r="X582" s="3" t="s">
        <v>4854</v>
      </c>
      <c r="Y582" s="3" t="s">
        <v>4854</v>
      </c>
      <c r="Z582" s="3" t="s">
        <v>4854</v>
      </c>
      <c r="AA582" s="3" t="s">
        <v>4854</v>
      </c>
      <c r="AB582" s="3" t="s">
        <v>4854</v>
      </c>
      <c r="AC582" s="5">
        <v>12989</v>
      </c>
      <c r="AD582" s="5">
        <v>12932</v>
      </c>
      <c r="AE582" s="99" t="s">
        <v>4854</v>
      </c>
      <c r="AF582" s="99" t="s">
        <v>4854</v>
      </c>
      <c r="AG582" s="99" t="s">
        <v>4854</v>
      </c>
      <c r="AH582" s="99" t="s">
        <v>4854</v>
      </c>
      <c r="AI582" s="99" t="s">
        <v>4854</v>
      </c>
      <c r="AJ582" s="99" t="s">
        <v>4854</v>
      </c>
      <c r="AK582" s="90">
        <v>4.41</v>
      </c>
      <c r="AL582" s="90">
        <v>2.7210000000000001</v>
      </c>
      <c r="AM582" s="102" t="s">
        <v>4854</v>
      </c>
      <c r="AN582" s="102" t="s">
        <v>4854</v>
      </c>
      <c r="AO582" s="102" t="s">
        <v>4854</v>
      </c>
      <c r="AP582" s="102" t="s">
        <v>4854</v>
      </c>
      <c r="AQ582" s="102" t="s">
        <v>4854</v>
      </c>
      <c r="AR582" s="102" t="s">
        <v>4854</v>
      </c>
      <c r="AS582" s="21">
        <v>0.1396</v>
      </c>
      <c r="AT582" s="21">
        <v>6.3E-2</v>
      </c>
      <c r="AU582" s="102" t="s">
        <v>4854</v>
      </c>
      <c r="AV582" s="102" t="s">
        <v>4854</v>
      </c>
      <c r="AW582" s="102" t="s">
        <v>4854</v>
      </c>
      <c r="AX582" s="102" t="s">
        <v>4854</v>
      </c>
      <c r="AY582" s="102" t="s">
        <v>4854</v>
      </c>
      <c r="AZ582" s="102" t="s">
        <v>4854</v>
      </c>
      <c r="BA582" s="21">
        <v>0.44800000000000001</v>
      </c>
      <c r="BB582" s="21">
        <v>0.25900000000000001</v>
      </c>
      <c r="BC582" s="3" t="s">
        <v>4854</v>
      </c>
      <c r="BD582" s="3" t="s">
        <v>4854</v>
      </c>
      <c r="BE582" s="3" t="s">
        <v>4854</v>
      </c>
      <c r="BF582" s="3" t="s">
        <v>4854</v>
      </c>
      <c r="BG582" s="3" t="s">
        <v>4854</v>
      </c>
      <c r="BH582" s="3" t="s">
        <v>4854</v>
      </c>
      <c r="BI582" s="5">
        <v>1</v>
      </c>
      <c r="BJ582" s="5">
        <v>17</v>
      </c>
      <c r="BK582" s="99" t="s">
        <v>4854</v>
      </c>
      <c r="BL582" s="99" t="s">
        <v>4854</v>
      </c>
      <c r="BM582" s="99" t="s">
        <v>4854</v>
      </c>
      <c r="BN582" s="99" t="s">
        <v>4854</v>
      </c>
      <c r="BO582" s="99" t="s">
        <v>4854</v>
      </c>
      <c r="BP582" s="99" t="s">
        <v>4854</v>
      </c>
      <c r="BQ582" s="90">
        <v>1</v>
      </c>
      <c r="BR582" s="90">
        <v>1</v>
      </c>
      <c r="BS582" s="5" t="s">
        <v>4857</v>
      </c>
    </row>
    <row r="583" spans="1:71" s="30" customFormat="1" ht="17.100000000000001" customHeight="1">
      <c r="A583" s="10">
        <v>572</v>
      </c>
      <c r="B583" s="10" t="s">
        <v>2780</v>
      </c>
      <c r="C583" s="4" t="s">
        <v>2749</v>
      </c>
      <c r="D583" s="4" t="s">
        <v>2781</v>
      </c>
      <c r="E583" s="4" t="s">
        <v>2782</v>
      </c>
      <c r="F583" s="10" t="s">
        <v>5092</v>
      </c>
      <c r="G583" s="4" t="s">
        <v>2783</v>
      </c>
      <c r="H583" s="7" t="s">
        <v>2784</v>
      </c>
      <c r="I583" s="4" t="s">
        <v>2785</v>
      </c>
      <c r="J583" s="10" t="s">
        <v>4528</v>
      </c>
      <c r="K583" s="4" t="s">
        <v>5676</v>
      </c>
      <c r="L583" s="4" t="s">
        <v>2786</v>
      </c>
      <c r="M583" s="10">
        <v>2</v>
      </c>
      <c r="N583" s="95">
        <v>551.83460000000002</v>
      </c>
      <c r="O583" s="38" t="s">
        <v>4854</v>
      </c>
      <c r="P583" s="38" t="s">
        <v>4854</v>
      </c>
      <c r="Q583" s="38" t="s">
        <v>4854</v>
      </c>
      <c r="R583" s="38" t="s">
        <v>4854</v>
      </c>
      <c r="S583" s="38" t="s">
        <v>4854</v>
      </c>
      <c r="T583" s="38" t="s">
        <v>4854</v>
      </c>
      <c r="U583" s="38" t="s">
        <v>4854</v>
      </c>
      <c r="V583" s="37" t="str">
        <f>HYPERLINK("http://ms.phosphosite.org:5080/cgi-bin/plot-msms.cgi?MassType=1&amp;NumAxis=1&amp;Mod4=170&amp;Pep=LLEKAFAIR&amp;Dta=/var/www/html/dta/S01/10565.9395.2.dta&amp;Global_Mod=CS57.0215", "9395")</f>
        <v>9395</v>
      </c>
      <c r="W583" s="4" t="s">
        <v>4854</v>
      </c>
      <c r="X583" s="4" t="s">
        <v>4854</v>
      </c>
      <c r="Y583" s="4" t="s">
        <v>4854</v>
      </c>
      <c r="Z583" s="4" t="s">
        <v>4854</v>
      </c>
      <c r="AA583" s="4" t="s">
        <v>4854</v>
      </c>
      <c r="AB583" s="4" t="s">
        <v>4854</v>
      </c>
      <c r="AC583" s="4" t="s">
        <v>4854</v>
      </c>
      <c r="AD583" s="10">
        <v>9386</v>
      </c>
      <c r="AE583" s="100" t="s">
        <v>4854</v>
      </c>
      <c r="AF583" s="100" t="s">
        <v>4854</v>
      </c>
      <c r="AG583" s="100" t="s">
        <v>4854</v>
      </c>
      <c r="AH583" s="100" t="s">
        <v>4854</v>
      </c>
      <c r="AI583" s="100" t="s">
        <v>4854</v>
      </c>
      <c r="AJ583" s="100" t="s">
        <v>4854</v>
      </c>
      <c r="AK583" s="100" t="s">
        <v>4854</v>
      </c>
      <c r="AL583" s="91">
        <v>2.0499999999999998</v>
      </c>
      <c r="AM583" s="103" t="s">
        <v>4854</v>
      </c>
      <c r="AN583" s="103" t="s">
        <v>4854</v>
      </c>
      <c r="AO583" s="103" t="s">
        <v>4854</v>
      </c>
      <c r="AP583" s="103" t="s">
        <v>4854</v>
      </c>
      <c r="AQ583" s="103" t="s">
        <v>4854</v>
      </c>
      <c r="AR583" s="103" t="s">
        <v>4854</v>
      </c>
      <c r="AS583" s="103" t="s">
        <v>4854</v>
      </c>
      <c r="AT583" s="95">
        <v>8.6999999999999994E-3</v>
      </c>
      <c r="AU583" s="103" t="s">
        <v>4854</v>
      </c>
      <c r="AV583" s="103" t="s">
        <v>4854</v>
      </c>
      <c r="AW583" s="103" t="s">
        <v>4854</v>
      </c>
      <c r="AX583" s="103" t="s">
        <v>4854</v>
      </c>
      <c r="AY583" s="103" t="s">
        <v>4854</v>
      </c>
      <c r="AZ583" s="103" t="s">
        <v>4854</v>
      </c>
      <c r="BA583" s="103" t="s">
        <v>4854</v>
      </c>
      <c r="BB583" s="95">
        <v>0.13900000000000001</v>
      </c>
      <c r="BC583" s="4" t="s">
        <v>4854</v>
      </c>
      <c r="BD583" s="4" t="s">
        <v>4854</v>
      </c>
      <c r="BE583" s="4" t="s">
        <v>4854</v>
      </c>
      <c r="BF583" s="4" t="s">
        <v>4854</v>
      </c>
      <c r="BG583" s="4" t="s">
        <v>4854</v>
      </c>
      <c r="BH583" s="4" t="s">
        <v>4854</v>
      </c>
      <c r="BI583" s="4" t="s">
        <v>4854</v>
      </c>
      <c r="BJ583" s="10">
        <v>1</v>
      </c>
      <c r="BK583" s="100" t="s">
        <v>4854</v>
      </c>
      <c r="BL583" s="100" t="s">
        <v>4854</v>
      </c>
      <c r="BM583" s="100" t="s">
        <v>4854</v>
      </c>
      <c r="BN583" s="100" t="s">
        <v>4854</v>
      </c>
      <c r="BO583" s="100" t="s">
        <v>4854</v>
      </c>
      <c r="BP583" s="100" t="s">
        <v>4854</v>
      </c>
      <c r="BQ583" s="100" t="s">
        <v>4854</v>
      </c>
      <c r="BR583" s="91">
        <v>0.99099999999999999</v>
      </c>
      <c r="BS583" s="10" t="s">
        <v>4857</v>
      </c>
    </row>
    <row r="584" spans="1:71" ht="17.100000000000001" customHeight="1">
      <c r="A584" s="31">
        <v>573</v>
      </c>
      <c r="B584" s="2" t="s">
        <v>2787</v>
      </c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94"/>
      <c r="O584" s="34"/>
      <c r="P584" s="34"/>
      <c r="Q584" s="34"/>
      <c r="R584" s="34"/>
      <c r="S584" s="34"/>
      <c r="T584" s="34"/>
      <c r="U584" s="34"/>
      <c r="V584" s="34"/>
      <c r="W584" s="1"/>
      <c r="X584" s="1"/>
      <c r="Y584" s="1"/>
      <c r="Z584" s="1"/>
      <c r="AA584" s="1"/>
      <c r="AB584" s="1"/>
      <c r="AC584" s="1"/>
      <c r="AD584" s="1"/>
      <c r="AE584" s="89"/>
      <c r="AF584" s="89"/>
      <c r="AG584" s="89"/>
      <c r="AH584" s="89"/>
      <c r="AI584" s="89"/>
      <c r="AJ584" s="89"/>
      <c r="AK584" s="89"/>
      <c r="AL584" s="89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1"/>
      <c r="BD584" s="1"/>
      <c r="BE584" s="1"/>
      <c r="BF584" s="1"/>
      <c r="BG584" s="1"/>
      <c r="BH584" s="1"/>
      <c r="BI584" s="1"/>
      <c r="BJ584" s="1"/>
      <c r="BK584" s="89"/>
      <c r="BL584" s="89"/>
      <c r="BM584" s="89"/>
      <c r="BN584" s="89"/>
      <c r="BO584" s="89"/>
      <c r="BP584" s="89"/>
      <c r="BQ584" s="89"/>
      <c r="BR584" s="89"/>
      <c r="BS584" s="1"/>
    </row>
    <row r="585" spans="1:71" s="30" customFormat="1" ht="17.100000000000001" customHeight="1">
      <c r="A585" s="14">
        <v>574</v>
      </c>
      <c r="B585" s="5" t="s">
        <v>2788</v>
      </c>
      <c r="C585" s="3" t="s">
        <v>2787</v>
      </c>
      <c r="D585" s="6" t="s">
        <v>2789</v>
      </c>
      <c r="E585" s="6" t="s">
        <v>2790</v>
      </c>
      <c r="F585" s="5" t="s">
        <v>4294</v>
      </c>
      <c r="G585" s="3" t="s">
        <v>2791</v>
      </c>
      <c r="H585" s="6" t="s">
        <v>2792</v>
      </c>
      <c r="I585" s="3" t="s">
        <v>2793</v>
      </c>
      <c r="J585" s="5" t="s">
        <v>4765</v>
      </c>
      <c r="K585" s="3" t="s">
        <v>5677</v>
      </c>
      <c r="L585" s="3" t="s">
        <v>2665</v>
      </c>
      <c r="M585" s="5">
        <v>3</v>
      </c>
      <c r="N585" s="21">
        <v>385.21699999999998</v>
      </c>
      <c r="O585" s="36" t="str">
        <f>HYPERLINK("http://ms.phosphosite.org:5080/cgi-bin/plot-msms.cgi?MassType=1&amp;NumAxis=1&amp;Mod2=170&amp;Pep=GKFKVETFR&amp;Dta=/var/www/html/dta/S01/10558.5332.3.dta&amp;Global_Mod=CS57.0215", "5332")</f>
        <v>5332</v>
      </c>
      <c r="P585" s="35" t="s">
        <v>4854</v>
      </c>
      <c r="Q585" s="35" t="s">
        <v>4854</v>
      </c>
      <c r="R585" s="35" t="s">
        <v>4854</v>
      </c>
      <c r="S585" s="35" t="s">
        <v>4854</v>
      </c>
      <c r="T585" s="35" t="s">
        <v>4854</v>
      </c>
      <c r="U585" s="35" t="s">
        <v>4854</v>
      </c>
      <c r="V585" s="36" t="str">
        <f>HYPERLINK("http://ms.phosphosite.org:5080/cgi-bin/plot-msms.cgi?MassType=1&amp;NumAxis=1&amp;Mod2=170&amp;Pep=GKFKVETFR&amp;Dta=/var/www/html/dta/S01/10565.5752.3.dta&amp;Global_Mod=CS57.0215", "5752")</f>
        <v>5752</v>
      </c>
      <c r="W585" s="5">
        <v>5305</v>
      </c>
      <c r="X585" s="3" t="s">
        <v>4854</v>
      </c>
      <c r="Y585" s="3" t="s">
        <v>4854</v>
      </c>
      <c r="Z585" s="3" t="s">
        <v>4854</v>
      </c>
      <c r="AA585" s="3" t="s">
        <v>4854</v>
      </c>
      <c r="AB585" s="3" t="s">
        <v>4854</v>
      </c>
      <c r="AC585" s="3" t="s">
        <v>4854</v>
      </c>
      <c r="AD585" s="5">
        <v>5768</v>
      </c>
      <c r="AE585" s="90">
        <v>2.101</v>
      </c>
      <c r="AF585" s="99" t="s">
        <v>4854</v>
      </c>
      <c r="AG585" s="99" t="s">
        <v>4854</v>
      </c>
      <c r="AH585" s="99" t="s">
        <v>4854</v>
      </c>
      <c r="AI585" s="99" t="s">
        <v>4854</v>
      </c>
      <c r="AJ585" s="99" t="s">
        <v>4854</v>
      </c>
      <c r="AK585" s="99" t="s">
        <v>4854</v>
      </c>
      <c r="AL585" s="90">
        <v>2.456</v>
      </c>
      <c r="AM585" s="21">
        <v>8.8499999999999995E-2</v>
      </c>
      <c r="AN585" s="102" t="s">
        <v>4854</v>
      </c>
      <c r="AO585" s="102" t="s">
        <v>4854</v>
      </c>
      <c r="AP585" s="102" t="s">
        <v>4854</v>
      </c>
      <c r="AQ585" s="102" t="s">
        <v>4854</v>
      </c>
      <c r="AR585" s="102" t="s">
        <v>4854</v>
      </c>
      <c r="AS585" s="102" t="s">
        <v>4854</v>
      </c>
      <c r="AT585" s="21">
        <v>-0.52700000000000002</v>
      </c>
      <c r="AU585" s="21">
        <v>0.28799999999999998</v>
      </c>
      <c r="AV585" s="102" t="s">
        <v>4854</v>
      </c>
      <c r="AW585" s="102" t="s">
        <v>4854</v>
      </c>
      <c r="AX585" s="102" t="s">
        <v>4854</v>
      </c>
      <c r="AY585" s="102" t="s">
        <v>4854</v>
      </c>
      <c r="AZ585" s="102" t="s">
        <v>4854</v>
      </c>
      <c r="BA585" s="102" t="s">
        <v>4854</v>
      </c>
      <c r="BB585" s="21">
        <v>0.14899999999999999</v>
      </c>
      <c r="BC585" s="5">
        <v>11</v>
      </c>
      <c r="BD585" s="3" t="s">
        <v>4854</v>
      </c>
      <c r="BE585" s="3" t="s">
        <v>4854</v>
      </c>
      <c r="BF585" s="3" t="s">
        <v>4854</v>
      </c>
      <c r="BG585" s="3" t="s">
        <v>4854</v>
      </c>
      <c r="BH585" s="3" t="s">
        <v>4854</v>
      </c>
      <c r="BI585" s="3" t="s">
        <v>4854</v>
      </c>
      <c r="BJ585" s="5">
        <v>4</v>
      </c>
      <c r="BK585" s="90">
        <v>0.998</v>
      </c>
      <c r="BL585" s="99" t="s">
        <v>4854</v>
      </c>
      <c r="BM585" s="99" t="s">
        <v>4854</v>
      </c>
      <c r="BN585" s="99" t="s">
        <v>4854</v>
      </c>
      <c r="BO585" s="99" t="s">
        <v>4854</v>
      </c>
      <c r="BP585" s="99" t="s">
        <v>4854</v>
      </c>
      <c r="BQ585" s="99" t="s">
        <v>4854</v>
      </c>
      <c r="BR585" s="90">
        <v>0.98899999999999999</v>
      </c>
      <c r="BS585" s="5" t="s">
        <v>4857</v>
      </c>
    </row>
    <row r="586" spans="1:71" ht="17.100000000000001" customHeight="1">
      <c r="A586" s="31">
        <v>575</v>
      </c>
      <c r="B586" s="2" t="s">
        <v>2666</v>
      </c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94"/>
      <c r="O586" s="34"/>
      <c r="P586" s="34"/>
      <c r="Q586" s="34"/>
      <c r="R586" s="34"/>
      <c r="S586" s="34"/>
      <c r="T586" s="34"/>
      <c r="U586" s="34"/>
      <c r="V586" s="34"/>
      <c r="W586" s="1"/>
      <c r="X586" s="1"/>
      <c r="Y586" s="1"/>
      <c r="Z586" s="1"/>
      <c r="AA586" s="1"/>
      <c r="AB586" s="1"/>
      <c r="AC586" s="1"/>
      <c r="AD586" s="1"/>
      <c r="AE586" s="89"/>
      <c r="AF586" s="89"/>
      <c r="AG586" s="89"/>
      <c r="AH586" s="89"/>
      <c r="AI586" s="89"/>
      <c r="AJ586" s="89"/>
      <c r="AK586" s="89"/>
      <c r="AL586" s="89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1"/>
      <c r="BD586" s="1"/>
      <c r="BE586" s="1"/>
      <c r="BF586" s="1"/>
      <c r="BG586" s="1"/>
      <c r="BH586" s="1"/>
      <c r="BI586" s="1"/>
      <c r="BJ586" s="1"/>
      <c r="BK586" s="89"/>
      <c r="BL586" s="89"/>
      <c r="BM586" s="89"/>
      <c r="BN586" s="89"/>
      <c r="BO586" s="89"/>
      <c r="BP586" s="89"/>
      <c r="BQ586" s="89"/>
      <c r="BR586" s="89"/>
      <c r="BS586" s="1"/>
    </row>
    <row r="587" spans="1:71" s="30" customFormat="1" ht="17.100000000000001" customHeight="1">
      <c r="A587" s="10">
        <v>576</v>
      </c>
      <c r="B587" s="10" t="s">
        <v>2667</v>
      </c>
      <c r="C587" s="4" t="s">
        <v>2666</v>
      </c>
      <c r="D587" s="4" t="s">
        <v>2668</v>
      </c>
      <c r="E587" s="4" t="s">
        <v>2669</v>
      </c>
      <c r="F587" s="10" t="s">
        <v>3734</v>
      </c>
      <c r="G587" s="4" t="s">
        <v>2670</v>
      </c>
      <c r="H587" s="7" t="s">
        <v>2671</v>
      </c>
      <c r="I587" s="4" t="s">
        <v>2672</v>
      </c>
      <c r="J587" s="10" t="s">
        <v>4696</v>
      </c>
      <c r="K587" s="4" t="s">
        <v>5678</v>
      </c>
      <c r="L587" s="4" t="s">
        <v>2673</v>
      </c>
      <c r="M587" s="10">
        <v>2</v>
      </c>
      <c r="N587" s="95">
        <v>414.75049999999999</v>
      </c>
      <c r="O587" s="38" t="s">
        <v>4854</v>
      </c>
      <c r="P587" s="37" t="str">
        <f>HYPERLINK("http://ms.phosphosite.org:5080/cgi-bin/plot-msms.cgi?MassType=1&amp;NumAxis=1&amp;Mod6=170&amp;Pep=TLATPKR&amp;Dta=/var/www/html/dta/S01/10559.2863.2.dta&amp;Global_Mod=CS57.0215", "2863")</f>
        <v>2863</v>
      </c>
      <c r="Q587" s="38" t="s">
        <v>4854</v>
      </c>
      <c r="R587" s="38" t="s">
        <v>4854</v>
      </c>
      <c r="S587" s="38" t="s">
        <v>4854</v>
      </c>
      <c r="T587" s="38" t="s">
        <v>4854</v>
      </c>
      <c r="U587" s="38" t="s">
        <v>4854</v>
      </c>
      <c r="V587" s="38" t="s">
        <v>4854</v>
      </c>
      <c r="W587" s="4" t="s">
        <v>4854</v>
      </c>
      <c r="X587" s="4" t="s">
        <v>4854</v>
      </c>
      <c r="Y587" s="4" t="s">
        <v>4854</v>
      </c>
      <c r="Z587" s="4" t="s">
        <v>4854</v>
      </c>
      <c r="AA587" s="4" t="s">
        <v>4854</v>
      </c>
      <c r="AB587" s="4" t="s">
        <v>4854</v>
      </c>
      <c r="AC587" s="4" t="s">
        <v>4854</v>
      </c>
      <c r="AD587" s="4" t="s">
        <v>4854</v>
      </c>
      <c r="AE587" s="100" t="s">
        <v>4854</v>
      </c>
      <c r="AF587" s="91">
        <v>1.6859999999999999</v>
      </c>
      <c r="AG587" s="100" t="s">
        <v>4854</v>
      </c>
      <c r="AH587" s="100" t="s">
        <v>4854</v>
      </c>
      <c r="AI587" s="100" t="s">
        <v>4854</v>
      </c>
      <c r="AJ587" s="100" t="s">
        <v>4854</v>
      </c>
      <c r="AK587" s="100" t="s">
        <v>4854</v>
      </c>
      <c r="AL587" s="100" t="s">
        <v>4854</v>
      </c>
      <c r="AM587" s="103" t="s">
        <v>4854</v>
      </c>
      <c r="AN587" s="95">
        <v>0.3483</v>
      </c>
      <c r="AO587" s="103" t="s">
        <v>4854</v>
      </c>
      <c r="AP587" s="103" t="s">
        <v>4854</v>
      </c>
      <c r="AQ587" s="103" t="s">
        <v>4854</v>
      </c>
      <c r="AR587" s="103" t="s">
        <v>4854</v>
      </c>
      <c r="AS587" s="103" t="s">
        <v>4854</v>
      </c>
      <c r="AT587" s="103" t="s">
        <v>4854</v>
      </c>
      <c r="AU587" s="103" t="s">
        <v>4854</v>
      </c>
      <c r="AV587" s="95">
        <v>1.2E-2</v>
      </c>
      <c r="AW587" s="103" t="s">
        <v>4854</v>
      </c>
      <c r="AX587" s="103" t="s">
        <v>4854</v>
      </c>
      <c r="AY587" s="103" t="s">
        <v>4854</v>
      </c>
      <c r="AZ587" s="103" t="s">
        <v>4854</v>
      </c>
      <c r="BA587" s="103" t="s">
        <v>4854</v>
      </c>
      <c r="BB587" s="103" t="s">
        <v>4854</v>
      </c>
      <c r="BC587" s="4" t="s">
        <v>4854</v>
      </c>
      <c r="BD587" s="10">
        <v>8</v>
      </c>
      <c r="BE587" s="4" t="s">
        <v>4854</v>
      </c>
      <c r="BF587" s="4" t="s">
        <v>4854</v>
      </c>
      <c r="BG587" s="4" t="s">
        <v>4854</v>
      </c>
      <c r="BH587" s="4" t="s">
        <v>4854</v>
      </c>
      <c r="BI587" s="4" t="s">
        <v>4854</v>
      </c>
      <c r="BJ587" s="4" t="s">
        <v>4854</v>
      </c>
      <c r="BK587" s="100" t="s">
        <v>4854</v>
      </c>
      <c r="BL587" s="91">
        <v>0.2</v>
      </c>
      <c r="BM587" s="100" t="s">
        <v>4854</v>
      </c>
      <c r="BN587" s="100" t="s">
        <v>4854</v>
      </c>
      <c r="BO587" s="100" t="s">
        <v>4854</v>
      </c>
      <c r="BP587" s="100" t="s">
        <v>4854</v>
      </c>
      <c r="BQ587" s="100" t="s">
        <v>4854</v>
      </c>
      <c r="BR587" s="100" t="s">
        <v>4854</v>
      </c>
      <c r="BS587" s="10" t="s">
        <v>4857</v>
      </c>
    </row>
    <row r="588" spans="1:71" ht="17.100000000000001" customHeight="1">
      <c r="A588" s="31">
        <v>577</v>
      </c>
      <c r="B588" s="2" t="s">
        <v>2674</v>
      </c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94"/>
      <c r="O588" s="34"/>
      <c r="P588" s="34"/>
      <c r="Q588" s="34"/>
      <c r="R588" s="34"/>
      <c r="S588" s="34"/>
      <c r="T588" s="34"/>
      <c r="U588" s="34"/>
      <c r="V588" s="34"/>
      <c r="W588" s="1"/>
      <c r="X588" s="1"/>
      <c r="Y588" s="1"/>
      <c r="Z588" s="1"/>
      <c r="AA588" s="1"/>
      <c r="AB588" s="1"/>
      <c r="AC588" s="1"/>
      <c r="AD588" s="1"/>
      <c r="AE588" s="89"/>
      <c r="AF588" s="89"/>
      <c r="AG588" s="89"/>
      <c r="AH588" s="89"/>
      <c r="AI588" s="89"/>
      <c r="AJ588" s="89"/>
      <c r="AK588" s="89"/>
      <c r="AL588" s="89"/>
      <c r="AM588" s="94"/>
      <c r="AN588" s="94"/>
      <c r="AO588" s="94"/>
      <c r="AP588" s="94"/>
      <c r="AQ588" s="94"/>
      <c r="AR588" s="94"/>
      <c r="AS588" s="94"/>
      <c r="AT588" s="94"/>
      <c r="AU588" s="94"/>
      <c r="AV588" s="94"/>
      <c r="AW588" s="94"/>
      <c r="AX588" s="94"/>
      <c r="AY588" s="94"/>
      <c r="AZ588" s="94"/>
      <c r="BA588" s="94"/>
      <c r="BB588" s="94"/>
      <c r="BC588" s="1"/>
      <c r="BD588" s="1"/>
      <c r="BE588" s="1"/>
      <c r="BF588" s="1"/>
      <c r="BG588" s="1"/>
      <c r="BH588" s="1"/>
      <c r="BI588" s="1"/>
      <c r="BJ588" s="1"/>
      <c r="BK588" s="89"/>
      <c r="BL588" s="89"/>
      <c r="BM588" s="89"/>
      <c r="BN588" s="89"/>
      <c r="BO588" s="89"/>
      <c r="BP588" s="89"/>
      <c r="BQ588" s="89"/>
      <c r="BR588" s="89"/>
      <c r="BS588" s="1"/>
    </row>
    <row r="589" spans="1:71" s="30" customFormat="1" ht="17.100000000000001" customHeight="1">
      <c r="A589" s="14">
        <v>578</v>
      </c>
      <c r="B589" s="5" t="s">
        <v>2675</v>
      </c>
      <c r="C589" s="3" t="s">
        <v>2674</v>
      </c>
      <c r="D589" s="3" t="s">
        <v>2676</v>
      </c>
      <c r="E589" s="3" t="s">
        <v>2677</v>
      </c>
      <c r="F589" s="5" t="s">
        <v>5144</v>
      </c>
      <c r="G589" s="3" t="s">
        <v>2678</v>
      </c>
      <c r="H589" s="6" t="s">
        <v>2679</v>
      </c>
      <c r="I589" s="3" t="s">
        <v>2680</v>
      </c>
      <c r="J589" s="5" t="s">
        <v>4816</v>
      </c>
      <c r="K589" s="3" t="s">
        <v>5679</v>
      </c>
      <c r="L589" s="3" t="s">
        <v>2681</v>
      </c>
      <c r="M589" s="5">
        <v>3</v>
      </c>
      <c r="N589" s="21">
        <v>713.7183</v>
      </c>
      <c r="O589" s="35" t="s">
        <v>4854</v>
      </c>
      <c r="P589" s="35" t="s">
        <v>4854</v>
      </c>
      <c r="Q589" s="36" t="str">
        <f>HYPERLINK("http://ms.phosphosite.org:5080/cgi-bin/plot-msms.cgi?MassType=1&amp;NumAxis=1&amp;Mod18=170&amp;Pep=QATVGDVNTDRPGLLDLKGK&amp;Dta=/var/www/html/dta/S01/10560.7813.3.dta&amp;Global_Mod=CS57.0215", "7813")</f>
        <v>7813</v>
      </c>
      <c r="R589" s="35" t="s">
        <v>4854</v>
      </c>
      <c r="S589" s="35" t="s">
        <v>4854</v>
      </c>
      <c r="T589" s="35" t="s">
        <v>4854</v>
      </c>
      <c r="U589" s="35" t="s">
        <v>4854</v>
      </c>
      <c r="V589" s="35" t="s">
        <v>4854</v>
      </c>
      <c r="W589" s="3" t="s">
        <v>4854</v>
      </c>
      <c r="X589" s="3" t="s">
        <v>4854</v>
      </c>
      <c r="Y589" s="3" t="s">
        <v>4854</v>
      </c>
      <c r="Z589" s="3" t="s">
        <v>4854</v>
      </c>
      <c r="AA589" s="3" t="s">
        <v>4854</v>
      </c>
      <c r="AB589" s="3" t="s">
        <v>4854</v>
      </c>
      <c r="AC589" s="3" t="s">
        <v>4854</v>
      </c>
      <c r="AD589" s="3" t="s">
        <v>4854</v>
      </c>
      <c r="AE589" s="99" t="s">
        <v>4854</v>
      </c>
      <c r="AF589" s="99" t="s">
        <v>4854</v>
      </c>
      <c r="AG589" s="90">
        <v>2.6989999999999998</v>
      </c>
      <c r="AH589" s="99" t="s">
        <v>4854</v>
      </c>
      <c r="AI589" s="99" t="s">
        <v>4854</v>
      </c>
      <c r="AJ589" s="99" t="s">
        <v>4854</v>
      </c>
      <c r="AK589" s="99" t="s">
        <v>4854</v>
      </c>
      <c r="AL589" s="99" t="s">
        <v>4854</v>
      </c>
      <c r="AM589" s="102" t="s">
        <v>4854</v>
      </c>
      <c r="AN589" s="102" t="s">
        <v>4854</v>
      </c>
      <c r="AO589" s="21">
        <v>1.0370999999999999</v>
      </c>
      <c r="AP589" s="102" t="s">
        <v>4854</v>
      </c>
      <c r="AQ589" s="102" t="s">
        <v>4854</v>
      </c>
      <c r="AR589" s="102" t="s">
        <v>4854</v>
      </c>
      <c r="AS589" s="102" t="s">
        <v>4854</v>
      </c>
      <c r="AT589" s="102" t="s">
        <v>4854</v>
      </c>
      <c r="AU589" s="102" t="s">
        <v>4854</v>
      </c>
      <c r="AV589" s="102" t="s">
        <v>4854</v>
      </c>
      <c r="AW589" s="21">
        <v>2.3E-2</v>
      </c>
      <c r="AX589" s="102" t="s">
        <v>4854</v>
      </c>
      <c r="AY589" s="102" t="s">
        <v>4854</v>
      </c>
      <c r="AZ589" s="102" t="s">
        <v>4854</v>
      </c>
      <c r="BA589" s="102" t="s">
        <v>4854</v>
      </c>
      <c r="BB589" s="102" t="s">
        <v>4854</v>
      </c>
      <c r="BC589" s="3" t="s">
        <v>4854</v>
      </c>
      <c r="BD589" s="3" t="s">
        <v>4854</v>
      </c>
      <c r="BE589" s="5">
        <v>99</v>
      </c>
      <c r="BF589" s="3" t="s">
        <v>4854</v>
      </c>
      <c r="BG589" s="3" t="s">
        <v>4854</v>
      </c>
      <c r="BH589" s="3" t="s">
        <v>4854</v>
      </c>
      <c r="BI589" s="3" t="s">
        <v>4854</v>
      </c>
      <c r="BJ589" s="3" t="s">
        <v>4854</v>
      </c>
      <c r="BK589" s="99" t="s">
        <v>4854</v>
      </c>
      <c r="BL589" s="99" t="s">
        <v>4854</v>
      </c>
      <c r="BM589" s="90">
        <v>0.89800000000000002</v>
      </c>
      <c r="BN589" s="99" t="s">
        <v>4854</v>
      </c>
      <c r="BO589" s="99" t="s">
        <v>4854</v>
      </c>
      <c r="BP589" s="99" t="s">
        <v>4854</v>
      </c>
      <c r="BQ589" s="99" t="s">
        <v>4854</v>
      </c>
      <c r="BR589" s="99" t="s">
        <v>4854</v>
      </c>
      <c r="BS589" s="5" t="s">
        <v>4857</v>
      </c>
    </row>
    <row r="590" spans="1:71" s="30" customFormat="1" ht="17.100000000000001" customHeight="1">
      <c r="A590" s="10">
        <v>579</v>
      </c>
      <c r="B590" s="10" t="s">
        <v>2682</v>
      </c>
      <c r="C590" s="4" t="s">
        <v>2674</v>
      </c>
      <c r="D590" s="4" t="s">
        <v>2676</v>
      </c>
      <c r="E590" s="4" t="s">
        <v>2677</v>
      </c>
      <c r="F590" s="10" t="s">
        <v>5023</v>
      </c>
      <c r="G590" s="4" t="s">
        <v>2678</v>
      </c>
      <c r="H590" s="7" t="s">
        <v>2679</v>
      </c>
      <c r="I590" s="4" t="s">
        <v>2680</v>
      </c>
      <c r="J590" s="10" t="s">
        <v>4816</v>
      </c>
      <c r="K590" s="4" t="s">
        <v>5680</v>
      </c>
      <c r="L590" s="4" t="s">
        <v>2683</v>
      </c>
      <c r="M590" s="10">
        <v>2</v>
      </c>
      <c r="N590" s="95">
        <v>538.76160000000004</v>
      </c>
      <c r="O590" s="38" t="s">
        <v>4854</v>
      </c>
      <c r="P590" s="38" t="s">
        <v>4854</v>
      </c>
      <c r="Q590" s="38" t="s">
        <v>4854</v>
      </c>
      <c r="R590" s="38" t="s">
        <v>4854</v>
      </c>
      <c r="S590" s="38" t="s">
        <v>4854</v>
      </c>
      <c r="T590" s="38" t="s">
        <v>4854</v>
      </c>
      <c r="U590" s="37" t="str">
        <f>HYPERLINK("http://ms.phosphosite.org:5080/cgi-bin/plot-msms.cgi?MassType=1&amp;NumAxis=1&amp;Mod2=170&amp;Pep=AKWDSWNK&amp;Dta=/var/www/html/dta/S01/10564.7191.2.dta&amp;Global_Mod=CS57.0215", "7191")</f>
        <v>7191</v>
      </c>
      <c r="V590" s="38" t="s">
        <v>4854</v>
      </c>
      <c r="W590" s="4" t="s">
        <v>4854</v>
      </c>
      <c r="X590" s="4" t="s">
        <v>4854</v>
      </c>
      <c r="Y590" s="4" t="s">
        <v>4854</v>
      </c>
      <c r="Z590" s="4" t="s">
        <v>4854</v>
      </c>
      <c r="AA590" s="4" t="s">
        <v>4854</v>
      </c>
      <c r="AB590" s="4" t="s">
        <v>4854</v>
      </c>
      <c r="AC590" s="10">
        <v>7211</v>
      </c>
      <c r="AD590" s="4" t="s">
        <v>4854</v>
      </c>
      <c r="AE590" s="100" t="s">
        <v>4854</v>
      </c>
      <c r="AF590" s="100" t="s">
        <v>4854</v>
      </c>
      <c r="AG590" s="100" t="s">
        <v>4854</v>
      </c>
      <c r="AH590" s="100" t="s">
        <v>4854</v>
      </c>
      <c r="AI590" s="100" t="s">
        <v>4854</v>
      </c>
      <c r="AJ590" s="100" t="s">
        <v>4854</v>
      </c>
      <c r="AK590" s="91">
        <v>2.2829999999999999</v>
      </c>
      <c r="AL590" s="100" t="s">
        <v>4854</v>
      </c>
      <c r="AM590" s="103" t="s">
        <v>4854</v>
      </c>
      <c r="AN590" s="103" t="s">
        <v>4854</v>
      </c>
      <c r="AO590" s="103" t="s">
        <v>4854</v>
      </c>
      <c r="AP590" s="103" t="s">
        <v>4854</v>
      </c>
      <c r="AQ590" s="103" t="s">
        <v>4854</v>
      </c>
      <c r="AR590" s="103" t="s">
        <v>4854</v>
      </c>
      <c r="AS590" s="95">
        <v>-1.9E-2</v>
      </c>
      <c r="AT590" s="103" t="s">
        <v>4854</v>
      </c>
      <c r="AU590" s="103" t="s">
        <v>4854</v>
      </c>
      <c r="AV590" s="103" t="s">
        <v>4854</v>
      </c>
      <c r="AW590" s="103" t="s">
        <v>4854</v>
      </c>
      <c r="AX590" s="103" t="s">
        <v>4854</v>
      </c>
      <c r="AY590" s="103" t="s">
        <v>4854</v>
      </c>
      <c r="AZ590" s="103" t="s">
        <v>4854</v>
      </c>
      <c r="BA590" s="95">
        <v>0.14799999999999999</v>
      </c>
      <c r="BB590" s="103" t="s">
        <v>4854</v>
      </c>
      <c r="BC590" s="4" t="s">
        <v>4854</v>
      </c>
      <c r="BD590" s="4" t="s">
        <v>4854</v>
      </c>
      <c r="BE590" s="4" t="s">
        <v>4854</v>
      </c>
      <c r="BF590" s="4" t="s">
        <v>4854</v>
      </c>
      <c r="BG590" s="4" t="s">
        <v>4854</v>
      </c>
      <c r="BH590" s="4" t="s">
        <v>4854</v>
      </c>
      <c r="BI590" s="10">
        <v>1</v>
      </c>
      <c r="BJ590" s="4" t="s">
        <v>4854</v>
      </c>
      <c r="BK590" s="100" t="s">
        <v>4854</v>
      </c>
      <c r="BL590" s="100" t="s">
        <v>4854</v>
      </c>
      <c r="BM590" s="100" t="s">
        <v>4854</v>
      </c>
      <c r="BN590" s="100" t="s">
        <v>4854</v>
      </c>
      <c r="BO590" s="100" t="s">
        <v>4854</v>
      </c>
      <c r="BP590" s="100" t="s">
        <v>4854</v>
      </c>
      <c r="BQ590" s="91">
        <v>0.996</v>
      </c>
      <c r="BR590" s="100" t="s">
        <v>4854</v>
      </c>
      <c r="BS590" s="10" t="s">
        <v>4857</v>
      </c>
    </row>
    <row r="591" spans="1:71" s="30" customFormat="1" ht="17.100000000000001" customHeight="1">
      <c r="A591" s="10">
        <v>580</v>
      </c>
      <c r="B591" s="10" t="s">
        <v>2684</v>
      </c>
      <c r="C591" s="4" t="s">
        <v>2674</v>
      </c>
      <c r="D591" s="4" t="s">
        <v>2676</v>
      </c>
      <c r="E591" s="4" t="s">
        <v>2677</v>
      </c>
      <c r="F591" s="10" t="s">
        <v>5023</v>
      </c>
      <c r="G591" s="4" t="s">
        <v>2678</v>
      </c>
      <c r="H591" s="7" t="s">
        <v>2679</v>
      </c>
      <c r="I591" s="4" t="s">
        <v>2680</v>
      </c>
      <c r="J591" s="10" t="s">
        <v>4816</v>
      </c>
      <c r="K591" s="4" t="s">
        <v>5680</v>
      </c>
      <c r="L591" s="4" t="s">
        <v>2685</v>
      </c>
      <c r="M591" s="10">
        <v>3</v>
      </c>
      <c r="N591" s="95">
        <v>439.90320000000003</v>
      </c>
      <c r="O591" s="37" t="str">
        <f>HYPERLINK("http://ms.phosphosite.org:5080/cgi-bin/plot-msms.cgi?MassType=1&amp;NumAxis=1&amp;Mod2=170&amp;Pep=AKWDSWNKLK&amp;Dta=/var/www/html/dta/S01/10558.7335.3.dta&amp;Global_Mod=CS57.0215", "7335")</f>
        <v>7335</v>
      </c>
      <c r="P591" s="37" t="str">
        <f>HYPERLINK("http://ms.phosphosite.org:5080/cgi-bin/plot-msms.cgi?MassType=1&amp;NumAxis=1&amp;Mod2=170&amp;Pep=AKWDSWNKLK&amp;Dta=/var/www/html/dta/S01/10559.7283.3.dta&amp;Global_Mod=CS57.0215", "7283")</f>
        <v>7283</v>
      </c>
      <c r="Q591" s="37" t="str">
        <f>HYPERLINK("http://ms.phosphosite.org:5080/cgi-bin/plot-msms.cgi?MassType=1&amp;NumAxis=1&amp;Mod2=170&amp;Pep=AKWDSWNKLK&amp;Dta=/var/www/html/dta/S01/10560.7269.3.dta&amp;Global_Mod=CS57.0215", "7269")</f>
        <v>7269</v>
      </c>
      <c r="R591" s="37" t="str">
        <f>HYPERLINK("http://ms.phosphosite.org:5080/cgi-bin/plot-msms.cgi?MassType=1&amp;NumAxis=1&amp;Mod2=170&amp;Pep=AKWDSWNKLK&amp;Dta=/var/www/html/dta/S01/10561.7312.3.dta&amp;Global_Mod=CS57.0215", "7312")</f>
        <v>7312</v>
      </c>
      <c r="S591" s="37" t="str">
        <f>HYPERLINK("http://ms.phosphosite.org:5080/cgi-bin/plot-msms.cgi?MassType=1&amp;NumAxis=1&amp;Mod2=170&amp;Pep=AKWDSWNKLK&amp;Dta=/var/www/html/dta/S01/10562.7436.3.dta&amp;Global_Mod=CS57.0215", "7436")</f>
        <v>7436</v>
      </c>
      <c r="T591" s="37" t="str">
        <f>HYPERLINK("http://ms.phosphosite.org:5080/cgi-bin/plot-msms.cgi?MassType=1&amp;NumAxis=1&amp;Mod2=170&amp;Pep=AKWDSWNKLK&amp;Dta=/var/www/html/dta/S01/10563.7390.3.dta&amp;Global_Mod=CS57.0215", "7390")</f>
        <v>7390</v>
      </c>
      <c r="U591" s="37" t="str">
        <f>HYPERLINK("http://ms.phosphosite.org:5080/cgi-bin/plot-msms.cgi?MassType=1&amp;NumAxis=1&amp;Mod2=170&amp;Pep=AKWDSWNKLK&amp;Dta=/var/www/html/dta/S01/10564.7807.3.dta&amp;Global_Mod=CS57.0215", "7807")</f>
        <v>7807</v>
      </c>
      <c r="V591" s="37" t="str">
        <f>HYPERLINK("http://ms.phosphosite.org:5080/cgi-bin/plot-msms.cgi?MassType=1&amp;NumAxis=1&amp;Mod2=170&amp;Pep=AKWDSWNKLK&amp;Dta=/var/www/html/dta/S01/10565.7871.3.dta&amp;Global_Mod=CS57.0215", "7871")</f>
        <v>7871</v>
      </c>
      <c r="W591" s="10">
        <v>7369</v>
      </c>
      <c r="X591" s="10">
        <v>7306</v>
      </c>
      <c r="Y591" s="10">
        <v>7279</v>
      </c>
      <c r="Z591" s="10">
        <v>7328</v>
      </c>
      <c r="AA591" s="10">
        <v>7456</v>
      </c>
      <c r="AB591" s="10">
        <v>7410</v>
      </c>
      <c r="AC591" s="10">
        <v>7816</v>
      </c>
      <c r="AD591" s="10">
        <v>7879</v>
      </c>
      <c r="AE591" s="91">
        <v>2.21</v>
      </c>
      <c r="AF591" s="91">
        <v>2.3410000000000002</v>
      </c>
      <c r="AG591" s="91">
        <v>2.7149999999999999</v>
      </c>
      <c r="AH591" s="91">
        <v>2.242</v>
      </c>
      <c r="AI591" s="91">
        <v>2.9630000000000001</v>
      </c>
      <c r="AJ591" s="91">
        <v>2.7589999999999999</v>
      </c>
      <c r="AK591" s="91">
        <v>2.2160000000000002</v>
      </c>
      <c r="AL591" s="91">
        <v>2.6930000000000001</v>
      </c>
      <c r="AM591" s="95">
        <v>0.4375</v>
      </c>
      <c r="AN591" s="95">
        <v>0.31459999999999999</v>
      </c>
      <c r="AO591" s="95">
        <v>0.44890000000000002</v>
      </c>
      <c r="AP591" s="95">
        <v>0.31309999999999999</v>
      </c>
      <c r="AQ591" s="95">
        <v>0.24929999999999999</v>
      </c>
      <c r="AR591" s="95">
        <v>0.2288</v>
      </c>
      <c r="AS591" s="95">
        <v>0.20230000000000001</v>
      </c>
      <c r="AT591" s="95">
        <v>-0.13389999999999999</v>
      </c>
      <c r="AU591" s="95">
        <v>0.126</v>
      </c>
      <c r="AV591" s="95">
        <v>0.108</v>
      </c>
      <c r="AW591" s="95">
        <v>0.10100000000000001</v>
      </c>
      <c r="AX591" s="95">
        <v>9.9000000000000005E-2</v>
      </c>
      <c r="AY591" s="95">
        <v>0.18</v>
      </c>
      <c r="AZ591" s="95">
        <v>0.21099999999999999</v>
      </c>
      <c r="BA591" s="95">
        <v>0.157</v>
      </c>
      <c r="BB591" s="95">
        <v>0.221</v>
      </c>
      <c r="BC591" s="10">
        <v>59</v>
      </c>
      <c r="BD591" s="10">
        <v>1</v>
      </c>
      <c r="BE591" s="10">
        <v>4</v>
      </c>
      <c r="BF591" s="10">
        <v>1</v>
      </c>
      <c r="BG591" s="10">
        <v>1</v>
      </c>
      <c r="BH591" s="10">
        <v>1</v>
      </c>
      <c r="BI591" s="10">
        <v>15</v>
      </c>
      <c r="BJ591" s="10">
        <v>1</v>
      </c>
      <c r="BK591" s="91">
        <v>0.97399999999999998</v>
      </c>
      <c r="BL591" s="91">
        <v>0.99099999999999999</v>
      </c>
      <c r="BM591" s="91">
        <v>0.99199999999999999</v>
      </c>
      <c r="BN591" s="91">
        <v>0.98799999999999999</v>
      </c>
      <c r="BO591" s="91">
        <v>0.999</v>
      </c>
      <c r="BP591" s="91">
        <v>0.999</v>
      </c>
      <c r="BQ591" s="91">
        <v>0.98899999999999999</v>
      </c>
      <c r="BR591" s="91">
        <v>0.999</v>
      </c>
      <c r="BS591" s="10" t="s">
        <v>4857</v>
      </c>
    </row>
    <row r="592" spans="1:71" ht="17.100000000000001" customHeight="1">
      <c r="A592" s="31">
        <v>581</v>
      </c>
      <c r="B592" s="2" t="s">
        <v>2686</v>
      </c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94"/>
      <c r="O592" s="34"/>
      <c r="P592" s="34"/>
      <c r="Q592" s="34"/>
      <c r="R592" s="34"/>
      <c r="S592" s="34"/>
      <c r="T592" s="34"/>
      <c r="U592" s="34"/>
      <c r="V592" s="34"/>
      <c r="W592" s="1"/>
      <c r="X592" s="1"/>
      <c r="Y592" s="1"/>
      <c r="Z592" s="1"/>
      <c r="AA592" s="1"/>
      <c r="AB592" s="1"/>
      <c r="AC592" s="1"/>
      <c r="AD592" s="1"/>
      <c r="AE592" s="89"/>
      <c r="AF592" s="89"/>
      <c r="AG592" s="89"/>
      <c r="AH592" s="89"/>
      <c r="AI592" s="89"/>
      <c r="AJ592" s="89"/>
      <c r="AK592" s="89"/>
      <c r="AL592" s="89"/>
      <c r="AM592" s="94"/>
      <c r="AN592" s="94"/>
      <c r="AO592" s="94"/>
      <c r="AP592" s="94"/>
      <c r="AQ592" s="94"/>
      <c r="AR592" s="94"/>
      <c r="AS592" s="94"/>
      <c r="AT592" s="94"/>
      <c r="AU592" s="94"/>
      <c r="AV592" s="94"/>
      <c r="AW592" s="94"/>
      <c r="AX592" s="94"/>
      <c r="AY592" s="94"/>
      <c r="AZ592" s="94"/>
      <c r="BA592" s="94"/>
      <c r="BB592" s="94"/>
      <c r="BC592" s="1"/>
      <c r="BD592" s="1"/>
      <c r="BE592" s="1"/>
      <c r="BF592" s="1"/>
      <c r="BG592" s="1"/>
      <c r="BH592" s="1"/>
      <c r="BI592" s="1"/>
      <c r="BJ592" s="1"/>
      <c r="BK592" s="89"/>
      <c r="BL592" s="89"/>
      <c r="BM592" s="89"/>
      <c r="BN592" s="89"/>
      <c r="BO592" s="89"/>
      <c r="BP592" s="89"/>
      <c r="BQ592" s="89"/>
      <c r="BR592" s="89"/>
      <c r="BS592" s="1"/>
    </row>
    <row r="593" spans="1:71" s="30" customFormat="1" ht="17.100000000000001" customHeight="1">
      <c r="A593" s="14">
        <v>582</v>
      </c>
      <c r="B593" s="5" t="s">
        <v>2687</v>
      </c>
      <c r="C593" s="3" t="s">
        <v>2686</v>
      </c>
      <c r="D593" s="3" t="s">
        <v>2688</v>
      </c>
      <c r="E593" s="3" t="s">
        <v>2689</v>
      </c>
      <c r="F593" s="5" t="s">
        <v>4963</v>
      </c>
      <c r="G593" s="3" t="s">
        <v>2690</v>
      </c>
      <c r="H593" s="6" t="s">
        <v>2691</v>
      </c>
      <c r="I593" s="3" t="s">
        <v>2692</v>
      </c>
      <c r="J593" s="5" t="s">
        <v>4623</v>
      </c>
      <c r="K593" s="3" t="s">
        <v>5681</v>
      </c>
      <c r="L593" s="3" t="s">
        <v>2693</v>
      </c>
      <c r="M593" s="5">
        <v>3</v>
      </c>
      <c r="N593" s="21">
        <v>569.95889999999997</v>
      </c>
      <c r="O593" s="35" t="s">
        <v>4854</v>
      </c>
      <c r="P593" s="36" t="str">
        <f>HYPERLINK("http://ms.phosphosite.org:5080/cgi-bin/plot-msms.cgi?MassType=1&amp;NumAxis=1&amp;Mod1=160&amp;Mod11=170&amp;Pep=CLEEVEDLIVKYR&amp;Dta=/var/www/html/dta/S01/10559.12625.3.dta&amp;Global_Mod=CS57.0215", "12625")</f>
        <v>12625</v>
      </c>
      <c r="Q593" s="35" t="s">
        <v>4854</v>
      </c>
      <c r="R593" s="36" t="str">
        <f>HYPERLINK("http://ms.phosphosite.org:5080/cgi-bin/plot-msms.cgi?MassType=1&amp;NumAxis=1&amp;Mod1=160&amp;Mod11=170&amp;Pep=CLEEVEDLIVKYR&amp;Dta=/var/www/html/dta/S01/10561.12720.3.dta&amp;Global_Mod=CS57.0215", "12720")</f>
        <v>12720</v>
      </c>
      <c r="S593" s="35" t="s">
        <v>4854</v>
      </c>
      <c r="T593" s="35" t="s">
        <v>4854</v>
      </c>
      <c r="U593" s="35" t="s">
        <v>4854</v>
      </c>
      <c r="V593" s="35" t="s">
        <v>4854</v>
      </c>
      <c r="W593" s="3" t="s">
        <v>4854</v>
      </c>
      <c r="X593" s="5">
        <v>12604</v>
      </c>
      <c r="Y593" s="3" t="s">
        <v>4854</v>
      </c>
      <c r="Z593" s="5">
        <v>12699</v>
      </c>
      <c r="AA593" s="3" t="s">
        <v>4854</v>
      </c>
      <c r="AB593" s="3" t="s">
        <v>4854</v>
      </c>
      <c r="AC593" s="3" t="s">
        <v>4854</v>
      </c>
      <c r="AD593" s="3" t="s">
        <v>4854</v>
      </c>
      <c r="AE593" s="99" t="s">
        <v>4854</v>
      </c>
      <c r="AF593" s="90">
        <v>3.0750000000000002</v>
      </c>
      <c r="AG593" s="99" t="s">
        <v>4854</v>
      </c>
      <c r="AH593" s="90">
        <v>3.0169999999999999</v>
      </c>
      <c r="AI593" s="99" t="s">
        <v>4854</v>
      </c>
      <c r="AJ593" s="99" t="s">
        <v>4854</v>
      </c>
      <c r="AK593" s="99" t="s">
        <v>4854</v>
      </c>
      <c r="AL593" s="99" t="s">
        <v>4854</v>
      </c>
      <c r="AM593" s="102" t="s">
        <v>4854</v>
      </c>
      <c r="AN593" s="21">
        <v>1.1203000000000001</v>
      </c>
      <c r="AO593" s="102" t="s">
        <v>4854</v>
      </c>
      <c r="AP593" s="21">
        <v>0.55640000000000001</v>
      </c>
      <c r="AQ593" s="102" t="s">
        <v>4854</v>
      </c>
      <c r="AR593" s="102" t="s">
        <v>4854</v>
      </c>
      <c r="AS593" s="102" t="s">
        <v>4854</v>
      </c>
      <c r="AT593" s="102" t="s">
        <v>4854</v>
      </c>
      <c r="AU593" s="102" t="s">
        <v>4854</v>
      </c>
      <c r="AV593" s="21">
        <v>0.09</v>
      </c>
      <c r="AW593" s="102" t="s">
        <v>4854</v>
      </c>
      <c r="AX593" s="21">
        <v>0.111</v>
      </c>
      <c r="AY593" s="102" t="s">
        <v>4854</v>
      </c>
      <c r="AZ593" s="102" t="s">
        <v>4854</v>
      </c>
      <c r="BA593" s="102" t="s">
        <v>4854</v>
      </c>
      <c r="BB593" s="102" t="s">
        <v>4854</v>
      </c>
      <c r="BC593" s="3" t="s">
        <v>4854</v>
      </c>
      <c r="BD593" s="5">
        <v>63</v>
      </c>
      <c r="BE593" s="3" t="s">
        <v>4854</v>
      </c>
      <c r="BF593" s="5">
        <v>20</v>
      </c>
      <c r="BG593" s="3" t="s">
        <v>4854</v>
      </c>
      <c r="BH593" s="3" t="s">
        <v>4854</v>
      </c>
      <c r="BI593" s="3" t="s">
        <v>4854</v>
      </c>
      <c r="BJ593" s="3" t="s">
        <v>4854</v>
      </c>
      <c r="BK593" s="99" t="s">
        <v>4854</v>
      </c>
      <c r="BL593" s="90">
        <v>0.98399999999999999</v>
      </c>
      <c r="BM593" s="99" t="s">
        <v>4854</v>
      </c>
      <c r="BN593" s="90">
        <v>0.99099999999999999</v>
      </c>
      <c r="BO593" s="99" t="s">
        <v>4854</v>
      </c>
      <c r="BP593" s="99" t="s">
        <v>4854</v>
      </c>
      <c r="BQ593" s="99" t="s">
        <v>4854</v>
      </c>
      <c r="BR593" s="99" t="s">
        <v>4854</v>
      </c>
      <c r="BS593" s="5" t="s">
        <v>4857</v>
      </c>
    </row>
    <row r="594" spans="1:71" s="30" customFormat="1" ht="17.100000000000001" customHeight="1">
      <c r="A594" s="10">
        <v>583</v>
      </c>
      <c r="B594" s="10" t="s">
        <v>2694</v>
      </c>
      <c r="C594" s="4" t="s">
        <v>2686</v>
      </c>
      <c r="D594" s="4" t="s">
        <v>2695</v>
      </c>
      <c r="E594" s="4" t="s">
        <v>2696</v>
      </c>
      <c r="F594" s="10" t="s">
        <v>5060</v>
      </c>
      <c r="G594" s="4" t="s">
        <v>2697</v>
      </c>
      <c r="H594" s="7" t="s">
        <v>2698</v>
      </c>
      <c r="I594" s="4" t="s">
        <v>2699</v>
      </c>
      <c r="J594" s="10" t="s">
        <v>4724</v>
      </c>
      <c r="K594" s="4" t="s">
        <v>5682</v>
      </c>
      <c r="L594" s="4" t="s">
        <v>2700</v>
      </c>
      <c r="M594" s="10">
        <v>2</v>
      </c>
      <c r="N594" s="95">
        <v>888.95500000000004</v>
      </c>
      <c r="O594" s="37" t="str">
        <f>HYPERLINK("http://ms.phosphosite.org:5080/cgi-bin/plot-msms.cgi?MassType=1&amp;NumAxis=1&amp;Mod6=170&amp;Pep=IGHGYKYAIGSLNEGR&amp;Dta=/var/www/html/dta/S01/10558.6549.2.dta&amp;Global_Mod=CS57.0215", "6549")</f>
        <v>6549</v>
      </c>
      <c r="P594" s="37" t="str">
        <f>HYPERLINK("http://ms.phosphosite.org:5080/cgi-bin/plot-msms.cgi?MassType=1&amp;NumAxis=1&amp;Mod6=170&amp;Pep=IGHGYKYAIGSLNEGR&amp;Dta=/var/www/html/dta/S01/10559.6477.2.dta&amp;Global_Mod=CS57.0215", "6477")</f>
        <v>6477</v>
      </c>
      <c r="Q594" s="37" t="str">
        <f>HYPERLINK("http://ms.phosphosite.org:5080/cgi-bin/plot-msms.cgi?MassType=1&amp;NumAxis=1&amp;Mod6=170&amp;Pep=IGHGYKYAIGSLNEGR&amp;Dta=/var/www/html/dta/S01/10560.6440.2.dta&amp;Global_Mod=CS57.0215", "6440")</f>
        <v>6440</v>
      </c>
      <c r="R594" s="37" t="str">
        <f>HYPERLINK("http://ms.phosphosite.org:5080/cgi-bin/plot-msms.cgi?MassType=1&amp;NumAxis=1&amp;Mod6=170&amp;Pep=IGHGYKYAIGSLNEGR&amp;Dta=/var/www/html/dta/S01/10561.6501.2.dta&amp;Global_Mod=CS57.0215", "6501")</f>
        <v>6501</v>
      </c>
      <c r="S594" s="38" t="s">
        <v>4854</v>
      </c>
      <c r="T594" s="38" t="s">
        <v>4854</v>
      </c>
      <c r="U594" s="37" t="str">
        <f>HYPERLINK("http://ms.phosphosite.org:5080/cgi-bin/plot-msms.cgi?MassType=1&amp;NumAxis=1&amp;Mod6=170&amp;Pep=IGHGYKYAIGSLNEGR&amp;Dta=/var/www/html/dta/S01/10564.6913.2.dta&amp;Global_Mod=CS57.0215", "6913")</f>
        <v>6913</v>
      </c>
      <c r="V594" s="37" t="str">
        <f>HYPERLINK("http://ms.phosphosite.org:5080/cgi-bin/plot-msms.cgi?MassType=1&amp;NumAxis=1&amp;Mod6=170&amp;Pep=IGHGYKYAIGSLNEGR&amp;Dta=/var/www/html/dta/S01/10565.6987.2.dta&amp;Global_Mod=CS57.0215", "6987")</f>
        <v>6987</v>
      </c>
      <c r="W594" s="10">
        <v>6545</v>
      </c>
      <c r="X594" s="10">
        <v>6492</v>
      </c>
      <c r="Y594" s="10">
        <v>6465</v>
      </c>
      <c r="Z594" s="10">
        <v>6492</v>
      </c>
      <c r="AA594" s="4" t="s">
        <v>4854</v>
      </c>
      <c r="AB594" s="4" t="s">
        <v>4854</v>
      </c>
      <c r="AC594" s="10">
        <v>6925</v>
      </c>
      <c r="AD594" s="10">
        <v>6988</v>
      </c>
      <c r="AE594" s="91">
        <v>3.5649999999999999</v>
      </c>
      <c r="AF594" s="91">
        <v>3.3180000000000001</v>
      </c>
      <c r="AG594" s="91">
        <v>3.3540000000000001</v>
      </c>
      <c r="AH594" s="91">
        <v>4.0670000000000002</v>
      </c>
      <c r="AI594" s="100" t="s">
        <v>4854</v>
      </c>
      <c r="AJ594" s="100" t="s">
        <v>4854</v>
      </c>
      <c r="AK594" s="91">
        <v>3.7639999999999998</v>
      </c>
      <c r="AL594" s="91">
        <v>3.2170000000000001</v>
      </c>
      <c r="AM594" s="95">
        <v>0.83830000000000005</v>
      </c>
      <c r="AN594" s="95">
        <v>0.72070000000000001</v>
      </c>
      <c r="AO594" s="95">
        <v>0.64870000000000005</v>
      </c>
      <c r="AP594" s="95">
        <v>1.2176</v>
      </c>
      <c r="AQ594" s="103" t="s">
        <v>4854</v>
      </c>
      <c r="AR594" s="103" t="s">
        <v>4854</v>
      </c>
      <c r="AS594" s="95">
        <v>0.47360000000000002</v>
      </c>
      <c r="AT594" s="95">
        <v>0.88280000000000003</v>
      </c>
      <c r="AU594" s="95">
        <v>0.49</v>
      </c>
      <c r="AV594" s="95">
        <v>0.49</v>
      </c>
      <c r="AW594" s="95">
        <v>0.46100000000000002</v>
      </c>
      <c r="AX594" s="95">
        <v>0.55100000000000005</v>
      </c>
      <c r="AY594" s="103" t="s">
        <v>4854</v>
      </c>
      <c r="AZ594" s="103" t="s">
        <v>4854</v>
      </c>
      <c r="BA594" s="95">
        <v>0.46500000000000002</v>
      </c>
      <c r="BB594" s="95">
        <v>0.51800000000000002</v>
      </c>
      <c r="BC594" s="10">
        <v>1</v>
      </c>
      <c r="BD594" s="10">
        <v>1</v>
      </c>
      <c r="BE594" s="10">
        <v>1</v>
      </c>
      <c r="BF594" s="10">
        <v>1</v>
      </c>
      <c r="BG594" s="4" t="s">
        <v>4854</v>
      </c>
      <c r="BH594" s="4" t="s">
        <v>4854</v>
      </c>
      <c r="BI594" s="10">
        <v>1</v>
      </c>
      <c r="BJ594" s="10">
        <v>1</v>
      </c>
      <c r="BK594" s="91">
        <v>1</v>
      </c>
      <c r="BL594" s="91">
        <v>1</v>
      </c>
      <c r="BM594" s="91">
        <v>1</v>
      </c>
      <c r="BN594" s="91">
        <v>1</v>
      </c>
      <c r="BO594" s="100" t="s">
        <v>4854</v>
      </c>
      <c r="BP594" s="100" t="s">
        <v>4854</v>
      </c>
      <c r="BQ594" s="91">
        <v>1</v>
      </c>
      <c r="BR594" s="91">
        <v>1</v>
      </c>
      <c r="BS594" s="10" t="s">
        <v>4857</v>
      </c>
    </row>
    <row r="595" spans="1:71" s="30" customFormat="1" ht="17.100000000000001" customHeight="1">
      <c r="A595" s="10">
        <v>584</v>
      </c>
      <c r="B595" s="10" t="s">
        <v>2701</v>
      </c>
      <c r="C595" s="4" t="s">
        <v>2686</v>
      </c>
      <c r="D595" s="4" t="s">
        <v>2695</v>
      </c>
      <c r="E595" s="4" t="s">
        <v>2696</v>
      </c>
      <c r="F595" s="10" t="s">
        <v>5060</v>
      </c>
      <c r="G595" s="4" t="s">
        <v>2697</v>
      </c>
      <c r="H595" s="7" t="s">
        <v>2698</v>
      </c>
      <c r="I595" s="4" t="s">
        <v>2699</v>
      </c>
      <c r="J595" s="10" t="s">
        <v>4724</v>
      </c>
      <c r="K595" s="4" t="s">
        <v>5682</v>
      </c>
      <c r="L595" s="4" t="s">
        <v>2700</v>
      </c>
      <c r="M595" s="10">
        <v>3</v>
      </c>
      <c r="N595" s="95">
        <v>592.97239999999999</v>
      </c>
      <c r="O595" s="37" t="str">
        <f>HYPERLINK("http://ms.phosphosite.org:5080/cgi-bin/plot-msms.cgi?MassType=1&amp;NumAxis=1&amp;Mod6=170&amp;Pep=IGHGYKYAIGSLNEGR&amp;Dta=/var/www/html/dta/S01/10558.6580.3.dta&amp;Global_Mod=CS57.0215", "6580")</f>
        <v>6580</v>
      </c>
      <c r="P595" s="37" t="str">
        <f>HYPERLINK("http://ms.phosphosite.org:5080/cgi-bin/plot-msms.cgi?MassType=1&amp;NumAxis=1&amp;Mod6=170&amp;Pep=IGHGYKYAIGSLNEGR&amp;Dta=/var/www/html/dta/S01/10559.6493.3.dta&amp;Global_Mod=CS57.0215", "6493")</f>
        <v>6493</v>
      </c>
      <c r="Q595" s="37" t="str">
        <f>HYPERLINK("http://ms.phosphosite.org:5080/cgi-bin/plot-msms.cgi?MassType=1&amp;NumAxis=1&amp;Mod6=170&amp;Pep=IGHGYKYAIGSLNEGR&amp;Dta=/var/www/html/dta/S01/10560.6422.3.dta&amp;Global_Mod=CS57.0215", "6422")</f>
        <v>6422</v>
      </c>
      <c r="R595" s="37" t="str">
        <f>HYPERLINK("http://ms.phosphosite.org:5080/cgi-bin/plot-msms.cgi?MassType=1&amp;NumAxis=1&amp;Mod6=170&amp;Pep=IGHGYKYAIGSLNEGR&amp;Dta=/var/www/html/dta/S01/10561.6473.3.dta&amp;Global_Mod=CS57.0215", "6473")</f>
        <v>6473</v>
      </c>
      <c r="S595" s="37" t="str">
        <f>HYPERLINK("http://ms.phosphosite.org:5080/cgi-bin/plot-msms.cgi?MassType=1&amp;NumAxis=1&amp;Mod6=170&amp;Pep=IGHGYKYAIGSLNEGR&amp;Dta=/var/www/html/dta/S01/10562.6591.3.dta&amp;Global_Mod=CS57.0215", "6591")</f>
        <v>6591</v>
      </c>
      <c r="T595" s="37" t="str">
        <f>HYPERLINK("http://ms.phosphosite.org:5080/cgi-bin/plot-msms.cgi?MassType=1&amp;NumAxis=1&amp;Mod6=170&amp;Pep=IGHGYKYAIGSLNEGR&amp;Dta=/var/www/html/dta/S01/10563.6545.3.dta&amp;Global_Mod=CS57.0215", "6545")</f>
        <v>6545</v>
      </c>
      <c r="U595" s="38" t="s">
        <v>4854</v>
      </c>
      <c r="V595" s="38" t="s">
        <v>4854</v>
      </c>
      <c r="W595" s="10">
        <v>6534</v>
      </c>
      <c r="X595" s="10">
        <v>6492</v>
      </c>
      <c r="Y595" s="10">
        <v>6465</v>
      </c>
      <c r="Z595" s="10">
        <v>6514</v>
      </c>
      <c r="AA595" s="10">
        <v>6609</v>
      </c>
      <c r="AB595" s="10">
        <v>6585</v>
      </c>
      <c r="AC595" s="4" t="s">
        <v>4854</v>
      </c>
      <c r="AD595" s="4" t="s">
        <v>4854</v>
      </c>
      <c r="AE595" s="91">
        <v>3.1739999999999999</v>
      </c>
      <c r="AF595" s="91">
        <v>3.8109999999999999</v>
      </c>
      <c r="AG595" s="91">
        <v>2.7850000000000001</v>
      </c>
      <c r="AH595" s="91">
        <v>3.07</v>
      </c>
      <c r="AI595" s="91">
        <v>3.714</v>
      </c>
      <c r="AJ595" s="91">
        <v>3.1589999999999998</v>
      </c>
      <c r="AK595" s="100" t="s">
        <v>4854</v>
      </c>
      <c r="AL595" s="100" t="s">
        <v>4854</v>
      </c>
      <c r="AM595" s="95">
        <v>0.29020000000000001</v>
      </c>
      <c r="AN595" s="95">
        <v>0.31609999999999999</v>
      </c>
      <c r="AO595" s="95">
        <v>0.41120000000000001</v>
      </c>
      <c r="AP595" s="95">
        <v>0.5665</v>
      </c>
      <c r="AQ595" s="95">
        <v>0.39989999999999998</v>
      </c>
      <c r="AR595" s="95">
        <v>0.48830000000000001</v>
      </c>
      <c r="AS595" s="103" t="s">
        <v>4854</v>
      </c>
      <c r="AT595" s="103" t="s">
        <v>4854</v>
      </c>
      <c r="AU595" s="95">
        <v>9.1999999999999998E-2</v>
      </c>
      <c r="AV595" s="95">
        <v>0.24199999999999999</v>
      </c>
      <c r="AW595" s="95">
        <v>0.26400000000000001</v>
      </c>
      <c r="AX595" s="95">
        <v>0.14199999999999999</v>
      </c>
      <c r="AY595" s="95">
        <v>0.16400000000000001</v>
      </c>
      <c r="AZ595" s="95">
        <v>0.122</v>
      </c>
      <c r="BA595" s="103" t="s">
        <v>4854</v>
      </c>
      <c r="BB595" s="103" t="s">
        <v>4854</v>
      </c>
      <c r="BC595" s="10">
        <v>5</v>
      </c>
      <c r="BD595" s="10">
        <v>2</v>
      </c>
      <c r="BE595" s="10">
        <v>3</v>
      </c>
      <c r="BF595" s="10">
        <v>2</v>
      </c>
      <c r="BG595" s="10">
        <v>7</v>
      </c>
      <c r="BH595" s="10">
        <v>2</v>
      </c>
      <c r="BI595" s="4" t="s">
        <v>4854</v>
      </c>
      <c r="BJ595" s="4" t="s">
        <v>4854</v>
      </c>
      <c r="BK595" s="91">
        <v>0.99099999999999999</v>
      </c>
      <c r="BL595" s="91">
        <v>1</v>
      </c>
      <c r="BM595" s="91">
        <v>0.999</v>
      </c>
      <c r="BN595" s="91">
        <v>0.996</v>
      </c>
      <c r="BO595" s="91">
        <v>0.998</v>
      </c>
      <c r="BP595" s="91">
        <v>0.995</v>
      </c>
      <c r="BQ595" s="100" t="s">
        <v>4854</v>
      </c>
      <c r="BR595" s="100" t="s">
        <v>4854</v>
      </c>
      <c r="BS595" s="10" t="s">
        <v>4857</v>
      </c>
    </row>
    <row r="596" spans="1:71" s="30" customFormat="1" ht="17.100000000000001" customHeight="1">
      <c r="A596" s="10">
        <v>585</v>
      </c>
      <c r="B596" s="10" t="s">
        <v>2702</v>
      </c>
      <c r="C596" s="4" t="s">
        <v>2686</v>
      </c>
      <c r="D596" s="4" t="s">
        <v>2695</v>
      </c>
      <c r="E596" s="4" t="s">
        <v>2696</v>
      </c>
      <c r="F596" s="10" t="s">
        <v>5060</v>
      </c>
      <c r="G596" s="4" t="s">
        <v>2697</v>
      </c>
      <c r="H596" s="7" t="s">
        <v>2698</v>
      </c>
      <c r="I596" s="4" t="s">
        <v>2699</v>
      </c>
      <c r="J596" s="10" t="s">
        <v>4724</v>
      </c>
      <c r="K596" s="4" t="s">
        <v>5682</v>
      </c>
      <c r="L596" s="4" t="s">
        <v>2700</v>
      </c>
      <c r="M596" s="10">
        <v>3</v>
      </c>
      <c r="N596" s="95">
        <v>592.97239999999999</v>
      </c>
      <c r="O596" s="37" t="str">
        <f>HYPERLINK("http://ms.phosphosite.org:5080/cgi-bin/plot-msms.cgi?MassType=1&amp;NumAxis=1&amp;Mod6=170&amp;Pep=IGHGYKYAIGSLNEGR&amp;Dta=/var/www/html/dta/S01/10558.6494.3.dta&amp;Global_Mod=CS57.0215", "6494")</f>
        <v>6494</v>
      </c>
      <c r="P596" s="38" t="s">
        <v>4854</v>
      </c>
      <c r="Q596" s="38" t="s">
        <v>4854</v>
      </c>
      <c r="R596" s="38" t="s">
        <v>4854</v>
      </c>
      <c r="S596" s="38" t="s">
        <v>4854</v>
      </c>
      <c r="T596" s="38" t="s">
        <v>4854</v>
      </c>
      <c r="U596" s="38" t="s">
        <v>4854</v>
      </c>
      <c r="V596" s="38" t="s">
        <v>4854</v>
      </c>
      <c r="W596" s="10">
        <v>6534</v>
      </c>
      <c r="X596" s="4" t="s">
        <v>4854</v>
      </c>
      <c r="Y596" s="4" t="s">
        <v>4854</v>
      </c>
      <c r="Z596" s="4" t="s">
        <v>4854</v>
      </c>
      <c r="AA596" s="4" t="s">
        <v>4854</v>
      </c>
      <c r="AB596" s="4" t="s">
        <v>4854</v>
      </c>
      <c r="AC596" s="4" t="s">
        <v>4854</v>
      </c>
      <c r="AD596" s="4" t="s">
        <v>4854</v>
      </c>
      <c r="AE596" s="91">
        <v>3.08</v>
      </c>
      <c r="AF596" s="100" t="s">
        <v>4854</v>
      </c>
      <c r="AG596" s="100" t="s">
        <v>4854</v>
      </c>
      <c r="AH596" s="100" t="s">
        <v>4854</v>
      </c>
      <c r="AI596" s="100" t="s">
        <v>4854</v>
      </c>
      <c r="AJ596" s="100" t="s">
        <v>4854</v>
      </c>
      <c r="AK596" s="100" t="s">
        <v>4854</v>
      </c>
      <c r="AL596" s="100" t="s">
        <v>4854</v>
      </c>
      <c r="AM596" s="95">
        <v>0.25019999999999998</v>
      </c>
      <c r="AN596" s="103" t="s">
        <v>4854</v>
      </c>
      <c r="AO596" s="103" t="s">
        <v>4854</v>
      </c>
      <c r="AP596" s="103" t="s">
        <v>4854</v>
      </c>
      <c r="AQ596" s="103" t="s">
        <v>4854</v>
      </c>
      <c r="AR596" s="103" t="s">
        <v>4854</v>
      </c>
      <c r="AS596" s="103" t="s">
        <v>4854</v>
      </c>
      <c r="AT596" s="103" t="s">
        <v>4854</v>
      </c>
      <c r="AU596" s="95">
        <v>0.11600000000000001</v>
      </c>
      <c r="AV596" s="103" t="s">
        <v>4854</v>
      </c>
      <c r="AW596" s="103" t="s">
        <v>4854</v>
      </c>
      <c r="AX596" s="103" t="s">
        <v>4854</v>
      </c>
      <c r="AY596" s="103" t="s">
        <v>4854</v>
      </c>
      <c r="AZ596" s="103" t="s">
        <v>4854</v>
      </c>
      <c r="BA596" s="103" t="s">
        <v>4854</v>
      </c>
      <c r="BB596" s="103" t="s">
        <v>4854</v>
      </c>
      <c r="BC596" s="10">
        <v>6</v>
      </c>
      <c r="BD596" s="4" t="s">
        <v>4854</v>
      </c>
      <c r="BE596" s="4" t="s">
        <v>4854</v>
      </c>
      <c r="BF596" s="4" t="s">
        <v>4854</v>
      </c>
      <c r="BG596" s="4" t="s">
        <v>4854</v>
      </c>
      <c r="BH596" s="4" t="s">
        <v>4854</v>
      </c>
      <c r="BI596" s="4" t="s">
        <v>4854</v>
      </c>
      <c r="BJ596" s="4" t="s">
        <v>4854</v>
      </c>
      <c r="BK596" s="91">
        <v>0.99299999999999999</v>
      </c>
      <c r="BL596" s="100" t="s">
        <v>4854</v>
      </c>
      <c r="BM596" s="100" t="s">
        <v>4854</v>
      </c>
      <c r="BN596" s="100" t="s">
        <v>4854</v>
      </c>
      <c r="BO596" s="100" t="s">
        <v>4854</v>
      </c>
      <c r="BP596" s="100" t="s">
        <v>4854</v>
      </c>
      <c r="BQ596" s="100" t="s">
        <v>4854</v>
      </c>
      <c r="BR596" s="100" t="s">
        <v>4854</v>
      </c>
      <c r="BS596" s="10" t="s">
        <v>4857</v>
      </c>
    </row>
    <row r="597" spans="1:71" s="30" customFormat="1" ht="17.100000000000001" customHeight="1">
      <c r="A597" s="14">
        <v>586</v>
      </c>
      <c r="B597" s="5" t="s">
        <v>2703</v>
      </c>
      <c r="C597" s="3" t="s">
        <v>2686</v>
      </c>
      <c r="D597" s="3" t="s">
        <v>2704</v>
      </c>
      <c r="E597" s="6" t="s">
        <v>2705</v>
      </c>
      <c r="F597" s="5" t="s">
        <v>4980</v>
      </c>
      <c r="G597" s="3" t="s">
        <v>2706</v>
      </c>
      <c r="H597" s="6" t="s">
        <v>2707</v>
      </c>
      <c r="I597" s="3" t="s">
        <v>2708</v>
      </c>
      <c r="J597" s="5" t="s">
        <v>4471</v>
      </c>
      <c r="K597" s="3" t="s">
        <v>5683</v>
      </c>
      <c r="L597" s="3" t="s">
        <v>2709</v>
      </c>
      <c r="M597" s="5">
        <v>2</v>
      </c>
      <c r="N597" s="21">
        <v>766.42759999999998</v>
      </c>
      <c r="O597" s="35" t="s">
        <v>4854</v>
      </c>
      <c r="P597" s="36" t="str">
        <f>HYPERLINK("http://ms.phosphosite.org:5080/cgi-bin/plot-msms.cgi?MassType=1&amp;NumAxis=1&amp;Mod6=170&amp;Pep=YDLLEKNINIVR&amp;Dta=/var/www/html/dta/S01/10559.10408.2.dta&amp;Global_Mod=CS57.0215", "10408")</f>
        <v>10408</v>
      </c>
      <c r="Q597" s="36" t="str">
        <f>HYPERLINK("http://ms.phosphosite.org:5080/cgi-bin/plot-msms.cgi?MassType=1&amp;NumAxis=1&amp;Mod6=170&amp;Pep=YDLLEKNINIVR&amp;Dta=/var/www/html/dta/S01/10560.10452.2.dta&amp;Global_Mod=CS57.0215", "10452")</f>
        <v>10452</v>
      </c>
      <c r="R597" s="36" t="str">
        <f>HYPERLINK("http://ms.phosphosite.org:5080/cgi-bin/plot-msms.cgi?MassType=1&amp;NumAxis=1&amp;Mod6=170&amp;Pep=YDLLEKNINIVR&amp;Dta=/var/www/html/dta/S01/10561.10466.2.dta&amp;Global_Mod=CS57.0215", "10466")</f>
        <v>10466</v>
      </c>
      <c r="S597" s="36" t="str">
        <f>HYPERLINK("http://ms.phosphosite.org:5080/cgi-bin/plot-msms.cgi?MassType=1&amp;NumAxis=1&amp;Mod6=170&amp;Pep=YDLLEKNINIVR&amp;Dta=/var/www/html/dta/S01/10562.10626.2.dta&amp;Global_Mod=CS57.0215", "10626")</f>
        <v>10626</v>
      </c>
      <c r="T597" s="36" t="str">
        <f>HYPERLINK("http://ms.phosphosite.org:5080/cgi-bin/plot-msms.cgi?MassType=1&amp;NumAxis=1&amp;Mod6=170&amp;Pep=YDLLEKNINIVR&amp;Dta=/var/www/html/dta/S01/10563.10575.2.dta&amp;Global_Mod=CS57.0215", "10575")</f>
        <v>10575</v>
      </c>
      <c r="U597" s="36" t="str">
        <f>HYPERLINK("http://ms.phosphosite.org:5080/cgi-bin/plot-msms.cgi?MassType=1&amp;NumAxis=1&amp;Mod6=170&amp;Pep=YDLLEKNINIVR&amp;Dta=/var/www/html/dta/S01/10564.11080.2.dta&amp;Global_Mod=CS57.0215", "11080")</f>
        <v>11080</v>
      </c>
      <c r="V597" s="36" t="str">
        <f>HYPERLINK("http://ms.phosphosite.org:5080/cgi-bin/plot-msms.cgi?MassType=1&amp;NumAxis=1&amp;Mod6=170&amp;Pep=YDLLEKNINIVR&amp;Dta=/var/www/html/dta/S01/10565.11041.2.dta&amp;Global_Mod=CS57.0215", "11041")</f>
        <v>11041</v>
      </c>
      <c r="W597" s="3" t="s">
        <v>4854</v>
      </c>
      <c r="X597" s="5">
        <v>10410</v>
      </c>
      <c r="Y597" s="5">
        <v>10458</v>
      </c>
      <c r="Z597" s="5">
        <v>10473</v>
      </c>
      <c r="AA597" s="5">
        <v>10620</v>
      </c>
      <c r="AB597" s="5">
        <v>10578</v>
      </c>
      <c r="AC597" s="5">
        <v>11083</v>
      </c>
      <c r="AD597" s="5">
        <v>11036</v>
      </c>
      <c r="AE597" s="99" t="s">
        <v>4854</v>
      </c>
      <c r="AF597" s="90">
        <v>3.347</v>
      </c>
      <c r="AG597" s="90">
        <v>3.5680000000000001</v>
      </c>
      <c r="AH597" s="90">
        <v>3.04</v>
      </c>
      <c r="AI597" s="90">
        <v>3.1760000000000002</v>
      </c>
      <c r="AJ597" s="90">
        <v>3.5640000000000001</v>
      </c>
      <c r="AK597" s="90">
        <v>3.2829999999999999</v>
      </c>
      <c r="AL597" s="90">
        <v>3.492</v>
      </c>
      <c r="AM597" s="102" t="s">
        <v>4854</v>
      </c>
      <c r="AN597" s="21">
        <v>1.2402</v>
      </c>
      <c r="AO597" s="21">
        <v>1.9772000000000001</v>
      </c>
      <c r="AP597" s="21">
        <v>2.5445000000000002</v>
      </c>
      <c r="AQ597" s="21">
        <v>2.1547000000000001</v>
      </c>
      <c r="AR597" s="21">
        <v>2.8858999999999999</v>
      </c>
      <c r="AS597" s="21">
        <v>0.19500000000000001</v>
      </c>
      <c r="AT597" s="21">
        <v>0.44240000000000002</v>
      </c>
      <c r="AU597" s="102" t="s">
        <v>4854</v>
      </c>
      <c r="AV597" s="21">
        <v>0.35</v>
      </c>
      <c r="AW597" s="21">
        <v>0.35299999999999998</v>
      </c>
      <c r="AX597" s="21">
        <v>0.36099999999999999</v>
      </c>
      <c r="AY597" s="21">
        <v>0.27900000000000003</v>
      </c>
      <c r="AZ597" s="21">
        <v>0.42199999999999999</v>
      </c>
      <c r="BA597" s="21">
        <v>0.38700000000000001</v>
      </c>
      <c r="BB597" s="21">
        <v>0.35</v>
      </c>
      <c r="BC597" s="3" t="s">
        <v>4854</v>
      </c>
      <c r="BD597" s="5">
        <v>1</v>
      </c>
      <c r="BE597" s="5">
        <v>1</v>
      </c>
      <c r="BF597" s="5">
        <v>1</v>
      </c>
      <c r="BG597" s="5">
        <v>1</v>
      </c>
      <c r="BH597" s="5">
        <v>1</v>
      </c>
      <c r="BI597" s="5">
        <v>1</v>
      </c>
      <c r="BJ597" s="5">
        <v>1</v>
      </c>
      <c r="BK597" s="99" t="s">
        <v>4854</v>
      </c>
      <c r="BL597" s="90">
        <v>1</v>
      </c>
      <c r="BM597" s="90">
        <v>1</v>
      </c>
      <c r="BN597" s="90">
        <v>0.99399999999999999</v>
      </c>
      <c r="BO597" s="90">
        <v>0.999</v>
      </c>
      <c r="BP597" s="90">
        <v>1</v>
      </c>
      <c r="BQ597" s="90">
        <v>1</v>
      </c>
      <c r="BR597" s="90">
        <v>1</v>
      </c>
      <c r="BS597" s="5" t="s">
        <v>4857</v>
      </c>
    </row>
    <row r="598" spans="1:71" s="30" customFormat="1" ht="17.100000000000001" customHeight="1">
      <c r="A598" s="10">
        <v>587</v>
      </c>
      <c r="B598" s="10" t="s">
        <v>2710</v>
      </c>
      <c r="C598" s="4" t="s">
        <v>2686</v>
      </c>
      <c r="D598" s="4" t="s">
        <v>2704</v>
      </c>
      <c r="E598" s="7" t="s">
        <v>2705</v>
      </c>
      <c r="F598" s="10" t="s">
        <v>5321</v>
      </c>
      <c r="G598" s="4" t="s">
        <v>2706</v>
      </c>
      <c r="H598" s="7" t="s">
        <v>2707</v>
      </c>
      <c r="I598" s="4" t="s">
        <v>2708</v>
      </c>
      <c r="J598" s="10" t="s">
        <v>4471</v>
      </c>
      <c r="K598" s="4" t="s">
        <v>5684</v>
      </c>
      <c r="L598" s="4" t="s">
        <v>2711</v>
      </c>
      <c r="M598" s="10">
        <v>3</v>
      </c>
      <c r="N598" s="95">
        <v>937.84410000000003</v>
      </c>
      <c r="O598" s="38" t="s">
        <v>4854</v>
      </c>
      <c r="P598" s="38" t="s">
        <v>4854</v>
      </c>
      <c r="Q598" s="37" t="str">
        <f>HYPERLINK("http://ms.phosphosite.org:5080/cgi-bin/plot-msms.cgi?MassType=1&amp;NumAxis=1&amp;Mod13=170&amp;Pep=LQLLEPFDKWDGKDLEDLQILIK&amp;Dta=/var/www/html/dta/S01/10560.15378.3.dta&amp;Global_Mod=CS57.0215", "15378")</f>
        <v>15378</v>
      </c>
      <c r="R598" s="38" t="s">
        <v>4854</v>
      </c>
      <c r="S598" s="38" t="s">
        <v>4854</v>
      </c>
      <c r="T598" s="38" t="s">
        <v>4854</v>
      </c>
      <c r="U598" s="38" t="s">
        <v>4854</v>
      </c>
      <c r="V598" s="37" t="str">
        <f>HYPERLINK("http://ms.phosphosite.org:5080/cgi-bin/plot-msms.cgi?MassType=1&amp;NumAxis=1&amp;Mod13=170&amp;Pep=LQLLEPFDKWDGKDLEDLQILIK&amp;Dta=/var/www/html/dta/S01/10565.16031.3.dta&amp;Global_Mod=CS57.0215", "16031")</f>
        <v>16031</v>
      </c>
      <c r="W598" s="4" t="s">
        <v>4854</v>
      </c>
      <c r="X598" s="4" t="s">
        <v>4854</v>
      </c>
      <c r="Y598" s="10">
        <v>15377</v>
      </c>
      <c r="Z598" s="4" t="s">
        <v>4854</v>
      </c>
      <c r="AA598" s="4" t="s">
        <v>4854</v>
      </c>
      <c r="AB598" s="4" t="s">
        <v>4854</v>
      </c>
      <c r="AC598" s="4" t="s">
        <v>4854</v>
      </c>
      <c r="AD598" s="10">
        <v>16023</v>
      </c>
      <c r="AE598" s="100" t="s">
        <v>4854</v>
      </c>
      <c r="AF598" s="100" t="s">
        <v>4854</v>
      </c>
      <c r="AG598" s="91">
        <v>4.2320000000000002</v>
      </c>
      <c r="AH598" s="100" t="s">
        <v>4854</v>
      </c>
      <c r="AI598" s="100" t="s">
        <v>4854</v>
      </c>
      <c r="AJ598" s="100" t="s">
        <v>4854</v>
      </c>
      <c r="AK598" s="100" t="s">
        <v>4854</v>
      </c>
      <c r="AL598" s="91">
        <v>4.6479999999999997</v>
      </c>
      <c r="AM598" s="103" t="s">
        <v>4854</v>
      </c>
      <c r="AN598" s="103" t="s">
        <v>4854</v>
      </c>
      <c r="AO598" s="95">
        <v>0.85240000000000005</v>
      </c>
      <c r="AP598" s="103" t="s">
        <v>4854</v>
      </c>
      <c r="AQ598" s="103" t="s">
        <v>4854</v>
      </c>
      <c r="AR598" s="103" t="s">
        <v>4854</v>
      </c>
      <c r="AS598" s="103" t="s">
        <v>4854</v>
      </c>
      <c r="AT598" s="95">
        <v>0.57210000000000005</v>
      </c>
      <c r="AU598" s="103" t="s">
        <v>4854</v>
      </c>
      <c r="AV598" s="103" t="s">
        <v>4854</v>
      </c>
      <c r="AW598" s="95">
        <v>0.16800000000000001</v>
      </c>
      <c r="AX598" s="103" t="s">
        <v>4854</v>
      </c>
      <c r="AY598" s="103" t="s">
        <v>4854</v>
      </c>
      <c r="AZ598" s="103" t="s">
        <v>4854</v>
      </c>
      <c r="BA598" s="103" t="s">
        <v>4854</v>
      </c>
      <c r="BB598" s="95">
        <v>0.29799999999999999</v>
      </c>
      <c r="BC598" s="4" t="s">
        <v>4854</v>
      </c>
      <c r="BD598" s="4" t="s">
        <v>4854</v>
      </c>
      <c r="BE598" s="10">
        <v>2</v>
      </c>
      <c r="BF598" s="4" t="s">
        <v>4854</v>
      </c>
      <c r="BG598" s="4" t="s">
        <v>4854</v>
      </c>
      <c r="BH598" s="4" t="s">
        <v>4854</v>
      </c>
      <c r="BI598" s="4" t="s">
        <v>4854</v>
      </c>
      <c r="BJ598" s="10">
        <v>1</v>
      </c>
      <c r="BK598" s="100" t="s">
        <v>4854</v>
      </c>
      <c r="BL598" s="100" t="s">
        <v>4854</v>
      </c>
      <c r="BM598" s="91">
        <v>0.999</v>
      </c>
      <c r="BN598" s="100" t="s">
        <v>4854</v>
      </c>
      <c r="BO598" s="100" t="s">
        <v>4854</v>
      </c>
      <c r="BP598" s="100" t="s">
        <v>4854</v>
      </c>
      <c r="BQ598" s="100" t="s">
        <v>4854</v>
      </c>
      <c r="BR598" s="91">
        <v>1</v>
      </c>
      <c r="BS598" s="10" t="s">
        <v>4857</v>
      </c>
    </row>
    <row r="599" spans="1:71" s="30" customFormat="1" ht="17.100000000000001" customHeight="1">
      <c r="A599" s="14">
        <v>588</v>
      </c>
      <c r="B599" s="5" t="s">
        <v>2712</v>
      </c>
      <c r="C599" s="3" t="s">
        <v>2686</v>
      </c>
      <c r="D599" s="3" t="s">
        <v>2704</v>
      </c>
      <c r="E599" s="6" t="s">
        <v>2705</v>
      </c>
      <c r="F599" s="5" t="s">
        <v>5264</v>
      </c>
      <c r="G599" s="3" t="s">
        <v>2706</v>
      </c>
      <c r="H599" s="6" t="s">
        <v>2707</v>
      </c>
      <c r="I599" s="3" t="s">
        <v>2708</v>
      </c>
      <c r="J599" s="5" t="s">
        <v>4471</v>
      </c>
      <c r="K599" s="3" t="s">
        <v>5685</v>
      </c>
      <c r="L599" s="3" t="s">
        <v>2713</v>
      </c>
      <c r="M599" s="5">
        <v>3</v>
      </c>
      <c r="N599" s="21">
        <v>634.64909999999998</v>
      </c>
      <c r="O599" s="36" t="str">
        <f>HYPERLINK("http://ms.phosphosite.org:5080/cgi-bin/plot-msms.cgi?MassType=1&amp;NumAxis=1&amp;Mod1=160&amp;Mod14=170&amp;Pep=CTTDHISAAGPWLKFR&amp;Dta=/var/www/html/dta/S01/10558.9485.3.dta&amp;Global_Mod=CS57.0215", "9485")</f>
        <v>9485</v>
      </c>
      <c r="P599" s="35" t="s">
        <v>4854</v>
      </c>
      <c r="Q599" s="36" t="str">
        <f>HYPERLINK("http://ms.phosphosite.org:5080/cgi-bin/plot-msms.cgi?MassType=1&amp;NumAxis=1&amp;Mod1=160&amp;Mod14=170&amp;Pep=CTTDHISAAGPWLKFR&amp;Dta=/var/www/html/dta/S01/10560.9483.3.dta&amp;Global_Mod=CS57.0215", "9483")</f>
        <v>9483</v>
      </c>
      <c r="R599" s="36" t="str">
        <f>HYPERLINK("http://ms.phosphosite.org:5080/cgi-bin/plot-msms.cgi?MassType=1&amp;NumAxis=1&amp;Mod1=160&amp;Mod14=170&amp;Pep=CTTDHISAAGPWLKFR&amp;Dta=/var/www/html/dta/S01/10561.9502.3.dta&amp;Global_Mod=CS57.0215", "9502")</f>
        <v>9502</v>
      </c>
      <c r="S599" s="36" t="str">
        <f>HYPERLINK("http://ms.phosphosite.org:5080/cgi-bin/plot-msms.cgi?MassType=1&amp;NumAxis=1&amp;Mod1=160&amp;Mod14=170&amp;Pep=CTTDHISAAGPWLKFR&amp;Dta=/var/www/html/dta/S01/10562.9603.3.dta&amp;Global_Mod=CS57.0215", "9603")</f>
        <v>9603</v>
      </c>
      <c r="T599" s="36" t="str">
        <f>HYPERLINK("http://ms.phosphosite.org:5080/cgi-bin/plot-msms.cgi?MassType=1&amp;NumAxis=1&amp;Mod1=160&amp;Mod14=170&amp;Pep=CTTDHISAAGPWLKFR&amp;Dta=/var/www/html/dta/S01/10563.9594.3.dta&amp;Global_Mod=CS57.0215", "9594")</f>
        <v>9594</v>
      </c>
      <c r="U599" s="36" t="str">
        <f>HYPERLINK("http://ms.phosphosite.org:5080/cgi-bin/plot-msms.cgi?MassType=1&amp;NumAxis=1&amp;Mod1=160&amp;Mod14=170&amp;Pep=CTTDHISAAGPWLKFR&amp;Dta=/var/www/html/dta/S01/10564.10032.3.dta&amp;Global_Mod=CS57.0215", "10032")</f>
        <v>10032</v>
      </c>
      <c r="V599" s="36" t="str">
        <f>HYPERLINK("http://ms.phosphosite.org:5080/cgi-bin/plot-msms.cgi?MassType=1&amp;NumAxis=1&amp;Mod1=160&amp;Mod14=170&amp;Pep=CTTDHISAAGPWLKFR&amp;Dta=/var/www/html/dta/S01/10565.9988.3.dta&amp;Global_Mod=CS57.0215", "9988")</f>
        <v>9988</v>
      </c>
      <c r="W599" s="5">
        <v>9470</v>
      </c>
      <c r="X599" s="3" t="s">
        <v>4854</v>
      </c>
      <c r="Y599" s="5">
        <v>9457</v>
      </c>
      <c r="Z599" s="5">
        <v>9462</v>
      </c>
      <c r="AA599" s="5">
        <v>9612</v>
      </c>
      <c r="AB599" s="5">
        <v>9555</v>
      </c>
      <c r="AC599" s="5">
        <v>10071</v>
      </c>
      <c r="AD599" s="5">
        <v>10035</v>
      </c>
      <c r="AE599" s="90">
        <v>3.3130000000000002</v>
      </c>
      <c r="AF599" s="99" t="s">
        <v>4854</v>
      </c>
      <c r="AG599" s="90">
        <v>3.71</v>
      </c>
      <c r="AH599" s="90">
        <v>2.98</v>
      </c>
      <c r="AI599" s="90">
        <v>3.544</v>
      </c>
      <c r="AJ599" s="90">
        <v>3.5550000000000002</v>
      </c>
      <c r="AK599" s="90">
        <v>3.0190000000000001</v>
      </c>
      <c r="AL599" s="90">
        <v>3.351</v>
      </c>
      <c r="AM599" s="21">
        <v>0.8206</v>
      </c>
      <c r="AN599" s="102" t="s">
        <v>4854</v>
      </c>
      <c r="AO599" s="21">
        <v>0.6381</v>
      </c>
      <c r="AP599" s="21">
        <v>0.70120000000000005</v>
      </c>
      <c r="AQ599" s="21">
        <v>0.51559999999999995</v>
      </c>
      <c r="AR599" s="21">
        <v>0.43780000000000002</v>
      </c>
      <c r="AS599" s="21">
        <v>0.92310000000000003</v>
      </c>
      <c r="AT599" s="21">
        <v>0.46410000000000001</v>
      </c>
      <c r="AU599" s="21">
        <v>0.27</v>
      </c>
      <c r="AV599" s="102" t="s">
        <v>4854</v>
      </c>
      <c r="AW599" s="21">
        <v>0.27200000000000002</v>
      </c>
      <c r="AX599" s="21">
        <v>0.121</v>
      </c>
      <c r="AY599" s="21">
        <v>0.26100000000000001</v>
      </c>
      <c r="AZ599" s="21">
        <v>0.25700000000000001</v>
      </c>
      <c r="BA599" s="21">
        <v>0.193</v>
      </c>
      <c r="BB599" s="21">
        <v>0.28100000000000003</v>
      </c>
      <c r="BC599" s="5">
        <v>1</v>
      </c>
      <c r="BD599" s="3" t="s">
        <v>4854</v>
      </c>
      <c r="BE599" s="5">
        <v>1</v>
      </c>
      <c r="BF599" s="5">
        <v>1</v>
      </c>
      <c r="BG599" s="5">
        <v>1</v>
      </c>
      <c r="BH599" s="5">
        <v>1</v>
      </c>
      <c r="BI599" s="5">
        <v>1</v>
      </c>
      <c r="BJ599" s="5">
        <v>1</v>
      </c>
      <c r="BK599" s="90">
        <v>1</v>
      </c>
      <c r="BL599" s="99" t="s">
        <v>4854</v>
      </c>
      <c r="BM599" s="90">
        <v>1</v>
      </c>
      <c r="BN599" s="90">
        <v>0.995</v>
      </c>
      <c r="BO599" s="90">
        <v>1</v>
      </c>
      <c r="BP599" s="90">
        <v>1</v>
      </c>
      <c r="BQ599" s="90">
        <v>0.998</v>
      </c>
      <c r="BR599" s="90">
        <v>1</v>
      </c>
      <c r="BS599" s="5" t="s">
        <v>4857</v>
      </c>
    </row>
    <row r="600" spans="1:71" s="30" customFormat="1" ht="17.100000000000001" customHeight="1">
      <c r="A600" s="10">
        <v>589</v>
      </c>
      <c r="B600" s="10" t="s">
        <v>2714</v>
      </c>
      <c r="C600" s="4" t="s">
        <v>2686</v>
      </c>
      <c r="D600" s="4" t="s">
        <v>2704</v>
      </c>
      <c r="E600" s="7" t="s">
        <v>2705</v>
      </c>
      <c r="F600" s="10" t="s">
        <v>5238</v>
      </c>
      <c r="G600" s="4" t="s">
        <v>2706</v>
      </c>
      <c r="H600" s="7" t="s">
        <v>2707</v>
      </c>
      <c r="I600" s="4" t="s">
        <v>2708</v>
      </c>
      <c r="J600" s="10" t="s">
        <v>4471</v>
      </c>
      <c r="K600" s="4" t="s">
        <v>5686</v>
      </c>
      <c r="L600" s="4" t="s">
        <v>2715</v>
      </c>
      <c r="M600" s="10">
        <v>2</v>
      </c>
      <c r="N600" s="95">
        <v>524.81110000000001</v>
      </c>
      <c r="O600" s="38" t="s">
        <v>4854</v>
      </c>
      <c r="P600" s="38" t="s">
        <v>4854</v>
      </c>
      <c r="Q600" s="37" t="str">
        <f>HYPERLINK("http://ms.phosphosite.org:5080/cgi-bin/plot-msms.cgi?MassType=1&amp;NumAxis=1&amp;Mod5=170&amp;Pep=AIITKSFAR&amp;Dta=/var/www/html/dta/S01/10560.6281.2.dta&amp;Global_Mod=CS57.0215", "6281")</f>
        <v>6281</v>
      </c>
      <c r="R600" s="38" t="s">
        <v>4854</v>
      </c>
      <c r="S600" s="37" t="str">
        <f>HYPERLINK("http://ms.phosphosite.org:5080/cgi-bin/plot-msms.cgi?MassType=1&amp;NumAxis=1&amp;Mod5=170&amp;Pep=AIITKSFAR&amp;Dta=/var/www/html/dta/S01/10562.6394.2.dta&amp;Global_Mod=CS57.0215", "6394")</f>
        <v>6394</v>
      </c>
      <c r="T600" s="37" t="str">
        <f>HYPERLINK("http://ms.phosphosite.org:5080/cgi-bin/plot-msms.cgi?MassType=1&amp;NumAxis=1&amp;Mod5=170&amp;Pep=AIITKSFAR&amp;Dta=/var/www/html/dta/S01/10563.6389.2.dta&amp;Global_Mod=CS57.0215", "6389")</f>
        <v>6389</v>
      </c>
      <c r="U600" s="38" t="s">
        <v>4854</v>
      </c>
      <c r="V600" s="37" t="str">
        <f>HYPERLINK("http://ms.phosphosite.org:5080/cgi-bin/plot-msms.cgi?MassType=1&amp;NumAxis=1&amp;Mod5=170&amp;Pep=AIITKSFAR&amp;Dta=/var/www/html/dta/S01/10565.6802.2.dta&amp;Global_Mod=CS57.0215", "6802")</f>
        <v>6802</v>
      </c>
      <c r="W600" s="4" t="s">
        <v>4854</v>
      </c>
      <c r="X600" s="4" t="s">
        <v>4854</v>
      </c>
      <c r="Y600" s="10">
        <v>6289</v>
      </c>
      <c r="Z600" s="4" t="s">
        <v>4854</v>
      </c>
      <c r="AA600" s="10">
        <v>6906</v>
      </c>
      <c r="AB600" s="10">
        <v>6849</v>
      </c>
      <c r="AC600" s="4" t="s">
        <v>4854</v>
      </c>
      <c r="AD600" s="10">
        <v>6823</v>
      </c>
      <c r="AE600" s="100" t="s">
        <v>4854</v>
      </c>
      <c r="AF600" s="100" t="s">
        <v>4854</v>
      </c>
      <c r="AG600" s="91">
        <v>2.5259999999999998</v>
      </c>
      <c r="AH600" s="100" t="s">
        <v>4854</v>
      </c>
      <c r="AI600" s="91">
        <v>1.86</v>
      </c>
      <c r="AJ600" s="91">
        <v>2.2970000000000002</v>
      </c>
      <c r="AK600" s="100" t="s">
        <v>4854</v>
      </c>
      <c r="AL600" s="91">
        <v>2.5099999999999998</v>
      </c>
      <c r="AM600" s="103" t="s">
        <v>4854</v>
      </c>
      <c r="AN600" s="103" t="s">
        <v>4854</v>
      </c>
      <c r="AO600" s="95">
        <v>-9.7000000000000003E-3</v>
      </c>
      <c r="AP600" s="103" t="s">
        <v>4854</v>
      </c>
      <c r="AQ600" s="95">
        <v>0.26490000000000002</v>
      </c>
      <c r="AR600" s="95">
        <v>-0.23480000000000001</v>
      </c>
      <c r="AS600" s="103" t="s">
        <v>4854</v>
      </c>
      <c r="AT600" s="95">
        <v>-0.24340000000000001</v>
      </c>
      <c r="AU600" s="103" t="s">
        <v>4854</v>
      </c>
      <c r="AV600" s="103" t="s">
        <v>4854</v>
      </c>
      <c r="AW600" s="95">
        <v>0.254</v>
      </c>
      <c r="AX600" s="103" t="s">
        <v>4854</v>
      </c>
      <c r="AY600" s="95">
        <v>0.111</v>
      </c>
      <c r="AZ600" s="95">
        <v>0.25800000000000001</v>
      </c>
      <c r="BA600" s="103" t="s">
        <v>4854</v>
      </c>
      <c r="BB600" s="95">
        <v>0.32800000000000001</v>
      </c>
      <c r="BC600" s="4" t="s">
        <v>4854</v>
      </c>
      <c r="BD600" s="4" t="s">
        <v>4854</v>
      </c>
      <c r="BE600" s="10">
        <v>1</v>
      </c>
      <c r="BF600" s="4" t="s">
        <v>4854</v>
      </c>
      <c r="BG600" s="10">
        <v>1</v>
      </c>
      <c r="BH600" s="10">
        <v>1</v>
      </c>
      <c r="BI600" s="4" t="s">
        <v>4854</v>
      </c>
      <c r="BJ600" s="10">
        <v>1</v>
      </c>
      <c r="BK600" s="100" t="s">
        <v>4854</v>
      </c>
      <c r="BL600" s="100" t="s">
        <v>4854</v>
      </c>
      <c r="BM600" s="91">
        <v>0.999</v>
      </c>
      <c r="BN600" s="100" t="s">
        <v>4854</v>
      </c>
      <c r="BO600" s="91">
        <v>0.97799999999999998</v>
      </c>
      <c r="BP600" s="91">
        <v>0.999</v>
      </c>
      <c r="BQ600" s="100" t="s">
        <v>4854</v>
      </c>
      <c r="BR600" s="91">
        <v>1</v>
      </c>
      <c r="BS600" s="10" t="s">
        <v>4857</v>
      </c>
    </row>
    <row r="601" spans="1:71" s="30" customFormat="1" ht="17.100000000000001" customHeight="1">
      <c r="A601" s="14">
        <v>590</v>
      </c>
      <c r="B601" s="5" t="s">
        <v>2716</v>
      </c>
      <c r="C601" s="3" t="s">
        <v>2686</v>
      </c>
      <c r="D601" s="3" t="s">
        <v>2717</v>
      </c>
      <c r="E601" s="3" t="s">
        <v>2718</v>
      </c>
      <c r="F601" s="5" t="s">
        <v>5295</v>
      </c>
      <c r="G601" s="3" t="s">
        <v>2719</v>
      </c>
      <c r="H601" s="6" t="s">
        <v>2720</v>
      </c>
      <c r="I601" s="3" t="s">
        <v>2721</v>
      </c>
      <c r="J601" s="5" t="s">
        <v>2722</v>
      </c>
      <c r="K601" s="3" t="s">
        <v>5687</v>
      </c>
      <c r="L601" s="3" t="s">
        <v>2723</v>
      </c>
      <c r="M601" s="5">
        <v>2</v>
      </c>
      <c r="N601" s="21">
        <v>682.86210000000005</v>
      </c>
      <c r="O601" s="36" t="str">
        <f>HYPERLINK("http://ms.phosphosite.org:5080/cgi-bin/plot-msms.cgi?MassType=1&amp;NumAxis=1&amp;Mod2=170&amp;Pep=DKYVTVQNTVR&amp;Dta=/var/www/html/dta/S01/10558.5243.2.dta&amp;Global_Mod=CS57.0215", "5243")</f>
        <v>5243</v>
      </c>
      <c r="P601" s="36" t="str">
        <f>HYPERLINK("http://ms.phosphosite.org:5080/cgi-bin/plot-msms.cgi?MassType=1&amp;NumAxis=1&amp;Mod2=170&amp;Pep=DKYVTVQNTVR&amp;Dta=/var/www/html/dta/S01/10559.5241.2.dta&amp;Global_Mod=CS57.0215", "5241")</f>
        <v>5241</v>
      </c>
      <c r="Q601" s="36" t="str">
        <f>HYPERLINK("http://ms.phosphosite.org:5080/cgi-bin/plot-msms.cgi?MassType=1&amp;NumAxis=1&amp;Mod2=170&amp;Pep=DKYVTVQNTVR&amp;Dta=/var/www/html/dta/S01/10560.5157.2.dta&amp;Global_Mod=CS57.0215", "5157")</f>
        <v>5157</v>
      </c>
      <c r="R601" s="36" t="str">
        <f>HYPERLINK("http://ms.phosphosite.org:5080/cgi-bin/plot-msms.cgi?MassType=1&amp;NumAxis=1&amp;Mod2=170&amp;Pep=DKYVTVQNTVR&amp;Dta=/var/www/html/dta/S01/10561.5295.2.dta&amp;Global_Mod=CS57.0215", "5295")</f>
        <v>5295</v>
      </c>
      <c r="S601" s="36" t="str">
        <f>HYPERLINK("http://ms.phosphosite.org:5080/cgi-bin/plot-msms.cgi?MassType=1&amp;NumAxis=1&amp;Mod2=170&amp;Pep=DKYVTVQNTVR&amp;Dta=/var/www/html/dta/S01/10562.5296.2.dta&amp;Global_Mod=CS57.0215", "5296")</f>
        <v>5296</v>
      </c>
      <c r="T601" s="36" t="str">
        <f>HYPERLINK("http://ms.phosphosite.org:5080/cgi-bin/plot-msms.cgi?MassType=1&amp;NumAxis=1&amp;Mod2=170&amp;Pep=DKYVTVQNTVR&amp;Dta=/var/www/html/dta/S01/10563.5235.2.dta&amp;Global_Mod=CS57.0215", "5235")</f>
        <v>5235</v>
      </c>
      <c r="U601" s="36" t="str">
        <f>HYPERLINK("http://ms.phosphosite.org:5080/cgi-bin/plot-msms.cgi?MassType=1&amp;NumAxis=1&amp;Mod2=170&amp;Pep=DKYVTVQNTVR&amp;Dta=/var/www/html/dta/S01/10564.5566.2.dta&amp;Global_Mod=CS57.0215", "5566")</f>
        <v>5566</v>
      </c>
      <c r="V601" s="36" t="str">
        <f>HYPERLINK("http://ms.phosphosite.org:5080/cgi-bin/plot-msms.cgi?MassType=1&amp;NumAxis=1&amp;Mod2=170&amp;Pep=DKYVTVQNTVR&amp;Dta=/var/www/html/dta/S01/10565.5673.2.dta&amp;Global_Mod=CS57.0215", "5673")</f>
        <v>5673</v>
      </c>
      <c r="W601" s="5">
        <v>5283</v>
      </c>
      <c r="X601" s="5">
        <v>5207</v>
      </c>
      <c r="Y601" s="5">
        <v>5200</v>
      </c>
      <c r="Z601" s="5">
        <v>5238</v>
      </c>
      <c r="AA601" s="5">
        <v>5336</v>
      </c>
      <c r="AB601" s="5">
        <v>5276</v>
      </c>
      <c r="AC601" s="5">
        <v>5605</v>
      </c>
      <c r="AD601" s="5">
        <v>5713</v>
      </c>
      <c r="AE601" s="90">
        <v>2.8090000000000002</v>
      </c>
      <c r="AF601" s="90">
        <v>3.2549999999999999</v>
      </c>
      <c r="AG601" s="90">
        <v>3</v>
      </c>
      <c r="AH601" s="90">
        <v>3.109</v>
      </c>
      <c r="AI601" s="90">
        <v>3.1019999999999999</v>
      </c>
      <c r="AJ601" s="90">
        <v>2.9929999999999999</v>
      </c>
      <c r="AK601" s="90">
        <v>3.22</v>
      </c>
      <c r="AL601" s="90">
        <v>3.1</v>
      </c>
      <c r="AM601" s="21">
        <v>9.0800000000000006E-2</v>
      </c>
      <c r="AN601" s="21">
        <v>0.1729</v>
      </c>
      <c r="AO601" s="21">
        <v>0.27400000000000002</v>
      </c>
      <c r="AP601" s="21">
        <v>0.28570000000000001</v>
      </c>
      <c r="AQ601" s="21">
        <v>0.16109999999999999</v>
      </c>
      <c r="AR601" s="21">
        <v>0.30330000000000001</v>
      </c>
      <c r="AS601" s="21">
        <v>6.7299999999999999E-2</v>
      </c>
      <c r="AT601" s="21">
        <v>-0.27189999999999998</v>
      </c>
      <c r="AU601" s="21">
        <v>0.34799999999999998</v>
      </c>
      <c r="AV601" s="21">
        <v>0.35299999999999998</v>
      </c>
      <c r="AW601" s="21">
        <v>0.32800000000000001</v>
      </c>
      <c r="AX601" s="21">
        <v>0.374</v>
      </c>
      <c r="AY601" s="21">
        <v>0.36799999999999999</v>
      </c>
      <c r="AZ601" s="21">
        <v>0.34899999999999998</v>
      </c>
      <c r="BA601" s="21">
        <v>0.33400000000000002</v>
      </c>
      <c r="BB601" s="21">
        <v>0.315</v>
      </c>
      <c r="BC601" s="5">
        <v>1</v>
      </c>
      <c r="BD601" s="5">
        <v>1</v>
      </c>
      <c r="BE601" s="5">
        <v>1</v>
      </c>
      <c r="BF601" s="5">
        <v>1</v>
      </c>
      <c r="BG601" s="5">
        <v>1</v>
      </c>
      <c r="BH601" s="5">
        <v>1</v>
      </c>
      <c r="BI601" s="5">
        <v>1</v>
      </c>
      <c r="BJ601" s="5">
        <v>1</v>
      </c>
      <c r="BK601" s="90">
        <v>1</v>
      </c>
      <c r="BL601" s="90">
        <v>1</v>
      </c>
      <c r="BM601" s="90">
        <v>1</v>
      </c>
      <c r="BN601" s="90">
        <v>1</v>
      </c>
      <c r="BO601" s="90">
        <v>1</v>
      </c>
      <c r="BP601" s="90">
        <v>1</v>
      </c>
      <c r="BQ601" s="90">
        <v>1</v>
      </c>
      <c r="BR601" s="90">
        <v>1</v>
      </c>
      <c r="BS601" s="5" t="s">
        <v>4857</v>
      </c>
    </row>
    <row r="602" spans="1:71" s="30" customFormat="1" ht="17.100000000000001" customHeight="1">
      <c r="A602" s="14">
        <v>591</v>
      </c>
      <c r="B602" s="5" t="s">
        <v>2724</v>
      </c>
      <c r="C602" s="3" t="s">
        <v>2686</v>
      </c>
      <c r="D602" s="3" t="s">
        <v>2717</v>
      </c>
      <c r="E602" s="3" t="s">
        <v>2718</v>
      </c>
      <c r="F602" s="5" t="s">
        <v>5295</v>
      </c>
      <c r="G602" s="3" t="s">
        <v>2719</v>
      </c>
      <c r="H602" s="6" t="s">
        <v>2720</v>
      </c>
      <c r="I602" s="3" t="s">
        <v>2721</v>
      </c>
      <c r="J602" s="5" t="s">
        <v>2722</v>
      </c>
      <c r="K602" s="3" t="s">
        <v>5687</v>
      </c>
      <c r="L602" s="3" t="s">
        <v>2723</v>
      </c>
      <c r="M602" s="5">
        <v>2</v>
      </c>
      <c r="N602" s="21">
        <v>682.86210000000005</v>
      </c>
      <c r="O602" s="36" t="str">
        <f>HYPERLINK("http://ms.phosphosite.org:5080/cgi-bin/plot-msms.cgi?MassType=1&amp;NumAxis=1&amp;Mod2=170&amp;Pep=DKYVTVQNTVR&amp;Dta=/var/www/html/dta/S01/10558.5330.2.dta&amp;Global_Mod=CS57.0215", "5330")</f>
        <v>5330</v>
      </c>
      <c r="P602" s="36" t="str">
        <f>HYPERLINK("http://ms.phosphosite.org:5080/cgi-bin/plot-msms.cgi?MassType=1&amp;NumAxis=1&amp;Mod2=170&amp;Pep=DKYVTVQNTVR&amp;Dta=/var/www/html/dta/S01/10559.5161.2.dta&amp;Global_Mod=CS57.0215", "5161")</f>
        <v>5161</v>
      </c>
      <c r="Q602" s="36" t="str">
        <f>HYPERLINK("http://ms.phosphosite.org:5080/cgi-bin/plot-msms.cgi?MassType=1&amp;NumAxis=1&amp;Mod2=170&amp;Pep=DKYVTVQNTVR&amp;Dta=/var/www/html/dta/S01/10560.5251.2.dta&amp;Global_Mod=CS57.0215", "5251")</f>
        <v>5251</v>
      </c>
      <c r="R602" s="36" t="str">
        <f>HYPERLINK("http://ms.phosphosite.org:5080/cgi-bin/plot-msms.cgi?MassType=1&amp;NumAxis=1&amp;Mod2=170&amp;Pep=DKYVTVQNTVR&amp;Dta=/var/www/html/dta/S01/10561.5202.2.dta&amp;Global_Mod=CS57.0215", "5202")</f>
        <v>5202</v>
      </c>
      <c r="S602" s="36" t="str">
        <f>HYPERLINK("http://ms.phosphosite.org:5080/cgi-bin/plot-msms.cgi?MassType=1&amp;NumAxis=1&amp;Mod2=170&amp;Pep=DKYVTVQNTVR&amp;Dta=/var/www/html/dta/S01/10562.5410.2.dta&amp;Global_Mod=CS57.0215", "5410")</f>
        <v>5410</v>
      </c>
      <c r="T602" s="36" t="str">
        <f>HYPERLINK("http://ms.phosphosite.org:5080/cgi-bin/plot-msms.cgi?MassType=1&amp;NumAxis=1&amp;Mod2=170&amp;Pep=DKYVTVQNTVR&amp;Dta=/var/www/html/dta/S01/10563.5339.2.dta&amp;Global_Mod=CS57.0215", "5339")</f>
        <v>5339</v>
      </c>
      <c r="U602" s="36" t="str">
        <f>HYPERLINK("http://ms.phosphosite.org:5080/cgi-bin/plot-msms.cgi?MassType=1&amp;NumAxis=1&amp;Mod2=170&amp;Pep=DKYVTVQNTVR&amp;Dta=/var/www/html/dta/S01/10564.5662.2.dta&amp;Global_Mod=CS57.0215", "5662")</f>
        <v>5662</v>
      </c>
      <c r="V602" s="36" t="str">
        <f>HYPERLINK("http://ms.phosphosite.org:5080/cgi-bin/plot-msms.cgi?MassType=1&amp;NumAxis=1&amp;Mod2=170&amp;Pep=DKYVTVQNTVR&amp;Dta=/var/www/html/dta/S01/10565.5772.2.dta&amp;Global_Mod=CS57.0215", "5772")</f>
        <v>5772</v>
      </c>
      <c r="W602" s="5">
        <v>5283</v>
      </c>
      <c r="X602" s="5">
        <v>5207</v>
      </c>
      <c r="Y602" s="5">
        <v>5200</v>
      </c>
      <c r="Z602" s="5">
        <v>5238</v>
      </c>
      <c r="AA602" s="5">
        <v>5336</v>
      </c>
      <c r="AB602" s="5">
        <v>5276</v>
      </c>
      <c r="AC602" s="5">
        <v>5605</v>
      </c>
      <c r="AD602" s="5">
        <v>5713</v>
      </c>
      <c r="AE602" s="90">
        <v>2.78</v>
      </c>
      <c r="AF602" s="90">
        <v>3.0459999999999998</v>
      </c>
      <c r="AG602" s="90">
        <v>2.9510000000000001</v>
      </c>
      <c r="AH602" s="90">
        <v>3.0219999999999998</v>
      </c>
      <c r="AI602" s="90">
        <v>2.7320000000000002</v>
      </c>
      <c r="AJ602" s="90">
        <v>2.7639999999999998</v>
      </c>
      <c r="AK602" s="90">
        <v>2.8039999999999998</v>
      </c>
      <c r="AL602" s="90">
        <v>2.7589999999999999</v>
      </c>
      <c r="AM602" s="21">
        <v>9.8799999999999999E-2</v>
      </c>
      <c r="AN602" s="21">
        <v>0.1575</v>
      </c>
      <c r="AO602" s="21">
        <v>0.29599999999999999</v>
      </c>
      <c r="AP602" s="21">
        <v>0.2417</v>
      </c>
      <c r="AQ602" s="21">
        <v>0.1641</v>
      </c>
      <c r="AR602" s="21">
        <v>0.30620000000000003</v>
      </c>
      <c r="AS602" s="21">
        <v>7.0999999999999994E-2</v>
      </c>
      <c r="AT602" s="21">
        <v>-0.22209999999999999</v>
      </c>
      <c r="AU602" s="21">
        <v>0.307</v>
      </c>
      <c r="AV602" s="21">
        <v>0.37</v>
      </c>
      <c r="AW602" s="21">
        <v>0.27400000000000002</v>
      </c>
      <c r="AX602" s="21">
        <v>0.374</v>
      </c>
      <c r="AY602" s="21">
        <v>0.29099999999999998</v>
      </c>
      <c r="AZ602" s="21">
        <v>0.223</v>
      </c>
      <c r="BA602" s="21">
        <v>0.23899999999999999</v>
      </c>
      <c r="BB602" s="21">
        <v>0.32200000000000001</v>
      </c>
      <c r="BC602" s="5">
        <v>1</v>
      </c>
      <c r="BD602" s="5">
        <v>1</v>
      </c>
      <c r="BE602" s="5">
        <v>1</v>
      </c>
      <c r="BF602" s="5">
        <v>1</v>
      </c>
      <c r="BG602" s="5">
        <v>1</v>
      </c>
      <c r="BH602" s="5">
        <v>1</v>
      </c>
      <c r="BI602" s="5">
        <v>1</v>
      </c>
      <c r="BJ602" s="5">
        <v>1</v>
      </c>
      <c r="BK602" s="90">
        <v>1</v>
      </c>
      <c r="BL602" s="90">
        <v>1</v>
      </c>
      <c r="BM602" s="90">
        <v>1</v>
      </c>
      <c r="BN602" s="90">
        <v>1</v>
      </c>
      <c r="BO602" s="90">
        <v>0.999</v>
      </c>
      <c r="BP602" s="90">
        <v>0.999</v>
      </c>
      <c r="BQ602" s="90">
        <v>0.999</v>
      </c>
      <c r="BR602" s="90">
        <v>1</v>
      </c>
      <c r="BS602" s="5" t="s">
        <v>4857</v>
      </c>
    </row>
    <row r="603" spans="1:71" s="30" customFormat="1" ht="17.100000000000001" customHeight="1">
      <c r="A603" s="14">
        <v>592</v>
      </c>
      <c r="B603" s="5" t="s">
        <v>4581</v>
      </c>
      <c r="C603" s="3" t="s">
        <v>2686</v>
      </c>
      <c r="D603" s="3" t="s">
        <v>2717</v>
      </c>
      <c r="E603" s="3" t="s">
        <v>2718</v>
      </c>
      <c r="F603" s="5" t="s">
        <v>5295</v>
      </c>
      <c r="G603" s="3" t="s">
        <v>2719</v>
      </c>
      <c r="H603" s="6" t="s">
        <v>2720</v>
      </c>
      <c r="I603" s="3" t="s">
        <v>2721</v>
      </c>
      <c r="J603" s="5" t="s">
        <v>2722</v>
      </c>
      <c r="K603" s="3" t="s">
        <v>5687</v>
      </c>
      <c r="L603" s="3" t="s">
        <v>2723</v>
      </c>
      <c r="M603" s="5">
        <v>2</v>
      </c>
      <c r="N603" s="21">
        <v>682.86210000000005</v>
      </c>
      <c r="O603" s="35" t="s">
        <v>4854</v>
      </c>
      <c r="P603" s="35" t="s">
        <v>4854</v>
      </c>
      <c r="Q603" s="35" t="s">
        <v>4854</v>
      </c>
      <c r="R603" s="35" t="s">
        <v>4854</v>
      </c>
      <c r="S603" s="36" t="str">
        <f>HYPERLINK("http://ms.phosphosite.org:5080/cgi-bin/plot-msms.cgi?MassType=1&amp;NumAxis=1&amp;Mod2=170&amp;Pep=DKYVTVQNTVR&amp;Dta=/var/www/html/dta/S01/10562.5400.2.dta&amp;Global_Mod=CS57.0215", "5400")</f>
        <v>5400</v>
      </c>
      <c r="T603" s="35" t="s">
        <v>4854</v>
      </c>
      <c r="U603" s="35" t="s">
        <v>4854</v>
      </c>
      <c r="V603" s="35" t="s">
        <v>4854</v>
      </c>
      <c r="W603" s="3" t="s">
        <v>4854</v>
      </c>
      <c r="X603" s="3" t="s">
        <v>4854</v>
      </c>
      <c r="Y603" s="3" t="s">
        <v>4854</v>
      </c>
      <c r="Z603" s="3" t="s">
        <v>4854</v>
      </c>
      <c r="AA603" s="5">
        <v>5336</v>
      </c>
      <c r="AB603" s="3" t="s">
        <v>4854</v>
      </c>
      <c r="AC603" s="3" t="s">
        <v>4854</v>
      </c>
      <c r="AD603" s="3" t="s">
        <v>4854</v>
      </c>
      <c r="AE603" s="99" t="s">
        <v>4854</v>
      </c>
      <c r="AF603" s="99" t="s">
        <v>4854</v>
      </c>
      <c r="AG603" s="99" t="s">
        <v>4854</v>
      </c>
      <c r="AH603" s="99" t="s">
        <v>4854</v>
      </c>
      <c r="AI603" s="90">
        <v>2.6640000000000001</v>
      </c>
      <c r="AJ603" s="99" t="s">
        <v>4854</v>
      </c>
      <c r="AK603" s="99" t="s">
        <v>4854</v>
      </c>
      <c r="AL603" s="99" t="s">
        <v>4854</v>
      </c>
      <c r="AM603" s="102" t="s">
        <v>4854</v>
      </c>
      <c r="AN603" s="102" t="s">
        <v>4854</v>
      </c>
      <c r="AO603" s="102" t="s">
        <v>4854</v>
      </c>
      <c r="AP603" s="102" t="s">
        <v>4854</v>
      </c>
      <c r="AQ603" s="21">
        <v>0.15160000000000001</v>
      </c>
      <c r="AR603" s="102" t="s">
        <v>4854</v>
      </c>
      <c r="AS603" s="102" t="s">
        <v>4854</v>
      </c>
      <c r="AT603" s="102" t="s">
        <v>4854</v>
      </c>
      <c r="AU603" s="102" t="s">
        <v>4854</v>
      </c>
      <c r="AV603" s="102" t="s">
        <v>4854</v>
      </c>
      <c r="AW603" s="102" t="s">
        <v>4854</v>
      </c>
      <c r="AX603" s="102" t="s">
        <v>4854</v>
      </c>
      <c r="AY603" s="21">
        <v>0.221</v>
      </c>
      <c r="AZ603" s="102" t="s">
        <v>4854</v>
      </c>
      <c r="BA603" s="102" t="s">
        <v>4854</v>
      </c>
      <c r="BB603" s="102" t="s">
        <v>4854</v>
      </c>
      <c r="BC603" s="3" t="s">
        <v>4854</v>
      </c>
      <c r="BD603" s="3" t="s">
        <v>4854</v>
      </c>
      <c r="BE603" s="3" t="s">
        <v>4854</v>
      </c>
      <c r="BF603" s="3" t="s">
        <v>4854</v>
      </c>
      <c r="BG603" s="5">
        <v>1</v>
      </c>
      <c r="BH603" s="3" t="s">
        <v>4854</v>
      </c>
      <c r="BI603" s="3" t="s">
        <v>4854</v>
      </c>
      <c r="BJ603" s="3" t="s">
        <v>4854</v>
      </c>
      <c r="BK603" s="99" t="s">
        <v>4854</v>
      </c>
      <c r="BL603" s="99" t="s">
        <v>4854</v>
      </c>
      <c r="BM603" s="99" t="s">
        <v>4854</v>
      </c>
      <c r="BN603" s="99" t="s">
        <v>4854</v>
      </c>
      <c r="BO603" s="90">
        <v>0.999</v>
      </c>
      <c r="BP603" s="99" t="s">
        <v>4854</v>
      </c>
      <c r="BQ603" s="99" t="s">
        <v>4854</v>
      </c>
      <c r="BR603" s="99" t="s">
        <v>4854</v>
      </c>
      <c r="BS603" s="5" t="s">
        <v>4857</v>
      </c>
    </row>
    <row r="604" spans="1:71" s="30" customFormat="1" ht="17.100000000000001" customHeight="1">
      <c r="A604" s="10">
        <v>593</v>
      </c>
      <c r="B604" s="10" t="s">
        <v>2725</v>
      </c>
      <c r="C604" s="4" t="s">
        <v>2686</v>
      </c>
      <c r="D604" s="4" t="s">
        <v>2726</v>
      </c>
      <c r="E604" s="4" t="s">
        <v>2727</v>
      </c>
      <c r="F604" s="10" t="s">
        <v>5019</v>
      </c>
      <c r="G604" s="4" t="s">
        <v>2728</v>
      </c>
      <c r="H604" s="7" t="s">
        <v>2729</v>
      </c>
      <c r="I604" s="4" t="s">
        <v>2602</v>
      </c>
      <c r="J604" s="10" t="s">
        <v>4823</v>
      </c>
      <c r="K604" s="4" t="s">
        <v>5688</v>
      </c>
      <c r="L604" s="4" t="s">
        <v>2603</v>
      </c>
      <c r="M604" s="10">
        <v>3</v>
      </c>
      <c r="N604" s="95">
        <v>468.9246</v>
      </c>
      <c r="O604" s="38" t="s">
        <v>4854</v>
      </c>
      <c r="P604" s="37" t="str">
        <f>HYPERLINK("http://ms.phosphosite.org:5080/cgi-bin/plot-msms.cgi?MassType=1&amp;NumAxis=1&amp;Mod7=170&amp;Pep=SALRDEKGALFR&amp;Dta=/var/www/html/dta/S01/10559.6633.3.dta&amp;Global_Mod=CS57.0215", "6633")</f>
        <v>6633</v>
      </c>
      <c r="Q604" s="38" t="s">
        <v>4854</v>
      </c>
      <c r="R604" s="38" t="s">
        <v>4854</v>
      </c>
      <c r="S604" s="38" t="s">
        <v>4854</v>
      </c>
      <c r="T604" s="38" t="s">
        <v>4854</v>
      </c>
      <c r="U604" s="38" t="s">
        <v>4854</v>
      </c>
      <c r="V604" s="38" t="s">
        <v>4854</v>
      </c>
      <c r="W604" s="4" t="s">
        <v>4854</v>
      </c>
      <c r="X604" s="10">
        <v>6646</v>
      </c>
      <c r="Y604" s="4" t="s">
        <v>4854</v>
      </c>
      <c r="Z604" s="4" t="s">
        <v>4854</v>
      </c>
      <c r="AA604" s="4" t="s">
        <v>4854</v>
      </c>
      <c r="AB604" s="4" t="s">
        <v>4854</v>
      </c>
      <c r="AC604" s="4" t="s">
        <v>4854</v>
      </c>
      <c r="AD604" s="4" t="s">
        <v>4854</v>
      </c>
      <c r="AE604" s="100" t="s">
        <v>4854</v>
      </c>
      <c r="AF604" s="91">
        <v>2.4140000000000001</v>
      </c>
      <c r="AG604" s="100" t="s">
        <v>4854</v>
      </c>
      <c r="AH604" s="100" t="s">
        <v>4854</v>
      </c>
      <c r="AI604" s="100" t="s">
        <v>4854</v>
      </c>
      <c r="AJ604" s="100" t="s">
        <v>4854</v>
      </c>
      <c r="AK604" s="100" t="s">
        <v>4854</v>
      </c>
      <c r="AL604" s="100" t="s">
        <v>4854</v>
      </c>
      <c r="AM604" s="103" t="s">
        <v>4854</v>
      </c>
      <c r="AN604" s="95">
        <v>-4.0300000000000002E-2</v>
      </c>
      <c r="AO604" s="103" t="s">
        <v>4854</v>
      </c>
      <c r="AP604" s="103" t="s">
        <v>4854</v>
      </c>
      <c r="AQ604" s="103" t="s">
        <v>4854</v>
      </c>
      <c r="AR604" s="103" t="s">
        <v>4854</v>
      </c>
      <c r="AS604" s="103" t="s">
        <v>4854</v>
      </c>
      <c r="AT604" s="103" t="s">
        <v>4854</v>
      </c>
      <c r="AU604" s="103" t="s">
        <v>4854</v>
      </c>
      <c r="AV604" s="95">
        <v>0.191</v>
      </c>
      <c r="AW604" s="103" t="s">
        <v>4854</v>
      </c>
      <c r="AX604" s="103" t="s">
        <v>4854</v>
      </c>
      <c r="AY604" s="103" t="s">
        <v>4854</v>
      </c>
      <c r="AZ604" s="103" t="s">
        <v>4854</v>
      </c>
      <c r="BA604" s="103" t="s">
        <v>4854</v>
      </c>
      <c r="BB604" s="103" t="s">
        <v>4854</v>
      </c>
      <c r="BC604" s="4" t="s">
        <v>4854</v>
      </c>
      <c r="BD604" s="10">
        <v>1</v>
      </c>
      <c r="BE604" s="4" t="s">
        <v>4854</v>
      </c>
      <c r="BF604" s="4" t="s">
        <v>4854</v>
      </c>
      <c r="BG604" s="4" t="s">
        <v>4854</v>
      </c>
      <c r="BH604" s="4" t="s">
        <v>4854</v>
      </c>
      <c r="BI604" s="4" t="s">
        <v>4854</v>
      </c>
      <c r="BJ604" s="4" t="s">
        <v>4854</v>
      </c>
      <c r="BK604" s="100" t="s">
        <v>4854</v>
      </c>
      <c r="BL604" s="91">
        <v>0.997</v>
      </c>
      <c r="BM604" s="100" t="s">
        <v>4854</v>
      </c>
      <c r="BN604" s="100" t="s">
        <v>4854</v>
      </c>
      <c r="BO604" s="100" t="s">
        <v>4854</v>
      </c>
      <c r="BP604" s="100" t="s">
        <v>4854</v>
      </c>
      <c r="BQ604" s="100" t="s">
        <v>4854</v>
      </c>
      <c r="BR604" s="100" t="s">
        <v>4854</v>
      </c>
      <c r="BS604" s="10" t="s">
        <v>4857</v>
      </c>
    </row>
    <row r="605" spans="1:71" s="30" customFormat="1" ht="17.100000000000001" customHeight="1">
      <c r="A605" s="14">
        <v>594</v>
      </c>
      <c r="B605" s="5" t="s">
        <v>2604</v>
      </c>
      <c r="C605" s="3" t="s">
        <v>2686</v>
      </c>
      <c r="D605" s="3" t="s">
        <v>2605</v>
      </c>
      <c r="E605" s="3" t="s">
        <v>2606</v>
      </c>
      <c r="F605" s="5" t="s">
        <v>5061</v>
      </c>
      <c r="G605" s="3" t="s">
        <v>2607</v>
      </c>
      <c r="H605" s="6" t="s">
        <v>2608</v>
      </c>
      <c r="I605" s="3" t="s">
        <v>2609</v>
      </c>
      <c r="J605" s="5" t="s">
        <v>4664</v>
      </c>
      <c r="K605" s="3" t="s">
        <v>5689</v>
      </c>
      <c r="L605" s="3" t="s">
        <v>2610</v>
      </c>
      <c r="M605" s="5">
        <v>2</v>
      </c>
      <c r="N605" s="21">
        <v>529.3057</v>
      </c>
      <c r="O605" s="36" t="str">
        <f>HYPERLINK("http://ms.phosphosite.org:5080/cgi-bin/plot-msms.cgi?MassType=1&amp;NumAxis=1&amp;Mod3=170&amp;Pep=ITKHFELK&amp;Dta=/var/www/html/dta/S01/10558.4644.2.dta&amp;Global_Mod=CS57.0215", "4644")</f>
        <v>4644</v>
      </c>
      <c r="P605" s="36" t="str">
        <f>HYPERLINK("http://ms.phosphosite.org:5080/cgi-bin/plot-msms.cgi?MassType=1&amp;NumAxis=1&amp;Mod3=170&amp;Pep=ITKHFELK&amp;Dta=/var/www/html/dta/S01/10559.4566.2.dta&amp;Global_Mod=CS57.0215", "4566")</f>
        <v>4566</v>
      </c>
      <c r="Q605" s="35" t="s">
        <v>4854</v>
      </c>
      <c r="R605" s="36" t="str">
        <f>HYPERLINK("http://ms.phosphosite.org:5080/cgi-bin/plot-msms.cgi?MassType=1&amp;NumAxis=1&amp;Mod3=170&amp;Pep=ITKHFELK&amp;Dta=/var/www/html/dta/S01/10561.4594.2.dta&amp;Global_Mod=CS57.0215", "4594")</f>
        <v>4594</v>
      </c>
      <c r="S605" s="35" t="s">
        <v>4854</v>
      </c>
      <c r="T605" s="36" t="str">
        <f>HYPERLINK("http://ms.phosphosite.org:5080/cgi-bin/plot-msms.cgi?MassType=1&amp;NumAxis=1&amp;Mod3=170&amp;Pep=ITKHFELK&amp;Dta=/var/www/html/dta/S01/10563.4636.2.dta&amp;Global_Mod=CS57.0215", "4636")</f>
        <v>4636</v>
      </c>
      <c r="U605" s="35" t="s">
        <v>4854</v>
      </c>
      <c r="V605" s="36" t="str">
        <f>HYPERLINK("http://ms.phosphosite.org:5080/cgi-bin/plot-msms.cgi?MassType=1&amp;NumAxis=1&amp;Mod3=170&amp;Pep=ITKHFELK&amp;Dta=/var/www/html/dta/S01/10565.5074.2.dta&amp;Global_Mod=CS57.0215", "5074")</f>
        <v>5074</v>
      </c>
      <c r="W605" s="3" t="s">
        <v>4854</v>
      </c>
      <c r="X605" s="5">
        <v>4591</v>
      </c>
      <c r="Y605" s="3" t="s">
        <v>4854</v>
      </c>
      <c r="Z605" s="5">
        <v>4622</v>
      </c>
      <c r="AA605" s="3" t="s">
        <v>4854</v>
      </c>
      <c r="AB605" s="3" t="s">
        <v>4854</v>
      </c>
      <c r="AC605" s="3" t="s">
        <v>4854</v>
      </c>
      <c r="AD605" s="3" t="s">
        <v>4854</v>
      </c>
      <c r="AE605" s="90">
        <v>1.722</v>
      </c>
      <c r="AF605" s="90">
        <v>2.1579999999999999</v>
      </c>
      <c r="AG605" s="99" t="s">
        <v>4854</v>
      </c>
      <c r="AH605" s="90">
        <v>2.3260000000000001</v>
      </c>
      <c r="AI605" s="99" t="s">
        <v>4854</v>
      </c>
      <c r="AJ605" s="90">
        <v>1.877</v>
      </c>
      <c r="AK605" s="99" t="s">
        <v>4854</v>
      </c>
      <c r="AL605" s="90">
        <v>1.7989999999999999</v>
      </c>
      <c r="AM605" s="21">
        <v>-0.30370000000000003</v>
      </c>
      <c r="AN605" s="21">
        <v>-0.31790000000000002</v>
      </c>
      <c r="AO605" s="102" t="s">
        <v>4854</v>
      </c>
      <c r="AP605" s="21">
        <v>0.33929999999999999</v>
      </c>
      <c r="AQ605" s="102" t="s">
        <v>4854</v>
      </c>
      <c r="AR605" s="21">
        <v>-5.1200000000000002E-2</v>
      </c>
      <c r="AS605" s="102" t="s">
        <v>4854</v>
      </c>
      <c r="AT605" s="21">
        <v>-0.24790000000000001</v>
      </c>
      <c r="AU605" s="21">
        <v>0.05</v>
      </c>
      <c r="AV605" s="21">
        <v>0.127</v>
      </c>
      <c r="AW605" s="102" t="s">
        <v>4854</v>
      </c>
      <c r="AX605" s="21">
        <v>5.0999999999999997E-2</v>
      </c>
      <c r="AY605" s="102" t="s">
        <v>4854</v>
      </c>
      <c r="AZ605" s="21">
        <v>4.3999999999999997E-2</v>
      </c>
      <c r="BA605" s="102" t="s">
        <v>4854</v>
      </c>
      <c r="BB605" s="21">
        <v>8.5999999999999993E-2</v>
      </c>
      <c r="BC605" s="5">
        <v>3</v>
      </c>
      <c r="BD605" s="5">
        <v>11</v>
      </c>
      <c r="BE605" s="3" t="s">
        <v>4854</v>
      </c>
      <c r="BF605" s="5">
        <v>3</v>
      </c>
      <c r="BG605" s="3" t="s">
        <v>4854</v>
      </c>
      <c r="BH605" s="5">
        <v>14</v>
      </c>
      <c r="BI605" s="3" t="s">
        <v>4854</v>
      </c>
      <c r="BJ605" s="5">
        <v>5</v>
      </c>
      <c r="BK605" s="90">
        <v>0.91900000000000004</v>
      </c>
      <c r="BL605" s="90">
        <v>0.98499999999999999</v>
      </c>
      <c r="BM605" s="99" t="s">
        <v>4854</v>
      </c>
      <c r="BN605" s="90">
        <v>0.98399999999999999</v>
      </c>
      <c r="BO605" s="99" t="s">
        <v>4854</v>
      </c>
      <c r="BP605" s="90">
        <v>0.91100000000000003</v>
      </c>
      <c r="BQ605" s="99" t="s">
        <v>4854</v>
      </c>
      <c r="BR605" s="90">
        <v>0.95</v>
      </c>
      <c r="BS605" s="5" t="s">
        <v>4857</v>
      </c>
    </row>
    <row r="606" spans="1:71" s="30" customFormat="1" ht="17.100000000000001" customHeight="1">
      <c r="A606" s="10">
        <v>595</v>
      </c>
      <c r="B606" s="10" t="s">
        <v>2611</v>
      </c>
      <c r="C606" s="4" t="s">
        <v>2686</v>
      </c>
      <c r="D606" s="4" t="s">
        <v>2605</v>
      </c>
      <c r="E606" s="4" t="s">
        <v>2606</v>
      </c>
      <c r="F606" s="10" t="s">
        <v>5251</v>
      </c>
      <c r="G606" s="4" t="s">
        <v>2607</v>
      </c>
      <c r="H606" s="7" t="s">
        <v>2608</v>
      </c>
      <c r="I606" s="4" t="s">
        <v>2609</v>
      </c>
      <c r="J606" s="10" t="s">
        <v>4664</v>
      </c>
      <c r="K606" s="4" t="s">
        <v>5690</v>
      </c>
      <c r="L606" s="4" t="s">
        <v>2612</v>
      </c>
      <c r="M606" s="10">
        <v>2</v>
      </c>
      <c r="N606" s="95">
        <v>847.4547</v>
      </c>
      <c r="O606" s="38" t="s">
        <v>4854</v>
      </c>
      <c r="P606" s="37" t="str">
        <f>HYPERLINK("http://ms.phosphosite.org:5080/cgi-bin/plot-msms.cgi?MassType=1&amp;NumAxis=1&amp;Mod5=170&amp;Pep=HFELKHLSSGDLLR&amp;Dta=/var/www/html/dta/S01/10559.7953.2.dta&amp;Global_Mod=CS57.0215", "7953")</f>
        <v>7953</v>
      </c>
      <c r="Q606" s="38" t="s">
        <v>4854</v>
      </c>
      <c r="R606" s="38" t="s">
        <v>4854</v>
      </c>
      <c r="S606" s="38" t="s">
        <v>4854</v>
      </c>
      <c r="T606" s="38" t="s">
        <v>4854</v>
      </c>
      <c r="U606" s="38" t="s">
        <v>4854</v>
      </c>
      <c r="V606" s="38" t="s">
        <v>4854</v>
      </c>
      <c r="W606" s="4" t="s">
        <v>4854</v>
      </c>
      <c r="X606" s="10">
        <v>7944</v>
      </c>
      <c r="Y606" s="4" t="s">
        <v>4854</v>
      </c>
      <c r="Z606" s="4" t="s">
        <v>4854</v>
      </c>
      <c r="AA606" s="4" t="s">
        <v>4854</v>
      </c>
      <c r="AB606" s="4" t="s">
        <v>4854</v>
      </c>
      <c r="AC606" s="4" t="s">
        <v>4854</v>
      </c>
      <c r="AD606" s="4" t="s">
        <v>4854</v>
      </c>
      <c r="AE606" s="100" t="s">
        <v>4854</v>
      </c>
      <c r="AF606" s="91">
        <v>4.7210000000000001</v>
      </c>
      <c r="AG606" s="100" t="s">
        <v>4854</v>
      </c>
      <c r="AH606" s="100" t="s">
        <v>4854</v>
      </c>
      <c r="AI606" s="100" t="s">
        <v>4854</v>
      </c>
      <c r="AJ606" s="100" t="s">
        <v>4854</v>
      </c>
      <c r="AK606" s="100" t="s">
        <v>4854</v>
      </c>
      <c r="AL606" s="100" t="s">
        <v>4854</v>
      </c>
      <c r="AM606" s="103" t="s">
        <v>4854</v>
      </c>
      <c r="AN606" s="95">
        <v>0.91379999999999995</v>
      </c>
      <c r="AO606" s="103" t="s">
        <v>4854</v>
      </c>
      <c r="AP606" s="103" t="s">
        <v>4854</v>
      </c>
      <c r="AQ606" s="103" t="s">
        <v>4854</v>
      </c>
      <c r="AR606" s="103" t="s">
        <v>4854</v>
      </c>
      <c r="AS606" s="103" t="s">
        <v>4854</v>
      </c>
      <c r="AT606" s="103" t="s">
        <v>4854</v>
      </c>
      <c r="AU606" s="103" t="s">
        <v>4854</v>
      </c>
      <c r="AV606" s="95">
        <v>0.30499999999999999</v>
      </c>
      <c r="AW606" s="103" t="s">
        <v>4854</v>
      </c>
      <c r="AX606" s="103" t="s">
        <v>4854</v>
      </c>
      <c r="AY606" s="103" t="s">
        <v>4854</v>
      </c>
      <c r="AZ606" s="103" t="s">
        <v>4854</v>
      </c>
      <c r="BA606" s="103" t="s">
        <v>4854</v>
      </c>
      <c r="BB606" s="103" t="s">
        <v>4854</v>
      </c>
      <c r="BC606" s="4" t="s">
        <v>4854</v>
      </c>
      <c r="BD606" s="10">
        <v>1</v>
      </c>
      <c r="BE606" s="4" t="s">
        <v>4854</v>
      </c>
      <c r="BF606" s="4" t="s">
        <v>4854</v>
      </c>
      <c r="BG606" s="4" t="s">
        <v>4854</v>
      </c>
      <c r="BH606" s="4" t="s">
        <v>4854</v>
      </c>
      <c r="BI606" s="4" t="s">
        <v>4854</v>
      </c>
      <c r="BJ606" s="4" t="s">
        <v>4854</v>
      </c>
      <c r="BK606" s="100" t="s">
        <v>4854</v>
      </c>
      <c r="BL606" s="91">
        <v>1</v>
      </c>
      <c r="BM606" s="100" t="s">
        <v>4854</v>
      </c>
      <c r="BN606" s="100" t="s">
        <v>4854</v>
      </c>
      <c r="BO606" s="100" t="s">
        <v>4854</v>
      </c>
      <c r="BP606" s="100" t="s">
        <v>4854</v>
      </c>
      <c r="BQ606" s="100" t="s">
        <v>4854</v>
      </c>
      <c r="BR606" s="100" t="s">
        <v>4854</v>
      </c>
      <c r="BS606" s="10" t="s">
        <v>4857</v>
      </c>
    </row>
    <row r="607" spans="1:71" s="30" customFormat="1" ht="17.100000000000001" customHeight="1">
      <c r="A607" s="10">
        <v>596</v>
      </c>
      <c r="B607" s="10" t="s">
        <v>2613</v>
      </c>
      <c r="C607" s="4" t="s">
        <v>2686</v>
      </c>
      <c r="D607" s="4" t="s">
        <v>2605</v>
      </c>
      <c r="E607" s="4" t="s">
        <v>2606</v>
      </c>
      <c r="F607" s="10" t="s">
        <v>5251</v>
      </c>
      <c r="G607" s="4" t="s">
        <v>2607</v>
      </c>
      <c r="H607" s="7" t="s">
        <v>2608</v>
      </c>
      <c r="I607" s="4" t="s">
        <v>2609</v>
      </c>
      <c r="J607" s="10" t="s">
        <v>4664</v>
      </c>
      <c r="K607" s="4" t="s">
        <v>5690</v>
      </c>
      <c r="L607" s="4" t="s">
        <v>2612</v>
      </c>
      <c r="M607" s="10">
        <v>3</v>
      </c>
      <c r="N607" s="95">
        <v>565.30550000000005</v>
      </c>
      <c r="O607" s="37" t="str">
        <f>HYPERLINK("http://ms.phosphosite.org:5080/cgi-bin/plot-msms.cgi?MassType=1&amp;NumAxis=1&amp;Mod5=170&amp;Pep=HFELKHLSSGDLLR&amp;Dta=/var/www/html/dta/S01/10558.7999.3.dta&amp;Global_Mod=CS57.0215", "7999")</f>
        <v>7999</v>
      </c>
      <c r="P607" s="37" t="str">
        <f>HYPERLINK("http://ms.phosphosite.org:5080/cgi-bin/plot-msms.cgi?MassType=1&amp;NumAxis=1&amp;Mod5=170&amp;Pep=HFELKHLSSGDLLR&amp;Dta=/var/www/html/dta/S01/10559.7924.3.dta&amp;Global_Mod=CS57.0215", "7924")</f>
        <v>7924</v>
      </c>
      <c r="Q607" s="37" t="str">
        <f>HYPERLINK("http://ms.phosphosite.org:5080/cgi-bin/plot-msms.cgi?MassType=1&amp;NumAxis=1&amp;Mod5=170&amp;Pep=HFELKHLSSGDLLR&amp;Dta=/var/www/html/dta/S01/10560.7942.3.dta&amp;Global_Mod=CS57.0215", "7942")</f>
        <v>7942</v>
      </c>
      <c r="R607" s="37" t="str">
        <f>HYPERLINK("http://ms.phosphosite.org:5080/cgi-bin/plot-msms.cgi?MassType=1&amp;NumAxis=1&amp;Mod5=170&amp;Pep=HFELKHLSSGDLLR&amp;Dta=/var/www/html/dta/S01/10561.7978.3.dta&amp;Global_Mod=CS57.0215", "7978")</f>
        <v>7978</v>
      </c>
      <c r="S607" s="37" t="str">
        <f>HYPERLINK("http://ms.phosphosite.org:5080/cgi-bin/plot-msms.cgi?MassType=1&amp;NumAxis=1&amp;Mod5=170&amp;Pep=HFELKHLSSGDLLR&amp;Dta=/var/www/html/dta/S01/10562.8095.3.dta&amp;Global_Mod=CS57.0215", "8095")</f>
        <v>8095</v>
      </c>
      <c r="T607" s="37" t="str">
        <f>HYPERLINK("http://ms.phosphosite.org:5080/cgi-bin/plot-msms.cgi?MassType=1&amp;NumAxis=1&amp;Mod5=170&amp;Pep=HFELKHLSSGDLLR&amp;Dta=/var/www/html/dta/S01/10563.8027.3.dta&amp;Global_Mod=CS57.0215", "8027")</f>
        <v>8027</v>
      </c>
      <c r="U607" s="37" t="str">
        <f>HYPERLINK("http://ms.phosphosite.org:5080/cgi-bin/plot-msms.cgi?MassType=1&amp;NumAxis=1&amp;Mod5=170&amp;Pep=HFELKHLSSGDLLR&amp;Dta=/var/www/html/dta/S01/10564.8414.3.dta&amp;Global_Mod=CS57.0215", "8414")</f>
        <v>8414</v>
      </c>
      <c r="V607" s="37" t="str">
        <f>HYPERLINK("http://ms.phosphosite.org:5080/cgi-bin/plot-msms.cgi?MassType=1&amp;NumAxis=1&amp;Mod5=170&amp;Pep=HFELKHLSSGDLLR&amp;Dta=/var/www/html/dta/S01/10565.8441.3.dta&amp;Global_Mod=CS57.0215", "8441")</f>
        <v>8441</v>
      </c>
      <c r="W607" s="10">
        <v>7974</v>
      </c>
      <c r="X607" s="10">
        <v>7944</v>
      </c>
      <c r="Y607" s="10">
        <v>7928</v>
      </c>
      <c r="Z607" s="10">
        <v>7966</v>
      </c>
      <c r="AA607" s="10">
        <v>8094</v>
      </c>
      <c r="AB607" s="10">
        <v>8048</v>
      </c>
      <c r="AC607" s="10">
        <v>8432</v>
      </c>
      <c r="AD607" s="10">
        <v>8462</v>
      </c>
      <c r="AE607" s="91">
        <v>3.319</v>
      </c>
      <c r="AF607" s="91">
        <v>3.6720000000000002</v>
      </c>
      <c r="AG607" s="91">
        <v>4.1180000000000003</v>
      </c>
      <c r="AH607" s="91">
        <v>3.8679999999999999</v>
      </c>
      <c r="AI607" s="91">
        <v>3.9369999999999998</v>
      </c>
      <c r="AJ607" s="91">
        <v>3.8580000000000001</v>
      </c>
      <c r="AK607" s="91">
        <v>3.4159999999999999</v>
      </c>
      <c r="AL607" s="91">
        <v>4.2169999999999996</v>
      </c>
      <c r="AM607" s="95">
        <v>8.0199999999999994E-2</v>
      </c>
      <c r="AN607" s="95">
        <v>7.1400000000000005E-2</v>
      </c>
      <c r="AO607" s="95">
        <v>0.29160000000000003</v>
      </c>
      <c r="AP607" s="95">
        <v>0.3347</v>
      </c>
      <c r="AQ607" s="95">
        <v>0.25729999999999997</v>
      </c>
      <c r="AR607" s="95">
        <v>0.2243</v>
      </c>
      <c r="AS607" s="95">
        <v>5.3100000000000001E-2</v>
      </c>
      <c r="AT607" s="95">
        <v>-0.3926</v>
      </c>
      <c r="AU607" s="95">
        <v>0.27900000000000003</v>
      </c>
      <c r="AV607" s="95">
        <v>0.35699999999999998</v>
      </c>
      <c r="AW607" s="95">
        <v>0.39400000000000002</v>
      </c>
      <c r="AX607" s="95">
        <v>0.33200000000000002</v>
      </c>
      <c r="AY607" s="95">
        <v>0.36699999999999999</v>
      </c>
      <c r="AZ607" s="95">
        <v>0.41399999999999998</v>
      </c>
      <c r="BA607" s="95">
        <v>0.41199999999999998</v>
      </c>
      <c r="BB607" s="95">
        <v>0.36899999999999999</v>
      </c>
      <c r="BC607" s="10">
        <v>1</v>
      </c>
      <c r="BD607" s="10">
        <v>1</v>
      </c>
      <c r="BE607" s="10">
        <v>1</v>
      </c>
      <c r="BF607" s="10">
        <v>1</v>
      </c>
      <c r="BG607" s="10">
        <v>1</v>
      </c>
      <c r="BH607" s="10">
        <v>1</v>
      </c>
      <c r="BI607" s="10">
        <v>1</v>
      </c>
      <c r="BJ607" s="10">
        <v>1</v>
      </c>
      <c r="BK607" s="91">
        <v>1</v>
      </c>
      <c r="BL607" s="91">
        <v>1</v>
      </c>
      <c r="BM607" s="91">
        <v>1</v>
      </c>
      <c r="BN607" s="91">
        <v>1</v>
      </c>
      <c r="BO607" s="91">
        <v>1</v>
      </c>
      <c r="BP607" s="91">
        <v>1</v>
      </c>
      <c r="BQ607" s="91">
        <v>1</v>
      </c>
      <c r="BR607" s="91">
        <v>1</v>
      </c>
      <c r="BS607" s="10" t="s">
        <v>4857</v>
      </c>
    </row>
    <row r="608" spans="1:71" s="30" customFormat="1" ht="17.100000000000001" customHeight="1">
      <c r="A608" s="14">
        <v>597</v>
      </c>
      <c r="B608" s="5" t="s">
        <v>2614</v>
      </c>
      <c r="C608" s="3" t="s">
        <v>2686</v>
      </c>
      <c r="D608" s="3" t="s">
        <v>2615</v>
      </c>
      <c r="E608" s="3" t="s">
        <v>2616</v>
      </c>
      <c r="F608" s="5" t="s">
        <v>5041</v>
      </c>
      <c r="G608" s="3" t="s">
        <v>2617</v>
      </c>
      <c r="H608" s="6" t="s">
        <v>2618</v>
      </c>
      <c r="I608" s="3" t="s">
        <v>2619</v>
      </c>
      <c r="J608" s="5" t="s">
        <v>4523</v>
      </c>
      <c r="K608" s="3" t="s">
        <v>5691</v>
      </c>
      <c r="L608" s="3" t="s">
        <v>2620</v>
      </c>
      <c r="M608" s="5">
        <v>2</v>
      </c>
      <c r="N608" s="21">
        <v>572.27880000000005</v>
      </c>
      <c r="O608" s="35" t="s">
        <v>4854</v>
      </c>
      <c r="P608" s="35" t="s">
        <v>4854</v>
      </c>
      <c r="Q608" s="35" t="s">
        <v>4854</v>
      </c>
      <c r="R608" s="36" t="str">
        <f>HYPERLINK("http://ms.phosphosite.org:5080/cgi-bin/plot-msms.cgi?MassType=1&amp;NumAxis=1&amp;Mod3=170&amp;Mod5=160&amp;Pep=VAKFCYADK&amp;Dta=/var/www/html/dta/S01/10561.4749.2.dta&amp;Global_Mod=CS57.0215", "4749")</f>
        <v>4749</v>
      </c>
      <c r="S608" s="35" t="s">
        <v>4854</v>
      </c>
      <c r="T608" s="36" t="str">
        <f>HYPERLINK("http://ms.phosphosite.org:5080/cgi-bin/plot-msms.cgi?MassType=1&amp;NumAxis=1&amp;Mod3=170&amp;Mod5=160&amp;Pep=VAKFCYADK&amp;Dta=/var/www/html/dta/S01/10563.4814.2.dta&amp;Global_Mod=CS57.0215", "4814")</f>
        <v>4814</v>
      </c>
      <c r="U608" s="35" t="s">
        <v>4854</v>
      </c>
      <c r="V608" s="35" t="s">
        <v>4854</v>
      </c>
      <c r="W608" s="3" t="s">
        <v>4854</v>
      </c>
      <c r="X608" s="3" t="s">
        <v>4854</v>
      </c>
      <c r="Y608" s="3" t="s">
        <v>4854</v>
      </c>
      <c r="Z608" s="5">
        <v>4743</v>
      </c>
      <c r="AA608" s="3" t="s">
        <v>4854</v>
      </c>
      <c r="AB608" s="3" t="s">
        <v>4854</v>
      </c>
      <c r="AC608" s="3" t="s">
        <v>4854</v>
      </c>
      <c r="AD608" s="3" t="s">
        <v>4854</v>
      </c>
      <c r="AE608" s="99" t="s">
        <v>4854</v>
      </c>
      <c r="AF608" s="99" t="s">
        <v>4854</v>
      </c>
      <c r="AG608" s="99" t="s">
        <v>4854</v>
      </c>
      <c r="AH608" s="90">
        <v>2.4039999999999999</v>
      </c>
      <c r="AI608" s="99" t="s">
        <v>4854</v>
      </c>
      <c r="AJ608" s="90">
        <v>1.383</v>
      </c>
      <c r="AK608" s="99" t="s">
        <v>4854</v>
      </c>
      <c r="AL608" s="99" t="s">
        <v>4854</v>
      </c>
      <c r="AM608" s="102" t="s">
        <v>4854</v>
      </c>
      <c r="AN608" s="102" t="s">
        <v>4854</v>
      </c>
      <c r="AO608" s="102" t="s">
        <v>4854</v>
      </c>
      <c r="AP608" s="21">
        <v>0.33229999999999998</v>
      </c>
      <c r="AQ608" s="102" t="s">
        <v>4854</v>
      </c>
      <c r="AR608" s="21">
        <v>0.91290000000000004</v>
      </c>
      <c r="AS608" s="102" t="s">
        <v>4854</v>
      </c>
      <c r="AT608" s="102" t="s">
        <v>4854</v>
      </c>
      <c r="AU608" s="102" t="s">
        <v>4854</v>
      </c>
      <c r="AV608" s="102" t="s">
        <v>4854</v>
      </c>
      <c r="AW608" s="102" t="s">
        <v>4854</v>
      </c>
      <c r="AX608" s="21">
        <v>0.219</v>
      </c>
      <c r="AY608" s="102" t="s">
        <v>4854</v>
      </c>
      <c r="AZ608" s="21">
        <v>5.0999999999999997E-2</v>
      </c>
      <c r="BA608" s="102" t="s">
        <v>4854</v>
      </c>
      <c r="BB608" s="102" t="s">
        <v>4854</v>
      </c>
      <c r="BC608" s="3" t="s">
        <v>4854</v>
      </c>
      <c r="BD608" s="3" t="s">
        <v>4854</v>
      </c>
      <c r="BE608" s="3" t="s">
        <v>4854</v>
      </c>
      <c r="BF608" s="5">
        <v>1</v>
      </c>
      <c r="BG608" s="3" t="s">
        <v>4854</v>
      </c>
      <c r="BH608" s="5">
        <v>2</v>
      </c>
      <c r="BI608" s="3" t="s">
        <v>4854</v>
      </c>
      <c r="BJ608" s="3" t="s">
        <v>4854</v>
      </c>
      <c r="BK608" s="99" t="s">
        <v>4854</v>
      </c>
      <c r="BL608" s="99" t="s">
        <v>4854</v>
      </c>
      <c r="BM608" s="99" t="s">
        <v>4854</v>
      </c>
      <c r="BN608" s="90">
        <v>0.998</v>
      </c>
      <c r="BO608" s="99" t="s">
        <v>4854</v>
      </c>
      <c r="BP608" s="90">
        <v>0.78900000000000003</v>
      </c>
      <c r="BQ608" s="99" t="s">
        <v>4854</v>
      </c>
      <c r="BR608" s="99" t="s">
        <v>4854</v>
      </c>
      <c r="BS608" s="5" t="s">
        <v>4857</v>
      </c>
    </row>
    <row r="609" spans="1:71" s="30" customFormat="1" ht="17.100000000000001" customHeight="1">
      <c r="A609" s="10">
        <v>598</v>
      </c>
      <c r="B609" s="10" t="s">
        <v>2621</v>
      </c>
      <c r="C609" s="4" t="s">
        <v>2686</v>
      </c>
      <c r="D609" s="4" t="s">
        <v>2622</v>
      </c>
      <c r="E609" s="4" t="s">
        <v>2623</v>
      </c>
      <c r="F609" s="10" t="s">
        <v>4970</v>
      </c>
      <c r="G609" s="4" t="s">
        <v>2624</v>
      </c>
      <c r="H609" s="7" t="s">
        <v>2625</v>
      </c>
      <c r="I609" s="4" t="s">
        <v>2626</v>
      </c>
      <c r="J609" s="10" t="s">
        <v>4623</v>
      </c>
      <c r="K609" s="4" t="s">
        <v>5692</v>
      </c>
      <c r="L609" s="4" t="s">
        <v>2627</v>
      </c>
      <c r="M609" s="10">
        <v>2</v>
      </c>
      <c r="N609" s="95">
        <v>433.72570000000002</v>
      </c>
      <c r="O609" s="38" t="s">
        <v>4854</v>
      </c>
      <c r="P609" s="38" t="s">
        <v>4854</v>
      </c>
      <c r="Q609" s="37" t="str">
        <f>HYPERLINK("http://ms.phosphosite.org:5080/cgi-bin/plot-msms.cgi?MassType=1&amp;NumAxis=1&amp;Mod6=170&amp;Pep=FAEAMKK&amp;Dta=/var/www/html/dta/S01/10560.2825.2.dta&amp;Global_Mod=CS57.0215", "2825")</f>
        <v>2825</v>
      </c>
      <c r="R609" s="37" t="str">
        <f>HYPERLINK("http://ms.phosphosite.org:5080/cgi-bin/plot-msms.cgi?MassType=1&amp;NumAxis=1&amp;Mod6=170&amp;Pep=FAEAMKK&amp;Dta=/var/www/html/dta/S01/10561.2865.2.dta&amp;Global_Mod=CS57.0215", "2865")</f>
        <v>2865</v>
      </c>
      <c r="S609" s="38" t="s">
        <v>4854</v>
      </c>
      <c r="T609" s="38" t="s">
        <v>4854</v>
      </c>
      <c r="U609" s="38" t="s">
        <v>4854</v>
      </c>
      <c r="V609" s="38" t="s">
        <v>4854</v>
      </c>
      <c r="W609" s="4" t="s">
        <v>4854</v>
      </c>
      <c r="X609" s="4" t="s">
        <v>4854</v>
      </c>
      <c r="Y609" s="10">
        <v>2827</v>
      </c>
      <c r="Z609" s="10">
        <v>2866</v>
      </c>
      <c r="AA609" s="4" t="s">
        <v>4854</v>
      </c>
      <c r="AB609" s="4" t="s">
        <v>4854</v>
      </c>
      <c r="AC609" s="4" t="s">
        <v>4854</v>
      </c>
      <c r="AD609" s="4" t="s">
        <v>4854</v>
      </c>
      <c r="AE609" s="100" t="s">
        <v>4854</v>
      </c>
      <c r="AF609" s="100" t="s">
        <v>4854</v>
      </c>
      <c r="AG609" s="91">
        <v>1.9319999999999999</v>
      </c>
      <c r="AH609" s="91">
        <v>1.978</v>
      </c>
      <c r="AI609" s="100" t="s">
        <v>4854</v>
      </c>
      <c r="AJ609" s="100" t="s">
        <v>4854</v>
      </c>
      <c r="AK609" s="100" t="s">
        <v>4854</v>
      </c>
      <c r="AL609" s="100" t="s">
        <v>4854</v>
      </c>
      <c r="AM609" s="103" t="s">
        <v>4854</v>
      </c>
      <c r="AN609" s="103" t="s">
        <v>4854</v>
      </c>
      <c r="AO609" s="95">
        <v>-1.0699000000000001</v>
      </c>
      <c r="AP609" s="95">
        <v>0.58620000000000005</v>
      </c>
      <c r="AQ609" s="103" t="s">
        <v>4854</v>
      </c>
      <c r="AR609" s="103" t="s">
        <v>4854</v>
      </c>
      <c r="AS609" s="103" t="s">
        <v>4854</v>
      </c>
      <c r="AT609" s="103" t="s">
        <v>4854</v>
      </c>
      <c r="AU609" s="103" t="s">
        <v>4854</v>
      </c>
      <c r="AV609" s="103" t="s">
        <v>4854</v>
      </c>
      <c r="AW609" s="95">
        <v>6.5000000000000002E-2</v>
      </c>
      <c r="AX609" s="95">
        <v>5.8999999999999997E-2</v>
      </c>
      <c r="AY609" s="103" t="s">
        <v>4854</v>
      </c>
      <c r="AZ609" s="103" t="s">
        <v>4854</v>
      </c>
      <c r="BA609" s="103" t="s">
        <v>4854</v>
      </c>
      <c r="BB609" s="103" t="s">
        <v>4854</v>
      </c>
      <c r="BC609" s="4" t="s">
        <v>4854</v>
      </c>
      <c r="BD609" s="4" t="s">
        <v>4854</v>
      </c>
      <c r="BE609" s="10">
        <v>1</v>
      </c>
      <c r="BF609" s="10">
        <v>7</v>
      </c>
      <c r="BG609" s="4" t="s">
        <v>4854</v>
      </c>
      <c r="BH609" s="4" t="s">
        <v>4854</v>
      </c>
      <c r="BI609" s="4" t="s">
        <v>4854</v>
      </c>
      <c r="BJ609" s="4" t="s">
        <v>4854</v>
      </c>
      <c r="BK609" s="100" t="s">
        <v>4854</v>
      </c>
      <c r="BL609" s="100" t="s">
        <v>4854</v>
      </c>
      <c r="BM609" s="91">
        <v>0.99199999999999999</v>
      </c>
      <c r="BN609" s="91">
        <v>0.99299999999999999</v>
      </c>
      <c r="BO609" s="100" t="s">
        <v>4854</v>
      </c>
      <c r="BP609" s="100" t="s">
        <v>4854</v>
      </c>
      <c r="BQ609" s="100" t="s">
        <v>4854</v>
      </c>
      <c r="BR609" s="100" t="s">
        <v>4854</v>
      </c>
      <c r="BS609" s="10" t="s">
        <v>4857</v>
      </c>
    </row>
    <row r="610" spans="1:71" s="30" customFormat="1" ht="17.100000000000001" customHeight="1">
      <c r="A610" s="14">
        <v>599</v>
      </c>
      <c r="B610" s="5" t="s">
        <v>2628</v>
      </c>
      <c r="C610" s="3" t="s">
        <v>2686</v>
      </c>
      <c r="D610" s="6" t="s">
        <v>2629</v>
      </c>
      <c r="E610" s="6" t="s">
        <v>2630</v>
      </c>
      <c r="F610" s="5" t="s">
        <v>5250</v>
      </c>
      <c r="G610" s="3" t="s">
        <v>2631</v>
      </c>
      <c r="H610" s="6" t="s">
        <v>2632</v>
      </c>
      <c r="I610" s="3" t="s">
        <v>2633</v>
      </c>
      <c r="J610" s="5" t="s">
        <v>2634</v>
      </c>
      <c r="K610" s="3" t="s">
        <v>5693</v>
      </c>
      <c r="L610" s="3" t="s">
        <v>2635</v>
      </c>
      <c r="M610" s="5">
        <v>2</v>
      </c>
      <c r="N610" s="21">
        <v>554.2645</v>
      </c>
      <c r="O610" s="35" t="s">
        <v>4854</v>
      </c>
      <c r="P610" s="35" t="s">
        <v>4854</v>
      </c>
      <c r="Q610" s="35" t="s">
        <v>4854</v>
      </c>
      <c r="R610" s="35" t="s">
        <v>4854</v>
      </c>
      <c r="S610" s="35" t="s">
        <v>4854</v>
      </c>
      <c r="T610" s="35" t="s">
        <v>4854</v>
      </c>
      <c r="U610" s="36" t="str">
        <f>HYPERLINK("http://ms.phosphosite.org:5080/cgi-bin/plot-msms.cgi?MassType=1&amp;NumAxis=1&amp;Mod7=170&amp;Pep=DGADFAKWR&amp;Dta=/var/www/html/dta/S01/10564.8094.2.dta&amp;Global_Mod=CS57.0215", "8094")</f>
        <v>8094</v>
      </c>
      <c r="V610" s="35" t="s">
        <v>4854</v>
      </c>
      <c r="W610" s="3" t="s">
        <v>4854</v>
      </c>
      <c r="X610" s="3" t="s">
        <v>4854</v>
      </c>
      <c r="Y610" s="3" t="s">
        <v>4854</v>
      </c>
      <c r="Z610" s="3" t="s">
        <v>4854</v>
      </c>
      <c r="AA610" s="3" t="s">
        <v>4854</v>
      </c>
      <c r="AB610" s="3" t="s">
        <v>4854</v>
      </c>
      <c r="AC610" s="5">
        <v>8102</v>
      </c>
      <c r="AD610" s="3" t="s">
        <v>4854</v>
      </c>
      <c r="AE610" s="99" t="s">
        <v>4854</v>
      </c>
      <c r="AF610" s="99" t="s">
        <v>4854</v>
      </c>
      <c r="AG610" s="99" t="s">
        <v>4854</v>
      </c>
      <c r="AH610" s="99" t="s">
        <v>4854</v>
      </c>
      <c r="AI610" s="99" t="s">
        <v>4854</v>
      </c>
      <c r="AJ610" s="99" t="s">
        <v>4854</v>
      </c>
      <c r="AK610" s="90">
        <v>2.7970000000000002</v>
      </c>
      <c r="AL610" s="99" t="s">
        <v>4854</v>
      </c>
      <c r="AM610" s="102" t="s">
        <v>4854</v>
      </c>
      <c r="AN610" s="102" t="s">
        <v>4854</v>
      </c>
      <c r="AO610" s="102" t="s">
        <v>4854</v>
      </c>
      <c r="AP610" s="102" t="s">
        <v>4854</v>
      </c>
      <c r="AQ610" s="102" t="s">
        <v>4854</v>
      </c>
      <c r="AR610" s="102" t="s">
        <v>4854</v>
      </c>
      <c r="AS610" s="21">
        <v>0.111</v>
      </c>
      <c r="AT610" s="102" t="s">
        <v>4854</v>
      </c>
      <c r="AU610" s="102" t="s">
        <v>4854</v>
      </c>
      <c r="AV610" s="102" t="s">
        <v>4854</v>
      </c>
      <c r="AW610" s="102" t="s">
        <v>4854</v>
      </c>
      <c r="AX610" s="102" t="s">
        <v>4854</v>
      </c>
      <c r="AY610" s="102" t="s">
        <v>4854</v>
      </c>
      <c r="AZ610" s="102" t="s">
        <v>4854</v>
      </c>
      <c r="BA610" s="21">
        <v>0.29199999999999998</v>
      </c>
      <c r="BB610" s="102" t="s">
        <v>4854</v>
      </c>
      <c r="BC610" s="3" t="s">
        <v>4854</v>
      </c>
      <c r="BD610" s="3" t="s">
        <v>4854</v>
      </c>
      <c r="BE610" s="3" t="s">
        <v>4854</v>
      </c>
      <c r="BF610" s="3" t="s">
        <v>4854</v>
      </c>
      <c r="BG610" s="3" t="s">
        <v>4854</v>
      </c>
      <c r="BH610" s="3" t="s">
        <v>4854</v>
      </c>
      <c r="BI610" s="5">
        <v>1</v>
      </c>
      <c r="BJ610" s="3" t="s">
        <v>4854</v>
      </c>
      <c r="BK610" s="99" t="s">
        <v>4854</v>
      </c>
      <c r="BL610" s="99" t="s">
        <v>4854</v>
      </c>
      <c r="BM610" s="99" t="s">
        <v>4854</v>
      </c>
      <c r="BN610" s="99" t="s">
        <v>4854</v>
      </c>
      <c r="BO610" s="99" t="s">
        <v>4854</v>
      </c>
      <c r="BP610" s="99" t="s">
        <v>4854</v>
      </c>
      <c r="BQ610" s="90">
        <v>1</v>
      </c>
      <c r="BR610" s="99" t="s">
        <v>4854</v>
      </c>
      <c r="BS610" s="5" t="s">
        <v>4857</v>
      </c>
    </row>
    <row r="611" spans="1:71" s="30" customFormat="1" ht="17.100000000000001" customHeight="1">
      <c r="A611" s="14">
        <v>600</v>
      </c>
      <c r="B611" s="5" t="s">
        <v>2636</v>
      </c>
      <c r="C611" s="3" t="s">
        <v>2686</v>
      </c>
      <c r="D611" s="6" t="s">
        <v>2629</v>
      </c>
      <c r="E611" s="6" t="s">
        <v>2630</v>
      </c>
      <c r="F611" s="5" t="s">
        <v>5250</v>
      </c>
      <c r="G611" s="3" t="s">
        <v>2631</v>
      </c>
      <c r="H611" s="6" t="s">
        <v>2632</v>
      </c>
      <c r="I611" s="3" t="s">
        <v>2633</v>
      </c>
      <c r="J611" s="5" t="s">
        <v>2634</v>
      </c>
      <c r="K611" s="3" t="s">
        <v>5693</v>
      </c>
      <c r="L611" s="3" t="s">
        <v>2637</v>
      </c>
      <c r="M611" s="5">
        <v>3</v>
      </c>
      <c r="N611" s="21">
        <v>412.54379999999998</v>
      </c>
      <c r="O611" s="35" t="s">
        <v>4854</v>
      </c>
      <c r="P611" s="36" t="str">
        <f>HYPERLINK("http://ms.phosphosite.org:5080/cgi-bin/plot-msms.cgi?MassType=1&amp;NumAxis=1&amp;Mod8=170&amp;Pep=KDGADFAKWR&amp;Dta=/var/www/html/dta/S01/10559.5315.3.dta&amp;Global_Mod=CS57.0215", "5315")</f>
        <v>5315</v>
      </c>
      <c r="Q611" s="35" t="s">
        <v>4854</v>
      </c>
      <c r="R611" s="35" t="s">
        <v>4854</v>
      </c>
      <c r="S611" s="35" t="s">
        <v>4854</v>
      </c>
      <c r="T611" s="35" t="s">
        <v>4854</v>
      </c>
      <c r="U611" s="35" t="s">
        <v>4854</v>
      </c>
      <c r="V611" s="35" t="s">
        <v>4854</v>
      </c>
      <c r="W611" s="3" t="s">
        <v>4854</v>
      </c>
      <c r="X611" s="3" t="s">
        <v>4854</v>
      </c>
      <c r="Y611" s="3" t="s">
        <v>4854</v>
      </c>
      <c r="Z611" s="3" t="s">
        <v>4854</v>
      </c>
      <c r="AA611" s="3" t="s">
        <v>4854</v>
      </c>
      <c r="AB611" s="3" t="s">
        <v>4854</v>
      </c>
      <c r="AC611" s="3" t="s">
        <v>4854</v>
      </c>
      <c r="AD611" s="3" t="s">
        <v>4854</v>
      </c>
      <c r="AE611" s="99" t="s">
        <v>4854</v>
      </c>
      <c r="AF611" s="90">
        <v>2.2170000000000001</v>
      </c>
      <c r="AG611" s="99" t="s">
        <v>4854</v>
      </c>
      <c r="AH611" s="99" t="s">
        <v>4854</v>
      </c>
      <c r="AI611" s="99" t="s">
        <v>4854</v>
      </c>
      <c r="AJ611" s="99" t="s">
        <v>4854</v>
      </c>
      <c r="AK611" s="99" t="s">
        <v>4854</v>
      </c>
      <c r="AL611" s="99" t="s">
        <v>4854</v>
      </c>
      <c r="AM611" s="102" t="s">
        <v>4854</v>
      </c>
      <c r="AN611" s="21">
        <v>0.47899999999999998</v>
      </c>
      <c r="AO611" s="102" t="s">
        <v>4854</v>
      </c>
      <c r="AP611" s="102" t="s">
        <v>4854</v>
      </c>
      <c r="AQ611" s="102" t="s">
        <v>4854</v>
      </c>
      <c r="AR611" s="102" t="s">
        <v>4854</v>
      </c>
      <c r="AS611" s="102" t="s">
        <v>4854</v>
      </c>
      <c r="AT611" s="102" t="s">
        <v>4854</v>
      </c>
      <c r="AU611" s="102" t="s">
        <v>4854</v>
      </c>
      <c r="AV611" s="21">
        <v>0.02</v>
      </c>
      <c r="AW611" s="102" t="s">
        <v>4854</v>
      </c>
      <c r="AX611" s="102" t="s">
        <v>4854</v>
      </c>
      <c r="AY611" s="102" t="s">
        <v>4854</v>
      </c>
      <c r="AZ611" s="102" t="s">
        <v>4854</v>
      </c>
      <c r="BA611" s="102" t="s">
        <v>4854</v>
      </c>
      <c r="BB611" s="102" t="s">
        <v>4854</v>
      </c>
      <c r="BC611" s="3" t="s">
        <v>4854</v>
      </c>
      <c r="BD611" s="5">
        <v>18</v>
      </c>
      <c r="BE611" s="3" t="s">
        <v>4854</v>
      </c>
      <c r="BF611" s="3" t="s">
        <v>4854</v>
      </c>
      <c r="BG611" s="3" t="s">
        <v>4854</v>
      </c>
      <c r="BH611" s="3" t="s">
        <v>4854</v>
      </c>
      <c r="BI611" s="3" t="s">
        <v>4854</v>
      </c>
      <c r="BJ611" s="3" t="s">
        <v>4854</v>
      </c>
      <c r="BK611" s="99" t="s">
        <v>4854</v>
      </c>
      <c r="BL611" s="90">
        <v>0.92100000000000004</v>
      </c>
      <c r="BM611" s="99" t="s">
        <v>4854</v>
      </c>
      <c r="BN611" s="99" t="s">
        <v>4854</v>
      </c>
      <c r="BO611" s="99" t="s">
        <v>4854</v>
      </c>
      <c r="BP611" s="99" t="s">
        <v>4854</v>
      </c>
      <c r="BQ611" s="99" t="s">
        <v>4854</v>
      </c>
      <c r="BR611" s="99" t="s">
        <v>4854</v>
      </c>
      <c r="BS611" s="5" t="s">
        <v>4857</v>
      </c>
    </row>
    <row r="612" spans="1:71" s="30" customFormat="1" ht="17.100000000000001" customHeight="1">
      <c r="A612" s="10">
        <v>601</v>
      </c>
      <c r="B612" s="10" t="s">
        <v>2638</v>
      </c>
      <c r="C612" s="4" t="s">
        <v>2686</v>
      </c>
      <c r="D612" s="7" t="s">
        <v>2639</v>
      </c>
      <c r="E612" s="7" t="s">
        <v>2640</v>
      </c>
      <c r="F612" s="10" t="s">
        <v>2641</v>
      </c>
      <c r="G612" s="4" t="s">
        <v>2631</v>
      </c>
      <c r="H612" s="7" t="s">
        <v>2642</v>
      </c>
      <c r="I612" s="4" t="s">
        <v>2633</v>
      </c>
      <c r="J612" s="10" t="s">
        <v>2643</v>
      </c>
      <c r="K612" s="4" t="s">
        <v>5694</v>
      </c>
      <c r="L612" s="4" t="s">
        <v>2644</v>
      </c>
      <c r="M612" s="10">
        <v>4</v>
      </c>
      <c r="N612" s="95">
        <v>794.64700000000005</v>
      </c>
      <c r="O612" s="38" t="s">
        <v>4854</v>
      </c>
      <c r="P612" s="38" t="s">
        <v>4854</v>
      </c>
      <c r="Q612" s="37" t="str">
        <f>HYPERLINK("http://ms.phosphosite.org:5080/cgi-bin/plot-msms.cgi?MassType=1&amp;NumAxis=1&amp;Mod15=170&amp;Mod18=147&amp;Mod25=160&amp;Pep=ALSDHHVYLEGTLLKPNMVTPGHACTQK&amp;Dta=/var/www/html/dta/S01/10560.6915.4.dta&amp;Global_Mod=CS57.0215", "6915")</f>
        <v>6915</v>
      </c>
      <c r="R612" s="38" t="s">
        <v>4854</v>
      </c>
      <c r="S612" s="37" t="str">
        <f>HYPERLINK("http://ms.phosphosite.org:5080/cgi-bin/plot-msms.cgi?MassType=1&amp;NumAxis=1&amp;Mod15=170&amp;Mod18=147&amp;Mod25=160&amp;Pep=ALSDHHVYLEGTLLKPNMVTPGHACTQK&amp;Dta=/var/www/html/dta/S01/10562.7075.4.dta&amp;Global_Mod=CS57.0215", "7075")</f>
        <v>7075</v>
      </c>
      <c r="T612" s="38" t="s">
        <v>4854</v>
      </c>
      <c r="U612" s="37" t="str">
        <f>HYPERLINK("http://ms.phosphosite.org:5080/cgi-bin/plot-msms.cgi?MassType=1&amp;NumAxis=1&amp;Mod15=170&amp;Mod18=147&amp;Mod25=160&amp;Pep=ALSDHHVYLEGTLLKPNMVTPGHACTQK&amp;Dta=/var/www/html/dta/S01/10564.7314.4.dta&amp;Global_Mod=CS57.0215", "7314")</f>
        <v>7314</v>
      </c>
      <c r="V612" s="37" t="str">
        <f>HYPERLINK("http://ms.phosphosite.org:5080/cgi-bin/plot-msms.cgi?MassType=1&amp;NumAxis=1&amp;Mod15=170&amp;Mod18=147&amp;Mod25=160&amp;Pep=ALSDHHVYLEGTLLKPNMVTPGHACTQK&amp;Dta=/var/www/html/dta/S01/10565.7361.4.dta&amp;Global_Mod=CS57.0215", "7361")</f>
        <v>7361</v>
      </c>
      <c r="W612" s="4" t="s">
        <v>4854</v>
      </c>
      <c r="X612" s="4" t="s">
        <v>4854</v>
      </c>
      <c r="Y612" s="10">
        <v>6927</v>
      </c>
      <c r="Z612" s="4" t="s">
        <v>4854</v>
      </c>
      <c r="AA612" s="10">
        <v>7115</v>
      </c>
      <c r="AB612" s="4" t="s">
        <v>4854</v>
      </c>
      <c r="AC612" s="10">
        <v>7343</v>
      </c>
      <c r="AD612" s="10">
        <v>7428</v>
      </c>
      <c r="AE612" s="100" t="s">
        <v>4854</v>
      </c>
      <c r="AF612" s="100" t="s">
        <v>4854</v>
      </c>
      <c r="AG612" s="91">
        <v>4.1459999999999999</v>
      </c>
      <c r="AH612" s="100" t="s">
        <v>4854</v>
      </c>
      <c r="AI612" s="91">
        <v>3.9790000000000001</v>
      </c>
      <c r="AJ612" s="100" t="s">
        <v>4854</v>
      </c>
      <c r="AK612" s="91">
        <v>3.89</v>
      </c>
      <c r="AL612" s="91">
        <v>2.9780000000000002</v>
      </c>
      <c r="AM612" s="103" t="s">
        <v>4854</v>
      </c>
      <c r="AN612" s="103" t="s">
        <v>4854</v>
      </c>
      <c r="AO612" s="95">
        <v>1.1514</v>
      </c>
      <c r="AP612" s="103" t="s">
        <v>4854</v>
      </c>
      <c r="AQ612" s="95">
        <v>1.2764</v>
      </c>
      <c r="AR612" s="103" t="s">
        <v>4854</v>
      </c>
      <c r="AS612" s="95">
        <v>0.13139999999999999</v>
      </c>
      <c r="AT612" s="95">
        <v>0.4768</v>
      </c>
      <c r="AU612" s="103" t="s">
        <v>4854</v>
      </c>
      <c r="AV612" s="103" t="s">
        <v>4854</v>
      </c>
      <c r="AW612" s="95">
        <v>0.255</v>
      </c>
      <c r="AX612" s="103" t="s">
        <v>4854</v>
      </c>
      <c r="AY612" s="95">
        <v>0.17799999999999999</v>
      </c>
      <c r="AZ612" s="103" t="s">
        <v>4854</v>
      </c>
      <c r="BA612" s="95">
        <v>0.108</v>
      </c>
      <c r="BB612" s="95">
        <v>0.16300000000000001</v>
      </c>
      <c r="BC612" s="4" t="s">
        <v>4854</v>
      </c>
      <c r="BD612" s="4" t="s">
        <v>4854</v>
      </c>
      <c r="BE612" s="10">
        <v>2</v>
      </c>
      <c r="BF612" s="4" t="s">
        <v>4854</v>
      </c>
      <c r="BG612" s="10">
        <v>6</v>
      </c>
      <c r="BH612" s="4" t="s">
        <v>4854</v>
      </c>
      <c r="BI612" s="10">
        <v>71</v>
      </c>
      <c r="BJ612" s="10">
        <v>22</v>
      </c>
      <c r="BK612" s="100" t="s">
        <v>4854</v>
      </c>
      <c r="BL612" s="100" t="s">
        <v>4854</v>
      </c>
      <c r="BM612" s="91">
        <v>1</v>
      </c>
      <c r="BN612" s="100" t="s">
        <v>4854</v>
      </c>
      <c r="BO612" s="91">
        <v>1</v>
      </c>
      <c r="BP612" s="100" t="s">
        <v>4854</v>
      </c>
      <c r="BQ612" s="91">
        <v>0.99299999999999999</v>
      </c>
      <c r="BR612" s="91">
        <v>0.998</v>
      </c>
      <c r="BS612" s="10" t="s">
        <v>4857</v>
      </c>
    </row>
    <row r="613" spans="1:71" s="30" customFormat="1" ht="17.100000000000001" customHeight="1">
      <c r="A613" s="14">
        <v>602</v>
      </c>
      <c r="B613" s="5" t="s">
        <v>2645</v>
      </c>
      <c r="C613" s="3" t="s">
        <v>2686</v>
      </c>
      <c r="D613" s="6" t="s">
        <v>2639</v>
      </c>
      <c r="E613" s="6" t="s">
        <v>2640</v>
      </c>
      <c r="F613" s="5" t="s">
        <v>2646</v>
      </c>
      <c r="G613" s="3" t="s">
        <v>2631</v>
      </c>
      <c r="H613" s="6" t="s">
        <v>2642</v>
      </c>
      <c r="I613" s="3" t="s">
        <v>2633</v>
      </c>
      <c r="J613" s="5" t="s">
        <v>2643</v>
      </c>
      <c r="K613" s="3" t="s">
        <v>5695</v>
      </c>
      <c r="L613" s="3" t="s">
        <v>2647</v>
      </c>
      <c r="M613" s="5">
        <v>4</v>
      </c>
      <c r="N613" s="21">
        <v>794.64700000000005</v>
      </c>
      <c r="O613" s="35" t="s">
        <v>4854</v>
      </c>
      <c r="P613" s="36" t="str">
        <f>HYPERLINK("http://ms.phosphosite.org:5080/cgi-bin/plot-msms.cgi?MassType=1&amp;NumAxis=1&amp;Mod18=147&amp;Mod25=160&amp;Mod28=170&amp;Pep=ALSDHHVYLEGTLLKPNMVTPGHACTQK&amp;Dta=/var/www/html/dta/S01/10559.6949.4.dta&amp;Global_Mod=CS57.0215", "6949")</f>
        <v>6949</v>
      </c>
      <c r="Q613" s="35" t="s">
        <v>4854</v>
      </c>
      <c r="R613" s="35" t="s">
        <v>4854</v>
      </c>
      <c r="S613" s="35" t="s">
        <v>4854</v>
      </c>
      <c r="T613" s="35" t="s">
        <v>4854</v>
      </c>
      <c r="U613" s="35" t="s">
        <v>4854</v>
      </c>
      <c r="V613" s="35" t="s">
        <v>4854</v>
      </c>
      <c r="W613" s="3" t="s">
        <v>4854</v>
      </c>
      <c r="X613" s="5">
        <v>6921</v>
      </c>
      <c r="Y613" s="3" t="s">
        <v>4854</v>
      </c>
      <c r="Z613" s="3" t="s">
        <v>4854</v>
      </c>
      <c r="AA613" s="3" t="s">
        <v>4854</v>
      </c>
      <c r="AB613" s="3" t="s">
        <v>4854</v>
      </c>
      <c r="AC613" s="3" t="s">
        <v>4854</v>
      </c>
      <c r="AD613" s="3" t="s">
        <v>4854</v>
      </c>
      <c r="AE613" s="99" t="s">
        <v>4854</v>
      </c>
      <c r="AF613" s="90">
        <v>2.8220000000000001</v>
      </c>
      <c r="AG613" s="99" t="s">
        <v>4854</v>
      </c>
      <c r="AH613" s="99" t="s">
        <v>4854</v>
      </c>
      <c r="AI613" s="99" t="s">
        <v>4854</v>
      </c>
      <c r="AJ613" s="99" t="s">
        <v>4854</v>
      </c>
      <c r="AK613" s="99" t="s">
        <v>4854</v>
      </c>
      <c r="AL613" s="99" t="s">
        <v>4854</v>
      </c>
      <c r="AM613" s="102" t="s">
        <v>4854</v>
      </c>
      <c r="AN613" s="21">
        <v>1.0909</v>
      </c>
      <c r="AO613" s="102" t="s">
        <v>4854</v>
      </c>
      <c r="AP613" s="102" t="s">
        <v>4854</v>
      </c>
      <c r="AQ613" s="102" t="s">
        <v>4854</v>
      </c>
      <c r="AR613" s="102" t="s">
        <v>4854</v>
      </c>
      <c r="AS613" s="102" t="s">
        <v>4854</v>
      </c>
      <c r="AT613" s="102" t="s">
        <v>4854</v>
      </c>
      <c r="AU613" s="102" t="s">
        <v>4854</v>
      </c>
      <c r="AV613" s="21">
        <v>0.108</v>
      </c>
      <c r="AW613" s="102" t="s">
        <v>4854</v>
      </c>
      <c r="AX613" s="102" t="s">
        <v>4854</v>
      </c>
      <c r="AY613" s="102" t="s">
        <v>4854</v>
      </c>
      <c r="AZ613" s="102" t="s">
        <v>4854</v>
      </c>
      <c r="BA613" s="102" t="s">
        <v>4854</v>
      </c>
      <c r="BB613" s="102" t="s">
        <v>4854</v>
      </c>
      <c r="BC613" s="3" t="s">
        <v>4854</v>
      </c>
      <c r="BD613" s="5">
        <v>3</v>
      </c>
      <c r="BE613" s="3" t="s">
        <v>4854</v>
      </c>
      <c r="BF613" s="3" t="s">
        <v>4854</v>
      </c>
      <c r="BG613" s="3" t="s">
        <v>4854</v>
      </c>
      <c r="BH613" s="3" t="s">
        <v>4854</v>
      </c>
      <c r="BI613" s="3" t="s">
        <v>4854</v>
      </c>
      <c r="BJ613" s="3" t="s">
        <v>4854</v>
      </c>
      <c r="BK613" s="99" t="s">
        <v>4854</v>
      </c>
      <c r="BL613" s="90">
        <v>0.999</v>
      </c>
      <c r="BM613" s="99" t="s">
        <v>4854</v>
      </c>
      <c r="BN613" s="99" t="s">
        <v>4854</v>
      </c>
      <c r="BO613" s="99" t="s">
        <v>4854</v>
      </c>
      <c r="BP613" s="99" t="s">
        <v>4854</v>
      </c>
      <c r="BQ613" s="99" t="s">
        <v>4854</v>
      </c>
      <c r="BR613" s="99" t="s">
        <v>4854</v>
      </c>
      <c r="BS613" s="5" t="s">
        <v>4857</v>
      </c>
    </row>
    <row r="614" spans="1:71" s="30" customFormat="1" ht="17.100000000000001" customHeight="1">
      <c r="A614" s="10">
        <v>603</v>
      </c>
      <c r="B614" s="10" t="s">
        <v>2648</v>
      </c>
      <c r="C614" s="4" t="s">
        <v>2686</v>
      </c>
      <c r="D614" s="7" t="s">
        <v>2649</v>
      </c>
      <c r="E614" s="7" t="s">
        <v>2650</v>
      </c>
      <c r="F614" s="10" t="s">
        <v>5038</v>
      </c>
      <c r="G614" s="4" t="s">
        <v>2631</v>
      </c>
      <c r="H614" s="7" t="s">
        <v>2651</v>
      </c>
      <c r="I614" s="4" t="s">
        <v>2633</v>
      </c>
      <c r="J614" s="10" t="s">
        <v>4697</v>
      </c>
      <c r="K614" s="4" t="s">
        <v>5696</v>
      </c>
      <c r="L614" s="4" t="s">
        <v>2652</v>
      </c>
      <c r="M614" s="10">
        <v>2</v>
      </c>
      <c r="N614" s="95">
        <v>765.90970000000004</v>
      </c>
      <c r="O614" s="37" t="str">
        <f>HYPERLINK("http://ms.phosphosite.org:5080/cgi-bin/plot-msms.cgi?MassType=1&amp;NumAxis=1&amp;Mod14=170&amp;Pep=GILAADESTGSIAKR&amp;Dta=/var/www/html/dta/S01/10558.5982.2.dta&amp;Global_Mod=CS57.0215", "5982")</f>
        <v>5982</v>
      </c>
      <c r="P614" s="37" t="str">
        <f>HYPERLINK("http://ms.phosphosite.org:5080/cgi-bin/plot-msms.cgi?MassType=1&amp;NumAxis=1&amp;Mod14=170&amp;Pep=GILAADESTGSIAKR&amp;Dta=/var/www/html/dta/S01/10559.5937.2.dta&amp;Global_Mod=CS57.0215", "5937")</f>
        <v>5937</v>
      </c>
      <c r="Q614" s="37" t="str">
        <f>HYPERLINK("http://ms.phosphosite.org:5080/cgi-bin/plot-msms.cgi?MassType=1&amp;NumAxis=1&amp;Mod14=170&amp;Pep=GILAADESTGSIAKR&amp;Dta=/var/www/html/dta/S01/10560.5919.2.dta&amp;Global_Mod=CS57.0215", "5919")</f>
        <v>5919</v>
      </c>
      <c r="R614" s="37" t="str">
        <f>HYPERLINK("http://ms.phosphosite.org:5080/cgi-bin/plot-msms.cgi?MassType=1&amp;NumAxis=1&amp;Mod14=170&amp;Pep=GILAADESTGSIAKR&amp;Dta=/var/www/html/dta/S01/10561.5969.2.dta&amp;Global_Mod=CS57.0215", "5969")</f>
        <v>5969</v>
      </c>
      <c r="S614" s="37" t="str">
        <f>HYPERLINK("http://ms.phosphosite.org:5080/cgi-bin/plot-msms.cgi?MassType=1&amp;NumAxis=1&amp;Mod14=170&amp;Pep=GILAADESTGSIAKR&amp;Dta=/var/www/html/dta/S01/10562.6058.2.dta&amp;Global_Mod=CS57.0215", "6058")</f>
        <v>6058</v>
      </c>
      <c r="T614" s="37" t="str">
        <f>HYPERLINK("http://ms.phosphosite.org:5080/cgi-bin/plot-msms.cgi?MassType=1&amp;NumAxis=1&amp;Mod14=170&amp;Pep=GILAADESTGSIAKR&amp;Dta=/var/www/html/dta/S01/10563.6015.2.dta&amp;Global_Mod=CS57.0215", "6015")</f>
        <v>6015</v>
      </c>
      <c r="U614" s="37" t="str">
        <f>HYPERLINK("http://ms.phosphosite.org:5080/cgi-bin/plot-msms.cgi?MassType=1&amp;NumAxis=1&amp;Mod14=170&amp;Pep=GILAADESTGSIAKR&amp;Dta=/var/www/html/dta/S01/10564.6351.2.dta&amp;Global_Mod=CS57.0215", "6351")</f>
        <v>6351</v>
      </c>
      <c r="V614" s="37" t="str">
        <f>HYPERLINK("http://ms.phosphosite.org:5080/cgi-bin/plot-msms.cgi?MassType=1&amp;NumAxis=1&amp;Mod14=170&amp;Pep=GILAADESTGSIAKR&amp;Dta=/var/www/html/dta/S01/10565.6426.2.dta&amp;Global_Mod=CS57.0215", "6426")</f>
        <v>6426</v>
      </c>
      <c r="W614" s="10">
        <v>6009</v>
      </c>
      <c r="X614" s="10">
        <v>5964</v>
      </c>
      <c r="Y614" s="10">
        <v>5948</v>
      </c>
      <c r="Z614" s="10">
        <v>5997</v>
      </c>
      <c r="AA614" s="10">
        <v>6073</v>
      </c>
      <c r="AB614" s="10">
        <v>6024</v>
      </c>
      <c r="AC614" s="10">
        <v>6375</v>
      </c>
      <c r="AD614" s="10">
        <v>6449</v>
      </c>
      <c r="AE614" s="91">
        <v>4.2869999999999999</v>
      </c>
      <c r="AF614" s="91">
        <v>4.2850000000000001</v>
      </c>
      <c r="AG614" s="91">
        <v>4.7910000000000004</v>
      </c>
      <c r="AH614" s="91">
        <v>4.2050000000000001</v>
      </c>
      <c r="AI614" s="91">
        <v>4.1660000000000004</v>
      </c>
      <c r="AJ614" s="91">
        <v>3.7559999999999998</v>
      </c>
      <c r="AK614" s="91">
        <v>3.9249999999999998</v>
      </c>
      <c r="AL614" s="91">
        <v>3.9980000000000002</v>
      </c>
      <c r="AM614" s="95">
        <v>0.3488</v>
      </c>
      <c r="AN614" s="95">
        <v>0.46970000000000001</v>
      </c>
      <c r="AO614" s="95">
        <v>0.34160000000000001</v>
      </c>
      <c r="AP614" s="95">
        <v>0.67149999999999999</v>
      </c>
      <c r="AQ614" s="95">
        <v>0.55000000000000004</v>
      </c>
      <c r="AR614" s="95">
        <v>0.44219999999999998</v>
      </c>
      <c r="AS614" s="95">
        <v>0.3821</v>
      </c>
      <c r="AT614" s="95">
        <v>7.6399999999999996E-2</v>
      </c>
      <c r="AU614" s="95">
        <v>0.48199999999999998</v>
      </c>
      <c r="AV614" s="95">
        <v>0.40899999999999997</v>
      </c>
      <c r="AW614" s="95">
        <v>0.503</v>
      </c>
      <c r="AX614" s="95">
        <v>0.46200000000000002</v>
      </c>
      <c r="AY614" s="95">
        <v>0.47399999999999998</v>
      </c>
      <c r="AZ614" s="95">
        <v>0.47199999999999998</v>
      </c>
      <c r="BA614" s="95">
        <v>0.46100000000000002</v>
      </c>
      <c r="BB614" s="95">
        <v>0.49299999999999999</v>
      </c>
      <c r="BC614" s="10">
        <v>1</v>
      </c>
      <c r="BD614" s="10">
        <v>1</v>
      </c>
      <c r="BE614" s="10">
        <v>1</v>
      </c>
      <c r="BF614" s="10">
        <v>1</v>
      </c>
      <c r="BG614" s="10">
        <v>1</v>
      </c>
      <c r="BH614" s="10">
        <v>1</v>
      </c>
      <c r="BI614" s="10">
        <v>1</v>
      </c>
      <c r="BJ614" s="10">
        <v>1</v>
      </c>
      <c r="BK614" s="91">
        <v>1</v>
      </c>
      <c r="BL614" s="91">
        <v>1</v>
      </c>
      <c r="BM614" s="91">
        <v>1</v>
      </c>
      <c r="BN614" s="91">
        <v>1</v>
      </c>
      <c r="BO614" s="91">
        <v>1</v>
      </c>
      <c r="BP614" s="91">
        <v>1</v>
      </c>
      <c r="BQ614" s="91">
        <v>1</v>
      </c>
      <c r="BR614" s="91">
        <v>1</v>
      </c>
      <c r="BS614" s="10" t="s">
        <v>4857</v>
      </c>
    </row>
    <row r="615" spans="1:71" s="30" customFormat="1" ht="17.100000000000001" customHeight="1">
      <c r="A615" s="14">
        <v>604</v>
      </c>
      <c r="B615" s="5" t="s">
        <v>2653</v>
      </c>
      <c r="C615" s="3" t="s">
        <v>2686</v>
      </c>
      <c r="D615" s="3" t="s">
        <v>2654</v>
      </c>
      <c r="E615" s="3" t="s">
        <v>2655</v>
      </c>
      <c r="F615" s="5" t="s">
        <v>5008</v>
      </c>
      <c r="G615" s="3" t="s">
        <v>2656</v>
      </c>
      <c r="H615" s="6" t="s">
        <v>2657</v>
      </c>
      <c r="I615" s="3" t="s">
        <v>2658</v>
      </c>
      <c r="J615" s="5" t="s">
        <v>4535</v>
      </c>
      <c r="K615" s="3" t="s">
        <v>5697</v>
      </c>
      <c r="L615" s="3" t="s">
        <v>2659</v>
      </c>
      <c r="M615" s="5">
        <v>3</v>
      </c>
      <c r="N615" s="21">
        <v>616.64639999999997</v>
      </c>
      <c r="O615" s="35" t="s">
        <v>4854</v>
      </c>
      <c r="P615" s="35" t="s">
        <v>4854</v>
      </c>
      <c r="Q615" s="35" t="s">
        <v>4854</v>
      </c>
      <c r="R615" s="35" t="s">
        <v>4854</v>
      </c>
      <c r="S615" s="35" t="s">
        <v>4854</v>
      </c>
      <c r="T615" s="35" t="s">
        <v>4854</v>
      </c>
      <c r="U615" s="36" t="str">
        <f>HYPERLINK("http://ms.phosphosite.org:5080/cgi-bin/plot-msms.cgi?MassType=1&amp;NumAxis=1&amp;Mod1=147&amp;Mod5=170&amp;Pep=MYFDKYVLKPATEGK&amp;Dta=/var/www/html/dta/S01/10564.8209.3.dta&amp;Global_Mod=CS57.0215", "8209")</f>
        <v>8209</v>
      </c>
      <c r="V615" s="36" t="str">
        <f>HYPERLINK("http://ms.phosphosite.org:5080/cgi-bin/plot-msms.cgi?MassType=1&amp;NumAxis=1&amp;Mod1=147&amp;Mod5=170&amp;Pep=MYFDKYVLKPATEGK&amp;Dta=/var/www/html/dta/S01/10565.8261.3.dta&amp;Global_Mod=CS57.0215", "8261")</f>
        <v>8261</v>
      </c>
      <c r="W615" s="3" t="s">
        <v>4854</v>
      </c>
      <c r="X615" s="3" t="s">
        <v>4854</v>
      </c>
      <c r="Y615" s="3" t="s">
        <v>4854</v>
      </c>
      <c r="Z615" s="3" t="s">
        <v>4854</v>
      </c>
      <c r="AA615" s="3" t="s">
        <v>4854</v>
      </c>
      <c r="AB615" s="3" t="s">
        <v>4854</v>
      </c>
      <c r="AC615" s="3" t="s">
        <v>4854</v>
      </c>
      <c r="AD615" s="5">
        <v>8242</v>
      </c>
      <c r="AE615" s="99" t="s">
        <v>4854</v>
      </c>
      <c r="AF615" s="99" t="s">
        <v>4854</v>
      </c>
      <c r="AG615" s="99" t="s">
        <v>4854</v>
      </c>
      <c r="AH615" s="99" t="s">
        <v>4854</v>
      </c>
      <c r="AI615" s="99" t="s">
        <v>4854</v>
      </c>
      <c r="AJ615" s="99" t="s">
        <v>4854</v>
      </c>
      <c r="AK615" s="90">
        <v>1.647</v>
      </c>
      <c r="AL615" s="90">
        <v>2.141</v>
      </c>
      <c r="AM615" s="102" t="s">
        <v>4854</v>
      </c>
      <c r="AN615" s="102" t="s">
        <v>4854</v>
      </c>
      <c r="AO615" s="102" t="s">
        <v>4854</v>
      </c>
      <c r="AP615" s="102" t="s">
        <v>4854</v>
      </c>
      <c r="AQ615" s="102" t="s">
        <v>4854</v>
      </c>
      <c r="AR615" s="102" t="s">
        <v>4854</v>
      </c>
      <c r="AS615" s="21">
        <v>0.18890000000000001</v>
      </c>
      <c r="AT615" s="21">
        <v>-0.375</v>
      </c>
      <c r="AU615" s="102" t="s">
        <v>4854</v>
      </c>
      <c r="AV615" s="102" t="s">
        <v>4854</v>
      </c>
      <c r="AW615" s="102" t="s">
        <v>4854</v>
      </c>
      <c r="AX615" s="102" t="s">
        <v>4854</v>
      </c>
      <c r="AY615" s="102" t="s">
        <v>4854</v>
      </c>
      <c r="AZ615" s="102" t="s">
        <v>4854</v>
      </c>
      <c r="BA615" s="21">
        <v>0.112</v>
      </c>
      <c r="BB615" s="21">
        <v>0.14199999999999999</v>
      </c>
      <c r="BC615" s="3" t="s">
        <v>4854</v>
      </c>
      <c r="BD615" s="3" t="s">
        <v>4854</v>
      </c>
      <c r="BE615" s="3" t="s">
        <v>4854</v>
      </c>
      <c r="BF615" s="3" t="s">
        <v>4854</v>
      </c>
      <c r="BG615" s="3" t="s">
        <v>4854</v>
      </c>
      <c r="BH615" s="3" t="s">
        <v>4854</v>
      </c>
      <c r="BI615" s="5">
        <v>12</v>
      </c>
      <c r="BJ615" s="5">
        <v>3</v>
      </c>
      <c r="BK615" s="99" t="s">
        <v>4854</v>
      </c>
      <c r="BL615" s="99" t="s">
        <v>4854</v>
      </c>
      <c r="BM615" s="99" t="s">
        <v>4854</v>
      </c>
      <c r="BN615" s="99" t="s">
        <v>4854</v>
      </c>
      <c r="BO615" s="99" t="s">
        <v>4854</v>
      </c>
      <c r="BP615" s="99" t="s">
        <v>4854</v>
      </c>
      <c r="BQ615" s="90">
        <v>0.92200000000000004</v>
      </c>
      <c r="BR615" s="90">
        <v>0.96899999999999997</v>
      </c>
      <c r="BS615" s="5" t="s">
        <v>4857</v>
      </c>
    </row>
    <row r="616" spans="1:71" s="30" customFormat="1" ht="17.100000000000001" customHeight="1">
      <c r="A616" s="10">
        <v>605</v>
      </c>
      <c r="B616" s="10" t="s">
        <v>2660</v>
      </c>
      <c r="C616" s="4" t="s">
        <v>2686</v>
      </c>
      <c r="D616" s="4" t="s">
        <v>2661</v>
      </c>
      <c r="E616" s="4" t="s">
        <v>2662</v>
      </c>
      <c r="F616" s="10" t="s">
        <v>5073</v>
      </c>
      <c r="G616" s="4" t="s">
        <v>2663</v>
      </c>
      <c r="H616" s="7" t="s">
        <v>2664</v>
      </c>
      <c r="I616" s="4" t="s">
        <v>2541</v>
      </c>
      <c r="J616" s="10" t="s">
        <v>4623</v>
      </c>
      <c r="K616" s="4" t="s">
        <v>5698</v>
      </c>
      <c r="L616" s="4" t="s">
        <v>2542</v>
      </c>
      <c r="M616" s="10">
        <v>2</v>
      </c>
      <c r="N616" s="95">
        <v>549.75670000000002</v>
      </c>
      <c r="O616" s="38" t="s">
        <v>4854</v>
      </c>
      <c r="P616" s="37" t="str">
        <f>HYPERLINK("http://ms.phosphosite.org:5080/cgi-bin/plot-msms.cgi?MassType=1&amp;NumAxis=1&amp;Mod3=170&amp;Pep=ADKLAEEHGS&amp;Dta=/var/www/html/dta/S01/10559.2253.2.dta&amp;Global_Mod=CS57.0215", "2253")</f>
        <v>2253</v>
      </c>
      <c r="Q616" s="37" t="str">
        <f>HYPERLINK("http://ms.phosphosite.org:5080/cgi-bin/plot-msms.cgi?MassType=1&amp;NumAxis=1&amp;Mod3=170&amp;Pep=ADKLAEEHGS&amp;Dta=/var/www/html/dta/S01/10560.2220.2.dta&amp;Global_Mod=CS57.0215", "2220")</f>
        <v>2220</v>
      </c>
      <c r="R616" s="37" t="str">
        <f>HYPERLINK("http://ms.phosphosite.org:5080/cgi-bin/plot-msms.cgi?MassType=1&amp;NumAxis=1&amp;Mod3=170&amp;Pep=ADKLAEEHGS&amp;Dta=/var/www/html/dta/S01/10561.2258.2.dta&amp;Global_Mod=CS57.0215", "2258")</f>
        <v>2258</v>
      </c>
      <c r="S616" s="37" t="str">
        <f>HYPERLINK("http://ms.phosphosite.org:5080/cgi-bin/plot-msms.cgi?MassType=1&amp;NumAxis=1&amp;Mod3=170&amp;Pep=ADKLAEEHGS&amp;Dta=/var/www/html/dta/S01/10562.2328.2.dta&amp;Global_Mod=CS57.0215", "2328")</f>
        <v>2328</v>
      </c>
      <c r="T616" s="37" t="str">
        <f>HYPERLINK("http://ms.phosphosite.org:5080/cgi-bin/plot-msms.cgi?MassType=1&amp;NumAxis=1&amp;Mod3=170&amp;Pep=ADKLAEEHGS&amp;Dta=/var/www/html/dta/S01/10563.2259.2.dta&amp;Global_Mod=CS57.0215", "2259")</f>
        <v>2259</v>
      </c>
      <c r="U616" s="37" t="str">
        <f>HYPERLINK("http://ms.phosphosite.org:5080/cgi-bin/plot-msms.cgi?MassType=1&amp;NumAxis=1&amp;Mod3=170&amp;Pep=ADKLAEEHGS&amp;Dta=/var/www/html/dta/S01/10564.2547.2.dta&amp;Global_Mod=CS57.0215", "2547")</f>
        <v>2547</v>
      </c>
      <c r="V616" s="37" t="str">
        <f>HYPERLINK("http://ms.phosphosite.org:5080/cgi-bin/plot-msms.cgi?MassType=1&amp;NumAxis=1&amp;Mod3=170&amp;Pep=ADKLAEEHGS&amp;Dta=/var/www/html/dta/S01/10565.2623.2.dta&amp;Global_Mod=CS57.0215", "2623")</f>
        <v>2623</v>
      </c>
      <c r="W616" s="4" t="s">
        <v>4854</v>
      </c>
      <c r="X616" s="10">
        <v>2255</v>
      </c>
      <c r="Y616" s="10">
        <v>2230</v>
      </c>
      <c r="Z616" s="10">
        <v>2278</v>
      </c>
      <c r="AA616" s="10">
        <v>2338</v>
      </c>
      <c r="AB616" s="10">
        <v>2269</v>
      </c>
      <c r="AC616" s="10">
        <v>2566</v>
      </c>
      <c r="AD616" s="10">
        <v>2643</v>
      </c>
      <c r="AE616" s="100" t="s">
        <v>4854</v>
      </c>
      <c r="AF616" s="91">
        <v>2.9569999999999999</v>
      </c>
      <c r="AG616" s="91">
        <v>2.7320000000000002</v>
      </c>
      <c r="AH616" s="91">
        <v>2.3519999999999999</v>
      </c>
      <c r="AI616" s="91">
        <v>2.875</v>
      </c>
      <c r="AJ616" s="91">
        <v>2.8140000000000001</v>
      </c>
      <c r="AK616" s="91">
        <v>2.694</v>
      </c>
      <c r="AL616" s="91">
        <v>3.0529999999999999</v>
      </c>
      <c r="AM616" s="103" t="s">
        <v>4854</v>
      </c>
      <c r="AN616" s="95">
        <v>-0.2127</v>
      </c>
      <c r="AO616" s="95">
        <v>-1.6899999999999998E-2</v>
      </c>
      <c r="AP616" s="95">
        <v>1.7600000000000001E-2</v>
      </c>
      <c r="AQ616" s="95">
        <v>-1.06E-2</v>
      </c>
      <c r="AR616" s="95">
        <v>0.1961</v>
      </c>
      <c r="AS616" s="95">
        <v>-0.17349999999999999</v>
      </c>
      <c r="AT616" s="95">
        <v>-0.46300000000000002</v>
      </c>
      <c r="AU616" s="103" t="s">
        <v>4854</v>
      </c>
      <c r="AV616" s="95">
        <v>0.29699999999999999</v>
      </c>
      <c r="AW616" s="95">
        <v>0.28499999999999998</v>
      </c>
      <c r="AX616" s="95">
        <v>0.247</v>
      </c>
      <c r="AY616" s="95">
        <v>0.318</v>
      </c>
      <c r="AZ616" s="95">
        <v>0.32500000000000001</v>
      </c>
      <c r="BA616" s="95">
        <v>0.33600000000000002</v>
      </c>
      <c r="BB616" s="95">
        <v>0.29499999999999998</v>
      </c>
      <c r="BC616" s="4" t="s">
        <v>4854</v>
      </c>
      <c r="BD616" s="10">
        <v>1</v>
      </c>
      <c r="BE616" s="10">
        <v>2</v>
      </c>
      <c r="BF616" s="10">
        <v>1</v>
      </c>
      <c r="BG616" s="10">
        <v>1</v>
      </c>
      <c r="BH616" s="10">
        <v>3</v>
      </c>
      <c r="BI616" s="10">
        <v>1</v>
      </c>
      <c r="BJ616" s="10">
        <v>1</v>
      </c>
      <c r="BK616" s="100" t="s">
        <v>4854</v>
      </c>
      <c r="BL616" s="91">
        <v>1</v>
      </c>
      <c r="BM616" s="91">
        <v>0.999</v>
      </c>
      <c r="BN616" s="91">
        <v>0.999</v>
      </c>
      <c r="BO616" s="91">
        <v>1</v>
      </c>
      <c r="BP616" s="91">
        <v>1</v>
      </c>
      <c r="BQ616" s="91">
        <v>1</v>
      </c>
      <c r="BR616" s="91">
        <v>0.999</v>
      </c>
      <c r="BS616" s="10" t="s">
        <v>4857</v>
      </c>
    </row>
    <row r="617" spans="1:71" s="30" customFormat="1" ht="17.100000000000001" customHeight="1">
      <c r="A617" s="10">
        <v>606</v>
      </c>
      <c r="B617" s="10" t="s">
        <v>2543</v>
      </c>
      <c r="C617" s="4" t="s">
        <v>2686</v>
      </c>
      <c r="D617" s="4" t="s">
        <v>2661</v>
      </c>
      <c r="E617" s="4" t="s">
        <v>2662</v>
      </c>
      <c r="F617" s="10" t="s">
        <v>5073</v>
      </c>
      <c r="G617" s="4" t="s">
        <v>2663</v>
      </c>
      <c r="H617" s="7" t="s">
        <v>2664</v>
      </c>
      <c r="I617" s="4" t="s">
        <v>2541</v>
      </c>
      <c r="J617" s="10" t="s">
        <v>4623</v>
      </c>
      <c r="K617" s="4" t="s">
        <v>5698</v>
      </c>
      <c r="L617" s="4" t="s">
        <v>2542</v>
      </c>
      <c r="M617" s="10">
        <v>2</v>
      </c>
      <c r="N617" s="95">
        <v>549.75670000000002</v>
      </c>
      <c r="O617" s="38" t="s">
        <v>4854</v>
      </c>
      <c r="P617" s="37" t="str">
        <f>HYPERLINK("http://ms.phosphosite.org:5080/cgi-bin/plot-msms.cgi?MassType=1&amp;NumAxis=1&amp;Mod3=170&amp;Pep=ADKLAEEHGS&amp;Dta=/var/www/html/dta/S01/10559.2256.2.dta&amp;Global_Mod=CS57.0215", "2256")</f>
        <v>2256</v>
      </c>
      <c r="Q617" s="38" t="s">
        <v>4854</v>
      </c>
      <c r="R617" s="38" t="s">
        <v>4854</v>
      </c>
      <c r="S617" s="38" t="s">
        <v>4854</v>
      </c>
      <c r="T617" s="38" t="s">
        <v>4854</v>
      </c>
      <c r="U617" s="38" t="s">
        <v>4854</v>
      </c>
      <c r="V617" s="38" t="s">
        <v>4854</v>
      </c>
      <c r="W617" s="4" t="s">
        <v>4854</v>
      </c>
      <c r="X617" s="10">
        <v>2255</v>
      </c>
      <c r="Y617" s="4" t="s">
        <v>4854</v>
      </c>
      <c r="Z617" s="4" t="s">
        <v>4854</v>
      </c>
      <c r="AA617" s="4" t="s">
        <v>4854</v>
      </c>
      <c r="AB617" s="4" t="s">
        <v>4854</v>
      </c>
      <c r="AC617" s="4" t="s">
        <v>4854</v>
      </c>
      <c r="AD617" s="4" t="s">
        <v>4854</v>
      </c>
      <c r="AE617" s="100" t="s">
        <v>4854</v>
      </c>
      <c r="AF617" s="91">
        <v>2.9</v>
      </c>
      <c r="AG617" s="100" t="s">
        <v>4854</v>
      </c>
      <c r="AH617" s="100" t="s">
        <v>4854</v>
      </c>
      <c r="AI617" s="100" t="s">
        <v>4854</v>
      </c>
      <c r="AJ617" s="100" t="s">
        <v>4854</v>
      </c>
      <c r="AK617" s="100" t="s">
        <v>4854</v>
      </c>
      <c r="AL617" s="100" t="s">
        <v>4854</v>
      </c>
      <c r="AM617" s="103" t="s">
        <v>4854</v>
      </c>
      <c r="AN617" s="95">
        <v>-0.2127</v>
      </c>
      <c r="AO617" s="103" t="s">
        <v>4854</v>
      </c>
      <c r="AP617" s="103" t="s">
        <v>4854</v>
      </c>
      <c r="AQ617" s="103" t="s">
        <v>4854</v>
      </c>
      <c r="AR617" s="103" t="s">
        <v>4854</v>
      </c>
      <c r="AS617" s="103" t="s">
        <v>4854</v>
      </c>
      <c r="AT617" s="103" t="s">
        <v>4854</v>
      </c>
      <c r="AU617" s="103" t="s">
        <v>4854</v>
      </c>
      <c r="AV617" s="95">
        <v>0.32200000000000001</v>
      </c>
      <c r="AW617" s="103" t="s">
        <v>4854</v>
      </c>
      <c r="AX617" s="103" t="s">
        <v>4854</v>
      </c>
      <c r="AY617" s="103" t="s">
        <v>4854</v>
      </c>
      <c r="AZ617" s="103" t="s">
        <v>4854</v>
      </c>
      <c r="BA617" s="103" t="s">
        <v>4854</v>
      </c>
      <c r="BB617" s="103" t="s">
        <v>4854</v>
      </c>
      <c r="BC617" s="4" t="s">
        <v>4854</v>
      </c>
      <c r="BD617" s="10">
        <v>1</v>
      </c>
      <c r="BE617" s="4" t="s">
        <v>4854</v>
      </c>
      <c r="BF617" s="4" t="s">
        <v>4854</v>
      </c>
      <c r="BG617" s="4" t="s">
        <v>4854</v>
      </c>
      <c r="BH617" s="4" t="s">
        <v>4854</v>
      </c>
      <c r="BI617" s="4" t="s">
        <v>4854</v>
      </c>
      <c r="BJ617" s="4" t="s">
        <v>4854</v>
      </c>
      <c r="BK617" s="100" t="s">
        <v>4854</v>
      </c>
      <c r="BL617" s="91">
        <v>1</v>
      </c>
      <c r="BM617" s="100" t="s">
        <v>4854</v>
      </c>
      <c r="BN617" s="100" t="s">
        <v>4854</v>
      </c>
      <c r="BO617" s="100" t="s">
        <v>4854</v>
      </c>
      <c r="BP617" s="100" t="s">
        <v>4854</v>
      </c>
      <c r="BQ617" s="100" t="s">
        <v>4854</v>
      </c>
      <c r="BR617" s="100" t="s">
        <v>4854</v>
      </c>
      <c r="BS617" s="10" t="s">
        <v>4857</v>
      </c>
    </row>
    <row r="618" spans="1:71" s="30" customFormat="1" ht="17.100000000000001" customHeight="1">
      <c r="A618" s="14">
        <v>607</v>
      </c>
      <c r="B618" s="5" t="s">
        <v>2544</v>
      </c>
      <c r="C618" s="3" t="s">
        <v>2686</v>
      </c>
      <c r="D618" s="3" t="s">
        <v>2545</v>
      </c>
      <c r="E618" s="3" t="s">
        <v>2546</v>
      </c>
      <c r="F618" s="5" t="s">
        <v>4724</v>
      </c>
      <c r="G618" s="3" t="s">
        <v>2547</v>
      </c>
      <c r="H618" s="6" t="s">
        <v>2548</v>
      </c>
      <c r="I618" s="3" t="s">
        <v>2549</v>
      </c>
      <c r="J618" s="5" t="s">
        <v>4816</v>
      </c>
      <c r="K618" s="3" t="s">
        <v>5699</v>
      </c>
      <c r="L618" s="3" t="s">
        <v>2550</v>
      </c>
      <c r="M618" s="5">
        <v>2</v>
      </c>
      <c r="N618" s="21">
        <v>637.83000000000004</v>
      </c>
      <c r="O618" s="36" t="str">
        <f>HYPERLINK("http://ms.phosphosite.org:5080/cgi-bin/plot-msms.cgi?MassType=1&amp;NumAxis=1&amp;Mod4=170&amp;Pep=YYNKYINVR&amp;Dta=/var/www/html/dta/S01/10558.6448.2.dta&amp;Global_Mod=CS57.0215", "6448")</f>
        <v>6448</v>
      </c>
      <c r="P618" s="36" t="str">
        <f>HYPERLINK("http://ms.phosphosite.org:5080/cgi-bin/plot-msms.cgi?MassType=1&amp;NumAxis=1&amp;Mod4=170&amp;Pep=YYNKYINVR&amp;Dta=/var/www/html/dta/S01/10559.6389.2.dta&amp;Global_Mod=CS57.0215", "6389")</f>
        <v>6389</v>
      </c>
      <c r="Q618" s="35" t="s">
        <v>4854</v>
      </c>
      <c r="R618" s="36" t="str">
        <f>HYPERLINK("http://ms.phosphosite.org:5080/cgi-bin/plot-msms.cgi?MassType=1&amp;NumAxis=1&amp;Mod4=170&amp;Pep=YYNKYINVR&amp;Dta=/var/www/html/dta/S01/10561.6407.2.dta&amp;Global_Mod=CS57.0215", "6407")</f>
        <v>6407</v>
      </c>
      <c r="S618" s="36" t="str">
        <f>HYPERLINK("http://ms.phosphosite.org:5080/cgi-bin/plot-msms.cgi?MassType=1&amp;NumAxis=1&amp;Mod4=170&amp;Pep=YYNKYINVR&amp;Dta=/var/www/html/dta/S01/10562.6528.2.dta&amp;Global_Mod=CS57.0215", "6528")</f>
        <v>6528</v>
      </c>
      <c r="T618" s="36" t="str">
        <f>HYPERLINK("http://ms.phosphosite.org:5080/cgi-bin/plot-msms.cgi?MassType=1&amp;NumAxis=1&amp;Mod4=170&amp;Pep=YYNKYINVR&amp;Dta=/var/www/html/dta/S01/10563.6482.2.dta&amp;Global_Mod=CS57.0215", "6482")</f>
        <v>6482</v>
      </c>
      <c r="U618" s="36" t="str">
        <f>HYPERLINK("http://ms.phosphosite.org:5080/cgi-bin/plot-msms.cgi?MassType=1&amp;NumAxis=1&amp;Mod4=170&amp;Pep=YYNKYINVR&amp;Dta=/var/www/html/dta/S01/10564.6855.2.dta&amp;Global_Mod=CS57.0215", "6855")</f>
        <v>6855</v>
      </c>
      <c r="V618" s="36" t="str">
        <f>HYPERLINK("http://ms.phosphosite.org:5080/cgi-bin/plot-msms.cgi?MassType=1&amp;NumAxis=1&amp;Mod4=170&amp;Pep=YYNKYINVR&amp;Dta=/var/www/html/dta/S01/10565.6969.2.dta&amp;Global_Mod=CS57.0215", "6969")</f>
        <v>6969</v>
      </c>
      <c r="W618" s="5">
        <v>6457</v>
      </c>
      <c r="X618" s="5">
        <v>6415</v>
      </c>
      <c r="Y618" s="3" t="s">
        <v>4854</v>
      </c>
      <c r="Z618" s="5">
        <v>6415</v>
      </c>
      <c r="AA618" s="5">
        <v>6543</v>
      </c>
      <c r="AB618" s="5">
        <v>6497</v>
      </c>
      <c r="AC618" s="5">
        <v>6881</v>
      </c>
      <c r="AD618" s="5">
        <v>6966</v>
      </c>
      <c r="AE618" s="90">
        <v>2.6150000000000002</v>
      </c>
      <c r="AF618" s="90">
        <v>2.399</v>
      </c>
      <c r="AG618" s="99" t="s">
        <v>4854</v>
      </c>
      <c r="AH618" s="90">
        <v>2.3210000000000002</v>
      </c>
      <c r="AI618" s="90">
        <v>2.3849999999999998</v>
      </c>
      <c r="AJ618" s="90">
        <v>2.2949999999999999</v>
      </c>
      <c r="AK618" s="90">
        <v>2.363</v>
      </c>
      <c r="AL618" s="90">
        <v>2.5640000000000001</v>
      </c>
      <c r="AM618" s="21">
        <v>5.7799999999999997E-2</v>
      </c>
      <c r="AN618" s="21">
        <v>-0.31640000000000001</v>
      </c>
      <c r="AO618" s="102" t="s">
        <v>4854</v>
      </c>
      <c r="AP618" s="21">
        <v>0.13389999999999999</v>
      </c>
      <c r="AQ618" s="21">
        <v>-0.3281</v>
      </c>
      <c r="AR618" s="21">
        <v>-0.25829999999999997</v>
      </c>
      <c r="AS618" s="21">
        <v>1.4E-3</v>
      </c>
      <c r="AT618" s="21">
        <v>-2.69E-2</v>
      </c>
      <c r="AU618" s="21">
        <v>0.309</v>
      </c>
      <c r="AV618" s="21">
        <v>0.253</v>
      </c>
      <c r="AW618" s="102" t="s">
        <v>4854</v>
      </c>
      <c r="AX618" s="21">
        <v>0.19500000000000001</v>
      </c>
      <c r="AY618" s="21">
        <v>0.152</v>
      </c>
      <c r="AZ618" s="21">
        <v>4.9000000000000002E-2</v>
      </c>
      <c r="BA618" s="21">
        <v>9.4E-2</v>
      </c>
      <c r="BB618" s="21">
        <v>0.23599999999999999</v>
      </c>
      <c r="BC618" s="5">
        <v>2</v>
      </c>
      <c r="BD618" s="5">
        <v>4</v>
      </c>
      <c r="BE618" s="3" t="s">
        <v>4854</v>
      </c>
      <c r="BF618" s="5">
        <v>2</v>
      </c>
      <c r="BG618" s="5">
        <v>2</v>
      </c>
      <c r="BH618" s="5">
        <v>7</v>
      </c>
      <c r="BI618" s="5">
        <v>3</v>
      </c>
      <c r="BJ618" s="5">
        <v>2</v>
      </c>
      <c r="BK618" s="90">
        <v>1</v>
      </c>
      <c r="BL618" s="90">
        <v>0.998</v>
      </c>
      <c r="BM618" s="99" t="s">
        <v>4854</v>
      </c>
      <c r="BN618" s="90">
        <v>0.997</v>
      </c>
      <c r="BO618" s="90">
        <v>0.996</v>
      </c>
      <c r="BP618" s="90">
        <v>0.97199999999999998</v>
      </c>
      <c r="BQ618" s="90">
        <v>0.98899999999999999</v>
      </c>
      <c r="BR618" s="90">
        <v>0.999</v>
      </c>
      <c r="BS618" s="5" t="s">
        <v>4857</v>
      </c>
    </row>
    <row r="619" spans="1:71" s="30" customFormat="1" ht="17.100000000000001" customHeight="1">
      <c r="A619" s="10">
        <v>608</v>
      </c>
      <c r="B619" s="10" t="s">
        <v>2551</v>
      </c>
      <c r="C619" s="4" t="s">
        <v>2686</v>
      </c>
      <c r="D619" s="4" t="s">
        <v>2552</v>
      </c>
      <c r="E619" s="7" t="s">
        <v>2553</v>
      </c>
      <c r="F619" s="10" t="s">
        <v>4463</v>
      </c>
      <c r="G619" s="4" t="s">
        <v>2554</v>
      </c>
      <c r="H619" s="7" t="s">
        <v>2555</v>
      </c>
      <c r="I619" s="4" t="s">
        <v>2556</v>
      </c>
      <c r="J619" s="10" t="s">
        <v>4834</v>
      </c>
      <c r="K619" s="4" t="s">
        <v>5700</v>
      </c>
      <c r="L619" s="4" t="s">
        <v>2557</v>
      </c>
      <c r="M619" s="10">
        <v>4</v>
      </c>
      <c r="N619" s="95">
        <v>521.00030000000004</v>
      </c>
      <c r="O619" s="38" t="s">
        <v>4854</v>
      </c>
      <c r="P619" s="37" t="str">
        <f>HYPERLINK("http://ms.phosphosite.org:5080/cgi-bin/plot-msms.cgi?MassType=1&amp;NumAxis=1&amp;Mod12=170&amp;Pep=KHHEDEIDHHSKEIER&amp;Dta=/var/www/html/dta/S01/10559.1500.4.dta&amp;Global_Mod=CS57.0215", "1500")</f>
        <v>1500</v>
      </c>
      <c r="Q619" s="38" t="s">
        <v>4854</v>
      </c>
      <c r="R619" s="38" t="s">
        <v>4854</v>
      </c>
      <c r="S619" s="38" t="s">
        <v>4854</v>
      </c>
      <c r="T619" s="38" t="s">
        <v>4854</v>
      </c>
      <c r="U619" s="37" t="str">
        <f>HYPERLINK("http://ms.phosphosite.org:5080/cgi-bin/plot-msms.cgi?MassType=1&amp;NumAxis=1&amp;Mod12=170&amp;Pep=KHHEDEIDHHSKEIER&amp;Dta=/var/www/html/dta/S01/10564.1690.4.dta&amp;Global_Mod=CS57.0215", "1690")</f>
        <v>1690</v>
      </c>
      <c r="V619" s="38" t="s">
        <v>4854</v>
      </c>
      <c r="W619" s="4" t="s">
        <v>4854</v>
      </c>
      <c r="X619" s="4" t="s">
        <v>4854</v>
      </c>
      <c r="Y619" s="4" t="s">
        <v>4854</v>
      </c>
      <c r="Z619" s="4" t="s">
        <v>4854</v>
      </c>
      <c r="AA619" s="4" t="s">
        <v>4854</v>
      </c>
      <c r="AB619" s="4" t="s">
        <v>4854</v>
      </c>
      <c r="AC619" s="10">
        <v>1683</v>
      </c>
      <c r="AD619" s="4" t="s">
        <v>4854</v>
      </c>
      <c r="AE619" s="100" t="s">
        <v>4854</v>
      </c>
      <c r="AF619" s="91">
        <v>2.464</v>
      </c>
      <c r="AG619" s="100" t="s">
        <v>4854</v>
      </c>
      <c r="AH619" s="100" t="s">
        <v>4854</v>
      </c>
      <c r="AI619" s="100" t="s">
        <v>4854</v>
      </c>
      <c r="AJ619" s="100" t="s">
        <v>4854</v>
      </c>
      <c r="AK619" s="91">
        <v>2.593</v>
      </c>
      <c r="AL619" s="100" t="s">
        <v>4854</v>
      </c>
      <c r="AM619" s="103" t="s">
        <v>4854</v>
      </c>
      <c r="AN619" s="95">
        <v>0.36899999999999999</v>
      </c>
      <c r="AO619" s="103" t="s">
        <v>4854</v>
      </c>
      <c r="AP619" s="103" t="s">
        <v>4854</v>
      </c>
      <c r="AQ619" s="103" t="s">
        <v>4854</v>
      </c>
      <c r="AR619" s="103" t="s">
        <v>4854</v>
      </c>
      <c r="AS619" s="95">
        <v>-0.45369999999999999</v>
      </c>
      <c r="AT619" s="103" t="s">
        <v>4854</v>
      </c>
      <c r="AU619" s="103" t="s">
        <v>4854</v>
      </c>
      <c r="AV619" s="95">
        <v>1E-3</v>
      </c>
      <c r="AW619" s="103" t="s">
        <v>4854</v>
      </c>
      <c r="AX619" s="103" t="s">
        <v>4854</v>
      </c>
      <c r="AY619" s="103" t="s">
        <v>4854</v>
      </c>
      <c r="AZ619" s="103" t="s">
        <v>4854</v>
      </c>
      <c r="BA619" s="95">
        <v>7.4999999999999997E-2</v>
      </c>
      <c r="BB619" s="103" t="s">
        <v>4854</v>
      </c>
      <c r="BC619" s="4" t="s">
        <v>4854</v>
      </c>
      <c r="BD619" s="10">
        <v>5</v>
      </c>
      <c r="BE619" s="4" t="s">
        <v>4854</v>
      </c>
      <c r="BF619" s="4" t="s">
        <v>4854</v>
      </c>
      <c r="BG619" s="4" t="s">
        <v>4854</v>
      </c>
      <c r="BH619" s="4" t="s">
        <v>4854</v>
      </c>
      <c r="BI619" s="10">
        <v>3</v>
      </c>
      <c r="BJ619" s="4" t="s">
        <v>4854</v>
      </c>
      <c r="BK619" s="100" t="s">
        <v>4854</v>
      </c>
      <c r="BL619" s="91">
        <v>0.94299999999999995</v>
      </c>
      <c r="BM619" s="100" t="s">
        <v>4854</v>
      </c>
      <c r="BN619" s="100" t="s">
        <v>4854</v>
      </c>
      <c r="BO619" s="100" t="s">
        <v>4854</v>
      </c>
      <c r="BP619" s="100" t="s">
        <v>4854</v>
      </c>
      <c r="BQ619" s="91">
        <v>0.97699999999999998</v>
      </c>
      <c r="BR619" s="100" t="s">
        <v>4854</v>
      </c>
      <c r="BS619" s="10" t="s">
        <v>4857</v>
      </c>
    </row>
    <row r="620" spans="1:71" s="30" customFormat="1" ht="17.100000000000001" customHeight="1">
      <c r="A620" s="14">
        <v>609</v>
      </c>
      <c r="B620" s="5" t="s">
        <v>2558</v>
      </c>
      <c r="C620" s="3" t="s">
        <v>2686</v>
      </c>
      <c r="D620" s="3" t="s">
        <v>2559</v>
      </c>
      <c r="E620" s="3" t="s">
        <v>2560</v>
      </c>
      <c r="F620" s="5" t="s">
        <v>5282</v>
      </c>
      <c r="G620" s="3" t="s">
        <v>2561</v>
      </c>
      <c r="H620" s="6" t="s">
        <v>2562</v>
      </c>
      <c r="I620" s="3" t="s">
        <v>2563</v>
      </c>
      <c r="J620" s="5" t="s">
        <v>4796</v>
      </c>
      <c r="K620" s="3" t="s">
        <v>5701</v>
      </c>
      <c r="L620" s="3" t="s">
        <v>2564</v>
      </c>
      <c r="M620" s="5">
        <v>2</v>
      </c>
      <c r="N620" s="21">
        <v>436.21339999999998</v>
      </c>
      <c r="O620" s="35" t="s">
        <v>4854</v>
      </c>
      <c r="P620" s="35" t="s">
        <v>4854</v>
      </c>
      <c r="Q620" s="35" t="s">
        <v>4854</v>
      </c>
      <c r="R620" s="35" t="s">
        <v>4854</v>
      </c>
      <c r="S620" s="35" t="s">
        <v>4854</v>
      </c>
      <c r="T620" s="35" t="s">
        <v>4854</v>
      </c>
      <c r="U620" s="36" t="str">
        <f>HYPERLINK("http://ms.phosphosite.org:5080/cgi-bin/plot-msms.cgi?MassType=1&amp;NumAxis=1&amp;Mod1=170&amp;Pep=KYFDEK&amp;Dta=/var/www/html/dta/S01/10564.3743.2.dta&amp;Global_Mod=CS57.0215", "3743")</f>
        <v>3743</v>
      </c>
      <c r="V620" s="36" t="str">
        <f>HYPERLINK("http://ms.phosphosite.org:5080/cgi-bin/plot-msms.cgi?MassType=1&amp;NumAxis=1&amp;Mod1=170&amp;Pep=KYFDEK&amp;Dta=/var/www/html/dta/S01/10565.3837.2.dta&amp;Global_Mod=CS57.0215", "3837")</f>
        <v>3837</v>
      </c>
      <c r="W620" s="3" t="s">
        <v>4854</v>
      </c>
      <c r="X620" s="3" t="s">
        <v>4854</v>
      </c>
      <c r="Y620" s="3" t="s">
        <v>4854</v>
      </c>
      <c r="Z620" s="3" t="s">
        <v>4854</v>
      </c>
      <c r="AA620" s="3" t="s">
        <v>4854</v>
      </c>
      <c r="AB620" s="3" t="s">
        <v>4854</v>
      </c>
      <c r="AC620" s="5">
        <v>3747</v>
      </c>
      <c r="AD620" s="5">
        <v>3839</v>
      </c>
      <c r="AE620" s="99" t="s">
        <v>4854</v>
      </c>
      <c r="AF620" s="99" t="s">
        <v>4854</v>
      </c>
      <c r="AG620" s="99" t="s">
        <v>4854</v>
      </c>
      <c r="AH620" s="99" t="s">
        <v>4854</v>
      </c>
      <c r="AI620" s="99" t="s">
        <v>4854</v>
      </c>
      <c r="AJ620" s="99" t="s">
        <v>4854</v>
      </c>
      <c r="AK620" s="90">
        <v>1.8049999999999999</v>
      </c>
      <c r="AL620" s="90">
        <v>1.6890000000000001</v>
      </c>
      <c r="AM620" s="102" t="s">
        <v>4854</v>
      </c>
      <c r="AN620" s="102" t="s">
        <v>4854</v>
      </c>
      <c r="AO620" s="102" t="s">
        <v>4854</v>
      </c>
      <c r="AP620" s="102" t="s">
        <v>4854</v>
      </c>
      <c r="AQ620" s="102" t="s">
        <v>4854</v>
      </c>
      <c r="AR620" s="102" t="s">
        <v>4854</v>
      </c>
      <c r="AS620" s="21">
        <v>0.26340000000000002</v>
      </c>
      <c r="AT620" s="21">
        <v>3.0499999999999999E-2</v>
      </c>
      <c r="AU620" s="102" t="s">
        <v>4854</v>
      </c>
      <c r="AV620" s="102" t="s">
        <v>4854</v>
      </c>
      <c r="AW620" s="102" t="s">
        <v>4854</v>
      </c>
      <c r="AX620" s="102" t="s">
        <v>4854</v>
      </c>
      <c r="AY620" s="102" t="s">
        <v>4854</v>
      </c>
      <c r="AZ620" s="102" t="s">
        <v>4854</v>
      </c>
      <c r="BA620" s="21">
        <v>4.9000000000000002E-2</v>
      </c>
      <c r="BB620" s="21">
        <v>1.4E-2</v>
      </c>
      <c r="BC620" s="3" t="s">
        <v>4854</v>
      </c>
      <c r="BD620" s="3" t="s">
        <v>4854</v>
      </c>
      <c r="BE620" s="3" t="s">
        <v>4854</v>
      </c>
      <c r="BF620" s="3" t="s">
        <v>4854</v>
      </c>
      <c r="BG620" s="3" t="s">
        <v>4854</v>
      </c>
      <c r="BH620" s="3" t="s">
        <v>4854</v>
      </c>
      <c r="BI620" s="5">
        <v>34</v>
      </c>
      <c r="BJ620" s="5">
        <v>11</v>
      </c>
      <c r="BK620" s="99" t="s">
        <v>4854</v>
      </c>
      <c r="BL620" s="99" t="s">
        <v>4854</v>
      </c>
      <c r="BM620" s="99" t="s">
        <v>4854</v>
      </c>
      <c r="BN620" s="99" t="s">
        <v>4854</v>
      </c>
      <c r="BO620" s="99" t="s">
        <v>4854</v>
      </c>
      <c r="BP620" s="99" t="s">
        <v>4854</v>
      </c>
      <c r="BQ620" s="90">
        <v>0.98199999999999998</v>
      </c>
      <c r="BR620" s="90">
        <v>0.97199999999999998</v>
      </c>
      <c r="BS620" s="5" t="s">
        <v>4857</v>
      </c>
    </row>
    <row r="621" spans="1:71" s="30" customFormat="1" ht="17.100000000000001" customHeight="1">
      <c r="A621" s="10">
        <v>610</v>
      </c>
      <c r="B621" s="10" t="s">
        <v>2565</v>
      </c>
      <c r="C621" s="4" t="s">
        <v>2686</v>
      </c>
      <c r="D621" s="4" t="s">
        <v>2566</v>
      </c>
      <c r="E621" s="4" t="s">
        <v>2567</v>
      </c>
      <c r="F621" s="10" t="s">
        <v>5080</v>
      </c>
      <c r="G621" s="4" t="s">
        <v>2568</v>
      </c>
      <c r="H621" s="7" t="s">
        <v>2569</v>
      </c>
      <c r="I621" s="4" t="s">
        <v>2570</v>
      </c>
      <c r="J621" s="10" t="s">
        <v>4608</v>
      </c>
      <c r="K621" s="4" t="s">
        <v>5702</v>
      </c>
      <c r="L621" s="4" t="s">
        <v>2571</v>
      </c>
      <c r="M621" s="10">
        <v>2</v>
      </c>
      <c r="N621" s="95">
        <v>708.87009999999998</v>
      </c>
      <c r="O621" s="37" t="str">
        <f>HYPERLINK("http://ms.phosphosite.org:5080/cgi-bin/plot-msms.cgi?MassType=1&amp;NumAxis=1&amp;Mod10=170&amp;Pep=EVGKDVSDEKLR&amp;Dta=/var/www/html/dta/S01/10558.3117.2.dta&amp;Global_Mod=CS57.0215", "3117")</f>
        <v>3117</v>
      </c>
      <c r="P621" s="37" t="str">
        <f>HYPERLINK("http://ms.phosphosite.org:5080/cgi-bin/plot-msms.cgi?MassType=1&amp;NumAxis=1&amp;Mod10=170&amp;Pep=EVGKDVSDEKLR&amp;Dta=/var/www/html/dta/S01/10559.3045.2.dta&amp;Global_Mod=CS57.0215", "3045")</f>
        <v>3045</v>
      </c>
      <c r="Q621" s="38" t="s">
        <v>4854</v>
      </c>
      <c r="R621" s="37" t="str">
        <f>HYPERLINK("http://ms.phosphosite.org:5080/cgi-bin/plot-msms.cgi?MassType=1&amp;NumAxis=1&amp;Mod10=170&amp;Pep=EVGKDVSDEKLR&amp;Dta=/var/www/html/dta/S01/10561.3049.2.dta&amp;Global_Mod=CS57.0215", "3049")</f>
        <v>3049</v>
      </c>
      <c r="S621" s="37" t="str">
        <f>HYPERLINK("http://ms.phosphosite.org:5080/cgi-bin/plot-msms.cgi?MassType=1&amp;NumAxis=1&amp;Mod10=170&amp;Pep=EVGKDVSDEKLR&amp;Dta=/var/www/html/dta/S01/10562.3157.2.dta&amp;Global_Mod=CS57.0215", "3157")</f>
        <v>3157</v>
      </c>
      <c r="T621" s="38" t="s">
        <v>4854</v>
      </c>
      <c r="U621" s="38" t="s">
        <v>4854</v>
      </c>
      <c r="V621" s="38" t="s">
        <v>4854</v>
      </c>
      <c r="W621" s="10">
        <v>3118</v>
      </c>
      <c r="X621" s="10">
        <v>3198</v>
      </c>
      <c r="Y621" s="4" t="s">
        <v>4854</v>
      </c>
      <c r="Z621" s="10">
        <v>3053</v>
      </c>
      <c r="AA621" s="10">
        <v>3152</v>
      </c>
      <c r="AB621" s="4" t="s">
        <v>4854</v>
      </c>
      <c r="AC621" s="4" t="s">
        <v>4854</v>
      </c>
      <c r="AD621" s="4" t="s">
        <v>4854</v>
      </c>
      <c r="AE621" s="91">
        <v>2.3210000000000002</v>
      </c>
      <c r="AF621" s="91">
        <v>2.5419999999999998</v>
      </c>
      <c r="AG621" s="100" t="s">
        <v>4854</v>
      </c>
      <c r="AH621" s="91">
        <v>2.2679999999999998</v>
      </c>
      <c r="AI621" s="91">
        <v>2.4350000000000001</v>
      </c>
      <c r="AJ621" s="100" t="s">
        <v>4854</v>
      </c>
      <c r="AK621" s="100" t="s">
        <v>4854</v>
      </c>
      <c r="AL621" s="100" t="s">
        <v>4854</v>
      </c>
      <c r="AM621" s="95">
        <v>0.17150000000000001</v>
      </c>
      <c r="AN621" s="95">
        <v>-0.40310000000000001</v>
      </c>
      <c r="AO621" s="103" t="s">
        <v>4854</v>
      </c>
      <c r="AP621" s="95">
        <v>1.2908999999999999</v>
      </c>
      <c r="AQ621" s="95">
        <v>0.98040000000000005</v>
      </c>
      <c r="AR621" s="103" t="s">
        <v>4854</v>
      </c>
      <c r="AS621" s="103" t="s">
        <v>4854</v>
      </c>
      <c r="AT621" s="103" t="s">
        <v>4854</v>
      </c>
      <c r="AU621" s="95">
        <v>0.11</v>
      </c>
      <c r="AV621" s="95">
        <v>0.156</v>
      </c>
      <c r="AW621" s="103" t="s">
        <v>4854</v>
      </c>
      <c r="AX621" s="95">
        <v>0.12</v>
      </c>
      <c r="AY621" s="95">
        <v>0.14899999999999999</v>
      </c>
      <c r="AZ621" s="103" t="s">
        <v>4854</v>
      </c>
      <c r="BA621" s="103" t="s">
        <v>4854</v>
      </c>
      <c r="BB621" s="103" t="s">
        <v>4854</v>
      </c>
      <c r="BC621" s="10">
        <v>6</v>
      </c>
      <c r="BD621" s="10">
        <v>1</v>
      </c>
      <c r="BE621" s="4" t="s">
        <v>4854</v>
      </c>
      <c r="BF621" s="10">
        <v>6</v>
      </c>
      <c r="BG621" s="10">
        <v>6</v>
      </c>
      <c r="BH621" s="4" t="s">
        <v>4854</v>
      </c>
      <c r="BI621" s="4" t="s">
        <v>4854</v>
      </c>
      <c r="BJ621" s="4" t="s">
        <v>4854</v>
      </c>
      <c r="BK621" s="91">
        <v>0.98199999999999998</v>
      </c>
      <c r="BL621" s="91">
        <v>0.99199999999999999</v>
      </c>
      <c r="BM621" s="100" t="s">
        <v>4854</v>
      </c>
      <c r="BN621" s="91">
        <v>0.98199999999999998</v>
      </c>
      <c r="BO621" s="91">
        <v>0.99099999999999999</v>
      </c>
      <c r="BP621" s="100" t="s">
        <v>4854</v>
      </c>
      <c r="BQ621" s="100" t="s">
        <v>4854</v>
      </c>
      <c r="BR621" s="100" t="s">
        <v>4854</v>
      </c>
      <c r="BS621" s="10" t="s">
        <v>4857</v>
      </c>
    </row>
    <row r="622" spans="1:71" s="30" customFormat="1" ht="17.100000000000001" customHeight="1">
      <c r="A622" s="14">
        <v>611</v>
      </c>
      <c r="B622" s="5" t="s">
        <v>2572</v>
      </c>
      <c r="C622" s="3" t="s">
        <v>2686</v>
      </c>
      <c r="D622" s="3" t="s">
        <v>2573</v>
      </c>
      <c r="E622" s="3" t="s">
        <v>2574</v>
      </c>
      <c r="F622" s="5" t="s">
        <v>4106</v>
      </c>
      <c r="G622" s="3" t="s">
        <v>2575</v>
      </c>
      <c r="H622" s="6" t="s">
        <v>2576</v>
      </c>
      <c r="I622" s="3" t="s">
        <v>2577</v>
      </c>
      <c r="J622" s="5" t="s">
        <v>4666</v>
      </c>
      <c r="K622" s="3" t="s">
        <v>5703</v>
      </c>
      <c r="L622" s="3" t="s">
        <v>2578</v>
      </c>
      <c r="M622" s="5">
        <v>2</v>
      </c>
      <c r="N622" s="21">
        <v>555.83510000000001</v>
      </c>
      <c r="O622" s="36" t="str">
        <f>HYPERLINK("http://ms.phosphosite.org:5080/cgi-bin/plot-msms.cgi?MassType=1&amp;NumAxis=1&amp;Mod5=170&amp;Pep=QLPLKDKAR&amp;Dta=/var/www/html/dta/S01/10558.4459.2.dta&amp;Global_Mod=CS57.0215", "4459")</f>
        <v>4459</v>
      </c>
      <c r="P622" s="35" t="s">
        <v>4854</v>
      </c>
      <c r="Q622" s="35" t="s">
        <v>4854</v>
      </c>
      <c r="R622" s="36" t="str">
        <f>HYPERLINK("http://ms.phosphosite.org:5080/cgi-bin/plot-msms.cgi?MassType=1&amp;NumAxis=1&amp;Mod5=170&amp;Pep=QLPLKDKAR&amp;Dta=/var/www/html/dta/S01/10561.3992.2.dta&amp;Global_Mod=CS57.0215", "3992")</f>
        <v>3992</v>
      </c>
      <c r="S622" s="36" t="str">
        <f>HYPERLINK("http://ms.phosphosite.org:5080/cgi-bin/plot-msms.cgi?MassType=1&amp;NumAxis=1&amp;Mod5=170&amp;Pep=QLPLKDKAR&amp;Dta=/var/www/html/dta/S01/10562.4088.2.dta&amp;Global_Mod=CS57.0215", "4088")</f>
        <v>4088</v>
      </c>
      <c r="T622" s="35" t="s">
        <v>4854</v>
      </c>
      <c r="U622" s="36" t="str">
        <f>HYPERLINK("http://ms.phosphosite.org:5080/cgi-bin/plot-msms.cgi?MassType=1&amp;NumAxis=1&amp;Mod5=170&amp;Pep=QLPLKDKAR&amp;Dta=/var/www/html/dta/S01/10564.4334.2.dta&amp;Global_Mod=CS57.0215", "4334")</f>
        <v>4334</v>
      </c>
      <c r="V622" s="35" t="s">
        <v>4854</v>
      </c>
      <c r="W622" s="3" t="s">
        <v>4854</v>
      </c>
      <c r="X622" s="3" t="s">
        <v>4854</v>
      </c>
      <c r="Y622" s="3" t="s">
        <v>4854</v>
      </c>
      <c r="Z622" s="3" t="s">
        <v>4854</v>
      </c>
      <c r="AA622" s="3" t="s">
        <v>4854</v>
      </c>
      <c r="AB622" s="3" t="s">
        <v>4854</v>
      </c>
      <c r="AC622" s="3" t="s">
        <v>4854</v>
      </c>
      <c r="AD622" s="3" t="s">
        <v>4854</v>
      </c>
      <c r="AE622" s="90">
        <v>2.2799999999999998</v>
      </c>
      <c r="AF622" s="99" t="s">
        <v>4854</v>
      </c>
      <c r="AG622" s="99" t="s">
        <v>4854</v>
      </c>
      <c r="AH622" s="90">
        <v>1.982</v>
      </c>
      <c r="AI622" s="90">
        <v>2.117</v>
      </c>
      <c r="AJ622" s="99" t="s">
        <v>4854</v>
      </c>
      <c r="AK622" s="90">
        <v>1.968</v>
      </c>
      <c r="AL622" s="99" t="s">
        <v>4854</v>
      </c>
      <c r="AM622" s="21">
        <v>0.12870000000000001</v>
      </c>
      <c r="AN622" s="102" t="s">
        <v>4854</v>
      </c>
      <c r="AO622" s="102" t="s">
        <v>4854</v>
      </c>
      <c r="AP622" s="21">
        <v>0.50690000000000002</v>
      </c>
      <c r="AQ622" s="21">
        <v>0.38979999999999998</v>
      </c>
      <c r="AR622" s="102" t="s">
        <v>4854</v>
      </c>
      <c r="AS622" s="21">
        <v>0.33939999999999998</v>
      </c>
      <c r="AT622" s="102" t="s">
        <v>4854</v>
      </c>
      <c r="AU622" s="21">
        <v>6.0000000000000001E-3</v>
      </c>
      <c r="AV622" s="102" t="s">
        <v>4854</v>
      </c>
      <c r="AW622" s="102" t="s">
        <v>4854</v>
      </c>
      <c r="AX622" s="21">
        <v>7.0000000000000007E-2</v>
      </c>
      <c r="AY622" s="21">
        <v>2.7E-2</v>
      </c>
      <c r="AZ622" s="102" t="s">
        <v>4854</v>
      </c>
      <c r="BA622" s="21">
        <v>2E-3</v>
      </c>
      <c r="BB622" s="102" t="s">
        <v>4854</v>
      </c>
      <c r="BC622" s="5">
        <v>15</v>
      </c>
      <c r="BD622" s="3" t="s">
        <v>4854</v>
      </c>
      <c r="BE622" s="3" t="s">
        <v>4854</v>
      </c>
      <c r="BF622" s="5">
        <v>4</v>
      </c>
      <c r="BG622" s="5">
        <v>1</v>
      </c>
      <c r="BH622" s="3" t="s">
        <v>4854</v>
      </c>
      <c r="BI622" s="5">
        <v>13</v>
      </c>
      <c r="BJ622" s="3" t="s">
        <v>4854</v>
      </c>
      <c r="BK622" s="90">
        <v>0.111</v>
      </c>
      <c r="BL622" s="99" t="s">
        <v>4854</v>
      </c>
      <c r="BM622" s="99" t="s">
        <v>4854</v>
      </c>
      <c r="BN622" s="90">
        <v>0.16600000000000001</v>
      </c>
      <c r="BO622" s="90">
        <v>0.20899999999999999</v>
      </c>
      <c r="BP622" s="99" t="s">
        <v>4854</v>
      </c>
      <c r="BQ622" s="90">
        <v>5.3999999999999999E-2</v>
      </c>
      <c r="BR622" s="99" t="s">
        <v>4854</v>
      </c>
      <c r="BS622" s="5" t="s">
        <v>4857</v>
      </c>
    </row>
    <row r="623" spans="1:71" s="30" customFormat="1" ht="17.100000000000001" customHeight="1">
      <c r="A623" s="10">
        <v>612</v>
      </c>
      <c r="B623" s="10" t="s">
        <v>2579</v>
      </c>
      <c r="C623" s="4" t="s">
        <v>2686</v>
      </c>
      <c r="D623" s="4" t="s">
        <v>2580</v>
      </c>
      <c r="E623" s="4" t="s">
        <v>2581</v>
      </c>
      <c r="F623" s="10" t="s">
        <v>5106</v>
      </c>
      <c r="G623" s="4" t="s">
        <v>2582</v>
      </c>
      <c r="H623" s="7" t="s">
        <v>2583</v>
      </c>
      <c r="I623" s="4" t="s">
        <v>2584</v>
      </c>
      <c r="J623" s="10" t="s">
        <v>4621</v>
      </c>
      <c r="K623" s="4" t="s">
        <v>5704</v>
      </c>
      <c r="L623" s="4" t="s">
        <v>2585</v>
      </c>
      <c r="M623" s="10">
        <v>4</v>
      </c>
      <c r="N623" s="95">
        <v>594.28409999999997</v>
      </c>
      <c r="O623" s="38" t="s">
        <v>4854</v>
      </c>
      <c r="P623" s="38" t="s">
        <v>4854</v>
      </c>
      <c r="Q623" s="38" t="s">
        <v>4854</v>
      </c>
      <c r="R623" s="38" t="s">
        <v>4854</v>
      </c>
      <c r="S623" s="38" t="s">
        <v>4854</v>
      </c>
      <c r="T623" s="37" t="str">
        <f>HYPERLINK("http://ms.phosphosite.org:5080/cgi-bin/plot-msms.cgi?MassType=1&amp;NumAxis=1&amp;Mod15=170&amp;Pep=ALLNNSHYYHMAHGKDFASR&amp;Dta=/var/www/html/dta/S01/10563.5314.4.dta&amp;Global_Mod=CS57.0215", "5314")</f>
        <v>5314</v>
      </c>
      <c r="U623" s="38" t="s">
        <v>4854</v>
      </c>
      <c r="V623" s="38" t="s">
        <v>4854</v>
      </c>
      <c r="W623" s="4" t="s">
        <v>4854</v>
      </c>
      <c r="X623" s="4" t="s">
        <v>4854</v>
      </c>
      <c r="Y623" s="4" t="s">
        <v>4854</v>
      </c>
      <c r="Z623" s="4" t="s">
        <v>4854</v>
      </c>
      <c r="AA623" s="4" t="s">
        <v>4854</v>
      </c>
      <c r="AB623" s="10">
        <v>5331</v>
      </c>
      <c r="AC623" s="4" t="s">
        <v>4854</v>
      </c>
      <c r="AD623" s="4" t="s">
        <v>4854</v>
      </c>
      <c r="AE623" s="100" t="s">
        <v>4854</v>
      </c>
      <c r="AF623" s="100" t="s">
        <v>4854</v>
      </c>
      <c r="AG623" s="100" t="s">
        <v>4854</v>
      </c>
      <c r="AH623" s="100" t="s">
        <v>4854</v>
      </c>
      <c r="AI623" s="100" t="s">
        <v>4854</v>
      </c>
      <c r="AJ623" s="91">
        <v>1.5960000000000001</v>
      </c>
      <c r="AK623" s="100" t="s">
        <v>4854</v>
      </c>
      <c r="AL623" s="100" t="s">
        <v>4854</v>
      </c>
      <c r="AM623" s="103" t="s">
        <v>4854</v>
      </c>
      <c r="AN623" s="103" t="s">
        <v>4854</v>
      </c>
      <c r="AO623" s="103" t="s">
        <v>4854</v>
      </c>
      <c r="AP623" s="103" t="s">
        <v>4854</v>
      </c>
      <c r="AQ623" s="103" t="s">
        <v>4854</v>
      </c>
      <c r="AR623" s="95">
        <v>1.3293999999999999</v>
      </c>
      <c r="AS623" s="103" t="s">
        <v>4854</v>
      </c>
      <c r="AT623" s="103" t="s">
        <v>4854</v>
      </c>
      <c r="AU623" s="103" t="s">
        <v>4854</v>
      </c>
      <c r="AV623" s="103" t="s">
        <v>4854</v>
      </c>
      <c r="AW623" s="103" t="s">
        <v>4854</v>
      </c>
      <c r="AX623" s="103" t="s">
        <v>4854</v>
      </c>
      <c r="AY623" s="103" t="s">
        <v>4854</v>
      </c>
      <c r="AZ623" s="95">
        <v>8.5000000000000006E-2</v>
      </c>
      <c r="BA623" s="103" t="s">
        <v>4854</v>
      </c>
      <c r="BB623" s="103" t="s">
        <v>4854</v>
      </c>
      <c r="BC623" s="4" t="s">
        <v>4854</v>
      </c>
      <c r="BD623" s="4" t="s">
        <v>4854</v>
      </c>
      <c r="BE623" s="4" t="s">
        <v>4854</v>
      </c>
      <c r="BF623" s="4" t="s">
        <v>4854</v>
      </c>
      <c r="BG623" s="4" t="s">
        <v>4854</v>
      </c>
      <c r="BH623" s="10">
        <v>2</v>
      </c>
      <c r="BI623" s="4" t="s">
        <v>4854</v>
      </c>
      <c r="BJ623" s="4" t="s">
        <v>4854</v>
      </c>
      <c r="BK623" s="100" t="s">
        <v>4854</v>
      </c>
      <c r="BL623" s="100" t="s">
        <v>4854</v>
      </c>
      <c r="BM623" s="100" t="s">
        <v>4854</v>
      </c>
      <c r="BN623" s="100" t="s">
        <v>4854</v>
      </c>
      <c r="BO623" s="100" t="s">
        <v>4854</v>
      </c>
      <c r="BP623" s="91">
        <v>0.98899999999999999</v>
      </c>
      <c r="BQ623" s="100" t="s">
        <v>4854</v>
      </c>
      <c r="BR623" s="100" t="s">
        <v>4854</v>
      </c>
      <c r="BS623" s="10" t="s">
        <v>4857</v>
      </c>
    </row>
    <row r="624" spans="1:71" s="30" customFormat="1" ht="17.100000000000001" customHeight="1">
      <c r="A624" s="14">
        <v>613</v>
      </c>
      <c r="B624" s="5" t="s">
        <v>2586</v>
      </c>
      <c r="C624" s="3" t="s">
        <v>2686</v>
      </c>
      <c r="D624" s="3" t="s">
        <v>2580</v>
      </c>
      <c r="E624" s="3" t="s">
        <v>2581</v>
      </c>
      <c r="F624" s="5" t="s">
        <v>5056</v>
      </c>
      <c r="G624" s="3" t="s">
        <v>2582</v>
      </c>
      <c r="H624" s="6" t="s">
        <v>2583</v>
      </c>
      <c r="I624" s="3" t="s">
        <v>2584</v>
      </c>
      <c r="J624" s="5" t="s">
        <v>4621</v>
      </c>
      <c r="K624" s="3" t="s">
        <v>5705</v>
      </c>
      <c r="L624" s="3" t="s">
        <v>2587</v>
      </c>
      <c r="M624" s="5">
        <v>2</v>
      </c>
      <c r="N624" s="21">
        <v>804.39359999999999</v>
      </c>
      <c r="O624" s="36" t="str">
        <f>HYPERLINK("http://ms.phosphosite.org:5080/cgi-bin/plot-msms.cgi?MassType=1&amp;NumAxis=1&amp;Mod6=170&amp;Pep=SEEQLKEEGIEFK&amp;Dta=/var/www/html/dta/S01/10558.7530.2.dta&amp;Global_Mod=CS57.0215", "7530")</f>
        <v>7530</v>
      </c>
      <c r="P624" s="36" t="str">
        <f>HYPERLINK("http://ms.phosphosite.org:5080/cgi-bin/plot-msms.cgi?MassType=1&amp;NumAxis=1&amp;Mod6=170&amp;Pep=SEEQLKEEGIEFK&amp;Dta=/var/www/html/dta/S01/10559.7492.2.dta&amp;Global_Mod=CS57.0215", "7492")</f>
        <v>7492</v>
      </c>
      <c r="Q624" s="35" t="s">
        <v>4854</v>
      </c>
      <c r="R624" s="35" t="s">
        <v>4854</v>
      </c>
      <c r="S624" s="35" t="s">
        <v>4854</v>
      </c>
      <c r="T624" s="35" t="s">
        <v>4854</v>
      </c>
      <c r="U624" s="35" t="s">
        <v>4854</v>
      </c>
      <c r="V624" s="35" t="s">
        <v>4854</v>
      </c>
      <c r="W624" s="5">
        <v>7545</v>
      </c>
      <c r="X624" s="5">
        <v>7482</v>
      </c>
      <c r="Y624" s="3" t="s">
        <v>4854</v>
      </c>
      <c r="Z624" s="3" t="s">
        <v>4854</v>
      </c>
      <c r="AA624" s="3" t="s">
        <v>4854</v>
      </c>
      <c r="AB624" s="3" t="s">
        <v>4854</v>
      </c>
      <c r="AC624" s="3" t="s">
        <v>4854</v>
      </c>
      <c r="AD624" s="3" t="s">
        <v>4854</v>
      </c>
      <c r="AE624" s="90">
        <v>4.077</v>
      </c>
      <c r="AF624" s="90">
        <v>3.7440000000000002</v>
      </c>
      <c r="AG624" s="99" t="s">
        <v>4854</v>
      </c>
      <c r="AH624" s="99" t="s">
        <v>4854</v>
      </c>
      <c r="AI624" s="99" t="s">
        <v>4854</v>
      </c>
      <c r="AJ624" s="99" t="s">
        <v>4854</v>
      </c>
      <c r="AK624" s="99" t="s">
        <v>4854</v>
      </c>
      <c r="AL624" s="99" t="s">
        <v>4854</v>
      </c>
      <c r="AM624" s="21">
        <v>0.40870000000000001</v>
      </c>
      <c r="AN624" s="21">
        <v>1.0306999999999999</v>
      </c>
      <c r="AO624" s="102" t="s">
        <v>4854</v>
      </c>
      <c r="AP624" s="102" t="s">
        <v>4854</v>
      </c>
      <c r="AQ624" s="102" t="s">
        <v>4854</v>
      </c>
      <c r="AR624" s="102" t="s">
        <v>4854</v>
      </c>
      <c r="AS624" s="102" t="s">
        <v>4854</v>
      </c>
      <c r="AT624" s="102" t="s">
        <v>4854</v>
      </c>
      <c r="AU624" s="21">
        <v>0.28999999999999998</v>
      </c>
      <c r="AV624" s="21">
        <v>0.29299999999999998</v>
      </c>
      <c r="AW624" s="102" t="s">
        <v>4854</v>
      </c>
      <c r="AX624" s="102" t="s">
        <v>4854</v>
      </c>
      <c r="AY624" s="102" t="s">
        <v>4854</v>
      </c>
      <c r="AZ624" s="102" t="s">
        <v>4854</v>
      </c>
      <c r="BA624" s="102" t="s">
        <v>4854</v>
      </c>
      <c r="BB624" s="102" t="s">
        <v>4854</v>
      </c>
      <c r="BC624" s="5">
        <v>1</v>
      </c>
      <c r="BD624" s="5">
        <v>1</v>
      </c>
      <c r="BE624" s="3" t="s">
        <v>4854</v>
      </c>
      <c r="BF624" s="3" t="s">
        <v>4854</v>
      </c>
      <c r="BG624" s="3" t="s">
        <v>4854</v>
      </c>
      <c r="BH624" s="3" t="s">
        <v>4854</v>
      </c>
      <c r="BI624" s="3" t="s">
        <v>4854</v>
      </c>
      <c r="BJ624" s="3" t="s">
        <v>4854</v>
      </c>
      <c r="BK624" s="90">
        <v>1</v>
      </c>
      <c r="BL624" s="90">
        <v>1</v>
      </c>
      <c r="BM624" s="99" t="s">
        <v>4854</v>
      </c>
      <c r="BN624" s="99" t="s">
        <v>4854</v>
      </c>
      <c r="BO624" s="99" t="s">
        <v>4854</v>
      </c>
      <c r="BP624" s="99" t="s">
        <v>4854</v>
      </c>
      <c r="BQ624" s="99" t="s">
        <v>4854</v>
      </c>
      <c r="BR624" s="99" t="s">
        <v>4854</v>
      </c>
      <c r="BS624" s="5" t="s">
        <v>4857</v>
      </c>
    </row>
    <row r="625" spans="1:71" s="30" customFormat="1" ht="17.100000000000001" customHeight="1">
      <c r="A625" s="10">
        <v>614</v>
      </c>
      <c r="B625" s="10" t="s">
        <v>2588</v>
      </c>
      <c r="C625" s="4" t="s">
        <v>2686</v>
      </c>
      <c r="D625" s="4" t="s">
        <v>2580</v>
      </c>
      <c r="E625" s="4" t="s">
        <v>2581</v>
      </c>
      <c r="F625" s="10" t="s">
        <v>5253</v>
      </c>
      <c r="G625" s="4" t="s">
        <v>2582</v>
      </c>
      <c r="H625" s="7" t="s">
        <v>2583</v>
      </c>
      <c r="I625" s="4" t="s">
        <v>2584</v>
      </c>
      <c r="J625" s="10" t="s">
        <v>4621</v>
      </c>
      <c r="K625" s="4" t="s">
        <v>5706</v>
      </c>
      <c r="L625" s="4" t="s">
        <v>2589</v>
      </c>
      <c r="M625" s="10">
        <v>2</v>
      </c>
      <c r="N625" s="95">
        <v>625.33799999999997</v>
      </c>
      <c r="O625" s="38" t="s">
        <v>4854</v>
      </c>
      <c r="P625" s="38" t="s">
        <v>4854</v>
      </c>
      <c r="Q625" s="38" t="s">
        <v>4854</v>
      </c>
      <c r="R625" s="38" t="s">
        <v>4854</v>
      </c>
      <c r="S625" s="38" t="s">
        <v>4854</v>
      </c>
      <c r="T625" s="38" t="s">
        <v>4854</v>
      </c>
      <c r="U625" s="37" t="str">
        <f>HYPERLINK("http://ms.phosphosite.org:5080/cgi-bin/plot-msms.cgi?MassType=1&amp;NumAxis=1&amp;Mod3=170&amp;Pep=IGKFPFAANSR&amp;Dta=/var/www/html/dta/S01/10564.8763.2.dta&amp;Global_Mod=CS57.0215", "8763")</f>
        <v>8763</v>
      </c>
      <c r="V625" s="37" t="str">
        <f>HYPERLINK("http://ms.phosphosite.org:5080/cgi-bin/plot-msms.cgi?MassType=1&amp;NumAxis=1&amp;Mod3=170&amp;Pep=IGKFPFAANSR&amp;Dta=/var/www/html/dta/S01/10565.8771.2.dta&amp;Global_Mod=CS57.0215", "8771")</f>
        <v>8771</v>
      </c>
      <c r="W625" s="4" t="s">
        <v>4854</v>
      </c>
      <c r="X625" s="4" t="s">
        <v>4854</v>
      </c>
      <c r="Y625" s="4" t="s">
        <v>4854</v>
      </c>
      <c r="Z625" s="4" t="s">
        <v>4854</v>
      </c>
      <c r="AA625" s="4" t="s">
        <v>4854</v>
      </c>
      <c r="AB625" s="4" t="s">
        <v>4854</v>
      </c>
      <c r="AC625" s="10">
        <v>8718</v>
      </c>
      <c r="AD625" s="10">
        <v>8759</v>
      </c>
      <c r="AE625" s="100" t="s">
        <v>4854</v>
      </c>
      <c r="AF625" s="100" t="s">
        <v>4854</v>
      </c>
      <c r="AG625" s="100" t="s">
        <v>4854</v>
      </c>
      <c r="AH625" s="100" t="s">
        <v>4854</v>
      </c>
      <c r="AI625" s="100" t="s">
        <v>4854</v>
      </c>
      <c r="AJ625" s="100" t="s">
        <v>4854</v>
      </c>
      <c r="AK625" s="91">
        <v>3.012</v>
      </c>
      <c r="AL625" s="91">
        <v>3.202</v>
      </c>
      <c r="AM625" s="103" t="s">
        <v>4854</v>
      </c>
      <c r="AN625" s="103" t="s">
        <v>4854</v>
      </c>
      <c r="AO625" s="103" t="s">
        <v>4854</v>
      </c>
      <c r="AP625" s="103" t="s">
        <v>4854</v>
      </c>
      <c r="AQ625" s="103" t="s">
        <v>4854</v>
      </c>
      <c r="AR625" s="103" t="s">
        <v>4854</v>
      </c>
      <c r="AS625" s="95">
        <v>0.58440000000000003</v>
      </c>
      <c r="AT625" s="95">
        <v>5.2299999999999999E-2</v>
      </c>
      <c r="AU625" s="103" t="s">
        <v>4854</v>
      </c>
      <c r="AV625" s="103" t="s">
        <v>4854</v>
      </c>
      <c r="AW625" s="103" t="s">
        <v>4854</v>
      </c>
      <c r="AX625" s="103" t="s">
        <v>4854</v>
      </c>
      <c r="AY625" s="103" t="s">
        <v>4854</v>
      </c>
      <c r="AZ625" s="103" t="s">
        <v>4854</v>
      </c>
      <c r="BA625" s="95">
        <v>0.309</v>
      </c>
      <c r="BB625" s="95">
        <v>0.32300000000000001</v>
      </c>
      <c r="BC625" s="4" t="s">
        <v>4854</v>
      </c>
      <c r="BD625" s="4" t="s">
        <v>4854</v>
      </c>
      <c r="BE625" s="4" t="s">
        <v>4854</v>
      </c>
      <c r="BF625" s="4" t="s">
        <v>4854</v>
      </c>
      <c r="BG625" s="4" t="s">
        <v>4854</v>
      </c>
      <c r="BH625" s="4" t="s">
        <v>4854</v>
      </c>
      <c r="BI625" s="10">
        <v>1</v>
      </c>
      <c r="BJ625" s="10">
        <v>1</v>
      </c>
      <c r="BK625" s="100" t="s">
        <v>4854</v>
      </c>
      <c r="BL625" s="100" t="s">
        <v>4854</v>
      </c>
      <c r="BM625" s="100" t="s">
        <v>4854</v>
      </c>
      <c r="BN625" s="100" t="s">
        <v>4854</v>
      </c>
      <c r="BO625" s="100" t="s">
        <v>4854</v>
      </c>
      <c r="BP625" s="100" t="s">
        <v>4854</v>
      </c>
      <c r="BQ625" s="91">
        <v>1</v>
      </c>
      <c r="BR625" s="91">
        <v>1</v>
      </c>
      <c r="BS625" s="10" t="s">
        <v>4857</v>
      </c>
    </row>
    <row r="626" spans="1:71" s="30" customFormat="1" ht="17.100000000000001" customHeight="1">
      <c r="A626" s="14">
        <v>615</v>
      </c>
      <c r="B626" s="5" t="s">
        <v>2590</v>
      </c>
      <c r="C626" s="3" t="s">
        <v>2686</v>
      </c>
      <c r="D626" s="3" t="s">
        <v>2591</v>
      </c>
      <c r="E626" s="3" t="s">
        <v>2592</v>
      </c>
      <c r="F626" s="5" t="s">
        <v>4969</v>
      </c>
      <c r="G626" s="3" t="s">
        <v>2593</v>
      </c>
      <c r="H626" s="6" t="s">
        <v>2594</v>
      </c>
      <c r="I626" s="3" t="s">
        <v>2595</v>
      </c>
      <c r="J626" s="5" t="s">
        <v>4695</v>
      </c>
      <c r="K626" s="3" t="s">
        <v>5707</v>
      </c>
      <c r="L626" s="3" t="s">
        <v>2596</v>
      </c>
      <c r="M626" s="5">
        <v>3</v>
      </c>
      <c r="N626" s="21">
        <v>796.4248</v>
      </c>
      <c r="O626" s="35" t="s">
        <v>4854</v>
      </c>
      <c r="P626" s="35" t="s">
        <v>4854</v>
      </c>
      <c r="Q626" s="35" t="s">
        <v>4854</v>
      </c>
      <c r="R626" s="35" t="s">
        <v>4854</v>
      </c>
      <c r="S626" s="36" t="str">
        <f>HYPERLINK("http://ms.phosphosite.org:5080/cgi-bin/plot-msms.cgi?MassType=1&amp;NumAxis=1&amp;Mod8=170&amp;Mod16=170&amp;Pep=LQTQDIIKSVQAAMEKRDTK&amp;Dta=/var/www/html/dta/S01/10562.16019.3.dta&amp;Global_Mod=CS57.0215", "16019")</f>
        <v>16019</v>
      </c>
      <c r="T626" s="35" t="s">
        <v>4854</v>
      </c>
      <c r="U626" s="35" t="s">
        <v>4854</v>
      </c>
      <c r="V626" s="35" t="s">
        <v>4854</v>
      </c>
      <c r="W626" s="3" t="s">
        <v>4854</v>
      </c>
      <c r="X626" s="3" t="s">
        <v>4854</v>
      </c>
      <c r="Y626" s="3" t="s">
        <v>4854</v>
      </c>
      <c r="Z626" s="3" t="s">
        <v>4854</v>
      </c>
      <c r="AA626" s="3" t="s">
        <v>4854</v>
      </c>
      <c r="AB626" s="3" t="s">
        <v>4854</v>
      </c>
      <c r="AC626" s="3" t="s">
        <v>4854</v>
      </c>
      <c r="AD626" s="3" t="s">
        <v>4854</v>
      </c>
      <c r="AE626" s="99" t="s">
        <v>4854</v>
      </c>
      <c r="AF626" s="99" t="s">
        <v>4854</v>
      </c>
      <c r="AG626" s="99" t="s">
        <v>4854</v>
      </c>
      <c r="AH626" s="99" t="s">
        <v>4854</v>
      </c>
      <c r="AI626" s="90">
        <v>2.484</v>
      </c>
      <c r="AJ626" s="99" t="s">
        <v>4854</v>
      </c>
      <c r="AK626" s="99" t="s">
        <v>4854</v>
      </c>
      <c r="AL626" s="99" t="s">
        <v>4854</v>
      </c>
      <c r="AM626" s="102" t="s">
        <v>4854</v>
      </c>
      <c r="AN626" s="102" t="s">
        <v>4854</v>
      </c>
      <c r="AO626" s="102" t="s">
        <v>4854</v>
      </c>
      <c r="AP626" s="102" t="s">
        <v>4854</v>
      </c>
      <c r="AQ626" s="21">
        <v>0.39219999999999999</v>
      </c>
      <c r="AR626" s="102" t="s">
        <v>4854</v>
      </c>
      <c r="AS626" s="102" t="s">
        <v>4854</v>
      </c>
      <c r="AT626" s="102" t="s">
        <v>4854</v>
      </c>
      <c r="AU626" s="102" t="s">
        <v>4854</v>
      </c>
      <c r="AV626" s="102" t="s">
        <v>4854</v>
      </c>
      <c r="AW626" s="102" t="s">
        <v>4854</v>
      </c>
      <c r="AX626" s="102" t="s">
        <v>4854</v>
      </c>
      <c r="AY626" s="21">
        <v>0.20399999999999999</v>
      </c>
      <c r="AZ626" s="102" t="s">
        <v>4854</v>
      </c>
      <c r="BA626" s="102" t="s">
        <v>4854</v>
      </c>
      <c r="BB626" s="102" t="s">
        <v>4854</v>
      </c>
      <c r="BC626" s="3" t="s">
        <v>4854</v>
      </c>
      <c r="BD626" s="3" t="s">
        <v>4854</v>
      </c>
      <c r="BE626" s="3" t="s">
        <v>4854</v>
      </c>
      <c r="BF626" s="3" t="s">
        <v>4854</v>
      </c>
      <c r="BG626" s="5">
        <v>183</v>
      </c>
      <c r="BH626" s="3" t="s">
        <v>4854</v>
      </c>
      <c r="BI626" s="3" t="s">
        <v>4854</v>
      </c>
      <c r="BJ626" s="3" t="s">
        <v>4854</v>
      </c>
      <c r="BK626" s="99" t="s">
        <v>4854</v>
      </c>
      <c r="BL626" s="99" t="s">
        <v>4854</v>
      </c>
      <c r="BM626" s="99" t="s">
        <v>4854</v>
      </c>
      <c r="BN626" s="99" t="s">
        <v>4854</v>
      </c>
      <c r="BO626" s="90">
        <v>0.25</v>
      </c>
      <c r="BP626" s="99" t="s">
        <v>4854</v>
      </c>
      <c r="BQ626" s="99" t="s">
        <v>4854</v>
      </c>
      <c r="BR626" s="99" t="s">
        <v>4854</v>
      </c>
      <c r="BS626" s="5" t="s">
        <v>4857</v>
      </c>
    </row>
    <row r="627" spans="1:71" s="30" customFormat="1" ht="17.100000000000001" customHeight="1">
      <c r="A627" s="10">
        <v>616</v>
      </c>
      <c r="B627" s="10" t="s">
        <v>2597</v>
      </c>
      <c r="C627" s="4" t="s">
        <v>2686</v>
      </c>
      <c r="D627" s="4" t="s">
        <v>2598</v>
      </c>
      <c r="E627" s="7" t="s">
        <v>2599</v>
      </c>
      <c r="F627" s="10" t="s">
        <v>5050</v>
      </c>
      <c r="G627" s="4" t="s">
        <v>2600</v>
      </c>
      <c r="H627" s="7" t="s">
        <v>2601</v>
      </c>
      <c r="I627" s="4" t="s">
        <v>2467</v>
      </c>
      <c r="J627" s="10" t="s">
        <v>4621</v>
      </c>
      <c r="K627" s="4" t="s">
        <v>5708</v>
      </c>
      <c r="L627" s="4" t="s">
        <v>2468</v>
      </c>
      <c r="M627" s="10">
        <v>2</v>
      </c>
      <c r="N627" s="95">
        <v>546.30840000000001</v>
      </c>
      <c r="O627" s="38" t="s">
        <v>4854</v>
      </c>
      <c r="P627" s="38" t="s">
        <v>4854</v>
      </c>
      <c r="Q627" s="38" t="s">
        <v>4854</v>
      </c>
      <c r="R627" s="38" t="s">
        <v>4854</v>
      </c>
      <c r="S627" s="38" t="s">
        <v>4854</v>
      </c>
      <c r="T627" s="37" t="str">
        <f>HYPERLINK("http://ms.phosphosite.org:5080/cgi-bin/plot-msms.cgi?MassType=1&amp;NumAxis=1&amp;Mod2=170&amp;Pep=SKEFAQVIK&amp;Dta=/var/www/html/dta/S01/10563.6040.2.dta&amp;Global_Mod=CS57.0215", "6040")</f>
        <v>6040</v>
      </c>
      <c r="U627" s="37" t="str">
        <f>HYPERLINK("http://ms.phosphosite.org:5080/cgi-bin/plot-msms.cgi?MassType=1&amp;NumAxis=1&amp;Mod2=170&amp;Pep=SKEFAQVIK&amp;Dta=/var/www/html/dta/S01/10564.6424.2.dta&amp;Global_Mod=CS57.0215", "6424")</f>
        <v>6424</v>
      </c>
      <c r="V627" s="37" t="str">
        <f>HYPERLINK("http://ms.phosphosite.org:5080/cgi-bin/plot-msms.cgi?MassType=1&amp;NumAxis=1&amp;Mod2=170&amp;Pep=SKEFAQVIK&amp;Dta=/var/www/html/dta/S01/10565.6519.2.dta&amp;Global_Mod=CS57.0215", "6519")</f>
        <v>6519</v>
      </c>
      <c r="W627" s="4" t="s">
        <v>4854</v>
      </c>
      <c r="X627" s="4" t="s">
        <v>4854</v>
      </c>
      <c r="Y627" s="4" t="s">
        <v>4854</v>
      </c>
      <c r="Z627" s="4" t="s">
        <v>4854</v>
      </c>
      <c r="AA627" s="4" t="s">
        <v>4854</v>
      </c>
      <c r="AB627" s="4" t="s">
        <v>4854</v>
      </c>
      <c r="AC627" s="4" t="s">
        <v>4854</v>
      </c>
      <c r="AD627" s="10">
        <v>6493</v>
      </c>
      <c r="AE627" s="100" t="s">
        <v>4854</v>
      </c>
      <c r="AF627" s="100" t="s">
        <v>4854</v>
      </c>
      <c r="AG627" s="100" t="s">
        <v>4854</v>
      </c>
      <c r="AH627" s="100" t="s">
        <v>4854</v>
      </c>
      <c r="AI627" s="100" t="s">
        <v>4854</v>
      </c>
      <c r="AJ627" s="91">
        <v>2.0110000000000001</v>
      </c>
      <c r="AK627" s="91">
        <v>1.9330000000000001</v>
      </c>
      <c r="AL627" s="91">
        <v>2.004</v>
      </c>
      <c r="AM627" s="103" t="s">
        <v>4854</v>
      </c>
      <c r="AN627" s="103" t="s">
        <v>4854</v>
      </c>
      <c r="AO627" s="103" t="s">
        <v>4854</v>
      </c>
      <c r="AP627" s="103" t="s">
        <v>4854</v>
      </c>
      <c r="AQ627" s="103" t="s">
        <v>4854</v>
      </c>
      <c r="AR627" s="95">
        <v>-0.1095</v>
      </c>
      <c r="AS627" s="95">
        <v>0.27710000000000001</v>
      </c>
      <c r="AT627" s="95">
        <v>-0.59040000000000004</v>
      </c>
      <c r="AU627" s="103" t="s">
        <v>4854</v>
      </c>
      <c r="AV627" s="103" t="s">
        <v>4854</v>
      </c>
      <c r="AW627" s="103" t="s">
        <v>4854</v>
      </c>
      <c r="AX627" s="103" t="s">
        <v>4854</v>
      </c>
      <c r="AY627" s="103" t="s">
        <v>4854</v>
      </c>
      <c r="AZ627" s="95">
        <v>1.0999999999999999E-2</v>
      </c>
      <c r="BA627" s="95">
        <v>2E-3</v>
      </c>
      <c r="BB627" s="95">
        <v>0.108</v>
      </c>
      <c r="BC627" s="4" t="s">
        <v>4854</v>
      </c>
      <c r="BD627" s="4" t="s">
        <v>4854</v>
      </c>
      <c r="BE627" s="4" t="s">
        <v>4854</v>
      </c>
      <c r="BF627" s="4" t="s">
        <v>4854</v>
      </c>
      <c r="BG627" s="4" t="s">
        <v>4854</v>
      </c>
      <c r="BH627" s="10">
        <v>5</v>
      </c>
      <c r="BI627" s="10">
        <v>5</v>
      </c>
      <c r="BJ627" s="10">
        <v>4</v>
      </c>
      <c r="BK627" s="100" t="s">
        <v>4854</v>
      </c>
      <c r="BL627" s="100" t="s">
        <v>4854</v>
      </c>
      <c r="BM627" s="100" t="s">
        <v>4854</v>
      </c>
      <c r="BN627" s="100" t="s">
        <v>4854</v>
      </c>
      <c r="BO627" s="100" t="s">
        <v>4854</v>
      </c>
      <c r="BP627" s="91">
        <v>0.92300000000000004</v>
      </c>
      <c r="BQ627" s="91">
        <v>0.89800000000000002</v>
      </c>
      <c r="BR627" s="91">
        <v>0.95099999999999996</v>
      </c>
      <c r="BS627" s="10" t="s">
        <v>4857</v>
      </c>
    </row>
    <row r="628" spans="1:71" s="30" customFormat="1" ht="17.100000000000001" customHeight="1">
      <c r="A628" s="14">
        <v>617</v>
      </c>
      <c r="B628" s="5" t="s">
        <v>2469</v>
      </c>
      <c r="C628" s="3" t="s">
        <v>2686</v>
      </c>
      <c r="D628" s="3" t="s">
        <v>2598</v>
      </c>
      <c r="E628" s="6" t="s">
        <v>2599</v>
      </c>
      <c r="F628" s="5" t="s">
        <v>5179</v>
      </c>
      <c r="G628" s="3" t="s">
        <v>2600</v>
      </c>
      <c r="H628" s="6" t="s">
        <v>2601</v>
      </c>
      <c r="I628" s="3" t="s">
        <v>2467</v>
      </c>
      <c r="J628" s="5" t="s">
        <v>4621</v>
      </c>
      <c r="K628" s="3" t="s">
        <v>5709</v>
      </c>
      <c r="L628" s="3" t="s">
        <v>2470</v>
      </c>
      <c r="M628" s="5">
        <v>2</v>
      </c>
      <c r="N628" s="21">
        <v>672.33309999999994</v>
      </c>
      <c r="O628" s="35" t="s">
        <v>4854</v>
      </c>
      <c r="P628" s="36" t="str">
        <f>HYPERLINK("http://ms.phosphosite.org:5080/cgi-bin/plot-msms.cgi?MassType=1&amp;NumAxis=1&amp;Mod3=170&amp;Pep=TDKYYGAQTVR&amp;Dta=/var/www/html/dta/S01/10559.3830.2.dta&amp;Global_Mod=CS57.0215", "3830")</f>
        <v>3830</v>
      </c>
      <c r="Q628" s="35" t="s">
        <v>4854</v>
      </c>
      <c r="R628" s="35" t="s">
        <v>4854</v>
      </c>
      <c r="S628" s="35" t="s">
        <v>4854</v>
      </c>
      <c r="T628" s="35" t="s">
        <v>4854</v>
      </c>
      <c r="U628" s="35" t="s">
        <v>4854</v>
      </c>
      <c r="V628" s="35" t="s">
        <v>4854</v>
      </c>
      <c r="W628" s="3" t="s">
        <v>4854</v>
      </c>
      <c r="X628" s="3" t="s">
        <v>4854</v>
      </c>
      <c r="Y628" s="3" t="s">
        <v>4854</v>
      </c>
      <c r="Z628" s="3" t="s">
        <v>4854</v>
      </c>
      <c r="AA628" s="3" t="s">
        <v>4854</v>
      </c>
      <c r="AB628" s="3" t="s">
        <v>4854</v>
      </c>
      <c r="AC628" s="3" t="s">
        <v>4854</v>
      </c>
      <c r="AD628" s="3" t="s">
        <v>4854</v>
      </c>
      <c r="AE628" s="99" t="s">
        <v>4854</v>
      </c>
      <c r="AF628" s="90">
        <v>3.0379999999999998</v>
      </c>
      <c r="AG628" s="99" t="s">
        <v>4854</v>
      </c>
      <c r="AH628" s="99" t="s">
        <v>4854</v>
      </c>
      <c r="AI628" s="99" t="s">
        <v>4854</v>
      </c>
      <c r="AJ628" s="99" t="s">
        <v>4854</v>
      </c>
      <c r="AK628" s="99" t="s">
        <v>4854</v>
      </c>
      <c r="AL628" s="99" t="s">
        <v>4854</v>
      </c>
      <c r="AM628" s="102" t="s">
        <v>4854</v>
      </c>
      <c r="AN628" s="21">
        <v>-0.40620000000000001</v>
      </c>
      <c r="AO628" s="102" t="s">
        <v>4854</v>
      </c>
      <c r="AP628" s="102" t="s">
        <v>4854</v>
      </c>
      <c r="AQ628" s="102" t="s">
        <v>4854</v>
      </c>
      <c r="AR628" s="102" t="s">
        <v>4854</v>
      </c>
      <c r="AS628" s="102" t="s">
        <v>4854</v>
      </c>
      <c r="AT628" s="102" t="s">
        <v>4854</v>
      </c>
      <c r="AU628" s="102" t="s">
        <v>4854</v>
      </c>
      <c r="AV628" s="21">
        <v>0.155</v>
      </c>
      <c r="AW628" s="102" t="s">
        <v>4854</v>
      </c>
      <c r="AX628" s="102" t="s">
        <v>4854</v>
      </c>
      <c r="AY628" s="102" t="s">
        <v>4854</v>
      </c>
      <c r="AZ628" s="102" t="s">
        <v>4854</v>
      </c>
      <c r="BA628" s="102" t="s">
        <v>4854</v>
      </c>
      <c r="BB628" s="102" t="s">
        <v>4854</v>
      </c>
      <c r="BC628" s="3" t="s">
        <v>4854</v>
      </c>
      <c r="BD628" s="5">
        <v>1</v>
      </c>
      <c r="BE628" s="3" t="s">
        <v>4854</v>
      </c>
      <c r="BF628" s="3" t="s">
        <v>4854</v>
      </c>
      <c r="BG628" s="3" t="s">
        <v>4854</v>
      </c>
      <c r="BH628" s="3" t="s">
        <v>4854</v>
      </c>
      <c r="BI628" s="3" t="s">
        <v>4854</v>
      </c>
      <c r="BJ628" s="3" t="s">
        <v>4854</v>
      </c>
      <c r="BK628" s="99" t="s">
        <v>4854</v>
      </c>
      <c r="BL628" s="90">
        <v>0.71399999999999997</v>
      </c>
      <c r="BM628" s="99" t="s">
        <v>4854</v>
      </c>
      <c r="BN628" s="99" t="s">
        <v>4854</v>
      </c>
      <c r="BO628" s="99" t="s">
        <v>4854</v>
      </c>
      <c r="BP628" s="99" t="s">
        <v>4854</v>
      </c>
      <c r="BQ628" s="99" t="s">
        <v>4854</v>
      </c>
      <c r="BR628" s="99" t="s">
        <v>4854</v>
      </c>
      <c r="BS628" s="5" t="s">
        <v>4857</v>
      </c>
    </row>
    <row r="629" spans="1:71" s="30" customFormat="1" ht="17.100000000000001" customHeight="1">
      <c r="A629" s="14">
        <v>618</v>
      </c>
      <c r="B629" s="5" t="s">
        <v>2471</v>
      </c>
      <c r="C629" s="3" t="s">
        <v>2686</v>
      </c>
      <c r="D629" s="3" t="s">
        <v>2598</v>
      </c>
      <c r="E629" s="6" t="s">
        <v>2599</v>
      </c>
      <c r="F629" s="5" t="s">
        <v>5179</v>
      </c>
      <c r="G629" s="3" t="s">
        <v>2600</v>
      </c>
      <c r="H629" s="6" t="s">
        <v>2601</v>
      </c>
      <c r="I629" s="3" t="s">
        <v>2467</v>
      </c>
      <c r="J629" s="5" t="s">
        <v>4621</v>
      </c>
      <c r="K629" s="3" t="s">
        <v>5709</v>
      </c>
      <c r="L629" s="3" t="s">
        <v>2472</v>
      </c>
      <c r="M629" s="5">
        <v>3</v>
      </c>
      <c r="N629" s="21">
        <v>902.45339999999999</v>
      </c>
      <c r="O629" s="36" t="str">
        <f>HYPERLINK("http://ms.phosphosite.org:5080/cgi-bin/plot-msms.cgi?MassType=1&amp;NumAxis=1&amp;Mod15=170&amp;Pep=VEFDTFGELKVPTDKYYGAQTVR&amp;Dta=/var/www/html/dta/S01/10558.10778.3.dta&amp;Global_Mod=CS57.0215", "10778")</f>
        <v>10778</v>
      </c>
      <c r="P629" s="36" t="str">
        <f>HYPERLINK("http://ms.phosphosite.org:5080/cgi-bin/plot-msms.cgi?MassType=1&amp;NumAxis=1&amp;Mod15=170&amp;Pep=VEFDTFGELKVPTDKYYGAQTVR&amp;Dta=/var/www/html/dta/S01/10559.10780.3.dta&amp;Global_Mod=CS57.0215", "10780")</f>
        <v>10780</v>
      </c>
      <c r="Q629" s="36" t="str">
        <f>HYPERLINK("http://ms.phosphosite.org:5080/cgi-bin/plot-msms.cgi?MassType=1&amp;NumAxis=1&amp;Mod15=170&amp;Pep=VEFDTFGELKVPTDKYYGAQTVR&amp;Dta=/var/www/html/dta/S01/10560.10821.3.dta&amp;Global_Mod=CS57.0215", "10821")</f>
        <v>10821</v>
      </c>
      <c r="R629" s="36" t="str">
        <f>HYPERLINK("http://ms.phosphosite.org:5080/cgi-bin/plot-msms.cgi?MassType=1&amp;NumAxis=1&amp;Mod15=170&amp;Pep=VEFDTFGELKVPTDKYYGAQTVR&amp;Dta=/var/www/html/dta/S01/10561.10835.3.dta&amp;Global_Mod=CS57.0215", "10835")</f>
        <v>10835</v>
      </c>
      <c r="S629" s="36" t="str">
        <f>HYPERLINK("http://ms.phosphosite.org:5080/cgi-bin/plot-msms.cgi?MassType=1&amp;NumAxis=1&amp;Mod15=170&amp;Pep=VEFDTFGELKVPTDKYYGAQTVR&amp;Dta=/var/www/html/dta/S01/10562.11005.3.dta&amp;Global_Mod=CS57.0215", "11005")</f>
        <v>11005</v>
      </c>
      <c r="T629" s="36" t="str">
        <f>HYPERLINK("http://ms.phosphosite.org:5080/cgi-bin/plot-msms.cgi?MassType=1&amp;NumAxis=1&amp;Mod15=170&amp;Pep=VEFDTFGELKVPTDKYYGAQTVR&amp;Dta=/var/www/html/dta/S01/10563.10953.3.dta&amp;Global_Mod=CS57.0215", "10953")</f>
        <v>10953</v>
      </c>
      <c r="U629" s="36" t="str">
        <f>HYPERLINK("http://ms.phosphosite.org:5080/cgi-bin/plot-msms.cgi?MassType=1&amp;NumAxis=1&amp;Mod15=170&amp;Pep=VEFDTFGELKVPTDKYYGAQTVR&amp;Dta=/var/www/html/dta/S01/10564.11410.3.dta&amp;Global_Mod=CS57.0215", "11410")</f>
        <v>11410</v>
      </c>
      <c r="V629" s="36" t="str">
        <f>HYPERLINK("http://ms.phosphosite.org:5080/cgi-bin/plot-msms.cgi?MassType=1&amp;NumAxis=1&amp;Mod15=170&amp;Pep=VEFDTFGELKVPTDKYYGAQTVR&amp;Dta=/var/www/html/dta/S01/10565.11347.3.dta&amp;Global_Mod=CS57.0215", "11347")</f>
        <v>11347</v>
      </c>
      <c r="W629" s="5">
        <v>10791</v>
      </c>
      <c r="X629" s="5">
        <v>10801</v>
      </c>
      <c r="Y629" s="5">
        <v>10836</v>
      </c>
      <c r="Z629" s="5">
        <v>10856</v>
      </c>
      <c r="AA629" s="5">
        <v>11008</v>
      </c>
      <c r="AB629" s="5">
        <v>10951</v>
      </c>
      <c r="AC629" s="5">
        <v>11413</v>
      </c>
      <c r="AD629" s="5">
        <v>11366</v>
      </c>
      <c r="AE629" s="90">
        <v>3.7610000000000001</v>
      </c>
      <c r="AF629" s="90">
        <v>4.6479999999999997</v>
      </c>
      <c r="AG629" s="90">
        <v>4.91</v>
      </c>
      <c r="AH629" s="90">
        <v>4.6630000000000003</v>
      </c>
      <c r="AI629" s="90">
        <v>4.0369999999999999</v>
      </c>
      <c r="AJ629" s="90">
        <v>2.8559999999999999</v>
      </c>
      <c r="AK629" s="90">
        <v>3.8069999999999999</v>
      </c>
      <c r="AL629" s="90">
        <v>5.3609999999999998</v>
      </c>
      <c r="AM629" s="21">
        <v>9.4299999999999995E-2</v>
      </c>
      <c r="AN629" s="21">
        <v>0.52239999999999998</v>
      </c>
      <c r="AO629" s="21">
        <v>0.76380000000000003</v>
      </c>
      <c r="AP629" s="21">
        <v>0.78669999999999995</v>
      </c>
      <c r="AQ629" s="21">
        <v>0.45140000000000002</v>
      </c>
      <c r="AR629" s="21">
        <v>0.17050000000000001</v>
      </c>
      <c r="AS629" s="21">
        <v>0.80589999999999995</v>
      </c>
      <c r="AT629" s="21">
        <v>-0.24460000000000001</v>
      </c>
      <c r="AU629" s="21">
        <v>0.34799999999999998</v>
      </c>
      <c r="AV629" s="21">
        <v>0.45800000000000002</v>
      </c>
      <c r="AW629" s="21">
        <v>0.35799999999999998</v>
      </c>
      <c r="AX629" s="21">
        <v>0.39400000000000002</v>
      </c>
      <c r="AY629" s="21">
        <v>0.32300000000000001</v>
      </c>
      <c r="AZ629" s="21">
        <v>0.33600000000000002</v>
      </c>
      <c r="BA629" s="21">
        <v>0.38900000000000001</v>
      </c>
      <c r="BB629" s="21">
        <v>0.505</v>
      </c>
      <c r="BC629" s="5">
        <v>1</v>
      </c>
      <c r="BD629" s="5">
        <v>1</v>
      </c>
      <c r="BE629" s="5">
        <v>1</v>
      </c>
      <c r="BF629" s="5">
        <v>1</v>
      </c>
      <c r="BG629" s="5">
        <v>1</v>
      </c>
      <c r="BH629" s="5">
        <v>1</v>
      </c>
      <c r="BI629" s="5">
        <v>1</v>
      </c>
      <c r="BJ629" s="5">
        <v>1</v>
      </c>
      <c r="BK629" s="90">
        <v>1</v>
      </c>
      <c r="BL629" s="90">
        <v>1</v>
      </c>
      <c r="BM629" s="90">
        <v>1</v>
      </c>
      <c r="BN629" s="90">
        <v>1</v>
      </c>
      <c r="BO629" s="90">
        <v>1</v>
      </c>
      <c r="BP629" s="90">
        <v>1</v>
      </c>
      <c r="BQ629" s="90">
        <v>1</v>
      </c>
      <c r="BR629" s="90">
        <v>1</v>
      </c>
      <c r="BS629" s="5" t="s">
        <v>4857</v>
      </c>
    </row>
    <row r="630" spans="1:71" s="30" customFormat="1" ht="17.100000000000001" customHeight="1">
      <c r="A630" s="14">
        <v>619</v>
      </c>
      <c r="B630" s="5" t="s">
        <v>2473</v>
      </c>
      <c r="C630" s="3" t="s">
        <v>2686</v>
      </c>
      <c r="D630" s="3" t="s">
        <v>2598</v>
      </c>
      <c r="E630" s="6" t="s">
        <v>2599</v>
      </c>
      <c r="F630" s="5" t="s">
        <v>5179</v>
      </c>
      <c r="G630" s="3" t="s">
        <v>2600</v>
      </c>
      <c r="H630" s="6" t="s">
        <v>2601</v>
      </c>
      <c r="I630" s="3" t="s">
        <v>2467</v>
      </c>
      <c r="J630" s="5" t="s">
        <v>4621</v>
      </c>
      <c r="K630" s="3" t="s">
        <v>5709</v>
      </c>
      <c r="L630" s="3" t="s">
        <v>2472</v>
      </c>
      <c r="M630" s="5">
        <v>3</v>
      </c>
      <c r="N630" s="21">
        <v>902.45339999999999</v>
      </c>
      <c r="O630" s="35" t="s">
        <v>4854</v>
      </c>
      <c r="P630" s="35" t="s">
        <v>4854</v>
      </c>
      <c r="Q630" s="36" t="str">
        <f>HYPERLINK("http://ms.phosphosite.org:5080/cgi-bin/plot-msms.cgi?MassType=1&amp;NumAxis=1&amp;Mod15=170&amp;Pep=VEFDTFGELKVPTDKYYGAQTVR&amp;Dta=/var/www/html/dta/S01/10560.10822.3.dta&amp;Global_Mod=CS57.0215", "10822")</f>
        <v>10822</v>
      </c>
      <c r="R630" s="36" t="str">
        <f>HYPERLINK("http://ms.phosphosite.org:5080/cgi-bin/plot-msms.cgi?MassType=1&amp;NumAxis=1&amp;Mod15=170&amp;Pep=VEFDTFGELKVPTDKYYGAQTVR&amp;Dta=/var/www/html/dta/S01/10561.10838.3.dta&amp;Global_Mod=CS57.0215", "10838")</f>
        <v>10838</v>
      </c>
      <c r="S630" s="36" t="str">
        <f>HYPERLINK("http://ms.phosphosite.org:5080/cgi-bin/plot-msms.cgi?MassType=1&amp;NumAxis=1&amp;Mod15=170&amp;Pep=VEFDTFGELKVPTDKYYGAQTVR&amp;Dta=/var/www/html/dta/S01/10562.11012.3.dta&amp;Global_Mod=CS57.0215", "11012")</f>
        <v>11012</v>
      </c>
      <c r="T630" s="35" t="s">
        <v>4854</v>
      </c>
      <c r="U630" s="35" t="s">
        <v>4854</v>
      </c>
      <c r="V630" s="35" t="s">
        <v>4854</v>
      </c>
      <c r="W630" s="3" t="s">
        <v>4854</v>
      </c>
      <c r="X630" s="3" t="s">
        <v>4854</v>
      </c>
      <c r="Y630" s="5">
        <v>10836</v>
      </c>
      <c r="Z630" s="5">
        <v>10856</v>
      </c>
      <c r="AA630" s="5">
        <v>11008</v>
      </c>
      <c r="AB630" s="3" t="s">
        <v>4854</v>
      </c>
      <c r="AC630" s="3" t="s">
        <v>4854</v>
      </c>
      <c r="AD630" s="3" t="s">
        <v>4854</v>
      </c>
      <c r="AE630" s="99" t="s">
        <v>4854</v>
      </c>
      <c r="AF630" s="99" t="s">
        <v>4854</v>
      </c>
      <c r="AG630" s="90">
        <v>4.13</v>
      </c>
      <c r="AH630" s="90">
        <v>2.9740000000000002</v>
      </c>
      <c r="AI630" s="90">
        <v>3.1230000000000002</v>
      </c>
      <c r="AJ630" s="99" t="s">
        <v>4854</v>
      </c>
      <c r="AK630" s="99" t="s">
        <v>4854</v>
      </c>
      <c r="AL630" s="99" t="s">
        <v>4854</v>
      </c>
      <c r="AM630" s="102" t="s">
        <v>4854</v>
      </c>
      <c r="AN630" s="102" t="s">
        <v>4854</v>
      </c>
      <c r="AO630" s="21">
        <v>0.76380000000000003</v>
      </c>
      <c r="AP630" s="21">
        <v>0.78669999999999995</v>
      </c>
      <c r="AQ630" s="21">
        <v>0.38119999999999998</v>
      </c>
      <c r="AR630" s="102" t="s">
        <v>4854</v>
      </c>
      <c r="AS630" s="102" t="s">
        <v>4854</v>
      </c>
      <c r="AT630" s="102" t="s">
        <v>4854</v>
      </c>
      <c r="AU630" s="102" t="s">
        <v>4854</v>
      </c>
      <c r="AV630" s="102" t="s">
        <v>4854</v>
      </c>
      <c r="AW630" s="21">
        <v>0.41099999999999998</v>
      </c>
      <c r="AX630" s="21">
        <v>0.22600000000000001</v>
      </c>
      <c r="AY630" s="21">
        <v>0.29099999999999998</v>
      </c>
      <c r="AZ630" s="102" t="s">
        <v>4854</v>
      </c>
      <c r="BA630" s="102" t="s">
        <v>4854</v>
      </c>
      <c r="BB630" s="102" t="s">
        <v>4854</v>
      </c>
      <c r="BC630" s="3" t="s">
        <v>4854</v>
      </c>
      <c r="BD630" s="3" t="s">
        <v>4854</v>
      </c>
      <c r="BE630" s="5">
        <v>1</v>
      </c>
      <c r="BF630" s="5">
        <v>1</v>
      </c>
      <c r="BG630" s="5">
        <v>1</v>
      </c>
      <c r="BH630" s="3" t="s">
        <v>4854</v>
      </c>
      <c r="BI630" s="3" t="s">
        <v>4854</v>
      </c>
      <c r="BJ630" s="3" t="s">
        <v>4854</v>
      </c>
      <c r="BK630" s="99" t="s">
        <v>4854</v>
      </c>
      <c r="BL630" s="99" t="s">
        <v>4854</v>
      </c>
      <c r="BM630" s="90">
        <v>1</v>
      </c>
      <c r="BN630" s="90">
        <v>0.999</v>
      </c>
      <c r="BO630" s="90">
        <v>1</v>
      </c>
      <c r="BP630" s="99" t="s">
        <v>4854</v>
      </c>
      <c r="BQ630" s="99" t="s">
        <v>4854</v>
      </c>
      <c r="BR630" s="99" t="s">
        <v>4854</v>
      </c>
      <c r="BS630" s="5" t="s">
        <v>4857</v>
      </c>
    </row>
    <row r="631" spans="1:71" s="30" customFormat="1" ht="17.100000000000001" customHeight="1">
      <c r="A631" s="14">
        <v>620</v>
      </c>
      <c r="B631" s="5" t="s">
        <v>2474</v>
      </c>
      <c r="C631" s="3" t="s">
        <v>2686</v>
      </c>
      <c r="D631" s="3" t="s">
        <v>2598</v>
      </c>
      <c r="E631" s="6" t="s">
        <v>2599</v>
      </c>
      <c r="F631" s="5" t="s">
        <v>5179</v>
      </c>
      <c r="G631" s="3" t="s">
        <v>2600</v>
      </c>
      <c r="H631" s="6" t="s">
        <v>2601</v>
      </c>
      <c r="I631" s="3" t="s">
        <v>2467</v>
      </c>
      <c r="J631" s="5" t="s">
        <v>4621</v>
      </c>
      <c r="K631" s="3" t="s">
        <v>5709</v>
      </c>
      <c r="L631" s="3" t="s">
        <v>2475</v>
      </c>
      <c r="M631" s="5">
        <v>2</v>
      </c>
      <c r="N631" s="21">
        <v>770.39369999999997</v>
      </c>
      <c r="O631" s="36" t="str">
        <f>HYPERLINK("http://ms.phosphosite.org:5080/cgi-bin/plot-msms.cgi?MassType=1&amp;NumAxis=1&amp;Mod5=170&amp;Pep=VPTDKYYGAQTVR&amp;Dta=/var/www/html/dta/S01/10558.4982.2.dta&amp;Global_Mod=CS57.0215", "4982")</f>
        <v>4982</v>
      </c>
      <c r="P631" s="36" t="str">
        <f>HYPERLINK("http://ms.phosphosite.org:5080/cgi-bin/plot-msms.cgi?MassType=1&amp;NumAxis=1&amp;Mod5=170&amp;Pep=VPTDKYYGAQTVR&amp;Dta=/var/www/html/dta/S01/10559.4926.2.dta&amp;Global_Mod=CS57.0215", "4926")</f>
        <v>4926</v>
      </c>
      <c r="Q631" s="36" t="str">
        <f>HYPERLINK("http://ms.phosphosite.org:5080/cgi-bin/plot-msms.cgi?MassType=1&amp;NumAxis=1&amp;Mod5=170&amp;Pep=VPTDKYYGAQTVR&amp;Dta=/var/www/html/dta/S01/10560.4875.2.dta&amp;Global_Mod=CS57.0215", "4875")</f>
        <v>4875</v>
      </c>
      <c r="R631" s="36" t="str">
        <f>HYPERLINK("http://ms.phosphosite.org:5080/cgi-bin/plot-msms.cgi?MassType=1&amp;NumAxis=1&amp;Mod5=170&amp;Pep=VPTDKYYGAQTVR&amp;Dta=/var/www/html/dta/S01/10561.4932.2.dta&amp;Global_Mod=CS57.0215", "4932")</f>
        <v>4932</v>
      </c>
      <c r="S631" s="36" t="str">
        <f>HYPERLINK("http://ms.phosphosite.org:5080/cgi-bin/plot-msms.cgi?MassType=1&amp;NumAxis=1&amp;Mod5=170&amp;Pep=VPTDKYYGAQTVR&amp;Dta=/var/www/html/dta/S01/10562.5019.2.dta&amp;Global_Mod=CS57.0215", "5019")</f>
        <v>5019</v>
      </c>
      <c r="T631" s="35" t="s">
        <v>4854</v>
      </c>
      <c r="U631" s="36" t="str">
        <f>HYPERLINK("http://ms.phosphosite.org:5080/cgi-bin/plot-msms.cgi?MassType=1&amp;NumAxis=1&amp;Mod5=170&amp;Pep=VPTDKYYGAQTVR&amp;Dta=/var/www/html/dta/S01/10564.5279.2.dta&amp;Global_Mod=CS57.0215", "5279")</f>
        <v>5279</v>
      </c>
      <c r="V631" s="36" t="str">
        <f>HYPERLINK("http://ms.phosphosite.org:5080/cgi-bin/plot-msms.cgi?MassType=1&amp;NumAxis=1&amp;Mod5=170&amp;Pep=VPTDKYYGAQTVR&amp;Dta=/var/www/html/dta/S01/10565.5390.2.dta&amp;Global_Mod=CS57.0215", "5390")</f>
        <v>5390</v>
      </c>
      <c r="W631" s="5">
        <v>4988</v>
      </c>
      <c r="X631" s="5">
        <v>4921</v>
      </c>
      <c r="Y631" s="5">
        <v>4903</v>
      </c>
      <c r="Z631" s="5">
        <v>4941</v>
      </c>
      <c r="AA631" s="5">
        <v>5032</v>
      </c>
      <c r="AB631" s="3" t="s">
        <v>4854</v>
      </c>
      <c r="AC631" s="5">
        <v>5308</v>
      </c>
      <c r="AD631" s="5">
        <v>5405</v>
      </c>
      <c r="AE631" s="90">
        <v>3.8940000000000001</v>
      </c>
      <c r="AF631" s="90">
        <v>3.9380000000000002</v>
      </c>
      <c r="AG631" s="90">
        <v>4.16</v>
      </c>
      <c r="AH631" s="90">
        <v>3.6579999999999999</v>
      </c>
      <c r="AI631" s="90">
        <v>4.0279999999999996</v>
      </c>
      <c r="AJ631" s="99" t="s">
        <v>4854</v>
      </c>
      <c r="AK631" s="90">
        <v>4.0640000000000001</v>
      </c>
      <c r="AL631" s="90">
        <v>4.1159999999999997</v>
      </c>
      <c r="AM631" s="21">
        <v>1.0432999999999999</v>
      </c>
      <c r="AN631" s="21">
        <v>0.15609999999999999</v>
      </c>
      <c r="AO631" s="21">
        <v>0.80159999999999998</v>
      </c>
      <c r="AP631" s="21">
        <v>0.65159999999999996</v>
      </c>
      <c r="AQ631" s="21">
        <v>0.71530000000000005</v>
      </c>
      <c r="AR631" s="102" t="s">
        <v>4854</v>
      </c>
      <c r="AS631" s="21">
        <v>0.39510000000000001</v>
      </c>
      <c r="AT631" s="21">
        <v>-0.26469999999999999</v>
      </c>
      <c r="AU631" s="21">
        <v>0.379</v>
      </c>
      <c r="AV631" s="21">
        <v>0.46400000000000002</v>
      </c>
      <c r="AW631" s="21">
        <v>0.41499999999999998</v>
      </c>
      <c r="AX631" s="21">
        <v>0.48199999999999998</v>
      </c>
      <c r="AY631" s="21">
        <v>0.46200000000000002</v>
      </c>
      <c r="AZ631" s="102" t="s">
        <v>4854</v>
      </c>
      <c r="BA631" s="21">
        <v>0.42399999999999999</v>
      </c>
      <c r="BB631" s="21">
        <v>0.46</v>
      </c>
      <c r="BC631" s="5">
        <v>1</v>
      </c>
      <c r="BD631" s="5">
        <v>1</v>
      </c>
      <c r="BE631" s="5">
        <v>1</v>
      </c>
      <c r="BF631" s="5">
        <v>1</v>
      </c>
      <c r="BG631" s="5">
        <v>1</v>
      </c>
      <c r="BH631" s="3" t="s">
        <v>4854</v>
      </c>
      <c r="BI631" s="5">
        <v>1</v>
      </c>
      <c r="BJ631" s="5">
        <v>1</v>
      </c>
      <c r="BK631" s="90">
        <v>1</v>
      </c>
      <c r="BL631" s="90">
        <v>1</v>
      </c>
      <c r="BM631" s="90">
        <v>1</v>
      </c>
      <c r="BN631" s="90">
        <v>1</v>
      </c>
      <c r="BO631" s="90">
        <v>1</v>
      </c>
      <c r="BP631" s="99" t="s">
        <v>4854</v>
      </c>
      <c r="BQ631" s="90">
        <v>1</v>
      </c>
      <c r="BR631" s="90">
        <v>1</v>
      </c>
      <c r="BS631" s="5" t="s">
        <v>4857</v>
      </c>
    </row>
    <row r="632" spans="1:71" s="30" customFormat="1" ht="17.100000000000001" customHeight="1">
      <c r="A632" s="14">
        <v>621</v>
      </c>
      <c r="B632" s="5" t="s">
        <v>2476</v>
      </c>
      <c r="C632" s="3" t="s">
        <v>2686</v>
      </c>
      <c r="D632" s="3" t="s">
        <v>2598</v>
      </c>
      <c r="E632" s="6" t="s">
        <v>2599</v>
      </c>
      <c r="F632" s="5" t="s">
        <v>5179</v>
      </c>
      <c r="G632" s="3" t="s">
        <v>2600</v>
      </c>
      <c r="H632" s="6" t="s">
        <v>2601</v>
      </c>
      <c r="I632" s="3" t="s">
        <v>2467</v>
      </c>
      <c r="J632" s="5" t="s">
        <v>4621</v>
      </c>
      <c r="K632" s="3" t="s">
        <v>5709</v>
      </c>
      <c r="L632" s="3" t="s">
        <v>2475</v>
      </c>
      <c r="M632" s="5">
        <v>2</v>
      </c>
      <c r="N632" s="21">
        <v>770.39369999999997</v>
      </c>
      <c r="O632" s="35" t="s">
        <v>4854</v>
      </c>
      <c r="P632" s="35" t="s">
        <v>4854</v>
      </c>
      <c r="Q632" s="35" t="s">
        <v>4854</v>
      </c>
      <c r="R632" s="36" t="str">
        <f>HYPERLINK("http://ms.phosphosite.org:5080/cgi-bin/plot-msms.cgi?MassType=1&amp;NumAxis=1&amp;Mod5=170&amp;Pep=VPTDKYYGAQTVR&amp;Dta=/var/www/html/dta/S01/10561.4968.2.dta&amp;Global_Mod=CS57.0215", "4968")</f>
        <v>4968</v>
      </c>
      <c r="S632" s="35" t="s">
        <v>4854</v>
      </c>
      <c r="T632" s="35" t="s">
        <v>4854</v>
      </c>
      <c r="U632" s="35" t="s">
        <v>4854</v>
      </c>
      <c r="V632" s="35" t="s">
        <v>4854</v>
      </c>
      <c r="W632" s="3" t="s">
        <v>4854</v>
      </c>
      <c r="X632" s="3" t="s">
        <v>4854</v>
      </c>
      <c r="Y632" s="3" t="s">
        <v>4854</v>
      </c>
      <c r="Z632" s="5">
        <v>4941</v>
      </c>
      <c r="AA632" s="3" t="s">
        <v>4854</v>
      </c>
      <c r="AB632" s="3" t="s">
        <v>4854</v>
      </c>
      <c r="AC632" s="3" t="s">
        <v>4854</v>
      </c>
      <c r="AD632" s="3" t="s">
        <v>4854</v>
      </c>
      <c r="AE632" s="99" t="s">
        <v>4854</v>
      </c>
      <c r="AF632" s="99" t="s">
        <v>4854</v>
      </c>
      <c r="AG632" s="99" t="s">
        <v>4854</v>
      </c>
      <c r="AH632" s="90">
        <v>3.0470000000000002</v>
      </c>
      <c r="AI632" s="99" t="s">
        <v>4854</v>
      </c>
      <c r="AJ632" s="99" t="s">
        <v>4854</v>
      </c>
      <c r="AK632" s="99" t="s">
        <v>4854</v>
      </c>
      <c r="AL632" s="99" t="s">
        <v>4854</v>
      </c>
      <c r="AM632" s="102" t="s">
        <v>4854</v>
      </c>
      <c r="AN632" s="102" t="s">
        <v>4854</v>
      </c>
      <c r="AO632" s="102" t="s">
        <v>4854</v>
      </c>
      <c r="AP632" s="21">
        <v>0.65159999999999996</v>
      </c>
      <c r="AQ632" s="102" t="s">
        <v>4854</v>
      </c>
      <c r="AR632" s="102" t="s">
        <v>4854</v>
      </c>
      <c r="AS632" s="102" t="s">
        <v>4854</v>
      </c>
      <c r="AT632" s="102" t="s">
        <v>4854</v>
      </c>
      <c r="AU632" s="102" t="s">
        <v>4854</v>
      </c>
      <c r="AV632" s="102" t="s">
        <v>4854</v>
      </c>
      <c r="AW632" s="102" t="s">
        <v>4854</v>
      </c>
      <c r="AX632" s="21">
        <v>0.315</v>
      </c>
      <c r="AY632" s="102" t="s">
        <v>4854</v>
      </c>
      <c r="AZ632" s="102" t="s">
        <v>4854</v>
      </c>
      <c r="BA632" s="102" t="s">
        <v>4854</v>
      </c>
      <c r="BB632" s="102" t="s">
        <v>4854</v>
      </c>
      <c r="BC632" s="3" t="s">
        <v>4854</v>
      </c>
      <c r="BD632" s="3" t="s">
        <v>4854</v>
      </c>
      <c r="BE632" s="3" t="s">
        <v>4854</v>
      </c>
      <c r="BF632" s="5">
        <v>1</v>
      </c>
      <c r="BG632" s="3" t="s">
        <v>4854</v>
      </c>
      <c r="BH632" s="3" t="s">
        <v>4854</v>
      </c>
      <c r="BI632" s="3" t="s">
        <v>4854</v>
      </c>
      <c r="BJ632" s="3" t="s">
        <v>4854</v>
      </c>
      <c r="BK632" s="99" t="s">
        <v>4854</v>
      </c>
      <c r="BL632" s="99" t="s">
        <v>4854</v>
      </c>
      <c r="BM632" s="99" t="s">
        <v>4854</v>
      </c>
      <c r="BN632" s="90">
        <v>1</v>
      </c>
      <c r="BO632" s="99" t="s">
        <v>4854</v>
      </c>
      <c r="BP632" s="99" t="s">
        <v>4854</v>
      </c>
      <c r="BQ632" s="99" t="s">
        <v>4854</v>
      </c>
      <c r="BR632" s="99" t="s">
        <v>4854</v>
      </c>
      <c r="BS632" s="5" t="s">
        <v>4857</v>
      </c>
    </row>
    <row r="633" spans="1:71" s="30" customFormat="1" ht="17.100000000000001" customHeight="1">
      <c r="A633" s="10">
        <v>622</v>
      </c>
      <c r="B633" s="10" t="s">
        <v>2477</v>
      </c>
      <c r="C633" s="4" t="s">
        <v>2686</v>
      </c>
      <c r="D633" s="4" t="s">
        <v>2478</v>
      </c>
      <c r="E633" s="4" t="s">
        <v>2479</v>
      </c>
      <c r="F633" s="10" t="s">
        <v>2480</v>
      </c>
      <c r="G633" s="4" t="s">
        <v>2481</v>
      </c>
      <c r="H633" s="7" t="s">
        <v>2482</v>
      </c>
      <c r="I633" s="4" t="s">
        <v>2483</v>
      </c>
      <c r="J633" s="10" t="s">
        <v>2484</v>
      </c>
      <c r="K633" s="4" t="s">
        <v>5710</v>
      </c>
      <c r="L633" s="4" t="s">
        <v>2485</v>
      </c>
      <c r="M633" s="10">
        <v>4</v>
      </c>
      <c r="N633" s="95">
        <v>654.55840000000001</v>
      </c>
      <c r="O633" s="38" t="s">
        <v>4854</v>
      </c>
      <c r="P633" s="38" t="s">
        <v>4854</v>
      </c>
      <c r="Q633" s="38" t="s">
        <v>4854</v>
      </c>
      <c r="R633" s="38" t="s">
        <v>4854</v>
      </c>
      <c r="S633" s="38" t="s">
        <v>4854</v>
      </c>
      <c r="T633" s="38" t="s">
        <v>4854</v>
      </c>
      <c r="U633" s="37" t="str">
        <f>HYPERLINK("http://ms.phosphosite.org:5080/cgi-bin/plot-msms.cgi?MassType=1&amp;NumAxis=1&amp;Mod6=170&amp;Mod13=147&amp;Pep=LHNSLKNFNSEPMTSKDYSTML&amp;Dta=/var/www/html/dta/S01/10564.5820.4.dta&amp;Global_Mod=CS57.0215", "5820")</f>
        <v>5820</v>
      </c>
      <c r="V633" s="38" t="s">
        <v>4854</v>
      </c>
      <c r="W633" s="4" t="s">
        <v>4854</v>
      </c>
      <c r="X633" s="4" t="s">
        <v>4854</v>
      </c>
      <c r="Y633" s="4" t="s">
        <v>4854</v>
      </c>
      <c r="Z633" s="4" t="s">
        <v>4854</v>
      </c>
      <c r="AA633" s="4" t="s">
        <v>4854</v>
      </c>
      <c r="AB633" s="4" t="s">
        <v>4854</v>
      </c>
      <c r="AC633" s="4" t="s">
        <v>4854</v>
      </c>
      <c r="AD633" s="4" t="s">
        <v>4854</v>
      </c>
      <c r="AE633" s="100" t="s">
        <v>4854</v>
      </c>
      <c r="AF633" s="100" t="s">
        <v>4854</v>
      </c>
      <c r="AG633" s="100" t="s">
        <v>4854</v>
      </c>
      <c r="AH633" s="100" t="s">
        <v>4854</v>
      </c>
      <c r="AI633" s="100" t="s">
        <v>4854</v>
      </c>
      <c r="AJ633" s="100" t="s">
        <v>4854</v>
      </c>
      <c r="AK633" s="91">
        <v>2.5409999999999999</v>
      </c>
      <c r="AL633" s="100" t="s">
        <v>4854</v>
      </c>
      <c r="AM633" s="103" t="s">
        <v>4854</v>
      </c>
      <c r="AN633" s="103" t="s">
        <v>4854</v>
      </c>
      <c r="AO633" s="103" t="s">
        <v>4854</v>
      </c>
      <c r="AP633" s="103" t="s">
        <v>4854</v>
      </c>
      <c r="AQ633" s="103" t="s">
        <v>4854</v>
      </c>
      <c r="AR633" s="103" t="s">
        <v>4854</v>
      </c>
      <c r="AS633" s="95">
        <v>0.64929999999999999</v>
      </c>
      <c r="AT633" s="103" t="s">
        <v>4854</v>
      </c>
      <c r="AU633" s="103" t="s">
        <v>4854</v>
      </c>
      <c r="AV633" s="103" t="s">
        <v>4854</v>
      </c>
      <c r="AW633" s="103" t="s">
        <v>4854</v>
      </c>
      <c r="AX633" s="103" t="s">
        <v>4854</v>
      </c>
      <c r="AY633" s="103" t="s">
        <v>4854</v>
      </c>
      <c r="AZ633" s="103" t="s">
        <v>4854</v>
      </c>
      <c r="BA633" s="95">
        <v>7.9000000000000001E-2</v>
      </c>
      <c r="BB633" s="103" t="s">
        <v>4854</v>
      </c>
      <c r="BC633" s="4" t="s">
        <v>4854</v>
      </c>
      <c r="BD633" s="4" t="s">
        <v>4854</v>
      </c>
      <c r="BE633" s="4" t="s">
        <v>4854</v>
      </c>
      <c r="BF633" s="4" t="s">
        <v>4854</v>
      </c>
      <c r="BG633" s="4" t="s">
        <v>4854</v>
      </c>
      <c r="BH633" s="4" t="s">
        <v>4854</v>
      </c>
      <c r="BI633" s="10">
        <v>10</v>
      </c>
      <c r="BJ633" s="4" t="s">
        <v>4854</v>
      </c>
      <c r="BK633" s="100" t="s">
        <v>4854</v>
      </c>
      <c r="BL633" s="100" t="s">
        <v>4854</v>
      </c>
      <c r="BM633" s="100" t="s">
        <v>4854</v>
      </c>
      <c r="BN633" s="100" t="s">
        <v>4854</v>
      </c>
      <c r="BO633" s="100" t="s">
        <v>4854</v>
      </c>
      <c r="BP633" s="100" t="s">
        <v>4854</v>
      </c>
      <c r="BQ633" s="91">
        <v>0.10100000000000001</v>
      </c>
      <c r="BR633" s="100" t="s">
        <v>4854</v>
      </c>
      <c r="BS633" s="10" t="s">
        <v>4857</v>
      </c>
    </row>
    <row r="634" spans="1:71" s="30" customFormat="1" ht="17.100000000000001" customHeight="1">
      <c r="A634" s="14">
        <v>623</v>
      </c>
      <c r="B634" s="5" t="s">
        <v>2486</v>
      </c>
      <c r="C634" s="3" t="s">
        <v>2686</v>
      </c>
      <c r="D634" s="3" t="s">
        <v>2487</v>
      </c>
      <c r="E634" s="3" t="s">
        <v>2488</v>
      </c>
      <c r="F634" s="5" t="s">
        <v>2489</v>
      </c>
      <c r="G634" s="3" t="s">
        <v>2490</v>
      </c>
      <c r="H634" s="6" t="s">
        <v>2491</v>
      </c>
      <c r="I634" s="3" t="s">
        <v>2492</v>
      </c>
      <c r="J634" s="5" t="s">
        <v>4464</v>
      </c>
      <c r="K634" s="3" t="s">
        <v>5711</v>
      </c>
      <c r="L634" s="3" t="s">
        <v>2493</v>
      </c>
      <c r="M634" s="5">
        <v>2</v>
      </c>
      <c r="N634" s="21">
        <v>548.3297</v>
      </c>
      <c r="O634" s="35" t="s">
        <v>4854</v>
      </c>
      <c r="P634" s="35" t="s">
        <v>4854</v>
      </c>
      <c r="Q634" s="35" t="s">
        <v>4854</v>
      </c>
      <c r="R634" s="36" t="str">
        <f>HYPERLINK("http://ms.phosphosite.org:5080/cgi-bin/plot-msms.cgi?MassType=1&amp;NumAxis=1&amp;Mod3=170&amp;Mod4=170&amp;Mod6=170&amp;Pep=PVKKGKAKN&amp;Dta=/var/www/html/dta/S01/10561.5109.2.dta&amp;Global_Mod=CS57.0215", "5109")</f>
        <v>5109</v>
      </c>
      <c r="S634" s="35" t="s">
        <v>4854</v>
      </c>
      <c r="T634" s="35" t="s">
        <v>4854</v>
      </c>
      <c r="U634" s="35" t="s">
        <v>4854</v>
      </c>
      <c r="V634" s="35" t="s">
        <v>4854</v>
      </c>
      <c r="W634" s="3" t="s">
        <v>4854</v>
      </c>
      <c r="X634" s="3" t="s">
        <v>4854</v>
      </c>
      <c r="Y634" s="3" t="s">
        <v>4854</v>
      </c>
      <c r="Z634" s="3" t="s">
        <v>4854</v>
      </c>
      <c r="AA634" s="3" t="s">
        <v>4854</v>
      </c>
      <c r="AB634" s="3" t="s">
        <v>4854</v>
      </c>
      <c r="AC634" s="3" t="s">
        <v>4854</v>
      </c>
      <c r="AD634" s="3" t="s">
        <v>4854</v>
      </c>
      <c r="AE634" s="99" t="s">
        <v>4854</v>
      </c>
      <c r="AF634" s="99" t="s">
        <v>4854</v>
      </c>
      <c r="AG634" s="99" t="s">
        <v>4854</v>
      </c>
      <c r="AH634" s="90">
        <v>1.9910000000000001</v>
      </c>
      <c r="AI634" s="99" t="s">
        <v>4854</v>
      </c>
      <c r="AJ634" s="99" t="s">
        <v>4854</v>
      </c>
      <c r="AK634" s="99" t="s">
        <v>4854</v>
      </c>
      <c r="AL634" s="99" t="s">
        <v>4854</v>
      </c>
      <c r="AM634" s="102" t="s">
        <v>4854</v>
      </c>
      <c r="AN634" s="102" t="s">
        <v>4854</v>
      </c>
      <c r="AO634" s="102" t="s">
        <v>4854</v>
      </c>
      <c r="AP634" s="21">
        <v>0.36420000000000002</v>
      </c>
      <c r="AQ634" s="102" t="s">
        <v>4854</v>
      </c>
      <c r="AR634" s="102" t="s">
        <v>4854</v>
      </c>
      <c r="AS634" s="102" t="s">
        <v>4854</v>
      </c>
      <c r="AT634" s="102" t="s">
        <v>4854</v>
      </c>
      <c r="AU634" s="102" t="s">
        <v>4854</v>
      </c>
      <c r="AV634" s="102" t="s">
        <v>4854</v>
      </c>
      <c r="AW634" s="102" t="s">
        <v>4854</v>
      </c>
      <c r="AX634" s="21">
        <v>0.1</v>
      </c>
      <c r="AY634" s="102" t="s">
        <v>4854</v>
      </c>
      <c r="AZ634" s="102" t="s">
        <v>4854</v>
      </c>
      <c r="BA634" s="102" t="s">
        <v>4854</v>
      </c>
      <c r="BB634" s="102" t="s">
        <v>4854</v>
      </c>
      <c r="BC634" s="3" t="s">
        <v>4854</v>
      </c>
      <c r="BD634" s="3" t="s">
        <v>4854</v>
      </c>
      <c r="BE634" s="3" t="s">
        <v>4854</v>
      </c>
      <c r="BF634" s="5">
        <v>1</v>
      </c>
      <c r="BG634" s="3" t="s">
        <v>4854</v>
      </c>
      <c r="BH634" s="3" t="s">
        <v>4854</v>
      </c>
      <c r="BI634" s="3" t="s">
        <v>4854</v>
      </c>
      <c r="BJ634" s="3" t="s">
        <v>4854</v>
      </c>
      <c r="BK634" s="99" t="s">
        <v>4854</v>
      </c>
      <c r="BL634" s="99" t="s">
        <v>4854</v>
      </c>
      <c r="BM634" s="99" t="s">
        <v>4854</v>
      </c>
      <c r="BN634" s="90">
        <v>6.8000000000000005E-2</v>
      </c>
      <c r="BO634" s="99" t="s">
        <v>4854</v>
      </c>
      <c r="BP634" s="99" t="s">
        <v>4854</v>
      </c>
      <c r="BQ634" s="99" t="s">
        <v>4854</v>
      </c>
      <c r="BR634" s="99" t="s">
        <v>4854</v>
      </c>
      <c r="BS634" s="5" t="s">
        <v>4857</v>
      </c>
    </row>
    <row r="635" spans="1:71" s="30" customFormat="1" ht="17.100000000000001" customHeight="1">
      <c r="A635" s="10">
        <v>624</v>
      </c>
      <c r="B635" s="10" t="s">
        <v>2494</v>
      </c>
      <c r="C635" s="4" t="s">
        <v>2686</v>
      </c>
      <c r="D635" s="4" t="s">
        <v>2495</v>
      </c>
      <c r="E635" s="7" t="s">
        <v>2496</v>
      </c>
      <c r="F635" s="10" t="s">
        <v>5183</v>
      </c>
      <c r="G635" s="4" t="s">
        <v>2497</v>
      </c>
      <c r="H635" s="7" t="s">
        <v>2498</v>
      </c>
      <c r="I635" s="4" t="s">
        <v>2499</v>
      </c>
      <c r="J635" s="10" t="s">
        <v>4653</v>
      </c>
      <c r="K635" s="4" t="s">
        <v>5712</v>
      </c>
      <c r="L635" s="4" t="s">
        <v>2500</v>
      </c>
      <c r="M635" s="10">
        <v>4</v>
      </c>
      <c r="N635" s="95">
        <v>1021.5006</v>
      </c>
      <c r="O635" s="37" t="str">
        <f>HYPERLINK("http://ms.phosphosite.org:5080/cgi-bin/plot-msms.cgi?MassType=1&amp;NumAxis=1&amp;Mod1=160&amp;Mod20=170&amp;Pep=CVGVGESDGSIWNPDGIDPKELEDFKLQHGSILGFPK&amp;Dta=/var/www/html/dta/S01/10558.12887.4.dta&amp;Global_Mod=CS57.0215", "12887")</f>
        <v>12887</v>
      </c>
      <c r="P635" s="38" t="s">
        <v>4854</v>
      </c>
      <c r="Q635" s="38" t="s">
        <v>4854</v>
      </c>
      <c r="R635" s="38" t="s">
        <v>4854</v>
      </c>
      <c r="S635" s="38" t="s">
        <v>4854</v>
      </c>
      <c r="T635" s="38" t="s">
        <v>4854</v>
      </c>
      <c r="U635" s="37" t="str">
        <f>HYPERLINK("http://ms.phosphosite.org:5080/cgi-bin/plot-msms.cgi?MassType=1&amp;NumAxis=1&amp;Mod1=160&amp;Mod20=170&amp;Pep=CVGVGESDGSIWNPDGIDPKELEDFKLQHGSILGFPK&amp;Dta=/var/www/html/dta/S01/10564.13612.4.dta&amp;Global_Mod=CS57.0215", "13612")</f>
        <v>13612</v>
      </c>
      <c r="V635" s="38" t="s">
        <v>4854</v>
      </c>
      <c r="W635" s="4" t="s">
        <v>4854</v>
      </c>
      <c r="X635" s="4" t="s">
        <v>4854</v>
      </c>
      <c r="Y635" s="4" t="s">
        <v>4854</v>
      </c>
      <c r="Z635" s="4" t="s">
        <v>4854</v>
      </c>
      <c r="AA635" s="4" t="s">
        <v>4854</v>
      </c>
      <c r="AB635" s="4" t="s">
        <v>4854</v>
      </c>
      <c r="AC635" s="4" t="s">
        <v>4854</v>
      </c>
      <c r="AD635" s="4" t="s">
        <v>4854</v>
      </c>
      <c r="AE635" s="91">
        <v>2.8290000000000002</v>
      </c>
      <c r="AF635" s="100" t="s">
        <v>4854</v>
      </c>
      <c r="AG635" s="100" t="s">
        <v>4854</v>
      </c>
      <c r="AH635" s="100" t="s">
        <v>4854</v>
      </c>
      <c r="AI635" s="100" t="s">
        <v>4854</v>
      </c>
      <c r="AJ635" s="100" t="s">
        <v>4854</v>
      </c>
      <c r="AK635" s="91">
        <v>2.2669999999999999</v>
      </c>
      <c r="AL635" s="100" t="s">
        <v>4854</v>
      </c>
      <c r="AM635" s="95">
        <v>1.6415</v>
      </c>
      <c r="AN635" s="103" t="s">
        <v>4854</v>
      </c>
      <c r="AO635" s="103" t="s">
        <v>4854</v>
      </c>
      <c r="AP635" s="103" t="s">
        <v>4854</v>
      </c>
      <c r="AQ635" s="103" t="s">
        <v>4854</v>
      </c>
      <c r="AR635" s="103" t="s">
        <v>4854</v>
      </c>
      <c r="AS635" s="95">
        <v>-0.20380000000000001</v>
      </c>
      <c r="AT635" s="103" t="s">
        <v>4854</v>
      </c>
      <c r="AU635" s="95">
        <v>0.106</v>
      </c>
      <c r="AV635" s="103" t="s">
        <v>4854</v>
      </c>
      <c r="AW635" s="103" t="s">
        <v>4854</v>
      </c>
      <c r="AX635" s="103" t="s">
        <v>4854</v>
      </c>
      <c r="AY635" s="103" t="s">
        <v>4854</v>
      </c>
      <c r="AZ635" s="103" t="s">
        <v>4854</v>
      </c>
      <c r="BA635" s="95">
        <v>0.05</v>
      </c>
      <c r="BB635" s="103" t="s">
        <v>4854</v>
      </c>
      <c r="BC635" s="10">
        <v>24</v>
      </c>
      <c r="BD635" s="4" t="s">
        <v>4854</v>
      </c>
      <c r="BE635" s="4" t="s">
        <v>4854</v>
      </c>
      <c r="BF635" s="4" t="s">
        <v>4854</v>
      </c>
      <c r="BG635" s="4" t="s">
        <v>4854</v>
      </c>
      <c r="BH635" s="4" t="s">
        <v>4854</v>
      </c>
      <c r="BI635" s="10">
        <v>27</v>
      </c>
      <c r="BJ635" s="4" t="s">
        <v>4854</v>
      </c>
      <c r="BK635" s="91">
        <v>0.91700000000000004</v>
      </c>
      <c r="BL635" s="100" t="s">
        <v>4854</v>
      </c>
      <c r="BM635" s="100" t="s">
        <v>4854</v>
      </c>
      <c r="BN635" s="100" t="s">
        <v>4854</v>
      </c>
      <c r="BO635" s="100" t="s">
        <v>4854</v>
      </c>
      <c r="BP635" s="100" t="s">
        <v>4854</v>
      </c>
      <c r="BQ635" s="91">
        <v>0.84699999999999998</v>
      </c>
      <c r="BR635" s="100" t="s">
        <v>4854</v>
      </c>
      <c r="BS635" s="10" t="s">
        <v>4857</v>
      </c>
    </row>
    <row r="636" spans="1:71" s="30" customFormat="1" ht="17.100000000000001" customHeight="1">
      <c r="A636" s="14">
        <v>625</v>
      </c>
      <c r="B636" s="5" t="s">
        <v>2501</v>
      </c>
      <c r="C636" s="3" t="s">
        <v>2686</v>
      </c>
      <c r="D636" s="3" t="s">
        <v>2495</v>
      </c>
      <c r="E636" s="6" t="s">
        <v>2496</v>
      </c>
      <c r="F636" s="5" t="s">
        <v>3582</v>
      </c>
      <c r="G636" s="3" t="s">
        <v>2497</v>
      </c>
      <c r="H636" s="6" t="s">
        <v>2498</v>
      </c>
      <c r="I636" s="3" t="s">
        <v>2499</v>
      </c>
      <c r="J636" s="5" t="s">
        <v>4653</v>
      </c>
      <c r="K636" s="3" t="s">
        <v>5713</v>
      </c>
      <c r="L636" s="3" t="s">
        <v>2502</v>
      </c>
      <c r="M636" s="5">
        <v>4</v>
      </c>
      <c r="N636" s="21">
        <v>1021.5006</v>
      </c>
      <c r="O636" s="35" t="s">
        <v>4854</v>
      </c>
      <c r="P636" s="36" t="str">
        <f>HYPERLINK("http://ms.phosphosite.org:5080/cgi-bin/plot-msms.cgi?MassType=1&amp;NumAxis=1&amp;Mod1=160&amp;Mod37=170&amp;Pep=CVGVGESDGSIWNPDGIDPKELEDFKLQHGSILGFPK&amp;Dta=/var/www/html/dta/S01/10559.12910.4.dta&amp;Global_Mod=CS57.0215", "12910")</f>
        <v>12910</v>
      </c>
      <c r="Q636" s="35" t="s">
        <v>4854</v>
      </c>
      <c r="R636" s="35" t="s">
        <v>4854</v>
      </c>
      <c r="S636" s="35" t="s">
        <v>4854</v>
      </c>
      <c r="T636" s="35" t="s">
        <v>4854</v>
      </c>
      <c r="U636" s="35" t="s">
        <v>4854</v>
      </c>
      <c r="V636" s="35" t="s">
        <v>4854</v>
      </c>
      <c r="W636" s="3" t="s">
        <v>4854</v>
      </c>
      <c r="X636" s="5">
        <v>12945</v>
      </c>
      <c r="Y636" s="3" t="s">
        <v>4854</v>
      </c>
      <c r="Z636" s="3" t="s">
        <v>4854</v>
      </c>
      <c r="AA636" s="3" t="s">
        <v>4854</v>
      </c>
      <c r="AB636" s="3" t="s">
        <v>4854</v>
      </c>
      <c r="AC636" s="3" t="s">
        <v>4854</v>
      </c>
      <c r="AD636" s="3" t="s">
        <v>4854</v>
      </c>
      <c r="AE636" s="99" t="s">
        <v>4854</v>
      </c>
      <c r="AF636" s="90">
        <v>2.3519999999999999</v>
      </c>
      <c r="AG636" s="99" t="s">
        <v>4854</v>
      </c>
      <c r="AH636" s="99" t="s">
        <v>4854</v>
      </c>
      <c r="AI636" s="99" t="s">
        <v>4854</v>
      </c>
      <c r="AJ636" s="99" t="s">
        <v>4854</v>
      </c>
      <c r="AK636" s="99" t="s">
        <v>4854</v>
      </c>
      <c r="AL636" s="99" t="s">
        <v>4854</v>
      </c>
      <c r="AM636" s="102" t="s">
        <v>4854</v>
      </c>
      <c r="AN636" s="21">
        <v>0.9728</v>
      </c>
      <c r="AO636" s="102" t="s">
        <v>4854</v>
      </c>
      <c r="AP636" s="102" t="s">
        <v>4854</v>
      </c>
      <c r="AQ636" s="102" t="s">
        <v>4854</v>
      </c>
      <c r="AR636" s="102" t="s">
        <v>4854</v>
      </c>
      <c r="AS636" s="102" t="s">
        <v>4854</v>
      </c>
      <c r="AT636" s="102" t="s">
        <v>4854</v>
      </c>
      <c r="AU636" s="102" t="s">
        <v>4854</v>
      </c>
      <c r="AV636" s="21">
        <v>0.28899999999999998</v>
      </c>
      <c r="AW636" s="102" t="s">
        <v>4854</v>
      </c>
      <c r="AX636" s="102" t="s">
        <v>4854</v>
      </c>
      <c r="AY636" s="102" t="s">
        <v>4854</v>
      </c>
      <c r="AZ636" s="102" t="s">
        <v>4854</v>
      </c>
      <c r="BA636" s="102" t="s">
        <v>4854</v>
      </c>
      <c r="BB636" s="102" t="s">
        <v>4854</v>
      </c>
      <c r="BC636" s="3" t="s">
        <v>4854</v>
      </c>
      <c r="BD636" s="5">
        <v>9</v>
      </c>
      <c r="BE636" s="3" t="s">
        <v>4854</v>
      </c>
      <c r="BF636" s="3" t="s">
        <v>4854</v>
      </c>
      <c r="BG636" s="3" t="s">
        <v>4854</v>
      </c>
      <c r="BH636" s="3" t="s">
        <v>4854</v>
      </c>
      <c r="BI636" s="3" t="s">
        <v>4854</v>
      </c>
      <c r="BJ636" s="3" t="s">
        <v>4854</v>
      </c>
      <c r="BK636" s="99" t="s">
        <v>4854</v>
      </c>
      <c r="BL636" s="90">
        <v>0.999</v>
      </c>
      <c r="BM636" s="99" t="s">
        <v>4854</v>
      </c>
      <c r="BN636" s="99" t="s">
        <v>4854</v>
      </c>
      <c r="BO636" s="99" t="s">
        <v>4854</v>
      </c>
      <c r="BP636" s="99" t="s">
        <v>4854</v>
      </c>
      <c r="BQ636" s="99" t="s">
        <v>4854</v>
      </c>
      <c r="BR636" s="99" t="s">
        <v>4854</v>
      </c>
      <c r="BS636" s="5" t="s">
        <v>4857</v>
      </c>
    </row>
    <row r="637" spans="1:71" s="30" customFormat="1" ht="17.100000000000001" customHeight="1">
      <c r="A637" s="10">
        <v>626</v>
      </c>
      <c r="B637" s="10" t="s">
        <v>2503</v>
      </c>
      <c r="C637" s="4" t="s">
        <v>2686</v>
      </c>
      <c r="D637" s="4" t="s">
        <v>2495</v>
      </c>
      <c r="E637" s="7" t="s">
        <v>2496</v>
      </c>
      <c r="F637" s="10" t="s">
        <v>5188</v>
      </c>
      <c r="G637" s="4" t="s">
        <v>2497</v>
      </c>
      <c r="H637" s="7" t="s">
        <v>2498</v>
      </c>
      <c r="I637" s="4" t="s">
        <v>2499</v>
      </c>
      <c r="J637" s="10" t="s">
        <v>4653</v>
      </c>
      <c r="K637" s="4" t="s">
        <v>5714</v>
      </c>
      <c r="L637" s="4" t="s">
        <v>2504</v>
      </c>
      <c r="M637" s="10">
        <v>2</v>
      </c>
      <c r="N637" s="95">
        <v>499.76889999999997</v>
      </c>
      <c r="O637" s="37" t="str">
        <f>HYPERLINK("http://ms.phosphosite.org:5080/cgi-bin/plot-msms.cgi?MassType=1&amp;NumAxis=1&amp;Mod4=170&amp;Pep=LTFKYER&amp;Dta=/var/www/html/dta/S01/10558.6054.2.dta&amp;Global_Mod=CS57.0215", "6054")</f>
        <v>6054</v>
      </c>
      <c r="P637" s="37" t="str">
        <f>HYPERLINK("http://ms.phosphosite.org:5080/cgi-bin/plot-msms.cgi?MassType=1&amp;NumAxis=1&amp;Mod4=170&amp;Pep=LTFKYER&amp;Dta=/var/www/html/dta/S01/10559.5899.2.dta&amp;Global_Mod=CS57.0215", "5899")</f>
        <v>5899</v>
      </c>
      <c r="Q637" s="37" t="str">
        <f>HYPERLINK("http://ms.phosphosite.org:5080/cgi-bin/plot-msms.cgi?MassType=1&amp;NumAxis=1&amp;Mod4=170&amp;Pep=LTFKYER&amp;Dta=/var/www/html/dta/S01/10560.5961.2.dta&amp;Global_Mod=CS57.0215", "5961")</f>
        <v>5961</v>
      </c>
      <c r="R637" s="37" t="str">
        <f>HYPERLINK("http://ms.phosphosite.org:5080/cgi-bin/plot-msms.cgi?MassType=1&amp;NumAxis=1&amp;Mod4=170&amp;Pep=LTFKYER&amp;Dta=/var/www/html/dta/S01/10561.5932.2.dta&amp;Global_Mod=CS57.0215", "5932")</f>
        <v>5932</v>
      </c>
      <c r="S637" s="37" t="str">
        <f>HYPERLINK("http://ms.phosphosite.org:5080/cgi-bin/plot-msms.cgi?MassType=1&amp;NumAxis=1&amp;Mod4=170&amp;Pep=LTFKYER&amp;Dta=/var/www/html/dta/S01/10562.6019.2.dta&amp;Global_Mod=CS57.0215", "6019")</f>
        <v>6019</v>
      </c>
      <c r="T637" s="37" t="str">
        <f>HYPERLINK("http://ms.phosphosite.org:5080/cgi-bin/plot-msms.cgi?MassType=1&amp;NumAxis=1&amp;Mod4=170&amp;Pep=LTFKYER&amp;Dta=/var/www/html/dta/S01/10563.5981.2.dta&amp;Global_Mod=CS57.0215", "5981")</f>
        <v>5981</v>
      </c>
      <c r="U637" s="37" t="str">
        <f>HYPERLINK("http://ms.phosphosite.org:5080/cgi-bin/plot-msms.cgi?MassType=1&amp;NumAxis=1&amp;Mod4=170&amp;Pep=LTFKYER&amp;Dta=/var/www/html/dta/S01/10564.6376.2.dta&amp;Global_Mod=CS57.0215", "6376")</f>
        <v>6376</v>
      </c>
      <c r="V637" s="37" t="str">
        <f>HYPERLINK("http://ms.phosphosite.org:5080/cgi-bin/plot-msms.cgi?MassType=1&amp;NumAxis=1&amp;Mod4=170&amp;Pep=LTFKYER&amp;Dta=/var/www/html/dta/S01/10565.6472.2.dta&amp;Global_Mod=CS57.0215", "6472")</f>
        <v>6472</v>
      </c>
      <c r="W637" s="10">
        <v>6020</v>
      </c>
      <c r="X637" s="10">
        <v>5931</v>
      </c>
      <c r="Y637" s="10">
        <v>5915</v>
      </c>
      <c r="Z637" s="10">
        <v>5964</v>
      </c>
      <c r="AA637" s="10">
        <v>6051</v>
      </c>
      <c r="AB637" s="10">
        <v>6013</v>
      </c>
      <c r="AC637" s="10">
        <v>6408</v>
      </c>
      <c r="AD637" s="10">
        <v>6493</v>
      </c>
      <c r="AE637" s="91">
        <v>2.1459999999999999</v>
      </c>
      <c r="AF637" s="91">
        <v>2.0710000000000002</v>
      </c>
      <c r="AG637" s="91">
        <v>2.3980000000000001</v>
      </c>
      <c r="AH637" s="91">
        <v>2.2389999999999999</v>
      </c>
      <c r="AI637" s="91">
        <v>2.0270000000000001</v>
      </c>
      <c r="AJ637" s="91">
        <v>2.2669999999999999</v>
      </c>
      <c r="AK637" s="91">
        <v>2.1880000000000002</v>
      </c>
      <c r="AL637" s="91">
        <v>2.169</v>
      </c>
      <c r="AM637" s="95">
        <v>5.9200000000000003E-2</v>
      </c>
      <c r="AN637" s="95">
        <v>7.7200000000000005E-2</v>
      </c>
      <c r="AO637" s="95">
        <v>0.2064</v>
      </c>
      <c r="AP637" s="95">
        <v>0.2455</v>
      </c>
      <c r="AQ637" s="95">
        <v>0.29559999999999997</v>
      </c>
      <c r="AR637" s="95">
        <v>0.12130000000000001</v>
      </c>
      <c r="AS637" s="95">
        <v>-0.16009999999999999</v>
      </c>
      <c r="AT637" s="95">
        <v>-0.46760000000000002</v>
      </c>
      <c r="AU637" s="95">
        <v>4.2999999999999997E-2</v>
      </c>
      <c r="AV637" s="95">
        <v>0.17899999999999999</v>
      </c>
      <c r="AW637" s="95">
        <v>5.8000000000000003E-2</v>
      </c>
      <c r="AX637" s="95">
        <v>7.0000000000000007E-2</v>
      </c>
      <c r="AY637" s="95">
        <v>5.6000000000000001E-2</v>
      </c>
      <c r="AZ637" s="95">
        <v>0.18</v>
      </c>
      <c r="BA637" s="95">
        <v>6.5000000000000002E-2</v>
      </c>
      <c r="BB637" s="95">
        <v>0.122</v>
      </c>
      <c r="BC637" s="10">
        <v>5</v>
      </c>
      <c r="BD637" s="10">
        <v>2</v>
      </c>
      <c r="BE637" s="10">
        <v>2</v>
      </c>
      <c r="BF637" s="10">
        <v>1</v>
      </c>
      <c r="BG637" s="10">
        <v>1</v>
      </c>
      <c r="BH637" s="10">
        <v>1</v>
      </c>
      <c r="BI637" s="10">
        <v>1</v>
      </c>
      <c r="BJ637" s="10">
        <v>1</v>
      </c>
      <c r="BK637" s="91">
        <v>0.97399999999999998</v>
      </c>
      <c r="BL637" s="91">
        <v>0.995</v>
      </c>
      <c r="BM637" s="91">
        <v>0.99099999999999999</v>
      </c>
      <c r="BN637" s="91">
        <v>0.99099999999999999</v>
      </c>
      <c r="BO637" s="91">
        <v>0.98099999999999998</v>
      </c>
      <c r="BP637" s="91">
        <v>0.998</v>
      </c>
      <c r="BQ637" s="91">
        <v>0.98899999999999999</v>
      </c>
      <c r="BR637" s="91">
        <v>0.99399999999999999</v>
      </c>
      <c r="BS637" s="10" t="s">
        <v>4857</v>
      </c>
    </row>
    <row r="638" spans="1:71" s="30" customFormat="1" ht="17.100000000000001" customHeight="1">
      <c r="A638" s="10">
        <v>627</v>
      </c>
      <c r="B638" s="10" t="s">
        <v>2505</v>
      </c>
      <c r="C638" s="4" t="s">
        <v>2686</v>
      </c>
      <c r="D638" s="4" t="s">
        <v>2495</v>
      </c>
      <c r="E638" s="7" t="s">
        <v>2496</v>
      </c>
      <c r="F638" s="10" t="s">
        <v>5188</v>
      </c>
      <c r="G638" s="4" t="s">
        <v>2497</v>
      </c>
      <c r="H638" s="7" t="s">
        <v>2498</v>
      </c>
      <c r="I638" s="4" t="s">
        <v>2499</v>
      </c>
      <c r="J638" s="10" t="s">
        <v>4653</v>
      </c>
      <c r="K638" s="4" t="s">
        <v>5714</v>
      </c>
      <c r="L638" s="4" t="s">
        <v>2504</v>
      </c>
      <c r="M638" s="10">
        <v>2</v>
      </c>
      <c r="N638" s="95">
        <v>499.76889999999997</v>
      </c>
      <c r="O638" s="37" t="str">
        <f>HYPERLINK("http://ms.phosphosite.org:5080/cgi-bin/plot-msms.cgi?MassType=1&amp;NumAxis=1&amp;Mod4=170&amp;Pep=LTFKYER&amp;Dta=/var/www/html/dta/S01/10558.5966.2.dta&amp;Global_Mod=CS57.0215", "5966")</f>
        <v>5966</v>
      </c>
      <c r="P638" s="38" t="s">
        <v>4854</v>
      </c>
      <c r="Q638" s="37" t="str">
        <f>HYPERLINK("http://ms.phosphosite.org:5080/cgi-bin/plot-msms.cgi?MassType=1&amp;NumAxis=1&amp;Mod4=170&amp;Pep=LTFKYER&amp;Dta=/var/www/html/dta/S01/10560.5873.2.dta&amp;Global_Mod=CS57.0215", "5873")</f>
        <v>5873</v>
      </c>
      <c r="R638" s="38" t="s">
        <v>4854</v>
      </c>
      <c r="S638" s="38" t="s">
        <v>4854</v>
      </c>
      <c r="T638" s="38" t="s">
        <v>4854</v>
      </c>
      <c r="U638" s="38" t="s">
        <v>4854</v>
      </c>
      <c r="V638" s="38" t="s">
        <v>4854</v>
      </c>
      <c r="W638" s="4" t="s">
        <v>4854</v>
      </c>
      <c r="X638" s="4" t="s">
        <v>4854</v>
      </c>
      <c r="Y638" s="10">
        <v>5915</v>
      </c>
      <c r="Z638" s="4" t="s">
        <v>4854</v>
      </c>
      <c r="AA638" s="4" t="s">
        <v>4854</v>
      </c>
      <c r="AB638" s="4" t="s">
        <v>4854</v>
      </c>
      <c r="AC638" s="4" t="s">
        <v>4854</v>
      </c>
      <c r="AD638" s="4" t="s">
        <v>4854</v>
      </c>
      <c r="AE638" s="91">
        <v>1.782</v>
      </c>
      <c r="AF638" s="100" t="s">
        <v>4854</v>
      </c>
      <c r="AG638" s="91">
        <v>2.2360000000000002</v>
      </c>
      <c r="AH638" s="100" t="s">
        <v>4854</v>
      </c>
      <c r="AI638" s="100" t="s">
        <v>4854</v>
      </c>
      <c r="AJ638" s="100" t="s">
        <v>4854</v>
      </c>
      <c r="AK638" s="100" t="s">
        <v>4854</v>
      </c>
      <c r="AL638" s="100" t="s">
        <v>4854</v>
      </c>
      <c r="AM638" s="95">
        <v>6.5199999999999994E-2</v>
      </c>
      <c r="AN638" s="103" t="s">
        <v>4854</v>
      </c>
      <c r="AO638" s="95">
        <v>0.2044</v>
      </c>
      <c r="AP638" s="103" t="s">
        <v>4854</v>
      </c>
      <c r="AQ638" s="103" t="s">
        <v>4854</v>
      </c>
      <c r="AR638" s="103" t="s">
        <v>4854</v>
      </c>
      <c r="AS638" s="103" t="s">
        <v>4854</v>
      </c>
      <c r="AT638" s="103" t="s">
        <v>4854</v>
      </c>
      <c r="AU638" s="95">
        <v>4.2999999999999997E-2</v>
      </c>
      <c r="AV638" s="103" t="s">
        <v>4854</v>
      </c>
      <c r="AW638" s="95">
        <v>0.14199999999999999</v>
      </c>
      <c r="AX638" s="103" t="s">
        <v>4854</v>
      </c>
      <c r="AY638" s="103" t="s">
        <v>4854</v>
      </c>
      <c r="AZ638" s="103" t="s">
        <v>4854</v>
      </c>
      <c r="BA638" s="103" t="s">
        <v>4854</v>
      </c>
      <c r="BB638" s="103" t="s">
        <v>4854</v>
      </c>
      <c r="BC638" s="10">
        <v>2</v>
      </c>
      <c r="BD638" s="4" t="s">
        <v>4854</v>
      </c>
      <c r="BE638" s="10">
        <v>1</v>
      </c>
      <c r="BF638" s="4" t="s">
        <v>4854</v>
      </c>
      <c r="BG638" s="4" t="s">
        <v>4854</v>
      </c>
      <c r="BH638" s="4" t="s">
        <v>4854</v>
      </c>
      <c r="BI638" s="4" t="s">
        <v>4854</v>
      </c>
      <c r="BJ638" s="4" t="s">
        <v>4854</v>
      </c>
      <c r="BK638" s="91">
        <v>0.94399999999999995</v>
      </c>
      <c r="BL638" s="100" t="s">
        <v>4854</v>
      </c>
      <c r="BM638" s="91">
        <v>0.996</v>
      </c>
      <c r="BN638" s="100" t="s">
        <v>4854</v>
      </c>
      <c r="BO638" s="100" t="s">
        <v>4854</v>
      </c>
      <c r="BP638" s="100" t="s">
        <v>4854</v>
      </c>
      <c r="BQ638" s="100" t="s">
        <v>4854</v>
      </c>
      <c r="BR638" s="100" t="s">
        <v>4854</v>
      </c>
      <c r="BS638" s="10" t="s">
        <v>4857</v>
      </c>
    </row>
    <row r="639" spans="1:71" s="30" customFormat="1" ht="17.100000000000001" customHeight="1">
      <c r="A639" s="14">
        <v>628</v>
      </c>
      <c r="B639" s="5" t="s">
        <v>2506</v>
      </c>
      <c r="C639" s="3" t="s">
        <v>2686</v>
      </c>
      <c r="D639" s="3" t="s">
        <v>2495</v>
      </c>
      <c r="E639" s="6" t="s">
        <v>2496</v>
      </c>
      <c r="F639" s="5" t="s">
        <v>5043</v>
      </c>
      <c r="G639" s="3" t="s">
        <v>2497</v>
      </c>
      <c r="H639" s="6" t="s">
        <v>2498</v>
      </c>
      <c r="I639" s="3" t="s">
        <v>2499</v>
      </c>
      <c r="J639" s="5" t="s">
        <v>4653</v>
      </c>
      <c r="K639" s="3" t="s">
        <v>5715</v>
      </c>
      <c r="L639" s="3" t="s">
        <v>2507</v>
      </c>
      <c r="M639" s="5">
        <v>3</v>
      </c>
      <c r="N639" s="21">
        <v>741.36339999999996</v>
      </c>
      <c r="O639" s="36" t="str">
        <f>HYPERLINK("http://ms.phosphosite.org:5080/cgi-bin/plot-msms.cgi?MassType=1&amp;NumAxis=1&amp;Mod7=170&amp;Mod18=147&amp;Pep=ISGASEKDIVHSGLAYTMER&amp;Dta=/var/www/html/dta/S01/10558.7989.3.dta&amp;Global_Mod=CS57.0215", "7989")</f>
        <v>7989</v>
      </c>
      <c r="P639" s="36" t="str">
        <f>HYPERLINK("http://ms.phosphosite.org:5080/cgi-bin/plot-msms.cgi?MassType=1&amp;NumAxis=1&amp;Mod7=170&amp;Mod18=147&amp;Pep=ISGASEKDIVHSGLAYTMER&amp;Dta=/var/www/html/dta/S01/10559.7967.3.dta&amp;Global_Mod=CS57.0215", "7967")</f>
        <v>7967</v>
      </c>
      <c r="Q639" s="36" t="str">
        <f>HYPERLINK("http://ms.phosphosite.org:5080/cgi-bin/plot-msms.cgi?MassType=1&amp;NumAxis=1&amp;Mod7=170&amp;Mod18=147&amp;Pep=ISGASEKDIVHSGLAYTMER&amp;Dta=/var/www/html/dta/S01/10560.7943.3.dta&amp;Global_Mod=CS57.0215", "7943")</f>
        <v>7943</v>
      </c>
      <c r="R639" s="36" t="str">
        <f>HYPERLINK("http://ms.phosphosite.org:5080/cgi-bin/plot-msms.cgi?MassType=1&amp;NumAxis=1&amp;Mod7=170&amp;Mod18=147&amp;Pep=ISGASEKDIVHSGLAYTMER&amp;Dta=/var/www/html/dta/S01/10561.8068.3.dta&amp;Global_Mod=CS57.0215", "8068")</f>
        <v>8068</v>
      </c>
      <c r="S639" s="36" t="str">
        <f>HYPERLINK("http://ms.phosphosite.org:5080/cgi-bin/plot-msms.cgi?MassType=1&amp;NumAxis=1&amp;Mod7=170&amp;Mod18=147&amp;Pep=ISGASEKDIVHSGLAYTMER&amp;Dta=/var/www/html/dta/S01/10562.8121.3.dta&amp;Global_Mod=CS57.0215", "8121")</f>
        <v>8121</v>
      </c>
      <c r="T639" s="36" t="str">
        <f>HYPERLINK("http://ms.phosphosite.org:5080/cgi-bin/plot-msms.cgi?MassType=1&amp;NumAxis=1&amp;Mod7=170&amp;Mod18=147&amp;Pep=ISGASEKDIVHSGLAYTMER&amp;Dta=/var/www/html/dta/S01/10563.8074.3.dta&amp;Global_Mod=CS57.0215", "8074")</f>
        <v>8074</v>
      </c>
      <c r="U639" s="36" t="str">
        <f>HYPERLINK("http://ms.phosphosite.org:5080/cgi-bin/plot-msms.cgi?MassType=1&amp;NumAxis=1&amp;Mod7=170&amp;Mod18=147&amp;Pep=ISGASEKDIVHSGLAYTMER&amp;Dta=/var/www/html/dta/S01/10564.8482.3.dta&amp;Global_Mod=CS57.0215", "8482")</f>
        <v>8482</v>
      </c>
      <c r="V639" s="36" t="str">
        <f>HYPERLINK("http://ms.phosphosite.org:5080/cgi-bin/plot-msms.cgi?MassType=1&amp;NumAxis=1&amp;Mod7=170&amp;Mod18=147&amp;Pep=ISGASEKDIVHSGLAYTMER&amp;Dta=/var/www/html/dta/S01/10565.8502.3.dta&amp;Global_Mod=CS57.0215", "8502")</f>
        <v>8502</v>
      </c>
      <c r="W639" s="5">
        <v>8018</v>
      </c>
      <c r="X639" s="5">
        <v>8010</v>
      </c>
      <c r="Y639" s="5">
        <v>7972</v>
      </c>
      <c r="Z639" s="5">
        <v>8021</v>
      </c>
      <c r="AA639" s="5">
        <v>8149</v>
      </c>
      <c r="AB639" s="5">
        <v>8081</v>
      </c>
      <c r="AC639" s="5">
        <v>8531</v>
      </c>
      <c r="AD639" s="5">
        <v>8517</v>
      </c>
      <c r="AE639" s="90">
        <v>4.923</v>
      </c>
      <c r="AF639" s="90">
        <v>4.7229999999999999</v>
      </c>
      <c r="AG639" s="90">
        <v>4.8630000000000004</v>
      </c>
      <c r="AH639" s="90">
        <v>4.7380000000000004</v>
      </c>
      <c r="AI639" s="90">
        <v>4.327</v>
      </c>
      <c r="AJ639" s="90">
        <v>4.6719999999999997</v>
      </c>
      <c r="AK639" s="90">
        <v>4.734</v>
      </c>
      <c r="AL639" s="90">
        <v>4.7290000000000001</v>
      </c>
      <c r="AM639" s="21">
        <v>0.64249999999999996</v>
      </c>
      <c r="AN639" s="21">
        <v>0.55559999999999998</v>
      </c>
      <c r="AO639" s="21">
        <v>0.58220000000000005</v>
      </c>
      <c r="AP639" s="21">
        <v>0.73880000000000001</v>
      </c>
      <c r="AQ639" s="21">
        <v>0.75229999999999997</v>
      </c>
      <c r="AR639" s="21">
        <v>0.78520000000000001</v>
      </c>
      <c r="AS639" s="21">
        <v>0.68569999999999998</v>
      </c>
      <c r="AT639" s="21">
        <v>0.38600000000000001</v>
      </c>
      <c r="AU639" s="21">
        <v>0.46200000000000002</v>
      </c>
      <c r="AV639" s="21">
        <v>0.36499999999999999</v>
      </c>
      <c r="AW639" s="21">
        <v>0.39400000000000002</v>
      </c>
      <c r="AX639" s="21">
        <v>0.42799999999999999</v>
      </c>
      <c r="AY639" s="21">
        <v>0.439</v>
      </c>
      <c r="AZ639" s="21">
        <v>0.42099999999999999</v>
      </c>
      <c r="BA639" s="21">
        <v>0.39400000000000002</v>
      </c>
      <c r="BB639" s="21">
        <v>0.47799999999999998</v>
      </c>
      <c r="BC639" s="5">
        <v>1</v>
      </c>
      <c r="BD639" s="5">
        <v>1</v>
      </c>
      <c r="BE639" s="5">
        <v>1</v>
      </c>
      <c r="BF639" s="5">
        <v>1</v>
      </c>
      <c r="BG639" s="5">
        <v>1</v>
      </c>
      <c r="BH639" s="5">
        <v>1</v>
      </c>
      <c r="BI639" s="5">
        <v>1</v>
      </c>
      <c r="BJ639" s="5">
        <v>1</v>
      </c>
      <c r="BK639" s="90">
        <v>1</v>
      </c>
      <c r="BL639" s="90">
        <v>1</v>
      </c>
      <c r="BM639" s="90">
        <v>1</v>
      </c>
      <c r="BN639" s="90">
        <v>1</v>
      </c>
      <c r="BO639" s="90">
        <v>1</v>
      </c>
      <c r="BP639" s="90">
        <v>1</v>
      </c>
      <c r="BQ639" s="90">
        <v>1</v>
      </c>
      <c r="BR639" s="90">
        <v>1</v>
      </c>
      <c r="BS639" s="5" t="s">
        <v>4857</v>
      </c>
    </row>
    <row r="640" spans="1:71" s="30" customFormat="1" ht="17.100000000000001" customHeight="1">
      <c r="A640" s="14">
        <v>629</v>
      </c>
      <c r="B640" s="5" t="s">
        <v>2508</v>
      </c>
      <c r="C640" s="3" t="s">
        <v>2686</v>
      </c>
      <c r="D640" s="3" t="s">
        <v>2495</v>
      </c>
      <c r="E640" s="6" t="s">
        <v>2496</v>
      </c>
      <c r="F640" s="5" t="s">
        <v>5043</v>
      </c>
      <c r="G640" s="3" t="s">
        <v>2497</v>
      </c>
      <c r="H640" s="6" t="s">
        <v>2498</v>
      </c>
      <c r="I640" s="3" t="s">
        <v>2499</v>
      </c>
      <c r="J640" s="5" t="s">
        <v>4653</v>
      </c>
      <c r="K640" s="3" t="s">
        <v>5715</v>
      </c>
      <c r="L640" s="3" t="s">
        <v>2507</v>
      </c>
      <c r="M640" s="5">
        <v>3</v>
      </c>
      <c r="N640" s="21">
        <v>741.36339999999996</v>
      </c>
      <c r="O640" s="36" t="str">
        <f>HYPERLINK("http://ms.phosphosite.org:5080/cgi-bin/plot-msms.cgi?MassType=1&amp;NumAxis=1&amp;Mod7=170&amp;Mod18=147&amp;Pep=ISGASEKDIVHSGLAYTMER&amp;Dta=/var/www/html/dta/S01/10558.8077.3.dta&amp;Global_Mod=CS57.0215", "8077")</f>
        <v>8077</v>
      </c>
      <c r="P640" s="36" t="str">
        <f>HYPERLINK("http://ms.phosphosite.org:5080/cgi-bin/plot-msms.cgi?MassType=1&amp;NumAxis=1&amp;Mod7=170&amp;Mod18=147&amp;Pep=ISGASEKDIVHSGLAYTMER&amp;Dta=/var/www/html/dta/S01/10559.8058.3.dta&amp;Global_Mod=CS57.0215", "8058")</f>
        <v>8058</v>
      </c>
      <c r="Q640" s="36" t="str">
        <f>HYPERLINK("http://ms.phosphosite.org:5080/cgi-bin/plot-msms.cgi?MassType=1&amp;NumAxis=1&amp;Mod7=170&amp;Mod18=147&amp;Pep=ISGASEKDIVHSGLAYTMER&amp;Dta=/var/www/html/dta/S01/10560.8043.3.dta&amp;Global_Mod=CS57.0215", "8043")</f>
        <v>8043</v>
      </c>
      <c r="R640" s="36" t="str">
        <f>HYPERLINK("http://ms.phosphosite.org:5080/cgi-bin/plot-msms.cgi?MassType=1&amp;NumAxis=1&amp;Mod7=170&amp;Mod18=147&amp;Pep=ISGASEKDIVHSGLAYTMER&amp;Dta=/var/www/html/dta/S01/10561.7975.3.dta&amp;Global_Mod=CS57.0215", "7975")</f>
        <v>7975</v>
      </c>
      <c r="S640" s="35" t="s">
        <v>4854</v>
      </c>
      <c r="T640" s="35" t="s">
        <v>4854</v>
      </c>
      <c r="U640" s="35" t="s">
        <v>4854</v>
      </c>
      <c r="V640" s="35" t="s">
        <v>4854</v>
      </c>
      <c r="W640" s="5">
        <v>8018</v>
      </c>
      <c r="X640" s="5">
        <v>8010</v>
      </c>
      <c r="Y640" s="5">
        <v>7972</v>
      </c>
      <c r="Z640" s="5">
        <v>8021</v>
      </c>
      <c r="AA640" s="3" t="s">
        <v>4854</v>
      </c>
      <c r="AB640" s="3" t="s">
        <v>4854</v>
      </c>
      <c r="AC640" s="3" t="s">
        <v>4854</v>
      </c>
      <c r="AD640" s="3" t="s">
        <v>4854</v>
      </c>
      <c r="AE640" s="90">
        <v>4.2119999999999997</v>
      </c>
      <c r="AF640" s="90">
        <v>4.6459999999999999</v>
      </c>
      <c r="AG640" s="90">
        <v>2.6629999999999998</v>
      </c>
      <c r="AH640" s="90">
        <v>4.6669999999999998</v>
      </c>
      <c r="AI640" s="99" t="s">
        <v>4854</v>
      </c>
      <c r="AJ640" s="99" t="s">
        <v>4854</v>
      </c>
      <c r="AK640" s="99" t="s">
        <v>4854</v>
      </c>
      <c r="AL640" s="99" t="s">
        <v>4854</v>
      </c>
      <c r="AM640" s="21">
        <v>0.624</v>
      </c>
      <c r="AN640" s="21">
        <v>0.56689999999999996</v>
      </c>
      <c r="AO640" s="21">
        <v>0.57230000000000003</v>
      </c>
      <c r="AP640" s="21">
        <v>0.74199999999999999</v>
      </c>
      <c r="AQ640" s="102" t="s">
        <v>4854</v>
      </c>
      <c r="AR640" s="102" t="s">
        <v>4854</v>
      </c>
      <c r="AS640" s="102" t="s">
        <v>4854</v>
      </c>
      <c r="AT640" s="102" t="s">
        <v>4854</v>
      </c>
      <c r="AU640" s="21">
        <v>0.39900000000000002</v>
      </c>
      <c r="AV640" s="21">
        <v>0.38400000000000001</v>
      </c>
      <c r="AW640" s="21">
        <v>0.29899999999999999</v>
      </c>
      <c r="AX640" s="21">
        <v>0.436</v>
      </c>
      <c r="AY640" s="102" t="s">
        <v>4854</v>
      </c>
      <c r="AZ640" s="102" t="s">
        <v>4854</v>
      </c>
      <c r="BA640" s="102" t="s">
        <v>4854</v>
      </c>
      <c r="BB640" s="102" t="s">
        <v>4854</v>
      </c>
      <c r="BC640" s="5">
        <v>1</v>
      </c>
      <c r="BD640" s="5">
        <v>1</v>
      </c>
      <c r="BE640" s="5">
        <v>1</v>
      </c>
      <c r="BF640" s="5">
        <v>1</v>
      </c>
      <c r="BG640" s="3" t="s">
        <v>4854</v>
      </c>
      <c r="BH640" s="3" t="s">
        <v>4854</v>
      </c>
      <c r="BI640" s="3" t="s">
        <v>4854</v>
      </c>
      <c r="BJ640" s="3" t="s">
        <v>4854</v>
      </c>
      <c r="BK640" s="90">
        <v>1</v>
      </c>
      <c r="BL640" s="90">
        <v>1</v>
      </c>
      <c r="BM640" s="90">
        <v>0.999</v>
      </c>
      <c r="BN640" s="90">
        <v>1</v>
      </c>
      <c r="BO640" s="99" t="s">
        <v>4854</v>
      </c>
      <c r="BP640" s="99" t="s">
        <v>4854</v>
      </c>
      <c r="BQ640" s="99" t="s">
        <v>4854</v>
      </c>
      <c r="BR640" s="99" t="s">
        <v>4854</v>
      </c>
      <c r="BS640" s="5" t="s">
        <v>4857</v>
      </c>
    </row>
    <row r="641" spans="1:71" s="30" customFormat="1" ht="17.100000000000001" customHeight="1">
      <c r="A641" s="10">
        <v>630</v>
      </c>
      <c r="B641" s="10" t="s">
        <v>2509</v>
      </c>
      <c r="C641" s="4" t="s">
        <v>2686</v>
      </c>
      <c r="D641" s="4" t="s">
        <v>2495</v>
      </c>
      <c r="E641" s="7" t="s">
        <v>2496</v>
      </c>
      <c r="F641" s="10" t="s">
        <v>5090</v>
      </c>
      <c r="G641" s="4" t="s">
        <v>2497</v>
      </c>
      <c r="H641" s="7" t="s">
        <v>2498</v>
      </c>
      <c r="I641" s="4" t="s">
        <v>2499</v>
      </c>
      <c r="J641" s="10" t="s">
        <v>4653</v>
      </c>
      <c r="K641" s="4" t="s">
        <v>5716</v>
      </c>
      <c r="L641" s="4" t="s">
        <v>2510</v>
      </c>
      <c r="M641" s="10">
        <v>2</v>
      </c>
      <c r="N641" s="95">
        <v>718.88189999999997</v>
      </c>
      <c r="O641" s="37" t="str">
        <f>HYPERLINK("http://ms.phosphosite.org:5080/cgi-bin/plot-msms.cgi?MassType=1&amp;NumAxis=1&amp;Mod4=170&amp;Pep=TAMKYNLGLDLR&amp;Dta=/var/www/html/dta/S01/10558.9748.2.dta&amp;Global_Mod=CS57.0215", "9748")</f>
        <v>9748</v>
      </c>
      <c r="P641" s="37" t="str">
        <f>HYPERLINK("http://ms.phosphosite.org:5080/cgi-bin/plot-msms.cgi?MassType=1&amp;NumAxis=1&amp;Mod4=170&amp;Pep=TAMKYNLGLDLR&amp;Dta=/var/www/html/dta/S01/10559.9742.2.dta&amp;Global_Mod=CS57.0215", "9742")</f>
        <v>9742</v>
      </c>
      <c r="Q641" s="37" t="str">
        <f>HYPERLINK("http://ms.phosphosite.org:5080/cgi-bin/plot-msms.cgi?MassType=1&amp;NumAxis=1&amp;Mod4=170&amp;Pep=TAMKYNLGLDLR&amp;Dta=/var/www/html/dta/S01/10560.9759.2.dta&amp;Global_Mod=CS57.0215", "9759")</f>
        <v>9759</v>
      </c>
      <c r="R641" s="37" t="str">
        <f>HYPERLINK("http://ms.phosphosite.org:5080/cgi-bin/plot-msms.cgi?MassType=1&amp;NumAxis=1&amp;Mod4=170&amp;Pep=TAMKYNLGLDLR&amp;Dta=/var/www/html/dta/S01/10561.9784.2.dta&amp;Global_Mod=CS57.0215", "9784")</f>
        <v>9784</v>
      </c>
      <c r="S641" s="37" t="str">
        <f>HYPERLINK("http://ms.phosphosite.org:5080/cgi-bin/plot-msms.cgi?MassType=1&amp;NumAxis=1&amp;Mod4=170&amp;Pep=TAMKYNLGLDLR&amp;Dta=/var/www/html/dta/S01/10562.9954.2.dta&amp;Global_Mod=CS57.0215", "9954")</f>
        <v>9954</v>
      </c>
      <c r="T641" s="37" t="str">
        <f>HYPERLINK("http://ms.phosphosite.org:5080/cgi-bin/plot-msms.cgi?MassType=1&amp;NumAxis=1&amp;Mod4=170&amp;Pep=TAMKYNLGLDLR&amp;Dta=/var/www/html/dta/S01/10563.9901.2.dta&amp;Global_Mod=CS57.0215", "9901")</f>
        <v>9901</v>
      </c>
      <c r="U641" s="37" t="str">
        <f>HYPERLINK("http://ms.phosphosite.org:5080/cgi-bin/plot-msms.cgi?MassType=1&amp;NumAxis=1&amp;Mod4=170&amp;Pep=TAMKYNLGLDLR&amp;Dta=/var/www/html/dta/S01/10564.10406.2.dta&amp;Global_Mod=CS57.0215", "10406")</f>
        <v>10406</v>
      </c>
      <c r="V641" s="37" t="str">
        <f>HYPERLINK("http://ms.phosphosite.org:5080/cgi-bin/plot-msms.cgi?MassType=1&amp;NumAxis=1&amp;Mod4=170&amp;Pep=TAMKYNLGLDLR&amp;Dta=/var/www/html/dta/S01/10565.10370.2.dta&amp;Global_Mod=CS57.0215", "10370")</f>
        <v>10370</v>
      </c>
      <c r="W641" s="10">
        <v>9778</v>
      </c>
      <c r="X641" s="10">
        <v>9772</v>
      </c>
      <c r="Y641" s="10">
        <v>9787</v>
      </c>
      <c r="Z641" s="10">
        <v>9802</v>
      </c>
      <c r="AA641" s="10">
        <v>9982</v>
      </c>
      <c r="AB641" s="10">
        <v>9907</v>
      </c>
      <c r="AC641" s="10">
        <v>10434</v>
      </c>
      <c r="AD641" s="10">
        <v>10387</v>
      </c>
      <c r="AE641" s="91">
        <v>3.306</v>
      </c>
      <c r="AF641" s="91">
        <v>2.9380000000000002</v>
      </c>
      <c r="AG641" s="91">
        <v>3.4910000000000001</v>
      </c>
      <c r="AH641" s="91">
        <v>3.1110000000000002</v>
      </c>
      <c r="AI641" s="91">
        <v>3.1360000000000001</v>
      </c>
      <c r="AJ641" s="91">
        <v>3.0539999999999998</v>
      </c>
      <c r="AK641" s="91">
        <v>3.379</v>
      </c>
      <c r="AL641" s="91">
        <v>2.8679999999999999</v>
      </c>
      <c r="AM641" s="95">
        <v>1.0408999999999999</v>
      </c>
      <c r="AN641" s="95">
        <v>0.82030000000000003</v>
      </c>
      <c r="AO641" s="95">
        <v>1.208</v>
      </c>
      <c r="AP641" s="95">
        <v>0.67969999999999997</v>
      </c>
      <c r="AQ641" s="95">
        <v>0.29970000000000002</v>
      </c>
      <c r="AR641" s="95">
        <v>1.0916999999999999</v>
      </c>
      <c r="AS641" s="95">
        <v>0.76390000000000002</v>
      </c>
      <c r="AT641" s="95">
        <v>0.49669999999999997</v>
      </c>
      <c r="AU641" s="95">
        <v>0.22900000000000001</v>
      </c>
      <c r="AV641" s="95">
        <v>0.20100000000000001</v>
      </c>
      <c r="AW641" s="95">
        <v>0.28699999999999998</v>
      </c>
      <c r="AX641" s="95">
        <v>0.26800000000000002</v>
      </c>
      <c r="AY641" s="95">
        <v>0.27400000000000002</v>
      </c>
      <c r="AZ641" s="95">
        <v>0.23799999999999999</v>
      </c>
      <c r="BA641" s="95">
        <v>0.22500000000000001</v>
      </c>
      <c r="BB641" s="95">
        <v>0.222</v>
      </c>
      <c r="BC641" s="10">
        <v>1</v>
      </c>
      <c r="BD641" s="10">
        <v>1</v>
      </c>
      <c r="BE641" s="10">
        <v>1</v>
      </c>
      <c r="BF641" s="10">
        <v>1</v>
      </c>
      <c r="BG641" s="10">
        <v>1</v>
      </c>
      <c r="BH641" s="10">
        <v>1</v>
      </c>
      <c r="BI641" s="10">
        <v>1</v>
      </c>
      <c r="BJ641" s="10">
        <v>1</v>
      </c>
      <c r="BK641" s="91">
        <v>1</v>
      </c>
      <c r="BL641" s="91">
        <v>0.999</v>
      </c>
      <c r="BM641" s="91">
        <v>1</v>
      </c>
      <c r="BN641" s="91">
        <v>1</v>
      </c>
      <c r="BO641" s="91">
        <v>1</v>
      </c>
      <c r="BP641" s="91">
        <v>0.999</v>
      </c>
      <c r="BQ641" s="91">
        <v>1</v>
      </c>
      <c r="BR641" s="91">
        <v>0.999</v>
      </c>
      <c r="BS641" s="10" t="s">
        <v>4857</v>
      </c>
    </row>
    <row r="642" spans="1:71" s="30" customFormat="1" ht="17.100000000000001" customHeight="1">
      <c r="A642" s="10">
        <v>631</v>
      </c>
      <c r="B642" s="10" t="s">
        <v>2511</v>
      </c>
      <c r="C642" s="4" t="s">
        <v>2686</v>
      </c>
      <c r="D642" s="4" t="s">
        <v>2495</v>
      </c>
      <c r="E642" s="7" t="s">
        <v>2496</v>
      </c>
      <c r="F642" s="10" t="s">
        <v>5090</v>
      </c>
      <c r="G642" s="4" t="s">
        <v>2497</v>
      </c>
      <c r="H642" s="7" t="s">
        <v>2498</v>
      </c>
      <c r="I642" s="4" t="s">
        <v>2499</v>
      </c>
      <c r="J642" s="10" t="s">
        <v>4653</v>
      </c>
      <c r="K642" s="4" t="s">
        <v>5716</v>
      </c>
      <c r="L642" s="4" t="s">
        <v>2510</v>
      </c>
      <c r="M642" s="10">
        <v>2</v>
      </c>
      <c r="N642" s="95">
        <v>718.88189999999997</v>
      </c>
      <c r="O642" s="37" t="str">
        <f>HYPERLINK("http://ms.phosphosite.org:5080/cgi-bin/plot-msms.cgi?MassType=1&amp;NumAxis=1&amp;Mod4=170&amp;Pep=TAMKYNLGLDLR&amp;Dta=/var/www/html/dta/S01/10558.9849.2.dta&amp;Global_Mod=CS57.0215", "9849")</f>
        <v>9849</v>
      </c>
      <c r="P642" s="38" t="s">
        <v>4854</v>
      </c>
      <c r="Q642" s="38" t="s">
        <v>4854</v>
      </c>
      <c r="R642" s="38" t="s">
        <v>4854</v>
      </c>
      <c r="S642" s="38" t="s">
        <v>4854</v>
      </c>
      <c r="T642" s="38" t="s">
        <v>4854</v>
      </c>
      <c r="U642" s="38" t="s">
        <v>4854</v>
      </c>
      <c r="V642" s="38" t="s">
        <v>4854</v>
      </c>
      <c r="W642" s="10">
        <v>9778</v>
      </c>
      <c r="X642" s="4" t="s">
        <v>4854</v>
      </c>
      <c r="Y642" s="4" t="s">
        <v>4854</v>
      </c>
      <c r="Z642" s="4" t="s">
        <v>4854</v>
      </c>
      <c r="AA642" s="4" t="s">
        <v>4854</v>
      </c>
      <c r="AB642" s="4" t="s">
        <v>4854</v>
      </c>
      <c r="AC642" s="4" t="s">
        <v>4854</v>
      </c>
      <c r="AD642" s="4" t="s">
        <v>4854</v>
      </c>
      <c r="AE642" s="91">
        <v>2.968</v>
      </c>
      <c r="AF642" s="100" t="s">
        <v>4854</v>
      </c>
      <c r="AG642" s="100" t="s">
        <v>4854</v>
      </c>
      <c r="AH642" s="100" t="s">
        <v>4854</v>
      </c>
      <c r="AI642" s="100" t="s">
        <v>4854</v>
      </c>
      <c r="AJ642" s="100" t="s">
        <v>4854</v>
      </c>
      <c r="AK642" s="100" t="s">
        <v>4854</v>
      </c>
      <c r="AL642" s="100" t="s">
        <v>4854</v>
      </c>
      <c r="AM642" s="95">
        <v>0.65810000000000002</v>
      </c>
      <c r="AN642" s="103" t="s">
        <v>4854</v>
      </c>
      <c r="AO642" s="103" t="s">
        <v>4854</v>
      </c>
      <c r="AP642" s="103" t="s">
        <v>4854</v>
      </c>
      <c r="AQ642" s="103" t="s">
        <v>4854</v>
      </c>
      <c r="AR642" s="103" t="s">
        <v>4854</v>
      </c>
      <c r="AS642" s="103" t="s">
        <v>4854</v>
      </c>
      <c r="AT642" s="103" t="s">
        <v>4854</v>
      </c>
      <c r="AU642" s="95">
        <v>0.23599999999999999</v>
      </c>
      <c r="AV642" s="103" t="s">
        <v>4854</v>
      </c>
      <c r="AW642" s="103" t="s">
        <v>4854</v>
      </c>
      <c r="AX642" s="103" t="s">
        <v>4854</v>
      </c>
      <c r="AY642" s="103" t="s">
        <v>4854</v>
      </c>
      <c r="AZ642" s="103" t="s">
        <v>4854</v>
      </c>
      <c r="BA642" s="103" t="s">
        <v>4854</v>
      </c>
      <c r="BB642" s="103" t="s">
        <v>4854</v>
      </c>
      <c r="BC642" s="10">
        <v>1</v>
      </c>
      <c r="BD642" s="4" t="s">
        <v>4854</v>
      </c>
      <c r="BE642" s="4" t="s">
        <v>4854</v>
      </c>
      <c r="BF642" s="4" t="s">
        <v>4854</v>
      </c>
      <c r="BG642" s="4" t="s">
        <v>4854</v>
      </c>
      <c r="BH642" s="4" t="s">
        <v>4854</v>
      </c>
      <c r="BI642" s="4" t="s">
        <v>4854</v>
      </c>
      <c r="BJ642" s="4" t="s">
        <v>4854</v>
      </c>
      <c r="BK642" s="91">
        <v>0.999</v>
      </c>
      <c r="BL642" s="100" t="s">
        <v>4854</v>
      </c>
      <c r="BM642" s="100" t="s">
        <v>4854</v>
      </c>
      <c r="BN642" s="100" t="s">
        <v>4854</v>
      </c>
      <c r="BO642" s="100" t="s">
        <v>4854</v>
      </c>
      <c r="BP642" s="100" t="s">
        <v>4854</v>
      </c>
      <c r="BQ642" s="100" t="s">
        <v>4854</v>
      </c>
      <c r="BR642" s="100" t="s">
        <v>4854</v>
      </c>
      <c r="BS642" s="10" t="s">
        <v>4857</v>
      </c>
    </row>
    <row r="643" spans="1:71" s="30" customFormat="1" ht="17.100000000000001" customHeight="1">
      <c r="A643" s="10">
        <v>632</v>
      </c>
      <c r="B643" s="10" t="s">
        <v>2512</v>
      </c>
      <c r="C643" s="4" t="s">
        <v>2686</v>
      </c>
      <c r="D643" s="4" t="s">
        <v>2495</v>
      </c>
      <c r="E643" s="7" t="s">
        <v>2496</v>
      </c>
      <c r="F643" s="10" t="s">
        <v>5090</v>
      </c>
      <c r="G643" s="4" t="s">
        <v>2497</v>
      </c>
      <c r="H643" s="7" t="s">
        <v>2498</v>
      </c>
      <c r="I643" s="4" t="s">
        <v>2499</v>
      </c>
      <c r="J643" s="10" t="s">
        <v>4653</v>
      </c>
      <c r="K643" s="4" t="s">
        <v>5716</v>
      </c>
      <c r="L643" s="4" t="s">
        <v>2513</v>
      </c>
      <c r="M643" s="10">
        <v>2</v>
      </c>
      <c r="N643" s="95">
        <v>726.87940000000003</v>
      </c>
      <c r="O643" s="37" t="str">
        <f>HYPERLINK("http://ms.phosphosite.org:5080/cgi-bin/plot-msms.cgi?MassType=1&amp;NumAxis=1&amp;Mod3=147&amp;Mod4=170&amp;Pep=TAMKYNLGLDLR&amp;Dta=/var/www/html/dta/S01/10558.8693.2.dta&amp;Global_Mod=CS57.0215", "8693")</f>
        <v>8693</v>
      </c>
      <c r="P643" s="37" t="str">
        <f>HYPERLINK("http://ms.phosphosite.org:5080/cgi-bin/plot-msms.cgi?MassType=1&amp;NumAxis=1&amp;Mod3=147&amp;Mod4=170&amp;Pep=TAMKYNLGLDLR&amp;Dta=/var/www/html/dta/S01/10559.8739.2.dta&amp;Global_Mod=CS57.0215", "8739")</f>
        <v>8739</v>
      </c>
      <c r="Q643" s="37" t="str">
        <f>HYPERLINK("http://ms.phosphosite.org:5080/cgi-bin/plot-msms.cgi?MassType=1&amp;NumAxis=1&amp;Mod3=147&amp;Mod4=170&amp;Pep=TAMKYNLGLDLR&amp;Dta=/var/www/html/dta/S01/10560.8744.2.dta&amp;Global_Mod=CS57.0215", "8744")</f>
        <v>8744</v>
      </c>
      <c r="R643" s="37" t="str">
        <f>HYPERLINK("http://ms.phosphosite.org:5080/cgi-bin/plot-msms.cgi?MassType=1&amp;NumAxis=1&amp;Mod3=147&amp;Mod4=170&amp;Pep=TAMKYNLGLDLR&amp;Dta=/var/www/html/dta/S01/10561.8782.2.dta&amp;Global_Mod=CS57.0215", "8782")</f>
        <v>8782</v>
      </c>
      <c r="S643" s="37" t="str">
        <f>HYPERLINK("http://ms.phosphosite.org:5080/cgi-bin/plot-msms.cgi?MassType=1&amp;NumAxis=1&amp;Mod3=147&amp;Mod4=170&amp;Pep=TAMKYNLGLDLR&amp;Dta=/var/www/html/dta/S01/10562.8805.2.dta&amp;Global_Mod=CS57.0215", "8805")</f>
        <v>8805</v>
      </c>
      <c r="T643" s="37" t="str">
        <f>HYPERLINK("http://ms.phosphosite.org:5080/cgi-bin/plot-msms.cgi?MassType=1&amp;NumAxis=1&amp;Mod3=147&amp;Mod4=170&amp;Pep=TAMKYNLGLDLR&amp;Dta=/var/www/html/dta/S01/10563.8890.2.dta&amp;Global_Mod=CS57.0215", "8890")</f>
        <v>8890</v>
      </c>
      <c r="U643" s="37" t="str">
        <f>HYPERLINK("http://ms.phosphosite.org:5080/cgi-bin/plot-msms.cgi?MassType=1&amp;NumAxis=1&amp;Mod3=147&amp;Mod4=170&amp;Pep=TAMKYNLGLDLR&amp;Dta=/var/www/html/dta/S01/10564.9250.2.dta&amp;Global_Mod=CS57.0215", "9250")</f>
        <v>9250</v>
      </c>
      <c r="V643" s="37" t="str">
        <f>HYPERLINK("http://ms.phosphosite.org:5080/cgi-bin/plot-msms.cgi?MassType=1&amp;NumAxis=1&amp;Mod3=147&amp;Mod4=170&amp;Pep=TAMKYNLGLDLR&amp;Dta=/var/www/html/dta/S01/10565.9240.2.dta&amp;Global_Mod=CS57.0215", "9240")</f>
        <v>9240</v>
      </c>
      <c r="W643" s="10">
        <v>8733</v>
      </c>
      <c r="X643" s="10">
        <v>8692</v>
      </c>
      <c r="Y643" s="10">
        <v>8698</v>
      </c>
      <c r="Z643" s="10">
        <v>8736</v>
      </c>
      <c r="AA643" s="10">
        <v>8853</v>
      </c>
      <c r="AB643" s="10">
        <v>8840</v>
      </c>
      <c r="AC643" s="10">
        <v>9301</v>
      </c>
      <c r="AD643" s="10">
        <v>9276</v>
      </c>
      <c r="AE643" s="91">
        <v>4.2350000000000003</v>
      </c>
      <c r="AF643" s="91">
        <v>3.4870000000000001</v>
      </c>
      <c r="AG643" s="91">
        <v>3.5859999999999999</v>
      </c>
      <c r="AH643" s="91">
        <v>3.6269999999999998</v>
      </c>
      <c r="AI643" s="91">
        <v>3.5640000000000001</v>
      </c>
      <c r="AJ643" s="91">
        <v>3.1779999999999999</v>
      </c>
      <c r="AK643" s="91">
        <v>3.85</v>
      </c>
      <c r="AL643" s="91">
        <v>3.9889999999999999</v>
      </c>
      <c r="AM643" s="95">
        <v>0.37440000000000001</v>
      </c>
      <c r="AN643" s="95">
        <v>0.61470000000000002</v>
      </c>
      <c r="AO643" s="95">
        <v>0.70830000000000004</v>
      </c>
      <c r="AP643" s="95">
        <v>0.70760000000000001</v>
      </c>
      <c r="AQ643" s="95">
        <v>0.41439999999999999</v>
      </c>
      <c r="AR643" s="95">
        <v>0.56579999999999997</v>
      </c>
      <c r="AS643" s="95">
        <v>0.22020000000000001</v>
      </c>
      <c r="AT643" s="95">
        <v>-4.82E-2</v>
      </c>
      <c r="AU643" s="95">
        <v>0.32</v>
      </c>
      <c r="AV643" s="95">
        <v>0.33300000000000002</v>
      </c>
      <c r="AW643" s="95">
        <v>0.32500000000000001</v>
      </c>
      <c r="AX643" s="95">
        <v>0.34599999999999997</v>
      </c>
      <c r="AY643" s="95">
        <v>0.28899999999999998</v>
      </c>
      <c r="AZ643" s="95">
        <v>0.35799999999999998</v>
      </c>
      <c r="BA643" s="95">
        <v>0.27</v>
      </c>
      <c r="BB643" s="95">
        <v>0.312</v>
      </c>
      <c r="BC643" s="10">
        <v>1</v>
      </c>
      <c r="BD643" s="10">
        <v>1</v>
      </c>
      <c r="BE643" s="10">
        <v>1</v>
      </c>
      <c r="BF643" s="10">
        <v>1</v>
      </c>
      <c r="BG643" s="10">
        <v>1</v>
      </c>
      <c r="BH643" s="10">
        <v>1</v>
      </c>
      <c r="BI643" s="10">
        <v>1</v>
      </c>
      <c r="BJ643" s="10">
        <v>1</v>
      </c>
      <c r="BK643" s="91">
        <v>1</v>
      </c>
      <c r="BL643" s="91">
        <v>1</v>
      </c>
      <c r="BM643" s="91">
        <v>1</v>
      </c>
      <c r="BN643" s="91">
        <v>1</v>
      </c>
      <c r="BO643" s="91">
        <v>1</v>
      </c>
      <c r="BP643" s="91">
        <v>1</v>
      </c>
      <c r="BQ643" s="91">
        <v>1</v>
      </c>
      <c r="BR643" s="91">
        <v>1</v>
      </c>
      <c r="BS643" s="10" t="s">
        <v>4857</v>
      </c>
    </row>
    <row r="644" spans="1:71" s="30" customFormat="1" ht="17.100000000000001" customHeight="1">
      <c r="A644" s="10">
        <v>633</v>
      </c>
      <c r="B644" s="10" t="s">
        <v>2514</v>
      </c>
      <c r="C644" s="4" t="s">
        <v>2686</v>
      </c>
      <c r="D644" s="4" t="s">
        <v>2495</v>
      </c>
      <c r="E644" s="7" t="s">
        <v>2496</v>
      </c>
      <c r="F644" s="10" t="s">
        <v>5090</v>
      </c>
      <c r="G644" s="4" t="s">
        <v>2497</v>
      </c>
      <c r="H644" s="7" t="s">
        <v>2498</v>
      </c>
      <c r="I644" s="4" t="s">
        <v>2499</v>
      </c>
      <c r="J644" s="10" t="s">
        <v>4653</v>
      </c>
      <c r="K644" s="4" t="s">
        <v>5716</v>
      </c>
      <c r="L644" s="4" t="s">
        <v>2513</v>
      </c>
      <c r="M644" s="10">
        <v>2</v>
      </c>
      <c r="N644" s="95">
        <v>726.87940000000003</v>
      </c>
      <c r="O644" s="37" t="str">
        <f>HYPERLINK("http://ms.phosphosite.org:5080/cgi-bin/plot-msms.cgi?MassType=1&amp;NumAxis=1&amp;Mod3=147&amp;Mod4=170&amp;Pep=TAMKYNLGLDLR&amp;Dta=/var/www/html/dta/S01/10558.8791.2.dta&amp;Global_Mod=CS57.0215", "8791")</f>
        <v>8791</v>
      </c>
      <c r="P644" s="37" t="str">
        <f>HYPERLINK("http://ms.phosphosite.org:5080/cgi-bin/plot-msms.cgi?MassType=1&amp;NumAxis=1&amp;Mod3=147&amp;Mod4=170&amp;Pep=TAMKYNLGLDLR&amp;Dta=/var/www/html/dta/S01/10559.8640.2.dta&amp;Global_Mod=CS57.0215", "8640")</f>
        <v>8640</v>
      </c>
      <c r="Q644" s="37" t="str">
        <f>HYPERLINK("http://ms.phosphosite.org:5080/cgi-bin/plot-msms.cgi?MassType=1&amp;NumAxis=1&amp;Mod3=147&amp;Mod4=170&amp;Pep=TAMKYNLGLDLR&amp;Dta=/var/www/html/dta/S01/10560.8646.2.dta&amp;Global_Mod=CS57.0215", "8646")</f>
        <v>8646</v>
      </c>
      <c r="R644" s="37" t="str">
        <f>HYPERLINK("http://ms.phosphosite.org:5080/cgi-bin/plot-msms.cgi?MassType=1&amp;NumAxis=1&amp;Mod3=147&amp;Mod4=170&amp;Pep=TAMKYNLGLDLR&amp;Dta=/var/www/html/dta/S01/10561.8690.2.dta&amp;Global_Mod=CS57.0215", "8690")</f>
        <v>8690</v>
      </c>
      <c r="S644" s="37" t="str">
        <f>HYPERLINK("http://ms.phosphosite.org:5080/cgi-bin/plot-msms.cgi?MassType=1&amp;NumAxis=1&amp;Mod3=147&amp;Mod4=170&amp;Pep=TAMKYNLGLDLR&amp;Dta=/var/www/html/dta/S01/10562.8900.2.dta&amp;Global_Mod=CS57.0215", "8900")</f>
        <v>8900</v>
      </c>
      <c r="T644" s="37" t="str">
        <f>HYPERLINK("http://ms.phosphosite.org:5080/cgi-bin/plot-msms.cgi?MassType=1&amp;NumAxis=1&amp;Mod3=147&amp;Mod4=170&amp;Pep=TAMKYNLGLDLR&amp;Dta=/var/www/html/dta/S01/10563.8789.2.dta&amp;Global_Mod=CS57.0215", "8789")</f>
        <v>8789</v>
      </c>
      <c r="U644" s="37" t="str">
        <f>HYPERLINK("http://ms.phosphosite.org:5080/cgi-bin/plot-msms.cgi?MassType=1&amp;NumAxis=1&amp;Mod3=147&amp;Mod4=170&amp;Pep=TAMKYNLGLDLR&amp;Dta=/var/www/html/dta/S01/10564.9454.2.dta&amp;Global_Mod=CS57.0215", "9454")</f>
        <v>9454</v>
      </c>
      <c r="V644" s="37" t="str">
        <f>HYPERLINK("http://ms.phosphosite.org:5080/cgi-bin/plot-msms.cgi?MassType=1&amp;NumAxis=1&amp;Mod3=147&amp;Mod4=170&amp;Pep=TAMKYNLGLDLR&amp;Dta=/var/www/html/dta/S01/10565.9333.2.dta&amp;Global_Mod=CS57.0215", "9333")</f>
        <v>9333</v>
      </c>
      <c r="W644" s="10">
        <v>8733</v>
      </c>
      <c r="X644" s="10">
        <v>8692</v>
      </c>
      <c r="Y644" s="10">
        <v>8698</v>
      </c>
      <c r="Z644" s="10">
        <v>8736</v>
      </c>
      <c r="AA644" s="10">
        <v>8853</v>
      </c>
      <c r="AB644" s="10">
        <v>8840</v>
      </c>
      <c r="AC644" s="10">
        <v>9301</v>
      </c>
      <c r="AD644" s="10">
        <v>9276</v>
      </c>
      <c r="AE644" s="91">
        <v>3.5270000000000001</v>
      </c>
      <c r="AF644" s="91">
        <v>3.4820000000000002</v>
      </c>
      <c r="AG644" s="91">
        <v>3.56</v>
      </c>
      <c r="AH644" s="91">
        <v>3.343</v>
      </c>
      <c r="AI644" s="91">
        <v>3.5459999999999998</v>
      </c>
      <c r="AJ644" s="91">
        <v>3.0859999999999999</v>
      </c>
      <c r="AK644" s="91">
        <v>3.4380000000000002</v>
      </c>
      <c r="AL644" s="91">
        <v>3.4409999999999998</v>
      </c>
      <c r="AM644" s="95">
        <v>0.4859</v>
      </c>
      <c r="AN644" s="95">
        <v>0.50870000000000004</v>
      </c>
      <c r="AO644" s="95">
        <v>0.68489999999999995</v>
      </c>
      <c r="AP644" s="95">
        <v>0.68969999999999998</v>
      </c>
      <c r="AQ644" s="95">
        <v>0.47010000000000002</v>
      </c>
      <c r="AR644" s="95">
        <v>0.50729999999999997</v>
      </c>
      <c r="AS644" s="95">
        <v>0.28010000000000002</v>
      </c>
      <c r="AT644" s="95">
        <v>0.1239</v>
      </c>
      <c r="AU644" s="95">
        <v>0.36299999999999999</v>
      </c>
      <c r="AV644" s="95">
        <v>0.35199999999999998</v>
      </c>
      <c r="AW644" s="95">
        <v>0.317</v>
      </c>
      <c r="AX644" s="95">
        <v>0.32700000000000001</v>
      </c>
      <c r="AY644" s="95">
        <v>0.28499999999999998</v>
      </c>
      <c r="AZ644" s="95">
        <v>0.312</v>
      </c>
      <c r="BA644" s="95">
        <v>0.32700000000000001</v>
      </c>
      <c r="BB644" s="95">
        <v>0.33300000000000002</v>
      </c>
      <c r="BC644" s="10">
        <v>1</v>
      </c>
      <c r="BD644" s="10">
        <v>1</v>
      </c>
      <c r="BE644" s="10">
        <v>1</v>
      </c>
      <c r="BF644" s="10">
        <v>1</v>
      </c>
      <c r="BG644" s="10">
        <v>1</v>
      </c>
      <c r="BH644" s="10">
        <v>1</v>
      </c>
      <c r="BI644" s="10">
        <v>1</v>
      </c>
      <c r="BJ644" s="10">
        <v>1</v>
      </c>
      <c r="BK644" s="91">
        <v>1</v>
      </c>
      <c r="BL644" s="91">
        <v>1</v>
      </c>
      <c r="BM644" s="91">
        <v>1</v>
      </c>
      <c r="BN644" s="91">
        <v>1</v>
      </c>
      <c r="BO644" s="91">
        <v>1</v>
      </c>
      <c r="BP644" s="91">
        <v>1</v>
      </c>
      <c r="BQ644" s="91">
        <v>1</v>
      </c>
      <c r="BR644" s="91">
        <v>1</v>
      </c>
      <c r="BS644" s="10" t="s">
        <v>4857</v>
      </c>
    </row>
    <row r="645" spans="1:71" s="30" customFormat="1" ht="17.100000000000001" customHeight="1">
      <c r="A645" s="10">
        <v>634</v>
      </c>
      <c r="B645" s="10" t="s">
        <v>2515</v>
      </c>
      <c r="C645" s="4" t="s">
        <v>2686</v>
      </c>
      <c r="D645" s="4" t="s">
        <v>2495</v>
      </c>
      <c r="E645" s="7" t="s">
        <v>2496</v>
      </c>
      <c r="F645" s="10" t="s">
        <v>5090</v>
      </c>
      <c r="G645" s="4" t="s">
        <v>2497</v>
      </c>
      <c r="H645" s="7" t="s">
        <v>2498</v>
      </c>
      <c r="I645" s="4" t="s">
        <v>2499</v>
      </c>
      <c r="J645" s="10" t="s">
        <v>4653</v>
      </c>
      <c r="K645" s="4" t="s">
        <v>5716</v>
      </c>
      <c r="L645" s="4" t="s">
        <v>2513</v>
      </c>
      <c r="M645" s="10">
        <v>2</v>
      </c>
      <c r="N645" s="95">
        <v>726.87940000000003</v>
      </c>
      <c r="O645" s="37" t="str">
        <f>HYPERLINK("http://ms.phosphosite.org:5080/cgi-bin/plot-msms.cgi?MassType=1&amp;NumAxis=1&amp;Mod3=147&amp;Mod4=170&amp;Pep=TAMKYNLGLDLR&amp;Dta=/var/www/html/dta/S01/10558.8895.2.dta&amp;Global_Mod=CS57.0215", "8895")</f>
        <v>8895</v>
      </c>
      <c r="P645" s="37" t="str">
        <f>HYPERLINK("http://ms.phosphosite.org:5080/cgi-bin/plot-msms.cgi?MassType=1&amp;NumAxis=1&amp;Mod3=147&amp;Mod4=170&amp;Pep=TAMKYNLGLDLR&amp;Dta=/var/www/html/dta/S01/10559.8842.2.dta&amp;Global_Mod=CS57.0215", "8842")</f>
        <v>8842</v>
      </c>
      <c r="Q645" s="37" t="str">
        <f>HYPERLINK("http://ms.phosphosite.org:5080/cgi-bin/plot-msms.cgi?MassType=1&amp;NumAxis=1&amp;Mod3=147&amp;Mod4=170&amp;Pep=TAMKYNLGLDLR&amp;Dta=/var/www/html/dta/S01/10560.8845.2.dta&amp;Global_Mod=CS57.0215", "8845")</f>
        <v>8845</v>
      </c>
      <c r="R645" s="37" t="str">
        <f>HYPERLINK("http://ms.phosphosite.org:5080/cgi-bin/plot-msms.cgi?MassType=1&amp;NumAxis=1&amp;Mod3=147&amp;Mod4=170&amp;Pep=TAMKYNLGLDLR&amp;Dta=/var/www/html/dta/S01/10561.8884.2.dta&amp;Global_Mod=CS57.0215", "8884")</f>
        <v>8884</v>
      </c>
      <c r="S645" s="37" t="str">
        <f>HYPERLINK("http://ms.phosphosite.org:5080/cgi-bin/plot-msms.cgi?MassType=1&amp;NumAxis=1&amp;Mod3=147&amp;Mod4=170&amp;Pep=TAMKYNLGLDLR&amp;Dta=/var/www/html/dta/S01/10562.9005.2.dta&amp;Global_Mod=CS57.0215", "9005")</f>
        <v>9005</v>
      </c>
      <c r="T645" s="38" t="s">
        <v>4854</v>
      </c>
      <c r="U645" s="37" t="str">
        <f>HYPERLINK("http://ms.phosphosite.org:5080/cgi-bin/plot-msms.cgi?MassType=1&amp;NumAxis=1&amp;Mod3=147&amp;Mod4=170&amp;Pep=TAMKYNLGLDLR&amp;Dta=/var/www/html/dta/S01/10564.9348.2.dta&amp;Global_Mod=CS57.0215", "9348")</f>
        <v>9348</v>
      </c>
      <c r="V645" s="38" t="s">
        <v>4854</v>
      </c>
      <c r="W645" s="10">
        <v>8733</v>
      </c>
      <c r="X645" s="10">
        <v>8692</v>
      </c>
      <c r="Y645" s="10">
        <v>8698</v>
      </c>
      <c r="Z645" s="10">
        <v>8736</v>
      </c>
      <c r="AA645" s="10">
        <v>8853</v>
      </c>
      <c r="AB645" s="4" t="s">
        <v>4854</v>
      </c>
      <c r="AC645" s="10">
        <v>9301</v>
      </c>
      <c r="AD645" s="4" t="s">
        <v>4854</v>
      </c>
      <c r="AE645" s="91">
        <v>2.6040000000000001</v>
      </c>
      <c r="AF645" s="91">
        <v>2.7029999999999998</v>
      </c>
      <c r="AG645" s="91">
        <v>2.6480000000000001</v>
      </c>
      <c r="AH645" s="91">
        <v>2.6139999999999999</v>
      </c>
      <c r="AI645" s="91">
        <v>2.6840000000000002</v>
      </c>
      <c r="AJ645" s="100" t="s">
        <v>4854</v>
      </c>
      <c r="AK645" s="91">
        <v>3.3639999999999999</v>
      </c>
      <c r="AL645" s="100" t="s">
        <v>4854</v>
      </c>
      <c r="AM645" s="95">
        <v>0.41639999999999999</v>
      </c>
      <c r="AN645" s="95">
        <v>0.5665</v>
      </c>
      <c r="AO645" s="95">
        <v>0.59189999999999998</v>
      </c>
      <c r="AP645" s="95">
        <v>0.5706</v>
      </c>
      <c r="AQ645" s="95">
        <v>0.44330000000000003</v>
      </c>
      <c r="AR645" s="103" t="s">
        <v>4854</v>
      </c>
      <c r="AS645" s="95">
        <v>0.39510000000000001</v>
      </c>
      <c r="AT645" s="103" t="s">
        <v>4854</v>
      </c>
      <c r="AU645" s="95">
        <v>0.22</v>
      </c>
      <c r="AV645" s="95">
        <v>0.32600000000000001</v>
      </c>
      <c r="AW645" s="95">
        <v>0.311</v>
      </c>
      <c r="AX645" s="95">
        <v>0.28000000000000003</v>
      </c>
      <c r="AY645" s="95">
        <v>0.36699999999999999</v>
      </c>
      <c r="AZ645" s="103" t="s">
        <v>4854</v>
      </c>
      <c r="BA645" s="95">
        <v>0.33800000000000002</v>
      </c>
      <c r="BB645" s="103" t="s">
        <v>4854</v>
      </c>
      <c r="BC645" s="10">
        <v>1</v>
      </c>
      <c r="BD645" s="10">
        <v>1</v>
      </c>
      <c r="BE645" s="10">
        <v>1</v>
      </c>
      <c r="BF645" s="10">
        <v>1</v>
      </c>
      <c r="BG645" s="10">
        <v>1</v>
      </c>
      <c r="BH645" s="4" t="s">
        <v>4854</v>
      </c>
      <c r="BI645" s="10">
        <v>1</v>
      </c>
      <c r="BJ645" s="4" t="s">
        <v>4854</v>
      </c>
      <c r="BK645" s="91">
        <v>0.998</v>
      </c>
      <c r="BL645" s="91">
        <v>1</v>
      </c>
      <c r="BM645" s="91">
        <v>0.999</v>
      </c>
      <c r="BN645" s="91">
        <v>0.999</v>
      </c>
      <c r="BO645" s="91">
        <v>1</v>
      </c>
      <c r="BP645" s="100" t="s">
        <v>4854</v>
      </c>
      <c r="BQ645" s="91">
        <v>1</v>
      </c>
      <c r="BR645" s="100" t="s">
        <v>4854</v>
      </c>
      <c r="BS645" s="10" t="s">
        <v>4857</v>
      </c>
    </row>
    <row r="646" spans="1:71" s="30" customFormat="1" ht="17.100000000000001" customHeight="1">
      <c r="A646" s="10">
        <v>635</v>
      </c>
      <c r="B646" s="10" t="s">
        <v>2516</v>
      </c>
      <c r="C646" s="4" t="s">
        <v>2686</v>
      </c>
      <c r="D646" s="4" t="s">
        <v>2495</v>
      </c>
      <c r="E646" s="7" t="s">
        <v>2496</v>
      </c>
      <c r="F646" s="10" t="s">
        <v>5090</v>
      </c>
      <c r="G646" s="4" t="s">
        <v>2497</v>
      </c>
      <c r="H646" s="7" t="s">
        <v>2498</v>
      </c>
      <c r="I646" s="4" t="s">
        <v>2499</v>
      </c>
      <c r="J646" s="10" t="s">
        <v>4653</v>
      </c>
      <c r="K646" s="4" t="s">
        <v>5716</v>
      </c>
      <c r="L646" s="4" t="s">
        <v>2513</v>
      </c>
      <c r="M646" s="10">
        <v>3</v>
      </c>
      <c r="N646" s="95">
        <v>484.92200000000003</v>
      </c>
      <c r="O646" s="38" t="s">
        <v>4854</v>
      </c>
      <c r="P646" s="38" t="s">
        <v>4854</v>
      </c>
      <c r="Q646" s="38" t="s">
        <v>4854</v>
      </c>
      <c r="R646" s="38" t="s">
        <v>4854</v>
      </c>
      <c r="S646" s="37" t="str">
        <f>HYPERLINK("http://ms.phosphosite.org:5080/cgi-bin/plot-msms.cgi?MassType=1&amp;NumAxis=1&amp;Mod3=147&amp;Mod4=170&amp;Pep=TAMKYNLGLDLR&amp;Dta=/var/www/html/dta/S01/10562.8844.3.dta&amp;Global_Mod=CS57.0215", "8844")</f>
        <v>8844</v>
      </c>
      <c r="T646" s="38" t="s">
        <v>4854</v>
      </c>
      <c r="U646" s="38" t="s">
        <v>4854</v>
      </c>
      <c r="V646" s="38" t="s">
        <v>4854</v>
      </c>
      <c r="W646" s="4" t="s">
        <v>4854</v>
      </c>
      <c r="X646" s="4" t="s">
        <v>4854</v>
      </c>
      <c r="Y646" s="4" t="s">
        <v>4854</v>
      </c>
      <c r="Z646" s="4" t="s">
        <v>4854</v>
      </c>
      <c r="AA646" s="10">
        <v>8864</v>
      </c>
      <c r="AB646" s="4" t="s">
        <v>4854</v>
      </c>
      <c r="AC646" s="4" t="s">
        <v>4854</v>
      </c>
      <c r="AD646" s="4" t="s">
        <v>4854</v>
      </c>
      <c r="AE646" s="100" t="s">
        <v>4854</v>
      </c>
      <c r="AF646" s="100" t="s">
        <v>4854</v>
      </c>
      <c r="AG646" s="100" t="s">
        <v>4854</v>
      </c>
      <c r="AH646" s="100" t="s">
        <v>4854</v>
      </c>
      <c r="AI646" s="91">
        <v>3.0190000000000001</v>
      </c>
      <c r="AJ646" s="100" t="s">
        <v>4854</v>
      </c>
      <c r="AK646" s="100" t="s">
        <v>4854</v>
      </c>
      <c r="AL646" s="100" t="s">
        <v>4854</v>
      </c>
      <c r="AM646" s="103" t="s">
        <v>4854</v>
      </c>
      <c r="AN646" s="103" t="s">
        <v>4854</v>
      </c>
      <c r="AO646" s="103" t="s">
        <v>4854</v>
      </c>
      <c r="AP646" s="103" t="s">
        <v>4854</v>
      </c>
      <c r="AQ646" s="95">
        <v>0.90029999999999999</v>
      </c>
      <c r="AR646" s="103" t="s">
        <v>4854</v>
      </c>
      <c r="AS646" s="103" t="s">
        <v>4854</v>
      </c>
      <c r="AT646" s="103" t="s">
        <v>4854</v>
      </c>
      <c r="AU646" s="103" t="s">
        <v>4854</v>
      </c>
      <c r="AV646" s="103" t="s">
        <v>4854</v>
      </c>
      <c r="AW646" s="103" t="s">
        <v>4854</v>
      </c>
      <c r="AX646" s="103" t="s">
        <v>4854</v>
      </c>
      <c r="AY646" s="95">
        <v>6.8000000000000005E-2</v>
      </c>
      <c r="AZ646" s="103" t="s">
        <v>4854</v>
      </c>
      <c r="BA646" s="103" t="s">
        <v>4854</v>
      </c>
      <c r="BB646" s="103" t="s">
        <v>4854</v>
      </c>
      <c r="BC646" s="4" t="s">
        <v>4854</v>
      </c>
      <c r="BD646" s="4" t="s">
        <v>4854</v>
      </c>
      <c r="BE646" s="4" t="s">
        <v>4854</v>
      </c>
      <c r="BF646" s="4" t="s">
        <v>4854</v>
      </c>
      <c r="BG646" s="10">
        <v>12</v>
      </c>
      <c r="BH646" s="4" t="s">
        <v>4854</v>
      </c>
      <c r="BI646" s="4" t="s">
        <v>4854</v>
      </c>
      <c r="BJ646" s="4" t="s">
        <v>4854</v>
      </c>
      <c r="BK646" s="100" t="s">
        <v>4854</v>
      </c>
      <c r="BL646" s="100" t="s">
        <v>4854</v>
      </c>
      <c r="BM646" s="100" t="s">
        <v>4854</v>
      </c>
      <c r="BN646" s="100" t="s">
        <v>4854</v>
      </c>
      <c r="BO646" s="91">
        <v>0.98599999999999999</v>
      </c>
      <c r="BP646" s="100" t="s">
        <v>4854</v>
      </c>
      <c r="BQ646" s="100" t="s">
        <v>4854</v>
      </c>
      <c r="BR646" s="100" t="s">
        <v>4854</v>
      </c>
      <c r="BS646" s="10" t="s">
        <v>4857</v>
      </c>
    </row>
    <row r="647" spans="1:71" s="30" customFormat="1" ht="17.100000000000001" customHeight="1">
      <c r="A647" s="14">
        <v>636</v>
      </c>
      <c r="B647" s="5" t="s">
        <v>2517</v>
      </c>
      <c r="C647" s="3" t="s">
        <v>2686</v>
      </c>
      <c r="D647" s="3" t="s">
        <v>2495</v>
      </c>
      <c r="E647" s="6" t="s">
        <v>2496</v>
      </c>
      <c r="F647" s="5" t="s">
        <v>5126</v>
      </c>
      <c r="G647" s="3" t="s">
        <v>2497</v>
      </c>
      <c r="H647" s="6" t="s">
        <v>2498</v>
      </c>
      <c r="I647" s="3" t="s">
        <v>2499</v>
      </c>
      <c r="J647" s="5" t="s">
        <v>4653</v>
      </c>
      <c r="K647" s="3" t="s">
        <v>5717</v>
      </c>
      <c r="L647" s="3" t="s">
        <v>2518</v>
      </c>
      <c r="M647" s="5">
        <v>3</v>
      </c>
      <c r="N647" s="21">
        <v>917.73789999999997</v>
      </c>
      <c r="O647" s="36" t="str">
        <f>HYPERLINK("http://ms.phosphosite.org:5080/cgi-bin/plot-msms.cgi?MassType=1&amp;NumAxis=1&amp;Mod15=170&amp;Mod16=147&amp;Pep=SEAAADREDDPNFFKMVEGFFDR&amp;Dta=/var/www/html/dta/S01/10558.13799.3.dta&amp;Global_Mod=CS57.0215", "13799")</f>
        <v>13799</v>
      </c>
      <c r="P647" s="36" t="str">
        <f>HYPERLINK("http://ms.phosphosite.org:5080/cgi-bin/plot-msms.cgi?MassType=1&amp;NumAxis=1&amp;Mod15=170&amp;Mod16=147&amp;Pep=SEAAADREDDPNFFKMVEGFFDR&amp;Dta=/var/www/html/dta/S01/10559.13876.3.dta&amp;Global_Mod=CS57.0215", "13876")</f>
        <v>13876</v>
      </c>
      <c r="Q647" s="36" t="str">
        <f>HYPERLINK("http://ms.phosphosite.org:5080/cgi-bin/plot-msms.cgi?MassType=1&amp;NumAxis=1&amp;Mod15=170&amp;Mod16=147&amp;Pep=SEAAADREDDPNFFKMVEGFFDR&amp;Dta=/var/www/html/dta/S01/10560.13880.3.dta&amp;Global_Mod=CS57.0215", "13880")</f>
        <v>13880</v>
      </c>
      <c r="R647" s="36" t="str">
        <f>HYPERLINK("http://ms.phosphosite.org:5080/cgi-bin/plot-msms.cgi?MassType=1&amp;NumAxis=1&amp;Mod15=170&amp;Mod16=147&amp;Pep=SEAAADREDDPNFFKMVEGFFDR&amp;Dta=/var/www/html/dta/S01/10561.13875.3.dta&amp;Global_Mod=CS57.0215", "13875")</f>
        <v>13875</v>
      </c>
      <c r="S647" s="36" t="str">
        <f>HYPERLINK("http://ms.phosphosite.org:5080/cgi-bin/plot-msms.cgi?MassType=1&amp;NumAxis=1&amp;Mod15=170&amp;Mod16=147&amp;Pep=SEAAADREDDPNFFKMVEGFFDR&amp;Dta=/var/www/html/dta/S01/10562.14082.3.dta&amp;Global_Mod=CS57.0215", "14082")</f>
        <v>14082</v>
      </c>
      <c r="T647" s="36" t="str">
        <f>HYPERLINK("http://ms.phosphosite.org:5080/cgi-bin/plot-msms.cgi?MassType=1&amp;NumAxis=1&amp;Mod15=170&amp;Mod16=147&amp;Pep=SEAAADREDDPNFFKMVEGFFDR&amp;Dta=/var/www/html/dta/S01/10563.14025.3.dta&amp;Global_Mod=CS57.0215", "14025")</f>
        <v>14025</v>
      </c>
      <c r="U647" s="36" t="str">
        <f>HYPERLINK("http://ms.phosphosite.org:5080/cgi-bin/plot-msms.cgi?MassType=1&amp;NumAxis=1&amp;Mod15=170&amp;Mod16=147&amp;Pep=SEAAADREDDPNFFKMVEGFFDR&amp;Dta=/var/www/html/dta/S01/10564.14692.3.dta&amp;Global_Mod=CS57.0215", "14692")</f>
        <v>14692</v>
      </c>
      <c r="V647" s="35" t="s">
        <v>4854</v>
      </c>
      <c r="W647" s="5">
        <v>13847</v>
      </c>
      <c r="X647" s="5">
        <v>13902</v>
      </c>
      <c r="Y647" s="5">
        <v>13892</v>
      </c>
      <c r="Z647" s="5">
        <v>13887</v>
      </c>
      <c r="AA647" s="5">
        <v>14074</v>
      </c>
      <c r="AB647" s="5">
        <v>14017</v>
      </c>
      <c r="AC647" s="5">
        <v>14683</v>
      </c>
      <c r="AD647" s="3" t="s">
        <v>4854</v>
      </c>
      <c r="AE647" s="90">
        <v>4.282</v>
      </c>
      <c r="AF647" s="90">
        <v>5.1619999999999999</v>
      </c>
      <c r="AG647" s="90">
        <v>5.0750000000000002</v>
      </c>
      <c r="AH647" s="90">
        <v>4.8739999999999997</v>
      </c>
      <c r="AI647" s="90">
        <v>3.6720000000000002</v>
      </c>
      <c r="AJ647" s="90">
        <v>4.0940000000000003</v>
      </c>
      <c r="AK647" s="90">
        <v>4.2939999999999996</v>
      </c>
      <c r="AL647" s="99" t="s">
        <v>4854</v>
      </c>
      <c r="AM647" s="21">
        <v>1.4764999999999999</v>
      </c>
      <c r="AN647" s="21">
        <v>1.5077</v>
      </c>
      <c r="AO647" s="21">
        <v>1.7970999999999999</v>
      </c>
      <c r="AP647" s="21">
        <v>1.5549999999999999</v>
      </c>
      <c r="AQ647" s="21">
        <v>0.91779999999999995</v>
      </c>
      <c r="AR647" s="21">
        <v>2.2536</v>
      </c>
      <c r="AS647" s="21">
        <v>1.2555000000000001</v>
      </c>
      <c r="AT647" s="102" t="s">
        <v>4854</v>
      </c>
      <c r="AU647" s="21">
        <v>0.53400000000000003</v>
      </c>
      <c r="AV647" s="21">
        <v>0.438</v>
      </c>
      <c r="AW647" s="21">
        <v>0.54600000000000004</v>
      </c>
      <c r="AX647" s="21">
        <v>0.36599999999999999</v>
      </c>
      <c r="AY647" s="21">
        <v>0.41</v>
      </c>
      <c r="AZ647" s="21">
        <v>0.45200000000000001</v>
      </c>
      <c r="BA647" s="21">
        <v>0.41099999999999998</v>
      </c>
      <c r="BB647" s="102" t="s">
        <v>4854</v>
      </c>
      <c r="BC647" s="5">
        <v>1</v>
      </c>
      <c r="BD647" s="5">
        <v>1</v>
      </c>
      <c r="BE647" s="5">
        <v>1</v>
      </c>
      <c r="BF647" s="5">
        <v>1</v>
      </c>
      <c r="BG647" s="5">
        <v>1</v>
      </c>
      <c r="BH647" s="5">
        <v>1</v>
      </c>
      <c r="BI647" s="5">
        <v>1</v>
      </c>
      <c r="BJ647" s="3" t="s">
        <v>4854</v>
      </c>
      <c r="BK647" s="90">
        <v>1</v>
      </c>
      <c r="BL647" s="90">
        <v>1</v>
      </c>
      <c r="BM647" s="90">
        <v>1</v>
      </c>
      <c r="BN647" s="90">
        <v>1</v>
      </c>
      <c r="BO647" s="90">
        <v>0.98399999999999999</v>
      </c>
      <c r="BP647" s="90">
        <v>1</v>
      </c>
      <c r="BQ647" s="90">
        <v>1</v>
      </c>
      <c r="BR647" s="99" t="s">
        <v>4854</v>
      </c>
      <c r="BS647" s="5" t="s">
        <v>4857</v>
      </c>
    </row>
    <row r="648" spans="1:71" s="30" customFormat="1" ht="17.100000000000001" customHeight="1">
      <c r="A648" s="14">
        <v>637</v>
      </c>
      <c r="B648" s="5" t="s">
        <v>2519</v>
      </c>
      <c r="C648" s="3" t="s">
        <v>2686</v>
      </c>
      <c r="D648" s="3" t="s">
        <v>2495</v>
      </c>
      <c r="E648" s="6" t="s">
        <v>2496</v>
      </c>
      <c r="F648" s="5" t="s">
        <v>5126</v>
      </c>
      <c r="G648" s="3" t="s">
        <v>2497</v>
      </c>
      <c r="H648" s="6" t="s">
        <v>2498</v>
      </c>
      <c r="I648" s="3" t="s">
        <v>2499</v>
      </c>
      <c r="J648" s="5" t="s">
        <v>4653</v>
      </c>
      <c r="K648" s="3" t="s">
        <v>5717</v>
      </c>
      <c r="L648" s="3" t="s">
        <v>2518</v>
      </c>
      <c r="M648" s="5">
        <v>3</v>
      </c>
      <c r="N648" s="21">
        <v>917.73789999999997</v>
      </c>
      <c r="O648" s="35" t="s">
        <v>4854</v>
      </c>
      <c r="P648" s="35" t="s">
        <v>4854</v>
      </c>
      <c r="Q648" s="35" t="s">
        <v>4854</v>
      </c>
      <c r="R648" s="36" t="str">
        <f>HYPERLINK("http://ms.phosphosite.org:5080/cgi-bin/plot-msms.cgi?MassType=1&amp;NumAxis=1&amp;Mod15=170&amp;Mod16=147&amp;Pep=SEAAADREDDPNFFKMVEGFFDR&amp;Dta=/var/www/html/dta/S01/10561.13895.3.dta&amp;Global_Mod=CS57.0215", "13895")</f>
        <v>13895</v>
      </c>
      <c r="S648" s="35" t="s">
        <v>4854</v>
      </c>
      <c r="T648" s="35" t="s">
        <v>4854</v>
      </c>
      <c r="U648" s="35" t="s">
        <v>4854</v>
      </c>
      <c r="V648" s="35" t="s">
        <v>4854</v>
      </c>
      <c r="W648" s="3" t="s">
        <v>4854</v>
      </c>
      <c r="X648" s="3" t="s">
        <v>4854</v>
      </c>
      <c r="Y648" s="3" t="s">
        <v>4854</v>
      </c>
      <c r="Z648" s="3" t="s">
        <v>4854</v>
      </c>
      <c r="AA648" s="3" t="s">
        <v>4854</v>
      </c>
      <c r="AB648" s="3" t="s">
        <v>4854</v>
      </c>
      <c r="AC648" s="3" t="s">
        <v>4854</v>
      </c>
      <c r="AD648" s="3" t="s">
        <v>4854</v>
      </c>
      <c r="AE648" s="99" t="s">
        <v>4854</v>
      </c>
      <c r="AF648" s="99" t="s">
        <v>4854</v>
      </c>
      <c r="AG648" s="99" t="s">
        <v>4854</v>
      </c>
      <c r="AH648" s="90">
        <v>3.8639999999999999</v>
      </c>
      <c r="AI648" s="99" t="s">
        <v>4854</v>
      </c>
      <c r="AJ648" s="99" t="s">
        <v>4854</v>
      </c>
      <c r="AK648" s="99" t="s">
        <v>4854</v>
      </c>
      <c r="AL648" s="99" t="s">
        <v>4854</v>
      </c>
      <c r="AM648" s="102" t="s">
        <v>4854</v>
      </c>
      <c r="AN648" s="102" t="s">
        <v>4854</v>
      </c>
      <c r="AO648" s="102" t="s">
        <v>4854</v>
      </c>
      <c r="AP648" s="21">
        <v>1.5549999999999999</v>
      </c>
      <c r="AQ648" s="102" t="s">
        <v>4854</v>
      </c>
      <c r="AR648" s="102" t="s">
        <v>4854</v>
      </c>
      <c r="AS648" s="102" t="s">
        <v>4854</v>
      </c>
      <c r="AT648" s="102" t="s">
        <v>4854</v>
      </c>
      <c r="AU648" s="102" t="s">
        <v>4854</v>
      </c>
      <c r="AV648" s="102" t="s">
        <v>4854</v>
      </c>
      <c r="AW648" s="102" t="s">
        <v>4854</v>
      </c>
      <c r="AX648" s="21">
        <v>0.308</v>
      </c>
      <c r="AY648" s="102" t="s">
        <v>4854</v>
      </c>
      <c r="AZ648" s="102" t="s">
        <v>4854</v>
      </c>
      <c r="BA648" s="102" t="s">
        <v>4854</v>
      </c>
      <c r="BB648" s="102" t="s">
        <v>4854</v>
      </c>
      <c r="BC648" s="3" t="s">
        <v>4854</v>
      </c>
      <c r="BD648" s="3" t="s">
        <v>4854</v>
      </c>
      <c r="BE648" s="3" t="s">
        <v>4854</v>
      </c>
      <c r="BF648" s="5">
        <v>1</v>
      </c>
      <c r="BG648" s="3" t="s">
        <v>4854</v>
      </c>
      <c r="BH648" s="3" t="s">
        <v>4854</v>
      </c>
      <c r="BI648" s="3" t="s">
        <v>4854</v>
      </c>
      <c r="BJ648" s="3" t="s">
        <v>4854</v>
      </c>
      <c r="BK648" s="99" t="s">
        <v>4854</v>
      </c>
      <c r="BL648" s="99" t="s">
        <v>4854</v>
      </c>
      <c r="BM648" s="99" t="s">
        <v>4854</v>
      </c>
      <c r="BN648" s="90">
        <v>0.93899999999999995</v>
      </c>
      <c r="BO648" s="99" t="s">
        <v>4854</v>
      </c>
      <c r="BP648" s="99" t="s">
        <v>4854</v>
      </c>
      <c r="BQ648" s="99" t="s">
        <v>4854</v>
      </c>
      <c r="BR648" s="99" t="s">
        <v>4854</v>
      </c>
      <c r="BS648" s="5" t="s">
        <v>4857</v>
      </c>
    </row>
    <row r="649" spans="1:71" s="30" customFormat="1" ht="17.100000000000001" customHeight="1">
      <c r="A649" s="10">
        <v>638</v>
      </c>
      <c r="B649" s="10" t="s">
        <v>2520</v>
      </c>
      <c r="C649" s="4" t="s">
        <v>2686</v>
      </c>
      <c r="D649" s="4" t="s">
        <v>2495</v>
      </c>
      <c r="E649" s="7" t="s">
        <v>2496</v>
      </c>
      <c r="F649" s="10" t="s">
        <v>4996</v>
      </c>
      <c r="G649" s="4" t="s">
        <v>2497</v>
      </c>
      <c r="H649" s="7" t="s">
        <v>2498</v>
      </c>
      <c r="I649" s="4" t="s">
        <v>2499</v>
      </c>
      <c r="J649" s="10" t="s">
        <v>4653</v>
      </c>
      <c r="K649" s="4" t="s">
        <v>5718</v>
      </c>
      <c r="L649" s="4" t="s">
        <v>2521</v>
      </c>
      <c r="M649" s="10">
        <v>2</v>
      </c>
      <c r="N649" s="95">
        <v>779.4221</v>
      </c>
      <c r="O649" s="37" t="str">
        <f>HYPERLINK("http://ms.phosphosite.org:5080/cgi-bin/plot-msms.cgi?MassType=1&amp;NumAxis=1&amp;Mod8=170&amp;Pep=GASIVEDKLVEDLK&amp;Dta=/var/www/html/dta/S01/10558.10935.2.dta&amp;Global_Mod=CS57.0215", "10935")</f>
        <v>10935</v>
      </c>
      <c r="P649" s="37" t="str">
        <f>HYPERLINK("http://ms.phosphosite.org:5080/cgi-bin/plot-msms.cgi?MassType=1&amp;NumAxis=1&amp;Mod8=170&amp;Pep=GASIVEDKLVEDLK&amp;Dta=/var/www/html/dta/S01/10559.10944.2.dta&amp;Global_Mod=CS57.0215", "10944")</f>
        <v>10944</v>
      </c>
      <c r="Q649" s="37" t="str">
        <f>HYPERLINK("http://ms.phosphosite.org:5080/cgi-bin/plot-msms.cgi?MassType=1&amp;NumAxis=1&amp;Mod8=170&amp;Pep=GASIVEDKLVEDLK&amp;Dta=/var/www/html/dta/S01/10560.10959.2.dta&amp;Global_Mod=CS57.0215", "10959")</f>
        <v>10959</v>
      </c>
      <c r="R649" s="37" t="str">
        <f>HYPERLINK("http://ms.phosphosite.org:5080/cgi-bin/plot-msms.cgi?MassType=1&amp;NumAxis=1&amp;Mod8=170&amp;Pep=GASIVEDKLVEDLK&amp;Dta=/var/www/html/dta/S01/10561.11000.2.dta&amp;Global_Mod=CS57.0215", "11000")</f>
        <v>11000</v>
      </c>
      <c r="S649" s="37" t="str">
        <f>HYPERLINK("http://ms.phosphosite.org:5080/cgi-bin/plot-msms.cgi?MassType=1&amp;NumAxis=1&amp;Mod8=170&amp;Pep=GASIVEDKLVEDLK&amp;Dta=/var/www/html/dta/S01/10562.11174.2.dta&amp;Global_Mod=CS57.0215", "11174")</f>
        <v>11174</v>
      </c>
      <c r="T649" s="37" t="str">
        <f>HYPERLINK("http://ms.phosphosite.org:5080/cgi-bin/plot-msms.cgi?MassType=1&amp;NumAxis=1&amp;Mod8=170&amp;Pep=GASIVEDKLVEDLK&amp;Dta=/var/www/html/dta/S01/10563.11116.2.dta&amp;Global_Mod=CS57.0215", "11116")</f>
        <v>11116</v>
      </c>
      <c r="U649" s="37" t="str">
        <f>HYPERLINK("http://ms.phosphosite.org:5080/cgi-bin/plot-msms.cgi?MassType=1&amp;NumAxis=1&amp;Mod8=170&amp;Pep=GASIVEDKLVEDLK&amp;Dta=/var/www/html/dta/S01/10564.11677.2.dta&amp;Global_Mod=CS57.0215", "11677")</f>
        <v>11677</v>
      </c>
      <c r="V649" s="37" t="str">
        <f>HYPERLINK("http://ms.phosphosite.org:5080/cgi-bin/plot-msms.cgi?MassType=1&amp;NumAxis=1&amp;Mod8=170&amp;Pep=GASIVEDKLVEDLK&amp;Dta=/var/www/html/dta/S01/10565.11581.2.dta&amp;Global_Mod=CS57.0215", "11581")</f>
        <v>11581</v>
      </c>
      <c r="W649" s="10">
        <v>10943</v>
      </c>
      <c r="X649" s="10">
        <v>10954</v>
      </c>
      <c r="Y649" s="10">
        <v>10966</v>
      </c>
      <c r="Z649" s="10">
        <v>11005</v>
      </c>
      <c r="AA649" s="10">
        <v>11170</v>
      </c>
      <c r="AB649" s="10">
        <v>11135</v>
      </c>
      <c r="AC649" s="10">
        <v>11669</v>
      </c>
      <c r="AD649" s="10">
        <v>11590</v>
      </c>
      <c r="AE649" s="91">
        <v>3.5059999999999998</v>
      </c>
      <c r="AF649" s="91">
        <v>3.4740000000000002</v>
      </c>
      <c r="AG649" s="91">
        <v>3.1890000000000001</v>
      </c>
      <c r="AH649" s="91">
        <v>3.41</v>
      </c>
      <c r="AI649" s="91">
        <v>3.1269999999999998</v>
      </c>
      <c r="AJ649" s="91">
        <v>3.448</v>
      </c>
      <c r="AK649" s="91">
        <v>3.4380000000000002</v>
      </c>
      <c r="AL649" s="91">
        <v>2.6669999999999998</v>
      </c>
      <c r="AM649" s="95">
        <v>0.4899</v>
      </c>
      <c r="AN649" s="95">
        <v>0.65490000000000004</v>
      </c>
      <c r="AO649" s="95">
        <v>0.92959999999999998</v>
      </c>
      <c r="AP649" s="95">
        <v>0.90910000000000002</v>
      </c>
      <c r="AQ649" s="95">
        <v>0.57079999999999997</v>
      </c>
      <c r="AR649" s="95">
        <v>0.67220000000000002</v>
      </c>
      <c r="AS649" s="95">
        <v>0.41739999999999999</v>
      </c>
      <c r="AT649" s="95">
        <v>0.36149999999999999</v>
      </c>
      <c r="AU649" s="95">
        <v>0.32200000000000001</v>
      </c>
      <c r="AV649" s="95">
        <v>0.28000000000000003</v>
      </c>
      <c r="AW649" s="95">
        <v>0.27700000000000002</v>
      </c>
      <c r="AX649" s="95">
        <v>0.309</v>
      </c>
      <c r="AY649" s="95">
        <v>0.217</v>
      </c>
      <c r="AZ649" s="95">
        <v>0.39300000000000002</v>
      </c>
      <c r="BA649" s="95">
        <v>0.33800000000000002</v>
      </c>
      <c r="BB649" s="95">
        <v>0.20699999999999999</v>
      </c>
      <c r="BC649" s="10">
        <v>1</v>
      </c>
      <c r="BD649" s="10">
        <v>1</v>
      </c>
      <c r="BE649" s="10">
        <v>1</v>
      </c>
      <c r="BF649" s="10">
        <v>1</v>
      </c>
      <c r="BG649" s="10">
        <v>1</v>
      </c>
      <c r="BH649" s="10">
        <v>1</v>
      </c>
      <c r="BI649" s="10">
        <v>1</v>
      </c>
      <c r="BJ649" s="10">
        <v>62</v>
      </c>
      <c r="BK649" s="91">
        <v>1</v>
      </c>
      <c r="BL649" s="91">
        <v>1</v>
      </c>
      <c r="BM649" s="91">
        <v>1</v>
      </c>
      <c r="BN649" s="91">
        <v>1</v>
      </c>
      <c r="BO649" s="91">
        <v>0.999</v>
      </c>
      <c r="BP649" s="91">
        <v>1</v>
      </c>
      <c r="BQ649" s="91">
        <v>1</v>
      </c>
      <c r="BR649" s="91">
        <v>0.99199999999999999</v>
      </c>
      <c r="BS649" s="10" t="s">
        <v>4857</v>
      </c>
    </row>
    <row r="650" spans="1:71" s="30" customFormat="1" ht="17.100000000000001" customHeight="1">
      <c r="A650" s="10">
        <v>639</v>
      </c>
      <c r="B650" s="10" t="s">
        <v>2522</v>
      </c>
      <c r="C650" s="4" t="s">
        <v>2686</v>
      </c>
      <c r="D650" s="4" t="s">
        <v>2495</v>
      </c>
      <c r="E650" s="7" t="s">
        <v>2496</v>
      </c>
      <c r="F650" s="10" t="s">
        <v>4996</v>
      </c>
      <c r="G650" s="4" t="s">
        <v>2497</v>
      </c>
      <c r="H650" s="7" t="s">
        <v>2498</v>
      </c>
      <c r="I650" s="4" t="s">
        <v>2499</v>
      </c>
      <c r="J650" s="10" t="s">
        <v>4653</v>
      </c>
      <c r="K650" s="4" t="s">
        <v>5718</v>
      </c>
      <c r="L650" s="4" t="s">
        <v>2523</v>
      </c>
      <c r="M650" s="10">
        <v>3</v>
      </c>
      <c r="N650" s="95">
        <v>605.66679999999997</v>
      </c>
      <c r="O650" s="38" t="s">
        <v>4854</v>
      </c>
      <c r="P650" s="38" t="s">
        <v>4854</v>
      </c>
      <c r="Q650" s="38" t="s">
        <v>4854</v>
      </c>
      <c r="R650" s="38" t="s">
        <v>4854</v>
      </c>
      <c r="S650" s="38" t="s">
        <v>4854</v>
      </c>
      <c r="T650" s="38" t="s">
        <v>4854</v>
      </c>
      <c r="U650" s="37" t="str">
        <f>HYPERLINK("http://ms.phosphosite.org:5080/cgi-bin/plot-msms.cgi?MassType=1&amp;NumAxis=1&amp;Mod8=170&amp;Pep=GASIVEDKLVEDLKTR&amp;Dta=/var/www/html/dta/S01/10564.10809.3.dta&amp;Global_Mod=CS57.0215", "10809")</f>
        <v>10809</v>
      </c>
      <c r="V650" s="37" t="str">
        <f>HYPERLINK("http://ms.phosphosite.org:5080/cgi-bin/plot-msms.cgi?MassType=1&amp;NumAxis=1&amp;Mod8=170&amp;Pep=GASIVEDKLVEDLKTR&amp;Dta=/var/www/html/dta/S01/10565.10787.3.dta&amp;Global_Mod=CS57.0215", "10787")</f>
        <v>10787</v>
      </c>
      <c r="W650" s="4" t="s">
        <v>4854</v>
      </c>
      <c r="X650" s="4" t="s">
        <v>4854</v>
      </c>
      <c r="Y650" s="4" t="s">
        <v>4854</v>
      </c>
      <c r="Z650" s="4" t="s">
        <v>4854</v>
      </c>
      <c r="AA650" s="4" t="s">
        <v>4854</v>
      </c>
      <c r="AB650" s="4" t="s">
        <v>4854</v>
      </c>
      <c r="AC650" s="10">
        <v>10808</v>
      </c>
      <c r="AD650" s="10">
        <v>10772</v>
      </c>
      <c r="AE650" s="100" t="s">
        <v>4854</v>
      </c>
      <c r="AF650" s="100" t="s">
        <v>4854</v>
      </c>
      <c r="AG650" s="100" t="s">
        <v>4854</v>
      </c>
      <c r="AH650" s="100" t="s">
        <v>4854</v>
      </c>
      <c r="AI650" s="100" t="s">
        <v>4854</v>
      </c>
      <c r="AJ650" s="100" t="s">
        <v>4854</v>
      </c>
      <c r="AK650" s="91">
        <v>2.851</v>
      </c>
      <c r="AL650" s="91">
        <v>2.758</v>
      </c>
      <c r="AM650" s="103" t="s">
        <v>4854</v>
      </c>
      <c r="AN650" s="103" t="s">
        <v>4854</v>
      </c>
      <c r="AO650" s="103" t="s">
        <v>4854</v>
      </c>
      <c r="AP650" s="103" t="s">
        <v>4854</v>
      </c>
      <c r="AQ650" s="103" t="s">
        <v>4854</v>
      </c>
      <c r="AR650" s="103" t="s">
        <v>4854</v>
      </c>
      <c r="AS650" s="95">
        <v>0.66979999999999995</v>
      </c>
      <c r="AT650" s="95">
        <v>0.23230000000000001</v>
      </c>
      <c r="AU650" s="103" t="s">
        <v>4854</v>
      </c>
      <c r="AV650" s="103" t="s">
        <v>4854</v>
      </c>
      <c r="AW650" s="103" t="s">
        <v>4854</v>
      </c>
      <c r="AX650" s="103" t="s">
        <v>4854</v>
      </c>
      <c r="AY650" s="103" t="s">
        <v>4854</v>
      </c>
      <c r="AZ650" s="103" t="s">
        <v>4854</v>
      </c>
      <c r="BA650" s="95">
        <v>0.36</v>
      </c>
      <c r="BB650" s="95">
        <v>0.252</v>
      </c>
      <c r="BC650" s="4" t="s">
        <v>4854</v>
      </c>
      <c r="BD650" s="4" t="s">
        <v>4854</v>
      </c>
      <c r="BE650" s="4" t="s">
        <v>4854</v>
      </c>
      <c r="BF650" s="4" t="s">
        <v>4854</v>
      </c>
      <c r="BG650" s="4" t="s">
        <v>4854</v>
      </c>
      <c r="BH650" s="4" t="s">
        <v>4854</v>
      </c>
      <c r="BI650" s="10">
        <v>1</v>
      </c>
      <c r="BJ650" s="10">
        <v>10</v>
      </c>
      <c r="BK650" s="100" t="s">
        <v>4854</v>
      </c>
      <c r="BL650" s="100" t="s">
        <v>4854</v>
      </c>
      <c r="BM650" s="100" t="s">
        <v>4854</v>
      </c>
      <c r="BN650" s="100" t="s">
        <v>4854</v>
      </c>
      <c r="BO650" s="100" t="s">
        <v>4854</v>
      </c>
      <c r="BP650" s="100" t="s">
        <v>4854</v>
      </c>
      <c r="BQ650" s="91">
        <v>1</v>
      </c>
      <c r="BR650" s="91">
        <v>0.998</v>
      </c>
      <c r="BS650" s="10" t="s">
        <v>4857</v>
      </c>
    </row>
    <row r="651" spans="1:71" s="30" customFormat="1" ht="17.100000000000001" customHeight="1">
      <c r="A651" s="14">
        <v>640</v>
      </c>
      <c r="B651" s="5" t="s">
        <v>2524</v>
      </c>
      <c r="C651" s="3" t="s">
        <v>2686</v>
      </c>
      <c r="D651" s="3" t="s">
        <v>2495</v>
      </c>
      <c r="E651" s="6" t="s">
        <v>2496</v>
      </c>
      <c r="F651" s="5" t="s">
        <v>5035</v>
      </c>
      <c r="G651" s="3" t="s">
        <v>2497</v>
      </c>
      <c r="H651" s="6" t="s">
        <v>2498</v>
      </c>
      <c r="I651" s="3" t="s">
        <v>2499</v>
      </c>
      <c r="J651" s="5" t="s">
        <v>4653</v>
      </c>
      <c r="K651" s="3" t="s">
        <v>5719</v>
      </c>
      <c r="L651" s="3" t="s">
        <v>2525</v>
      </c>
      <c r="M651" s="5">
        <v>2</v>
      </c>
      <c r="N651" s="21">
        <v>907.99649999999997</v>
      </c>
      <c r="O651" s="36" t="str">
        <f>HYPERLINK("http://ms.phosphosite.org:5080/cgi-bin/plot-msms.cgi?MassType=1&amp;NumAxis=1&amp;Mod14=170&amp;Pep=GASIVEDKLVEDLKTR&amp;Dta=/var/www/html/dta/S01/10558.9445.2.dta&amp;Global_Mod=CS57.0215", "9445")</f>
        <v>9445</v>
      </c>
      <c r="P651" s="36" t="str">
        <f>HYPERLINK("http://ms.phosphosite.org:5080/cgi-bin/plot-msms.cgi?MassType=1&amp;NumAxis=1&amp;Mod14=170&amp;Pep=GASIVEDKLVEDLKTR&amp;Dta=/var/www/html/dta/S01/10559.9415.2.dta&amp;Global_Mod=CS57.0215", "9415")</f>
        <v>9415</v>
      </c>
      <c r="Q651" s="36" t="str">
        <f>HYPERLINK("http://ms.phosphosite.org:5080/cgi-bin/plot-msms.cgi?MassType=1&amp;NumAxis=1&amp;Mod14=170&amp;Pep=GASIVEDKLVEDLKTR&amp;Dta=/var/www/html/dta/S01/10560.9420.2.dta&amp;Global_Mod=CS57.0215", "9420")</f>
        <v>9420</v>
      </c>
      <c r="R651" s="36" t="str">
        <f>HYPERLINK("http://ms.phosphosite.org:5080/cgi-bin/plot-msms.cgi?MassType=1&amp;NumAxis=1&amp;Mod14=170&amp;Pep=GASIVEDKLVEDLKTR&amp;Dta=/var/www/html/dta/S01/10561.9422.2.dta&amp;Global_Mod=CS57.0215", "9422")</f>
        <v>9422</v>
      </c>
      <c r="S651" s="36" t="str">
        <f>HYPERLINK("http://ms.phosphosite.org:5080/cgi-bin/plot-msms.cgi?MassType=1&amp;NumAxis=1&amp;Mod14=170&amp;Pep=GASIVEDKLVEDLKTR&amp;Dta=/var/www/html/dta/S01/10562.9611.2.dta&amp;Global_Mod=CS57.0215", "9611")</f>
        <v>9611</v>
      </c>
      <c r="T651" s="35" t="s">
        <v>4854</v>
      </c>
      <c r="U651" s="36" t="str">
        <f>HYPERLINK("http://ms.phosphosite.org:5080/cgi-bin/plot-msms.cgi?MassType=1&amp;NumAxis=1&amp;Mod14=170&amp;Pep=GASIVEDKLVEDLKTR&amp;Dta=/var/www/html/dta/S01/10564.10045.2.dta&amp;Global_Mod=CS57.0215", "10045")</f>
        <v>10045</v>
      </c>
      <c r="V651" s="36" t="str">
        <f>HYPERLINK("http://ms.phosphosite.org:5080/cgi-bin/plot-msms.cgi?MassType=1&amp;NumAxis=1&amp;Mod14=170&amp;Pep=GASIVEDKLVEDLKTR&amp;Dta=/var/www/html/dta/S01/10565.9979.2.dta&amp;Global_Mod=CS57.0215", "9979")</f>
        <v>9979</v>
      </c>
      <c r="W651" s="5">
        <v>9459</v>
      </c>
      <c r="X651" s="5">
        <v>9418</v>
      </c>
      <c r="Y651" s="5">
        <v>9457</v>
      </c>
      <c r="Z651" s="5">
        <v>9429</v>
      </c>
      <c r="AA651" s="5">
        <v>9612</v>
      </c>
      <c r="AB651" s="3" t="s">
        <v>4854</v>
      </c>
      <c r="AC651" s="5">
        <v>10060</v>
      </c>
      <c r="AD651" s="5">
        <v>9991</v>
      </c>
      <c r="AE651" s="90">
        <v>4.6929999999999996</v>
      </c>
      <c r="AF651" s="90">
        <v>4.5389999999999997</v>
      </c>
      <c r="AG651" s="90">
        <v>4.4039999999999999</v>
      </c>
      <c r="AH651" s="90">
        <v>3.2120000000000002</v>
      </c>
      <c r="AI651" s="90">
        <v>3.766</v>
      </c>
      <c r="AJ651" s="99" t="s">
        <v>4854</v>
      </c>
      <c r="AK651" s="90">
        <v>2.9750000000000001</v>
      </c>
      <c r="AL651" s="90">
        <v>4.4619999999999997</v>
      </c>
      <c r="AM651" s="21">
        <v>0.65380000000000005</v>
      </c>
      <c r="AN651" s="21">
        <v>0.7359</v>
      </c>
      <c r="AO651" s="21">
        <v>0.81310000000000004</v>
      </c>
      <c r="AP651" s="21">
        <v>0.96840000000000004</v>
      </c>
      <c r="AQ651" s="21">
        <v>0.88690000000000002</v>
      </c>
      <c r="AR651" s="102" t="s">
        <v>4854</v>
      </c>
      <c r="AS651" s="21">
        <v>0.91439999999999999</v>
      </c>
      <c r="AT651" s="21">
        <v>0.6472</v>
      </c>
      <c r="AU651" s="21">
        <v>0.376</v>
      </c>
      <c r="AV651" s="21">
        <v>0.39</v>
      </c>
      <c r="AW651" s="21">
        <v>0.41799999999999998</v>
      </c>
      <c r="AX651" s="21">
        <v>0.374</v>
      </c>
      <c r="AY651" s="21">
        <v>0.34100000000000003</v>
      </c>
      <c r="AZ651" s="102" t="s">
        <v>4854</v>
      </c>
      <c r="BA651" s="21">
        <v>0.39300000000000002</v>
      </c>
      <c r="BB651" s="21">
        <v>0.36599999999999999</v>
      </c>
      <c r="BC651" s="5">
        <v>1</v>
      </c>
      <c r="BD651" s="5">
        <v>1</v>
      </c>
      <c r="BE651" s="5">
        <v>1</v>
      </c>
      <c r="BF651" s="5">
        <v>1</v>
      </c>
      <c r="BG651" s="5">
        <v>1</v>
      </c>
      <c r="BH651" s="3" t="s">
        <v>4854</v>
      </c>
      <c r="BI651" s="5">
        <v>1</v>
      </c>
      <c r="BJ651" s="5">
        <v>1</v>
      </c>
      <c r="BK651" s="90">
        <v>1</v>
      </c>
      <c r="BL651" s="90">
        <v>1</v>
      </c>
      <c r="BM651" s="90">
        <v>1</v>
      </c>
      <c r="BN651" s="90">
        <v>1</v>
      </c>
      <c r="BO651" s="90">
        <v>1</v>
      </c>
      <c r="BP651" s="99" t="s">
        <v>4854</v>
      </c>
      <c r="BQ651" s="90">
        <v>1</v>
      </c>
      <c r="BR651" s="90">
        <v>1</v>
      </c>
      <c r="BS651" s="5" t="s">
        <v>4857</v>
      </c>
    </row>
    <row r="652" spans="1:71" s="30" customFormat="1" ht="17.100000000000001" customHeight="1">
      <c r="A652" s="14">
        <v>641</v>
      </c>
      <c r="B652" s="5" t="s">
        <v>2526</v>
      </c>
      <c r="C652" s="3" t="s">
        <v>2686</v>
      </c>
      <c r="D652" s="3" t="s">
        <v>2495</v>
      </c>
      <c r="E652" s="6" t="s">
        <v>2496</v>
      </c>
      <c r="F652" s="5" t="s">
        <v>5035</v>
      </c>
      <c r="G652" s="3" t="s">
        <v>2497</v>
      </c>
      <c r="H652" s="6" t="s">
        <v>2498</v>
      </c>
      <c r="I652" s="3" t="s">
        <v>2499</v>
      </c>
      <c r="J652" s="5" t="s">
        <v>4653</v>
      </c>
      <c r="K652" s="3" t="s">
        <v>5719</v>
      </c>
      <c r="L652" s="3" t="s">
        <v>2525</v>
      </c>
      <c r="M652" s="5">
        <v>3</v>
      </c>
      <c r="N652" s="21">
        <v>605.66679999999997</v>
      </c>
      <c r="O652" s="36" t="str">
        <f>HYPERLINK("http://ms.phosphosite.org:5080/cgi-bin/plot-msms.cgi?MassType=1&amp;NumAxis=1&amp;Mod14=170&amp;Pep=GASIVEDKLVEDLKTR&amp;Dta=/var/www/html/dta/S01/10558.9505.3.dta&amp;Global_Mod=CS57.0215", "9505")</f>
        <v>9505</v>
      </c>
      <c r="P652" s="36" t="str">
        <f>HYPERLINK("http://ms.phosphosite.org:5080/cgi-bin/plot-msms.cgi?MassType=1&amp;NumAxis=1&amp;Mod14=170&amp;Pep=GASIVEDKLVEDLKTR&amp;Dta=/var/www/html/dta/S01/10559.9389.3.dta&amp;Global_Mod=CS57.0215", "9389")</f>
        <v>9389</v>
      </c>
      <c r="Q652" s="36" t="str">
        <f>HYPERLINK("http://ms.phosphosite.org:5080/cgi-bin/plot-msms.cgi?MassType=1&amp;NumAxis=1&amp;Mod14=170&amp;Pep=GASIVEDKLVEDLKTR&amp;Dta=/var/www/html/dta/S01/10560.9392.3.dta&amp;Global_Mod=CS57.0215", "9392")</f>
        <v>9392</v>
      </c>
      <c r="R652" s="36" t="str">
        <f>HYPERLINK("http://ms.phosphosite.org:5080/cgi-bin/plot-msms.cgi?MassType=1&amp;NumAxis=1&amp;Mod14=170&amp;Pep=GASIVEDKLVEDLKTR&amp;Dta=/var/www/html/dta/S01/10561.9399.3.dta&amp;Global_Mod=CS57.0215", "9399")</f>
        <v>9399</v>
      </c>
      <c r="S652" s="36" t="str">
        <f>HYPERLINK("http://ms.phosphosite.org:5080/cgi-bin/plot-msms.cgi?MassType=1&amp;NumAxis=1&amp;Mod14=170&amp;Pep=GASIVEDKLVEDLKTR&amp;Dta=/var/www/html/dta/S01/10562.9613.3.dta&amp;Global_Mod=CS57.0215", "9613")</f>
        <v>9613</v>
      </c>
      <c r="T652" s="36" t="str">
        <f>HYPERLINK("http://ms.phosphosite.org:5080/cgi-bin/plot-msms.cgi?MassType=1&amp;NumAxis=1&amp;Mod14=170&amp;Pep=GASIVEDKLVEDLKTR&amp;Dta=/var/www/html/dta/S01/10563.9556.3.dta&amp;Global_Mod=CS57.0215", "9556")</f>
        <v>9556</v>
      </c>
      <c r="U652" s="36" t="str">
        <f>HYPERLINK("http://ms.phosphosite.org:5080/cgi-bin/plot-msms.cgi?MassType=1&amp;NumAxis=1&amp;Mod14=170&amp;Pep=GASIVEDKLVEDLKTR&amp;Dta=/var/www/html/dta/S01/10564.10015.3.dta&amp;Global_Mod=CS57.0215", "10015")</f>
        <v>10015</v>
      </c>
      <c r="V652" s="36" t="str">
        <f>HYPERLINK("http://ms.phosphosite.org:5080/cgi-bin/plot-msms.cgi?MassType=1&amp;NumAxis=1&amp;Mod14=170&amp;Pep=GASIVEDKLVEDLKTR&amp;Dta=/var/www/html/dta/S01/10565.10049.3.dta&amp;Global_Mod=CS57.0215", "10049")</f>
        <v>10049</v>
      </c>
      <c r="W652" s="5">
        <v>9459</v>
      </c>
      <c r="X652" s="5">
        <v>9418</v>
      </c>
      <c r="Y652" s="5">
        <v>9435</v>
      </c>
      <c r="Z652" s="5">
        <v>9429</v>
      </c>
      <c r="AA652" s="5">
        <v>9612</v>
      </c>
      <c r="AB652" s="5">
        <v>9544</v>
      </c>
      <c r="AC652" s="5">
        <v>10060</v>
      </c>
      <c r="AD652" s="5">
        <v>9991</v>
      </c>
      <c r="AE652" s="90">
        <v>5.0010000000000003</v>
      </c>
      <c r="AF652" s="90">
        <v>5.1420000000000003</v>
      </c>
      <c r="AG652" s="90">
        <v>3.327</v>
      </c>
      <c r="AH652" s="90">
        <v>4.1900000000000004</v>
      </c>
      <c r="AI652" s="90">
        <v>5.3179999999999996</v>
      </c>
      <c r="AJ652" s="90">
        <v>5.032</v>
      </c>
      <c r="AK652" s="90">
        <v>2.5329999999999999</v>
      </c>
      <c r="AL652" s="90">
        <v>3.9580000000000002</v>
      </c>
      <c r="AM652" s="21">
        <v>0.43230000000000002</v>
      </c>
      <c r="AN652" s="21">
        <v>0.45550000000000002</v>
      </c>
      <c r="AO652" s="21">
        <v>0.52539999999999998</v>
      </c>
      <c r="AP652" s="21">
        <v>0.59870000000000001</v>
      </c>
      <c r="AQ652" s="21">
        <v>0.38879999999999998</v>
      </c>
      <c r="AR652" s="21">
        <v>0.38109999999999999</v>
      </c>
      <c r="AS652" s="21">
        <v>0.65659999999999996</v>
      </c>
      <c r="AT652" s="21">
        <v>0.21640000000000001</v>
      </c>
      <c r="AU652" s="21">
        <v>0.32100000000000001</v>
      </c>
      <c r="AV652" s="21">
        <v>0.32400000000000001</v>
      </c>
      <c r="AW652" s="21">
        <v>0.23</v>
      </c>
      <c r="AX652" s="21">
        <v>0.28499999999999998</v>
      </c>
      <c r="AY652" s="21">
        <v>0.32300000000000001</v>
      </c>
      <c r="AZ652" s="21">
        <v>0.34</v>
      </c>
      <c r="BA652" s="21">
        <v>0.11799999999999999</v>
      </c>
      <c r="BB652" s="21">
        <v>0.25600000000000001</v>
      </c>
      <c r="BC652" s="5">
        <v>1</v>
      </c>
      <c r="BD652" s="5">
        <v>1</v>
      </c>
      <c r="BE652" s="5">
        <v>1</v>
      </c>
      <c r="BF652" s="5">
        <v>1</v>
      </c>
      <c r="BG652" s="5">
        <v>1</v>
      </c>
      <c r="BH652" s="5">
        <v>1</v>
      </c>
      <c r="BI652" s="5">
        <v>5</v>
      </c>
      <c r="BJ652" s="5">
        <v>1</v>
      </c>
      <c r="BK652" s="90">
        <v>1</v>
      </c>
      <c r="BL652" s="90">
        <v>1</v>
      </c>
      <c r="BM652" s="90">
        <v>0.999</v>
      </c>
      <c r="BN652" s="90">
        <v>1</v>
      </c>
      <c r="BO652" s="90">
        <v>1</v>
      </c>
      <c r="BP652" s="90">
        <v>1</v>
      </c>
      <c r="BQ652" s="90">
        <v>0.98599999999999999</v>
      </c>
      <c r="BR652" s="90">
        <v>1</v>
      </c>
      <c r="BS652" s="5" t="s">
        <v>4857</v>
      </c>
    </row>
    <row r="653" spans="1:71" s="30" customFormat="1" ht="17.100000000000001" customHeight="1">
      <c r="A653" s="14">
        <v>642</v>
      </c>
      <c r="B653" s="5" t="s">
        <v>2527</v>
      </c>
      <c r="C653" s="3" t="s">
        <v>2686</v>
      </c>
      <c r="D653" s="3" t="s">
        <v>2495</v>
      </c>
      <c r="E653" s="6" t="s">
        <v>2496</v>
      </c>
      <c r="F653" s="5" t="s">
        <v>5035</v>
      </c>
      <c r="G653" s="3" t="s">
        <v>2497</v>
      </c>
      <c r="H653" s="6" t="s">
        <v>2498</v>
      </c>
      <c r="I653" s="3" t="s">
        <v>2499</v>
      </c>
      <c r="J653" s="5" t="s">
        <v>4653</v>
      </c>
      <c r="K653" s="3" t="s">
        <v>5719</v>
      </c>
      <c r="L653" s="3" t="s">
        <v>2525</v>
      </c>
      <c r="M653" s="5">
        <v>3</v>
      </c>
      <c r="N653" s="21">
        <v>605.66679999999997</v>
      </c>
      <c r="O653" s="35" t="s">
        <v>4854</v>
      </c>
      <c r="P653" s="35" t="s">
        <v>4854</v>
      </c>
      <c r="Q653" s="35" t="s">
        <v>4854</v>
      </c>
      <c r="R653" s="36" t="str">
        <f>HYPERLINK("http://ms.phosphosite.org:5080/cgi-bin/plot-msms.cgi?MassType=1&amp;NumAxis=1&amp;Mod14=170&amp;Pep=GASIVEDKLVEDLKTR&amp;Dta=/var/www/html/dta/S01/10561.9497.3.dta&amp;Global_Mod=CS57.0215", "9497")</f>
        <v>9497</v>
      </c>
      <c r="S653" s="35" t="s">
        <v>4854</v>
      </c>
      <c r="T653" s="35" t="s">
        <v>4854</v>
      </c>
      <c r="U653" s="35" t="s">
        <v>4854</v>
      </c>
      <c r="V653" s="35" t="s">
        <v>4854</v>
      </c>
      <c r="W653" s="3" t="s">
        <v>4854</v>
      </c>
      <c r="X653" s="3" t="s">
        <v>4854</v>
      </c>
      <c r="Y653" s="3" t="s">
        <v>4854</v>
      </c>
      <c r="Z653" s="5">
        <v>9429</v>
      </c>
      <c r="AA653" s="3" t="s">
        <v>4854</v>
      </c>
      <c r="AB653" s="3" t="s">
        <v>4854</v>
      </c>
      <c r="AC653" s="3" t="s">
        <v>4854</v>
      </c>
      <c r="AD653" s="3" t="s">
        <v>4854</v>
      </c>
      <c r="AE653" s="99" t="s">
        <v>4854</v>
      </c>
      <c r="AF653" s="99" t="s">
        <v>4854</v>
      </c>
      <c r="AG653" s="99" t="s">
        <v>4854</v>
      </c>
      <c r="AH653" s="90">
        <v>3.0720000000000001</v>
      </c>
      <c r="AI653" s="99" t="s">
        <v>4854</v>
      </c>
      <c r="AJ653" s="99" t="s">
        <v>4854</v>
      </c>
      <c r="AK653" s="99" t="s">
        <v>4854</v>
      </c>
      <c r="AL653" s="99" t="s">
        <v>4854</v>
      </c>
      <c r="AM653" s="102" t="s">
        <v>4854</v>
      </c>
      <c r="AN653" s="102" t="s">
        <v>4854</v>
      </c>
      <c r="AO653" s="102" t="s">
        <v>4854</v>
      </c>
      <c r="AP653" s="21">
        <v>0.6048</v>
      </c>
      <c r="AQ653" s="102" t="s">
        <v>4854</v>
      </c>
      <c r="AR653" s="102" t="s">
        <v>4854</v>
      </c>
      <c r="AS653" s="102" t="s">
        <v>4854</v>
      </c>
      <c r="AT653" s="102" t="s">
        <v>4854</v>
      </c>
      <c r="AU653" s="102" t="s">
        <v>4854</v>
      </c>
      <c r="AV653" s="102" t="s">
        <v>4854</v>
      </c>
      <c r="AW653" s="102" t="s">
        <v>4854</v>
      </c>
      <c r="AX653" s="21">
        <v>0.251</v>
      </c>
      <c r="AY653" s="102" t="s">
        <v>4854</v>
      </c>
      <c r="AZ653" s="102" t="s">
        <v>4854</v>
      </c>
      <c r="BA653" s="102" t="s">
        <v>4854</v>
      </c>
      <c r="BB653" s="102" t="s">
        <v>4854</v>
      </c>
      <c r="BC653" s="3" t="s">
        <v>4854</v>
      </c>
      <c r="BD653" s="3" t="s">
        <v>4854</v>
      </c>
      <c r="BE653" s="3" t="s">
        <v>4854</v>
      </c>
      <c r="BF653" s="5">
        <v>1</v>
      </c>
      <c r="BG653" s="3" t="s">
        <v>4854</v>
      </c>
      <c r="BH653" s="3" t="s">
        <v>4854</v>
      </c>
      <c r="BI653" s="3" t="s">
        <v>4854</v>
      </c>
      <c r="BJ653" s="3" t="s">
        <v>4854</v>
      </c>
      <c r="BK653" s="99" t="s">
        <v>4854</v>
      </c>
      <c r="BL653" s="99" t="s">
        <v>4854</v>
      </c>
      <c r="BM653" s="99" t="s">
        <v>4854</v>
      </c>
      <c r="BN653" s="90">
        <v>0.999</v>
      </c>
      <c r="BO653" s="99" t="s">
        <v>4854</v>
      </c>
      <c r="BP653" s="99" t="s">
        <v>4854</v>
      </c>
      <c r="BQ653" s="99" t="s">
        <v>4854</v>
      </c>
      <c r="BR653" s="99" t="s">
        <v>4854</v>
      </c>
      <c r="BS653" s="5" t="s">
        <v>4857</v>
      </c>
    </row>
    <row r="654" spans="1:71" s="30" customFormat="1" ht="17.100000000000001" customHeight="1">
      <c r="A654" s="10">
        <v>643</v>
      </c>
      <c r="B654" s="10" t="s">
        <v>2528</v>
      </c>
      <c r="C654" s="4" t="s">
        <v>2686</v>
      </c>
      <c r="D654" s="4" t="s">
        <v>2529</v>
      </c>
      <c r="E654" s="4" t="s">
        <v>2530</v>
      </c>
      <c r="F654" s="10" t="s">
        <v>5201</v>
      </c>
      <c r="G654" s="4" t="s">
        <v>2531</v>
      </c>
      <c r="H654" s="7" t="s">
        <v>2532</v>
      </c>
      <c r="I654" s="4" t="s">
        <v>2533</v>
      </c>
      <c r="J654" s="10" t="s">
        <v>4716</v>
      </c>
      <c r="K654" s="4" t="s">
        <v>5720</v>
      </c>
      <c r="L654" s="4" t="s">
        <v>2534</v>
      </c>
      <c r="M654" s="10">
        <v>2</v>
      </c>
      <c r="N654" s="95">
        <v>437.23450000000003</v>
      </c>
      <c r="O654" s="37" t="str">
        <f>HYPERLINK("http://ms.phosphosite.org:5080/cgi-bin/plot-msms.cgi?MassType=1&amp;NumAxis=1&amp;Mod3=170&amp;Pep=FFKFSR&amp;Dta=/var/www/html/dta/S01/10558.7249.2.dta&amp;Global_Mod=CS57.0215", "7249")</f>
        <v>7249</v>
      </c>
      <c r="P654" s="37" t="str">
        <f>HYPERLINK("http://ms.phosphosite.org:5080/cgi-bin/plot-msms.cgi?MassType=1&amp;NumAxis=1&amp;Mod3=170&amp;Pep=FFKFSR&amp;Dta=/var/www/html/dta/S01/10559.7187.2.dta&amp;Global_Mod=CS57.0215", "7187")</f>
        <v>7187</v>
      </c>
      <c r="Q654" s="37" t="str">
        <f>HYPERLINK("http://ms.phosphosite.org:5080/cgi-bin/plot-msms.cgi?MassType=1&amp;NumAxis=1&amp;Mod3=170&amp;Pep=FFKFSR&amp;Dta=/var/www/html/dta/S01/10560.7170.2.dta&amp;Global_Mod=CS57.0215", "7170")</f>
        <v>7170</v>
      </c>
      <c r="R654" s="37" t="str">
        <f>HYPERLINK("http://ms.phosphosite.org:5080/cgi-bin/plot-msms.cgi?MassType=1&amp;NumAxis=1&amp;Mod3=170&amp;Pep=FFKFSR&amp;Dta=/var/www/html/dta/S01/10561.7210.2.dta&amp;Global_Mod=CS57.0215", "7210")</f>
        <v>7210</v>
      </c>
      <c r="S654" s="38" t="s">
        <v>4854</v>
      </c>
      <c r="T654" s="37" t="str">
        <f>HYPERLINK("http://ms.phosphosite.org:5080/cgi-bin/plot-msms.cgi?MassType=1&amp;NumAxis=1&amp;Mod3=170&amp;Pep=FFKFSR&amp;Dta=/var/www/html/dta/S01/10563.7290.2.dta&amp;Global_Mod=CS57.0215", "7290")</f>
        <v>7290</v>
      </c>
      <c r="U654" s="37" t="str">
        <f>HYPERLINK("http://ms.phosphosite.org:5080/cgi-bin/plot-msms.cgi?MassType=1&amp;NumAxis=1&amp;Mod3=170&amp;Pep=FFKFSR&amp;Dta=/var/www/html/dta/S01/10564.7719.2.dta&amp;Global_Mod=CS57.0215", "7719")</f>
        <v>7719</v>
      </c>
      <c r="V654" s="38" t="s">
        <v>4854</v>
      </c>
      <c r="W654" s="10">
        <v>7248</v>
      </c>
      <c r="X654" s="10">
        <v>7163</v>
      </c>
      <c r="Y654" s="10">
        <v>7158</v>
      </c>
      <c r="Z654" s="4" t="s">
        <v>4854</v>
      </c>
      <c r="AA654" s="4" t="s">
        <v>4854</v>
      </c>
      <c r="AB654" s="10">
        <v>7278</v>
      </c>
      <c r="AC654" s="4" t="s">
        <v>4854</v>
      </c>
      <c r="AD654" s="4" t="s">
        <v>4854</v>
      </c>
      <c r="AE654" s="91">
        <v>2.0569999999999999</v>
      </c>
      <c r="AF654" s="91">
        <v>1.9790000000000001</v>
      </c>
      <c r="AG654" s="91">
        <v>2.173</v>
      </c>
      <c r="AH654" s="91">
        <v>1.917</v>
      </c>
      <c r="AI654" s="100" t="s">
        <v>4854</v>
      </c>
      <c r="AJ654" s="91">
        <v>2.1760000000000002</v>
      </c>
      <c r="AK654" s="91">
        <v>1.952</v>
      </c>
      <c r="AL654" s="100" t="s">
        <v>4854</v>
      </c>
      <c r="AM654" s="95">
        <v>-0.29880000000000001</v>
      </c>
      <c r="AN654" s="95">
        <v>-0.43390000000000001</v>
      </c>
      <c r="AO654" s="95">
        <v>-0.43509999999999999</v>
      </c>
      <c r="AP654" s="95">
        <v>-0.62170000000000003</v>
      </c>
      <c r="AQ654" s="103" t="s">
        <v>4854</v>
      </c>
      <c r="AR654" s="95">
        <v>-0.42020000000000002</v>
      </c>
      <c r="AS654" s="95">
        <v>-0.21640000000000001</v>
      </c>
      <c r="AT654" s="103" t="s">
        <v>4854</v>
      </c>
      <c r="AU654" s="95">
        <v>0</v>
      </c>
      <c r="AV654" s="95">
        <v>0</v>
      </c>
      <c r="AW654" s="95">
        <v>0</v>
      </c>
      <c r="AX654" s="95">
        <v>0</v>
      </c>
      <c r="AY654" s="103" t="s">
        <v>4854</v>
      </c>
      <c r="AZ654" s="95">
        <v>0</v>
      </c>
      <c r="BA654" s="95">
        <v>0</v>
      </c>
      <c r="BB654" s="103" t="s">
        <v>4854</v>
      </c>
      <c r="BC654" s="10">
        <v>3</v>
      </c>
      <c r="BD654" s="10">
        <v>2</v>
      </c>
      <c r="BE654" s="10">
        <v>4</v>
      </c>
      <c r="BF654" s="10">
        <v>3</v>
      </c>
      <c r="BG654" s="4" t="s">
        <v>4854</v>
      </c>
      <c r="BH654" s="10">
        <v>2</v>
      </c>
      <c r="BI654" s="10">
        <v>4</v>
      </c>
      <c r="BJ654" s="4" t="s">
        <v>4854</v>
      </c>
      <c r="BK654" s="91">
        <v>0.96299999999999997</v>
      </c>
      <c r="BL654" s="91">
        <v>0.95899999999999996</v>
      </c>
      <c r="BM654" s="91">
        <v>0.97099999999999997</v>
      </c>
      <c r="BN654" s="91">
        <v>0.88800000000000001</v>
      </c>
      <c r="BO654" s="100" t="s">
        <v>4854</v>
      </c>
      <c r="BP654" s="91">
        <v>0.97699999999999998</v>
      </c>
      <c r="BQ654" s="91">
        <v>0.94499999999999995</v>
      </c>
      <c r="BR654" s="100" t="s">
        <v>4854</v>
      </c>
      <c r="BS654" s="10" t="s">
        <v>4857</v>
      </c>
    </row>
    <row r="655" spans="1:71" s="30" customFormat="1" ht="17.100000000000001" customHeight="1">
      <c r="A655" s="10">
        <v>644</v>
      </c>
      <c r="B655" s="10" t="s">
        <v>2535</v>
      </c>
      <c r="C655" s="4" t="s">
        <v>2686</v>
      </c>
      <c r="D655" s="4" t="s">
        <v>2529</v>
      </c>
      <c r="E655" s="4" t="s">
        <v>2530</v>
      </c>
      <c r="F655" s="10" t="s">
        <v>5201</v>
      </c>
      <c r="G655" s="4" t="s">
        <v>2531</v>
      </c>
      <c r="H655" s="7" t="s">
        <v>2532</v>
      </c>
      <c r="I655" s="4" t="s">
        <v>2533</v>
      </c>
      <c r="J655" s="10" t="s">
        <v>4716</v>
      </c>
      <c r="K655" s="4" t="s">
        <v>5720</v>
      </c>
      <c r="L655" s="4" t="s">
        <v>2534</v>
      </c>
      <c r="M655" s="10">
        <v>2</v>
      </c>
      <c r="N655" s="95">
        <v>437.23450000000003</v>
      </c>
      <c r="O655" s="37" t="str">
        <f>HYPERLINK("http://ms.phosphosite.org:5080/cgi-bin/plot-msms.cgi?MassType=1&amp;NumAxis=1&amp;Mod3=170&amp;Pep=FFKFSR&amp;Dta=/var/www/html/dta/S01/10558.7230.2.dta&amp;Global_Mod=CS57.0215", "7230")</f>
        <v>7230</v>
      </c>
      <c r="P655" s="38" t="s">
        <v>4854</v>
      </c>
      <c r="Q655" s="38" t="s">
        <v>4854</v>
      </c>
      <c r="R655" s="38" t="s">
        <v>4854</v>
      </c>
      <c r="S655" s="38" t="s">
        <v>4854</v>
      </c>
      <c r="T655" s="38" t="s">
        <v>4854</v>
      </c>
      <c r="U655" s="38" t="s">
        <v>4854</v>
      </c>
      <c r="V655" s="38" t="s">
        <v>4854</v>
      </c>
      <c r="W655" s="10">
        <v>7248</v>
      </c>
      <c r="X655" s="4" t="s">
        <v>4854</v>
      </c>
      <c r="Y655" s="4" t="s">
        <v>4854</v>
      </c>
      <c r="Z655" s="4" t="s">
        <v>4854</v>
      </c>
      <c r="AA655" s="4" t="s">
        <v>4854</v>
      </c>
      <c r="AB655" s="4" t="s">
        <v>4854</v>
      </c>
      <c r="AC655" s="4" t="s">
        <v>4854</v>
      </c>
      <c r="AD655" s="4" t="s">
        <v>4854</v>
      </c>
      <c r="AE655" s="91">
        <v>2.0270000000000001</v>
      </c>
      <c r="AF655" s="100" t="s">
        <v>4854</v>
      </c>
      <c r="AG655" s="100" t="s">
        <v>4854</v>
      </c>
      <c r="AH655" s="100" t="s">
        <v>4854</v>
      </c>
      <c r="AI655" s="100" t="s">
        <v>4854</v>
      </c>
      <c r="AJ655" s="100" t="s">
        <v>4854</v>
      </c>
      <c r="AK655" s="100" t="s">
        <v>4854</v>
      </c>
      <c r="AL655" s="100" t="s">
        <v>4854</v>
      </c>
      <c r="AM655" s="95">
        <v>-0.498</v>
      </c>
      <c r="AN655" s="103" t="s">
        <v>4854</v>
      </c>
      <c r="AO655" s="103" t="s">
        <v>4854</v>
      </c>
      <c r="AP655" s="103" t="s">
        <v>4854</v>
      </c>
      <c r="AQ655" s="103" t="s">
        <v>4854</v>
      </c>
      <c r="AR655" s="103" t="s">
        <v>4854</v>
      </c>
      <c r="AS655" s="103" t="s">
        <v>4854</v>
      </c>
      <c r="AT655" s="103" t="s">
        <v>4854</v>
      </c>
      <c r="AU655" s="95">
        <v>0</v>
      </c>
      <c r="AV655" s="103" t="s">
        <v>4854</v>
      </c>
      <c r="AW655" s="103" t="s">
        <v>4854</v>
      </c>
      <c r="AX655" s="103" t="s">
        <v>4854</v>
      </c>
      <c r="AY655" s="103" t="s">
        <v>4854</v>
      </c>
      <c r="AZ655" s="103" t="s">
        <v>4854</v>
      </c>
      <c r="BA655" s="103" t="s">
        <v>4854</v>
      </c>
      <c r="BB655" s="103" t="s">
        <v>4854</v>
      </c>
      <c r="BC655" s="10">
        <v>5</v>
      </c>
      <c r="BD655" s="4" t="s">
        <v>4854</v>
      </c>
      <c r="BE655" s="4" t="s">
        <v>4854</v>
      </c>
      <c r="BF655" s="4" t="s">
        <v>4854</v>
      </c>
      <c r="BG655" s="4" t="s">
        <v>4854</v>
      </c>
      <c r="BH655" s="4" t="s">
        <v>4854</v>
      </c>
      <c r="BI655" s="4" t="s">
        <v>4854</v>
      </c>
      <c r="BJ655" s="4" t="s">
        <v>4854</v>
      </c>
      <c r="BK655" s="91">
        <v>0.95299999999999996</v>
      </c>
      <c r="BL655" s="100" t="s">
        <v>4854</v>
      </c>
      <c r="BM655" s="100" t="s">
        <v>4854</v>
      </c>
      <c r="BN655" s="100" t="s">
        <v>4854</v>
      </c>
      <c r="BO655" s="100" t="s">
        <v>4854</v>
      </c>
      <c r="BP655" s="100" t="s">
        <v>4854</v>
      </c>
      <c r="BQ655" s="100" t="s">
        <v>4854</v>
      </c>
      <c r="BR655" s="100" t="s">
        <v>4854</v>
      </c>
      <c r="BS655" s="10" t="s">
        <v>4857</v>
      </c>
    </row>
    <row r="656" spans="1:71" s="30" customFormat="1" ht="17.100000000000001" customHeight="1">
      <c r="A656" s="14">
        <v>645</v>
      </c>
      <c r="B656" s="5" t="s">
        <v>2536</v>
      </c>
      <c r="C656" s="3" t="s">
        <v>2686</v>
      </c>
      <c r="D656" s="3" t="s">
        <v>2529</v>
      </c>
      <c r="E656" s="3" t="s">
        <v>2530</v>
      </c>
      <c r="F656" s="5" t="s">
        <v>5076</v>
      </c>
      <c r="G656" s="3" t="s">
        <v>2531</v>
      </c>
      <c r="H656" s="6" t="s">
        <v>2532</v>
      </c>
      <c r="I656" s="3" t="s">
        <v>2533</v>
      </c>
      <c r="J656" s="5" t="s">
        <v>4716</v>
      </c>
      <c r="K656" s="3" t="s">
        <v>5721</v>
      </c>
      <c r="L656" s="3" t="s">
        <v>2537</v>
      </c>
      <c r="M656" s="5">
        <v>2</v>
      </c>
      <c r="N656" s="21">
        <v>833.41129999999998</v>
      </c>
      <c r="O656" s="36" t="str">
        <f>HYPERLINK("http://ms.phosphosite.org:5080/cgi-bin/plot-msms.cgi?MassType=1&amp;NumAxis=1&amp;Mod8=160&amp;Mod9=170&amp;Pep=VGAFTVVCKDAEEAK&amp;Dta=/var/www/html/dta/S01/10558.7714.2.dta&amp;Global_Mod=CS57.0215", "7714")</f>
        <v>7714</v>
      </c>
      <c r="P656" s="36" t="str">
        <f>HYPERLINK("http://ms.phosphosite.org:5080/cgi-bin/plot-msms.cgi?MassType=1&amp;NumAxis=1&amp;Mod8=160&amp;Mod9=170&amp;Pep=VGAFTVVCKDAEEAK&amp;Dta=/var/www/html/dta/S01/10559.7675.2.dta&amp;Global_Mod=CS57.0215", "7675")</f>
        <v>7675</v>
      </c>
      <c r="Q656" s="36" t="str">
        <f>HYPERLINK("http://ms.phosphosite.org:5080/cgi-bin/plot-msms.cgi?MassType=1&amp;NumAxis=1&amp;Mod8=160&amp;Mod9=170&amp;Pep=VGAFTVVCKDAEEAK&amp;Dta=/var/www/html/dta/S01/10560.7638.2.dta&amp;Global_Mod=CS57.0215", "7638")</f>
        <v>7638</v>
      </c>
      <c r="R656" s="36" t="str">
        <f>HYPERLINK("http://ms.phosphosite.org:5080/cgi-bin/plot-msms.cgi?MassType=1&amp;NumAxis=1&amp;Mod8=160&amp;Mod9=170&amp;Pep=VGAFTVVCKDAEEAK&amp;Dta=/var/www/html/dta/S01/10561.7683.2.dta&amp;Global_Mod=CS57.0215", "7683")</f>
        <v>7683</v>
      </c>
      <c r="S656" s="36" t="str">
        <f>HYPERLINK("http://ms.phosphosite.org:5080/cgi-bin/plot-msms.cgi?MassType=1&amp;NumAxis=1&amp;Mod8=160&amp;Mod9=170&amp;Pep=VGAFTVVCKDAEEAK&amp;Dta=/var/www/html/dta/S01/10562.7805.2.dta&amp;Global_Mod=CS57.0215", "7805")</f>
        <v>7805</v>
      </c>
      <c r="T656" s="36" t="str">
        <f>HYPERLINK("http://ms.phosphosite.org:5080/cgi-bin/plot-msms.cgi?MassType=1&amp;NumAxis=1&amp;Mod8=160&amp;Mod9=170&amp;Pep=VGAFTVVCKDAEEAK&amp;Dta=/var/www/html/dta/S01/10563.7813.2.dta&amp;Global_Mod=CS57.0215", "7813")</f>
        <v>7813</v>
      </c>
      <c r="U656" s="36" t="str">
        <f>HYPERLINK("http://ms.phosphosite.org:5080/cgi-bin/plot-msms.cgi?MassType=1&amp;NumAxis=1&amp;Mod8=160&amp;Mod9=170&amp;Pep=VGAFTVVCKDAEEAK&amp;Dta=/var/www/html/dta/S01/10564.8187.2.dta&amp;Global_Mod=CS57.0215", "8187")</f>
        <v>8187</v>
      </c>
      <c r="V656" s="36" t="str">
        <f>HYPERLINK("http://ms.phosphosite.org:5080/cgi-bin/plot-msms.cgi?MassType=1&amp;NumAxis=1&amp;Mod8=160&amp;Mod9=170&amp;Pep=VGAFTVVCKDAEEAK&amp;Dta=/var/www/html/dta/S01/10565.8229.2.dta&amp;Global_Mod=CS57.0215", "8229")</f>
        <v>8229</v>
      </c>
      <c r="W656" s="5">
        <v>7732</v>
      </c>
      <c r="X656" s="5">
        <v>7658</v>
      </c>
      <c r="Y656" s="5">
        <v>7664</v>
      </c>
      <c r="Z656" s="5">
        <v>7680</v>
      </c>
      <c r="AA656" s="5">
        <v>7797</v>
      </c>
      <c r="AB656" s="5">
        <v>7784</v>
      </c>
      <c r="AC656" s="5">
        <v>8190</v>
      </c>
      <c r="AD656" s="5">
        <v>8242</v>
      </c>
      <c r="AE656" s="90">
        <v>3.5209999999999999</v>
      </c>
      <c r="AF656" s="90">
        <v>3.516</v>
      </c>
      <c r="AG656" s="90">
        <v>3.323</v>
      </c>
      <c r="AH656" s="90">
        <v>3.4860000000000002</v>
      </c>
      <c r="AI656" s="90">
        <v>3.552</v>
      </c>
      <c r="AJ656" s="90">
        <v>2.6179999999999999</v>
      </c>
      <c r="AK656" s="90">
        <v>4.085</v>
      </c>
      <c r="AL656" s="90">
        <v>3.2919999999999998</v>
      </c>
      <c r="AM656" s="21">
        <v>0.62939999999999996</v>
      </c>
      <c r="AN656" s="21">
        <v>0.82809999999999995</v>
      </c>
      <c r="AO656" s="21">
        <v>0.6</v>
      </c>
      <c r="AP656" s="21">
        <v>0.90200000000000002</v>
      </c>
      <c r="AQ656" s="21">
        <v>1.1558999999999999</v>
      </c>
      <c r="AR656" s="21">
        <v>0.66959999999999997</v>
      </c>
      <c r="AS656" s="21">
        <v>0.41510000000000002</v>
      </c>
      <c r="AT656" s="21">
        <v>0.307</v>
      </c>
      <c r="AU656" s="21">
        <v>0.34699999999999998</v>
      </c>
      <c r="AV656" s="21">
        <v>0.28499999999999998</v>
      </c>
      <c r="AW656" s="21">
        <v>0.40600000000000003</v>
      </c>
      <c r="AX656" s="21">
        <v>0.377</v>
      </c>
      <c r="AY656" s="21">
        <v>0.36199999999999999</v>
      </c>
      <c r="AZ656" s="21">
        <v>4.8000000000000001E-2</v>
      </c>
      <c r="BA656" s="21">
        <v>0.379</v>
      </c>
      <c r="BB656" s="21">
        <v>0.311</v>
      </c>
      <c r="BC656" s="5">
        <v>1</v>
      </c>
      <c r="BD656" s="5">
        <v>1</v>
      </c>
      <c r="BE656" s="5">
        <v>1</v>
      </c>
      <c r="BF656" s="5">
        <v>1</v>
      </c>
      <c r="BG656" s="5">
        <v>1</v>
      </c>
      <c r="BH656" s="5">
        <v>12</v>
      </c>
      <c r="BI656" s="5">
        <v>1</v>
      </c>
      <c r="BJ656" s="5">
        <v>1</v>
      </c>
      <c r="BK656" s="90">
        <v>1</v>
      </c>
      <c r="BL656" s="90">
        <v>1</v>
      </c>
      <c r="BM656" s="90">
        <v>1</v>
      </c>
      <c r="BN656" s="90">
        <v>1</v>
      </c>
      <c r="BO656" s="90">
        <v>1</v>
      </c>
      <c r="BP656" s="90">
        <v>0.96399999999999997</v>
      </c>
      <c r="BQ656" s="90">
        <v>1</v>
      </c>
      <c r="BR656" s="90">
        <v>1</v>
      </c>
      <c r="BS656" s="5" t="s">
        <v>4857</v>
      </c>
    </row>
    <row r="657" spans="1:71" s="30" customFormat="1" ht="17.100000000000001" customHeight="1">
      <c r="A657" s="10">
        <v>646</v>
      </c>
      <c r="B657" s="10" t="s">
        <v>2538</v>
      </c>
      <c r="C657" s="4" t="s">
        <v>2686</v>
      </c>
      <c r="D657" s="4" t="s">
        <v>2529</v>
      </c>
      <c r="E657" s="4" t="s">
        <v>2530</v>
      </c>
      <c r="F657" s="10" t="s">
        <v>5116</v>
      </c>
      <c r="G657" s="4" t="s">
        <v>2531</v>
      </c>
      <c r="H657" s="7" t="s">
        <v>2532</v>
      </c>
      <c r="I657" s="4" t="s">
        <v>2533</v>
      </c>
      <c r="J657" s="10" t="s">
        <v>4716</v>
      </c>
      <c r="K657" s="4" t="s">
        <v>5722</v>
      </c>
      <c r="L657" s="4" t="s">
        <v>2539</v>
      </c>
      <c r="M657" s="10">
        <v>2</v>
      </c>
      <c r="N657" s="95">
        <v>772.89940000000001</v>
      </c>
      <c r="O657" s="37" t="str">
        <f>HYPERLINK("http://ms.phosphosite.org:5080/cgi-bin/plot-msms.cgi?MassType=1&amp;NumAxis=1&amp;Mod6=170&amp;Pep=DAEEAKRVESQLK&amp;Dta=/var/www/html/dta/S01/10558.4920.2.dta&amp;Global_Mod=CS57.0215", "4920")</f>
        <v>4920</v>
      </c>
      <c r="P657" s="37" t="str">
        <f>HYPERLINK("http://ms.phosphosite.org:5080/cgi-bin/plot-msms.cgi?MassType=1&amp;NumAxis=1&amp;Mod6=170&amp;Pep=DAEEAKRVESQLK&amp;Dta=/var/www/html/dta/S01/10559.4807.2.dta&amp;Global_Mod=CS57.0215", "4807")</f>
        <v>4807</v>
      </c>
      <c r="Q657" s="38" t="s">
        <v>4854</v>
      </c>
      <c r="R657" s="37" t="str">
        <f>HYPERLINK("http://ms.phosphosite.org:5080/cgi-bin/plot-msms.cgi?MassType=1&amp;NumAxis=1&amp;Mod6=170&amp;Pep=DAEEAKRVESQLK&amp;Dta=/var/www/html/dta/S01/10561.4837.2.dta&amp;Global_Mod=CS57.0215", "4837")</f>
        <v>4837</v>
      </c>
      <c r="S657" s="37" t="str">
        <f>HYPERLINK("http://ms.phosphosite.org:5080/cgi-bin/plot-msms.cgi?MassType=1&amp;NumAxis=1&amp;Mod6=170&amp;Pep=DAEEAKRVESQLK&amp;Dta=/var/www/html/dta/S01/10562.4929.2.dta&amp;Global_Mod=CS57.0215", "4929")</f>
        <v>4929</v>
      </c>
      <c r="T657" s="37" t="str">
        <f>HYPERLINK("http://ms.phosphosite.org:5080/cgi-bin/plot-msms.cgi?MassType=1&amp;NumAxis=1&amp;Mod6=170&amp;Pep=DAEEAKRVESQLK&amp;Dta=/var/www/html/dta/S01/10563.4885.2.dta&amp;Global_Mod=CS57.0215", "4885")</f>
        <v>4885</v>
      </c>
      <c r="U657" s="37" t="str">
        <f>HYPERLINK("http://ms.phosphosite.org:5080/cgi-bin/plot-msms.cgi?MassType=1&amp;NumAxis=1&amp;Mod6=170&amp;Pep=DAEEAKRVESQLK&amp;Dta=/var/www/html/dta/S01/10564.5226.2.dta&amp;Global_Mod=CS57.0215", "5226")</f>
        <v>5226</v>
      </c>
      <c r="V657" s="37" t="str">
        <f>HYPERLINK("http://ms.phosphosite.org:5080/cgi-bin/plot-msms.cgi?MassType=1&amp;NumAxis=1&amp;Mod6=170&amp;Pep=DAEEAKRVESQLK&amp;Dta=/var/www/html/dta/S01/10565.5333.2.dta&amp;Global_Mod=CS57.0215", "5333")</f>
        <v>5333</v>
      </c>
      <c r="W657" s="10">
        <v>4933</v>
      </c>
      <c r="X657" s="10">
        <v>4833</v>
      </c>
      <c r="Y657" s="4" t="s">
        <v>4854</v>
      </c>
      <c r="Z657" s="10">
        <v>4842</v>
      </c>
      <c r="AA657" s="10">
        <v>4944</v>
      </c>
      <c r="AB657" s="10">
        <v>4892</v>
      </c>
      <c r="AC657" s="10">
        <v>5231</v>
      </c>
      <c r="AD657" s="10">
        <v>5339</v>
      </c>
      <c r="AE657" s="91">
        <v>2.72</v>
      </c>
      <c r="AF657" s="91">
        <v>2.5619999999999998</v>
      </c>
      <c r="AG657" s="100" t="s">
        <v>4854</v>
      </c>
      <c r="AH657" s="91">
        <v>3.0630000000000002</v>
      </c>
      <c r="AI657" s="91">
        <v>3.2450000000000001</v>
      </c>
      <c r="AJ657" s="91">
        <v>2.714</v>
      </c>
      <c r="AK657" s="91">
        <v>3.1520000000000001</v>
      </c>
      <c r="AL657" s="91">
        <v>3.27</v>
      </c>
      <c r="AM657" s="95">
        <v>9.6699999999999994E-2</v>
      </c>
      <c r="AN657" s="95">
        <v>-0.20949999999999999</v>
      </c>
      <c r="AO657" s="103" t="s">
        <v>4854</v>
      </c>
      <c r="AP657" s="95">
        <v>2.9999999999999997E-4</v>
      </c>
      <c r="AQ657" s="95">
        <v>-0.24379999999999999</v>
      </c>
      <c r="AR657" s="95">
        <v>0.41710000000000003</v>
      </c>
      <c r="AS657" s="95">
        <v>-7.2900000000000006E-2</v>
      </c>
      <c r="AT657" s="95">
        <v>-0.51049999999999995</v>
      </c>
      <c r="AU657" s="95">
        <v>2.5999999999999999E-2</v>
      </c>
      <c r="AV657" s="95">
        <v>7.9000000000000001E-2</v>
      </c>
      <c r="AW657" s="103" t="s">
        <v>4854</v>
      </c>
      <c r="AX657" s="95">
        <v>0.19500000000000001</v>
      </c>
      <c r="AY657" s="95">
        <v>0.20200000000000001</v>
      </c>
      <c r="AZ657" s="95">
        <v>0.03</v>
      </c>
      <c r="BA657" s="95">
        <v>0.20100000000000001</v>
      </c>
      <c r="BB657" s="95">
        <v>0.123</v>
      </c>
      <c r="BC657" s="10">
        <v>11</v>
      </c>
      <c r="BD657" s="10">
        <v>40</v>
      </c>
      <c r="BE657" s="4" t="s">
        <v>4854</v>
      </c>
      <c r="BF657" s="10">
        <v>3</v>
      </c>
      <c r="BG657" s="10">
        <v>1</v>
      </c>
      <c r="BH657" s="10">
        <v>34</v>
      </c>
      <c r="BI657" s="10">
        <v>6</v>
      </c>
      <c r="BJ657" s="10">
        <v>8</v>
      </c>
      <c r="BK657" s="91">
        <v>0.96799999999999997</v>
      </c>
      <c r="BL657" s="91">
        <v>0.96599999999999997</v>
      </c>
      <c r="BM657" s="100" t="s">
        <v>4854</v>
      </c>
      <c r="BN657" s="91">
        <v>0.998</v>
      </c>
      <c r="BO657" s="91">
        <v>0.999</v>
      </c>
      <c r="BP657" s="91">
        <v>0.95599999999999996</v>
      </c>
      <c r="BQ657" s="91">
        <v>0.998</v>
      </c>
      <c r="BR657" s="91">
        <v>0.99199999999999999</v>
      </c>
      <c r="BS657" s="10" t="s">
        <v>4857</v>
      </c>
    </row>
    <row r="658" spans="1:71" s="30" customFormat="1" ht="17.100000000000001" customHeight="1">
      <c r="A658" s="10">
        <v>647</v>
      </c>
      <c r="B658" s="10" t="s">
        <v>2540</v>
      </c>
      <c r="C658" s="4" t="s">
        <v>2686</v>
      </c>
      <c r="D658" s="4" t="s">
        <v>2529</v>
      </c>
      <c r="E658" s="4" t="s">
        <v>2530</v>
      </c>
      <c r="F658" s="10" t="s">
        <v>5116</v>
      </c>
      <c r="G658" s="4" t="s">
        <v>2531</v>
      </c>
      <c r="H658" s="7" t="s">
        <v>2532</v>
      </c>
      <c r="I658" s="4" t="s">
        <v>2533</v>
      </c>
      <c r="J658" s="10" t="s">
        <v>4716</v>
      </c>
      <c r="K658" s="4" t="s">
        <v>5722</v>
      </c>
      <c r="L658" s="4" t="s">
        <v>2539</v>
      </c>
      <c r="M658" s="10">
        <v>3</v>
      </c>
      <c r="N658" s="95">
        <v>515.60199999999998</v>
      </c>
      <c r="O658" s="38" t="s">
        <v>4854</v>
      </c>
      <c r="P658" s="38" t="s">
        <v>4854</v>
      </c>
      <c r="Q658" s="37" t="str">
        <f>HYPERLINK("http://ms.phosphosite.org:5080/cgi-bin/plot-msms.cgi?MassType=1&amp;NumAxis=1&amp;Mod6=170&amp;Pep=DAEEAKRVESQLK&amp;Dta=/var/www/html/dta/S01/10560.4817.3.dta&amp;Global_Mod=CS57.0215", "4817")</f>
        <v>4817</v>
      </c>
      <c r="R658" s="37" t="str">
        <f>HYPERLINK("http://ms.phosphosite.org:5080/cgi-bin/plot-msms.cgi?MassType=1&amp;NumAxis=1&amp;Mod6=170&amp;Pep=DAEEAKRVESQLK&amp;Dta=/var/www/html/dta/S01/10561.4854.3.dta&amp;Global_Mod=CS57.0215", "4854")</f>
        <v>4854</v>
      </c>
      <c r="S658" s="37" t="str">
        <f>HYPERLINK("http://ms.phosphosite.org:5080/cgi-bin/plot-msms.cgi?MassType=1&amp;NumAxis=1&amp;Mod6=170&amp;Pep=DAEEAKRVESQLK&amp;Dta=/var/www/html/dta/S01/10562.4956.3.dta&amp;Global_Mod=CS57.0215", "4956")</f>
        <v>4956</v>
      </c>
      <c r="T658" s="37" t="str">
        <f>HYPERLINK("http://ms.phosphosite.org:5080/cgi-bin/plot-msms.cgi?MassType=1&amp;NumAxis=1&amp;Mod6=170&amp;Pep=DAEEAKRVESQLK&amp;Dta=/var/www/html/dta/S01/10563.4894.3.dta&amp;Global_Mod=CS57.0215", "4894")</f>
        <v>4894</v>
      </c>
      <c r="U658" s="38" t="s">
        <v>4854</v>
      </c>
      <c r="V658" s="38" t="s">
        <v>4854</v>
      </c>
      <c r="W658" s="4" t="s">
        <v>4854</v>
      </c>
      <c r="X658" s="4" t="s">
        <v>4854</v>
      </c>
      <c r="Y658" s="10">
        <v>4815</v>
      </c>
      <c r="Z658" s="4" t="s">
        <v>4854</v>
      </c>
      <c r="AA658" s="10">
        <v>4944</v>
      </c>
      <c r="AB658" s="10">
        <v>4892</v>
      </c>
      <c r="AC658" s="4" t="s">
        <v>4854</v>
      </c>
      <c r="AD658" s="4" t="s">
        <v>4854</v>
      </c>
      <c r="AE658" s="100" t="s">
        <v>4854</v>
      </c>
      <c r="AF658" s="100" t="s">
        <v>4854</v>
      </c>
      <c r="AG658" s="91">
        <v>2.5720000000000001</v>
      </c>
      <c r="AH658" s="91">
        <v>1.9359999999999999</v>
      </c>
      <c r="AI658" s="91">
        <v>2.4860000000000002</v>
      </c>
      <c r="AJ658" s="91">
        <v>2.92</v>
      </c>
      <c r="AK658" s="100" t="s">
        <v>4854</v>
      </c>
      <c r="AL658" s="100" t="s">
        <v>4854</v>
      </c>
      <c r="AM658" s="103" t="s">
        <v>4854</v>
      </c>
      <c r="AN658" s="103" t="s">
        <v>4854</v>
      </c>
      <c r="AO658" s="95">
        <v>-0.1331</v>
      </c>
      <c r="AP658" s="95">
        <v>-0.1991</v>
      </c>
      <c r="AQ658" s="95">
        <v>-0.30270000000000002</v>
      </c>
      <c r="AR658" s="95">
        <v>-0.26129999999999998</v>
      </c>
      <c r="AS658" s="103" t="s">
        <v>4854</v>
      </c>
      <c r="AT658" s="103" t="s">
        <v>4854</v>
      </c>
      <c r="AU658" s="103" t="s">
        <v>4854</v>
      </c>
      <c r="AV658" s="103" t="s">
        <v>4854</v>
      </c>
      <c r="AW658" s="95">
        <v>0.13200000000000001</v>
      </c>
      <c r="AX658" s="95">
        <v>4.9000000000000002E-2</v>
      </c>
      <c r="AY658" s="95">
        <v>0.20599999999999999</v>
      </c>
      <c r="AZ658" s="95">
        <v>0.23300000000000001</v>
      </c>
      <c r="BA658" s="103" t="s">
        <v>4854</v>
      </c>
      <c r="BB658" s="103" t="s">
        <v>4854</v>
      </c>
      <c r="BC658" s="4" t="s">
        <v>4854</v>
      </c>
      <c r="BD658" s="4" t="s">
        <v>4854</v>
      </c>
      <c r="BE658" s="10">
        <v>53</v>
      </c>
      <c r="BF658" s="10">
        <v>522</v>
      </c>
      <c r="BG658" s="10">
        <v>239</v>
      </c>
      <c r="BH658" s="10">
        <v>2</v>
      </c>
      <c r="BI658" s="4" t="s">
        <v>4854</v>
      </c>
      <c r="BJ658" s="4" t="s">
        <v>4854</v>
      </c>
      <c r="BK658" s="100" t="s">
        <v>4854</v>
      </c>
      <c r="BL658" s="100" t="s">
        <v>4854</v>
      </c>
      <c r="BM658" s="91">
        <v>0.98399999999999999</v>
      </c>
      <c r="BN658" s="91">
        <v>0.80200000000000005</v>
      </c>
      <c r="BO658" s="91">
        <v>0.99</v>
      </c>
      <c r="BP658" s="91">
        <v>0.999</v>
      </c>
      <c r="BQ658" s="100" t="s">
        <v>4854</v>
      </c>
      <c r="BR658" s="100" t="s">
        <v>4854</v>
      </c>
      <c r="BS658" s="10" t="s">
        <v>4857</v>
      </c>
    </row>
    <row r="659" spans="1:71" s="30" customFormat="1" ht="17.100000000000001" customHeight="1">
      <c r="A659" s="10">
        <v>648</v>
      </c>
      <c r="B659" s="10" t="s">
        <v>2400</v>
      </c>
      <c r="C659" s="4" t="s">
        <v>2686</v>
      </c>
      <c r="D659" s="4" t="s">
        <v>2529</v>
      </c>
      <c r="E659" s="4" t="s">
        <v>2530</v>
      </c>
      <c r="F659" s="10" t="s">
        <v>5116</v>
      </c>
      <c r="G659" s="4" t="s">
        <v>2531</v>
      </c>
      <c r="H659" s="7" t="s">
        <v>2532</v>
      </c>
      <c r="I659" s="4" t="s">
        <v>2533</v>
      </c>
      <c r="J659" s="10" t="s">
        <v>4716</v>
      </c>
      <c r="K659" s="4" t="s">
        <v>5722</v>
      </c>
      <c r="L659" s="4" t="s">
        <v>2401</v>
      </c>
      <c r="M659" s="10">
        <v>3</v>
      </c>
      <c r="N659" s="95">
        <v>607.97699999999998</v>
      </c>
      <c r="O659" s="38" t="s">
        <v>4854</v>
      </c>
      <c r="P659" s="37" t="str">
        <f>HYPERLINK("http://ms.phosphosite.org:5080/cgi-bin/plot-msms.cgi?MassType=1&amp;NumAxis=1&amp;Mod8=160&amp;Mod15=170&amp;Pep=VGAFTVVCKDAEEAKR&amp;Dta=/var/www/html/dta/S01/10559.7007.3.dta&amp;Global_Mod=CS57.0215", "7007")</f>
        <v>7007</v>
      </c>
      <c r="Q659" s="37" t="str">
        <f>HYPERLINK("http://ms.phosphosite.org:5080/cgi-bin/plot-msms.cgi?MassType=1&amp;NumAxis=1&amp;Mod8=160&amp;Mod15=170&amp;Pep=VGAFTVVCKDAEEAKR&amp;Dta=/var/www/html/dta/S01/10560.6957.3.dta&amp;Global_Mod=CS57.0215", "6957")</f>
        <v>6957</v>
      </c>
      <c r="R659" s="37" t="str">
        <f>HYPERLINK("http://ms.phosphosite.org:5080/cgi-bin/plot-msms.cgi?MassType=1&amp;NumAxis=1&amp;Mod8=160&amp;Mod15=170&amp;Pep=VGAFTVVCKDAEEAKR&amp;Dta=/var/www/html/dta/S01/10561.7019.3.dta&amp;Global_Mod=CS57.0215", "7019")</f>
        <v>7019</v>
      </c>
      <c r="S659" s="38" t="s">
        <v>4854</v>
      </c>
      <c r="T659" s="38" t="s">
        <v>4854</v>
      </c>
      <c r="U659" s="38" t="s">
        <v>4854</v>
      </c>
      <c r="V659" s="38" t="s">
        <v>4854</v>
      </c>
      <c r="W659" s="4" t="s">
        <v>4854</v>
      </c>
      <c r="X659" s="10">
        <v>6998</v>
      </c>
      <c r="Y659" s="10">
        <v>6971</v>
      </c>
      <c r="Z659" s="10">
        <v>7031</v>
      </c>
      <c r="AA659" s="4" t="s">
        <v>4854</v>
      </c>
      <c r="AB659" s="4" t="s">
        <v>4854</v>
      </c>
      <c r="AC659" s="4" t="s">
        <v>4854</v>
      </c>
      <c r="AD659" s="4" t="s">
        <v>4854</v>
      </c>
      <c r="AE659" s="100" t="s">
        <v>4854</v>
      </c>
      <c r="AF659" s="91">
        <v>4.8710000000000004</v>
      </c>
      <c r="AG659" s="91">
        <v>3.9969999999999999</v>
      </c>
      <c r="AH659" s="91">
        <v>4.0839999999999996</v>
      </c>
      <c r="AI659" s="100" t="s">
        <v>4854</v>
      </c>
      <c r="AJ659" s="100" t="s">
        <v>4854</v>
      </c>
      <c r="AK659" s="100" t="s">
        <v>4854</v>
      </c>
      <c r="AL659" s="100" t="s">
        <v>4854</v>
      </c>
      <c r="AM659" s="103" t="s">
        <v>4854</v>
      </c>
      <c r="AN659" s="95">
        <v>0.70120000000000005</v>
      </c>
      <c r="AO659" s="95">
        <v>0.48659999999999998</v>
      </c>
      <c r="AP659" s="95">
        <v>0.89770000000000005</v>
      </c>
      <c r="AQ659" s="103" t="s">
        <v>4854</v>
      </c>
      <c r="AR659" s="103" t="s">
        <v>4854</v>
      </c>
      <c r="AS659" s="103" t="s">
        <v>4854</v>
      </c>
      <c r="AT659" s="103" t="s">
        <v>4854</v>
      </c>
      <c r="AU659" s="103" t="s">
        <v>4854</v>
      </c>
      <c r="AV659" s="95">
        <v>0.33400000000000002</v>
      </c>
      <c r="AW659" s="95">
        <v>0.36099999999999999</v>
      </c>
      <c r="AX659" s="95">
        <v>0.434</v>
      </c>
      <c r="AY659" s="103" t="s">
        <v>4854</v>
      </c>
      <c r="AZ659" s="103" t="s">
        <v>4854</v>
      </c>
      <c r="BA659" s="103" t="s">
        <v>4854</v>
      </c>
      <c r="BB659" s="103" t="s">
        <v>4854</v>
      </c>
      <c r="BC659" s="4" t="s">
        <v>4854</v>
      </c>
      <c r="BD659" s="10">
        <v>1</v>
      </c>
      <c r="BE659" s="10">
        <v>1</v>
      </c>
      <c r="BF659" s="10">
        <v>1</v>
      </c>
      <c r="BG659" s="4" t="s">
        <v>4854</v>
      </c>
      <c r="BH659" s="4" t="s">
        <v>4854</v>
      </c>
      <c r="BI659" s="4" t="s">
        <v>4854</v>
      </c>
      <c r="BJ659" s="4" t="s">
        <v>4854</v>
      </c>
      <c r="BK659" s="100" t="s">
        <v>4854</v>
      </c>
      <c r="BL659" s="91">
        <v>1</v>
      </c>
      <c r="BM659" s="91">
        <v>1</v>
      </c>
      <c r="BN659" s="91">
        <v>1</v>
      </c>
      <c r="BO659" s="100" t="s">
        <v>4854</v>
      </c>
      <c r="BP659" s="100" t="s">
        <v>4854</v>
      </c>
      <c r="BQ659" s="100" t="s">
        <v>4854</v>
      </c>
      <c r="BR659" s="100" t="s">
        <v>4854</v>
      </c>
      <c r="BS659" s="10" t="s">
        <v>4857</v>
      </c>
    </row>
    <row r="660" spans="1:71" s="30" customFormat="1" ht="17.100000000000001" customHeight="1">
      <c r="A660" s="10">
        <v>649</v>
      </c>
      <c r="B660" s="10" t="s">
        <v>2402</v>
      </c>
      <c r="C660" s="4" t="s">
        <v>2686</v>
      </c>
      <c r="D660" s="4" t="s">
        <v>2529</v>
      </c>
      <c r="E660" s="4" t="s">
        <v>2530</v>
      </c>
      <c r="F660" s="10" t="s">
        <v>5116</v>
      </c>
      <c r="G660" s="4" t="s">
        <v>2531</v>
      </c>
      <c r="H660" s="7" t="s">
        <v>2532</v>
      </c>
      <c r="I660" s="4" t="s">
        <v>2533</v>
      </c>
      <c r="J660" s="10" t="s">
        <v>4716</v>
      </c>
      <c r="K660" s="4" t="s">
        <v>5722</v>
      </c>
      <c r="L660" s="4" t="s">
        <v>2401</v>
      </c>
      <c r="M660" s="10">
        <v>3</v>
      </c>
      <c r="N660" s="95">
        <v>607.97699999999998</v>
      </c>
      <c r="O660" s="38" t="s">
        <v>4854</v>
      </c>
      <c r="P660" s="38" t="s">
        <v>4854</v>
      </c>
      <c r="Q660" s="37" t="str">
        <f>HYPERLINK("http://ms.phosphosite.org:5080/cgi-bin/plot-msms.cgi?MassType=1&amp;NumAxis=1&amp;Mod8=160&amp;Mod15=170&amp;Pep=VGAFTVVCKDAEEAKR&amp;Dta=/var/www/html/dta/S01/10560.6941.3.dta&amp;Global_Mod=CS57.0215", "6941")</f>
        <v>6941</v>
      </c>
      <c r="R660" s="38" t="s">
        <v>4854</v>
      </c>
      <c r="S660" s="38" t="s">
        <v>4854</v>
      </c>
      <c r="T660" s="38" t="s">
        <v>4854</v>
      </c>
      <c r="U660" s="38" t="s">
        <v>4854</v>
      </c>
      <c r="V660" s="38" t="s">
        <v>4854</v>
      </c>
      <c r="W660" s="4" t="s">
        <v>4854</v>
      </c>
      <c r="X660" s="4" t="s">
        <v>4854</v>
      </c>
      <c r="Y660" s="10">
        <v>6971</v>
      </c>
      <c r="Z660" s="4" t="s">
        <v>4854</v>
      </c>
      <c r="AA660" s="4" t="s">
        <v>4854</v>
      </c>
      <c r="AB660" s="4" t="s">
        <v>4854</v>
      </c>
      <c r="AC660" s="4" t="s">
        <v>4854</v>
      </c>
      <c r="AD660" s="4" t="s">
        <v>4854</v>
      </c>
      <c r="AE660" s="100" t="s">
        <v>4854</v>
      </c>
      <c r="AF660" s="100" t="s">
        <v>4854</v>
      </c>
      <c r="AG660" s="91">
        <v>2.64</v>
      </c>
      <c r="AH660" s="100" t="s">
        <v>4854</v>
      </c>
      <c r="AI660" s="100" t="s">
        <v>4854</v>
      </c>
      <c r="AJ660" s="100" t="s">
        <v>4854</v>
      </c>
      <c r="AK660" s="100" t="s">
        <v>4854</v>
      </c>
      <c r="AL660" s="100" t="s">
        <v>4854</v>
      </c>
      <c r="AM660" s="103" t="s">
        <v>4854</v>
      </c>
      <c r="AN660" s="103" t="s">
        <v>4854</v>
      </c>
      <c r="AO660" s="95">
        <v>0.48659999999999998</v>
      </c>
      <c r="AP660" s="103" t="s">
        <v>4854</v>
      </c>
      <c r="AQ660" s="103" t="s">
        <v>4854</v>
      </c>
      <c r="AR660" s="103" t="s">
        <v>4854</v>
      </c>
      <c r="AS660" s="103" t="s">
        <v>4854</v>
      </c>
      <c r="AT660" s="103" t="s">
        <v>4854</v>
      </c>
      <c r="AU660" s="103" t="s">
        <v>4854</v>
      </c>
      <c r="AV660" s="103" t="s">
        <v>4854</v>
      </c>
      <c r="AW660" s="95">
        <v>0.10199999999999999</v>
      </c>
      <c r="AX660" s="103" t="s">
        <v>4854</v>
      </c>
      <c r="AY660" s="103" t="s">
        <v>4854</v>
      </c>
      <c r="AZ660" s="103" t="s">
        <v>4854</v>
      </c>
      <c r="BA660" s="103" t="s">
        <v>4854</v>
      </c>
      <c r="BB660" s="103" t="s">
        <v>4854</v>
      </c>
      <c r="BC660" s="4" t="s">
        <v>4854</v>
      </c>
      <c r="BD660" s="4" t="s">
        <v>4854</v>
      </c>
      <c r="BE660" s="10">
        <v>1</v>
      </c>
      <c r="BF660" s="4" t="s">
        <v>4854</v>
      </c>
      <c r="BG660" s="4" t="s">
        <v>4854</v>
      </c>
      <c r="BH660" s="4" t="s">
        <v>4854</v>
      </c>
      <c r="BI660" s="4" t="s">
        <v>4854</v>
      </c>
      <c r="BJ660" s="4" t="s">
        <v>4854</v>
      </c>
      <c r="BK660" s="100" t="s">
        <v>4854</v>
      </c>
      <c r="BL660" s="100" t="s">
        <v>4854</v>
      </c>
      <c r="BM660" s="91">
        <v>0.99</v>
      </c>
      <c r="BN660" s="100" t="s">
        <v>4854</v>
      </c>
      <c r="BO660" s="100" t="s">
        <v>4854</v>
      </c>
      <c r="BP660" s="100" t="s">
        <v>4854</v>
      </c>
      <c r="BQ660" s="100" t="s">
        <v>4854</v>
      </c>
      <c r="BR660" s="100" t="s">
        <v>4854</v>
      </c>
      <c r="BS660" s="10" t="s">
        <v>4857</v>
      </c>
    </row>
    <row r="661" spans="1:71" s="30" customFormat="1" ht="17.100000000000001" customHeight="1">
      <c r="A661" s="14">
        <v>650</v>
      </c>
      <c r="B661" s="5" t="s">
        <v>2403</v>
      </c>
      <c r="C661" s="3" t="s">
        <v>2686</v>
      </c>
      <c r="D661" s="3" t="s">
        <v>2529</v>
      </c>
      <c r="E661" s="3" t="s">
        <v>2530</v>
      </c>
      <c r="F661" s="5" t="s">
        <v>5206</v>
      </c>
      <c r="G661" s="3" t="s">
        <v>2531</v>
      </c>
      <c r="H661" s="6" t="s">
        <v>2532</v>
      </c>
      <c r="I661" s="3" t="s">
        <v>2533</v>
      </c>
      <c r="J661" s="5" t="s">
        <v>4716</v>
      </c>
      <c r="K661" s="3" t="s">
        <v>5723</v>
      </c>
      <c r="L661" s="3" t="s">
        <v>2404</v>
      </c>
      <c r="M661" s="5">
        <v>2</v>
      </c>
      <c r="N661" s="21">
        <v>702.85760000000005</v>
      </c>
      <c r="O661" s="36" t="str">
        <f>HYPERLINK("http://ms.phosphosite.org:5080/cgi-bin/plot-msms.cgi?MassType=1&amp;NumAxis=1&amp;Mod3=170&amp;Mod9=147&amp;Pep=LTKEFSVYMTK&amp;Dta=/var/www/html/dta/S01/10558.6884.2.dta&amp;Global_Mod=CS57.0215", "6884")</f>
        <v>6884</v>
      </c>
      <c r="P661" s="36" t="str">
        <f>HYPERLINK("http://ms.phosphosite.org:5080/cgi-bin/plot-msms.cgi?MassType=1&amp;NumAxis=1&amp;Mod3=170&amp;Mod9=147&amp;Pep=LTKEFSVYMTK&amp;Dta=/var/www/html/dta/S01/10559.6825.2.dta&amp;Global_Mod=CS57.0215", "6825")</f>
        <v>6825</v>
      </c>
      <c r="Q661" s="36" t="str">
        <f>HYPERLINK("http://ms.phosphosite.org:5080/cgi-bin/plot-msms.cgi?MassType=1&amp;NumAxis=1&amp;Mod3=170&amp;Mod9=147&amp;Pep=LTKEFSVYMTK&amp;Dta=/var/www/html/dta/S01/10560.6823.2.dta&amp;Global_Mod=CS57.0215", "6823")</f>
        <v>6823</v>
      </c>
      <c r="R661" s="36" t="str">
        <f>HYPERLINK("http://ms.phosphosite.org:5080/cgi-bin/plot-msms.cgi?MassType=1&amp;NumAxis=1&amp;Mod3=170&amp;Mod9=147&amp;Pep=LTKEFSVYMTK&amp;Dta=/var/www/html/dta/S01/10561.6849.2.dta&amp;Global_Mod=CS57.0215", "6849")</f>
        <v>6849</v>
      </c>
      <c r="S661" s="36" t="str">
        <f>HYPERLINK("http://ms.phosphosite.org:5080/cgi-bin/plot-msms.cgi?MassType=1&amp;NumAxis=1&amp;Mod3=170&amp;Mod9=147&amp;Pep=LTKEFSVYMTK&amp;Dta=/var/www/html/dta/S01/10562.6993.2.dta&amp;Global_Mod=CS57.0215", "6993")</f>
        <v>6993</v>
      </c>
      <c r="T661" s="36" t="str">
        <f>HYPERLINK("http://ms.phosphosite.org:5080/cgi-bin/plot-msms.cgi?MassType=1&amp;NumAxis=1&amp;Mod3=170&amp;Mod9=147&amp;Pep=LTKEFSVYMTK&amp;Dta=/var/www/html/dta/S01/10563.6924.2.dta&amp;Global_Mod=CS57.0215", "6924")</f>
        <v>6924</v>
      </c>
      <c r="U661" s="36" t="str">
        <f>HYPERLINK("http://ms.phosphosite.org:5080/cgi-bin/plot-msms.cgi?MassType=1&amp;NumAxis=1&amp;Mod3=170&amp;Mod9=147&amp;Pep=LTKEFSVYMTK&amp;Dta=/var/www/html/dta/S01/10564.7306.2.dta&amp;Global_Mod=CS57.0215", "7306")</f>
        <v>7306</v>
      </c>
      <c r="V661" s="36" t="str">
        <f>HYPERLINK("http://ms.phosphosite.org:5080/cgi-bin/plot-msms.cgi?MassType=1&amp;NumAxis=1&amp;Mod3=170&amp;Mod9=147&amp;Pep=LTKEFSVYMTK&amp;Dta=/var/www/html/dta/S01/10565.7369.2.dta&amp;Global_Mod=CS57.0215", "7369")</f>
        <v>7369</v>
      </c>
      <c r="W661" s="5">
        <v>6896</v>
      </c>
      <c r="X661" s="5">
        <v>6833</v>
      </c>
      <c r="Y661" s="5">
        <v>6817</v>
      </c>
      <c r="Z661" s="5">
        <v>6844</v>
      </c>
      <c r="AA661" s="5">
        <v>6983</v>
      </c>
      <c r="AB661" s="5">
        <v>7113</v>
      </c>
      <c r="AC661" s="5">
        <v>7299</v>
      </c>
      <c r="AD661" s="5">
        <v>7384</v>
      </c>
      <c r="AE661" s="90">
        <v>2.5939999999999999</v>
      </c>
      <c r="AF661" s="90">
        <v>3.2770000000000001</v>
      </c>
      <c r="AG661" s="90">
        <v>3.0030000000000001</v>
      </c>
      <c r="AH661" s="90">
        <v>2.9870000000000001</v>
      </c>
      <c r="AI661" s="90">
        <v>2.31</v>
      </c>
      <c r="AJ661" s="90">
        <v>2.984</v>
      </c>
      <c r="AK661" s="90">
        <v>2.875</v>
      </c>
      <c r="AL661" s="90">
        <v>2.9689999999999999</v>
      </c>
      <c r="AM661" s="21">
        <v>9.4E-2</v>
      </c>
      <c r="AN661" s="21">
        <v>0.20649999999999999</v>
      </c>
      <c r="AO661" s="21">
        <v>0.52900000000000003</v>
      </c>
      <c r="AP661" s="21">
        <v>0.78100000000000003</v>
      </c>
      <c r="AQ661" s="21">
        <v>0.53610000000000002</v>
      </c>
      <c r="AR661" s="21">
        <v>0.2848</v>
      </c>
      <c r="AS661" s="21">
        <v>0.11749999999999999</v>
      </c>
      <c r="AT661" s="21">
        <v>-0.14019999999999999</v>
      </c>
      <c r="AU661" s="21">
        <v>0.29499999999999998</v>
      </c>
      <c r="AV661" s="21">
        <v>0.40699999999999997</v>
      </c>
      <c r="AW661" s="21">
        <v>0.26100000000000001</v>
      </c>
      <c r="AX661" s="21">
        <v>0.36399999999999999</v>
      </c>
      <c r="AY661" s="21">
        <v>0.182</v>
      </c>
      <c r="AZ661" s="21">
        <v>0.25700000000000001</v>
      </c>
      <c r="BA661" s="21">
        <v>0.28100000000000003</v>
      </c>
      <c r="BB661" s="21">
        <v>0.25800000000000001</v>
      </c>
      <c r="BC661" s="5">
        <v>1</v>
      </c>
      <c r="BD661" s="5">
        <v>1</v>
      </c>
      <c r="BE661" s="5">
        <v>1</v>
      </c>
      <c r="BF661" s="5">
        <v>1</v>
      </c>
      <c r="BG661" s="5">
        <v>1</v>
      </c>
      <c r="BH661" s="5">
        <v>1</v>
      </c>
      <c r="BI661" s="5">
        <v>1</v>
      </c>
      <c r="BJ661" s="5">
        <v>1</v>
      </c>
      <c r="BK661" s="90">
        <v>0.999</v>
      </c>
      <c r="BL661" s="90">
        <v>1</v>
      </c>
      <c r="BM661" s="90">
        <v>1</v>
      </c>
      <c r="BN661" s="90">
        <v>1</v>
      </c>
      <c r="BO661" s="90">
        <v>0.996</v>
      </c>
      <c r="BP661" s="90">
        <v>1</v>
      </c>
      <c r="BQ661" s="90">
        <v>1</v>
      </c>
      <c r="BR661" s="90">
        <v>0.999</v>
      </c>
      <c r="BS661" s="5" t="s">
        <v>4857</v>
      </c>
    </row>
    <row r="662" spans="1:71" s="30" customFormat="1" ht="17.100000000000001" customHeight="1">
      <c r="A662" s="14">
        <v>651</v>
      </c>
      <c r="B662" s="5" t="s">
        <v>2405</v>
      </c>
      <c r="C662" s="3" t="s">
        <v>2686</v>
      </c>
      <c r="D662" s="3" t="s">
        <v>2529</v>
      </c>
      <c r="E662" s="3" t="s">
        <v>2530</v>
      </c>
      <c r="F662" s="5" t="s">
        <v>5206</v>
      </c>
      <c r="G662" s="3" t="s">
        <v>2531</v>
      </c>
      <c r="H662" s="6" t="s">
        <v>2532</v>
      </c>
      <c r="I662" s="3" t="s">
        <v>2533</v>
      </c>
      <c r="J662" s="5" t="s">
        <v>4716</v>
      </c>
      <c r="K662" s="3" t="s">
        <v>5723</v>
      </c>
      <c r="L662" s="3" t="s">
        <v>2404</v>
      </c>
      <c r="M662" s="5">
        <v>2</v>
      </c>
      <c r="N662" s="21">
        <v>702.85760000000005</v>
      </c>
      <c r="O662" s="35" t="s">
        <v>4854</v>
      </c>
      <c r="P662" s="36" t="str">
        <f>HYPERLINK("http://ms.phosphosite.org:5080/cgi-bin/plot-msms.cgi?MassType=1&amp;NumAxis=1&amp;Mod3=170&amp;Mod9=147&amp;Pep=LTKEFSVYMTK&amp;Dta=/var/www/html/dta/S01/10559.6828.2.dta&amp;Global_Mod=CS57.0215", "6828")</f>
        <v>6828</v>
      </c>
      <c r="Q662" s="35" t="s">
        <v>4854</v>
      </c>
      <c r="R662" s="36" t="str">
        <f>HYPERLINK("http://ms.phosphosite.org:5080/cgi-bin/plot-msms.cgi?MassType=1&amp;NumAxis=1&amp;Mod3=170&amp;Mod9=147&amp;Pep=LTKEFSVYMTK&amp;Dta=/var/www/html/dta/S01/10561.6848.2.dta&amp;Global_Mod=CS57.0215", "6848")</f>
        <v>6848</v>
      </c>
      <c r="S662" s="36" t="str">
        <f>HYPERLINK("http://ms.phosphosite.org:5080/cgi-bin/plot-msms.cgi?MassType=1&amp;NumAxis=1&amp;Mod3=170&amp;Mod9=147&amp;Pep=LTKEFSVYMTK&amp;Dta=/var/www/html/dta/S01/10562.6978.2.dta&amp;Global_Mod=CS57.0215", "6978")</f>
        <v>6978</v>
      </c>
      <c r="T662" s="35" t="s">
        <v>4854</v>
      </c>
      <c r="U662" s="35" t="s">
        <v>4854</v>
      </c>
      <c r="V662" s="35" t="s">
        <v>4854</v>
      </c>
      <c r="W662" s="3" t="s">
        <v>4854</v>
      </c>
      <c r="X662" s="5">
        <v>6833</v>
      </c>
      <c r="Y662" s="3" t="s">
        <v>4854</v>
      </c>
      <c r="Z662" s="5">
        <v>6844</v>
      </c>
      <c r="AA662" s="5">
        <v>6983</v>
      </c>
      <c r="AB662" s="3" t="s">
        <v>4854</v>
      </c>
      <c r="AC662" s="3" t="s">
        <v>4854</v>
      </c>
      <c r="AD662" s="3" t="s">
        <v>4854</v>
      </c>
      <c r="AE662" s="99" t="s">
        <v>4854</v>
      </c>
      <c r="AF662" s="90">
        <v>2.5539999999999998</v>
      </c>
      <c r="AG662" s="99" t="s">
        <v>4854</v>
      </c>
      <c r="AH662" s="90">
        <v>2.5270000000000001</v>
      </c>
      <c r="AI662" s="90">
        <v>2.3010000000000002</v>
      </c>
      <c r="AJ662" s="99" t="s">
        <v>4854</v>
      </c>
      <c r="AK662" s="99" t="s">
        <v>4854</v>
      </c>
      <c r="AL662" s="99" t="s">
        <v>4854</v>
      </c>
      <c r="AM662" s="102" t="s">
        <v>4854</v>
      </c>
      <c r="AN662" s="21">
        <v>0.20649999999999999</v>
      </c>
      <c r="AO662" s="102" t="s">
        <v>4854</v>
      </c>
      <c r="AP662" s="21">
        <v>0.78100000000000003</v>
      </c>
      <c r="AQ662" s="21">
        <v>0.47920000000000001</v>
      </c>
      <c r="AR662" s="102" t="s">
        <v>4854</v>
      </c>
      <c r="AS662" s="102" t="s">
        <v>4854</v>
      </c>
      <c r="AT662" s="102" t="s">
        <v>4854</v>
      </c>
      <c r="AU662" s="102" t="s">
        <v>4854</v>
      </c>
      <c r="AV662" s="21">
        <v>0.13300000000000001</v>
      </c>
      <c r="AW662" s="102" t="s">
        <v>4854</v>
      </c>
      <c r="AX662" s="21">
        <v>0.20399999999999999</v>
      </c>
      <c r="AY662" s="21">
        <v>0.114</v>
      </c>
      <c r="AZ662" s="102" t="s">
        <v>4854</v>
      </c>
      <c r="BA662" s="102" t="s">
        <v>4854</v>
      </c>
      <c r="BB662" s="102" t="s">
        <v>4854</v>
      </c>
      <c r="BC662" s="3" t="s">
        <v>4854</v>
      </c>
      <c r="BD662" s="5">
        <v>1</v>
      </c>
      <c r="BE662" s="3" t="s">
        <v>4854</v>
      </c>
      <c r="BF662" s="5">
        <v>1</v>
      </c>
      <c r="BG662" s="5">
        <v>1</v>
      </c>
      <c r="BH662" s="3" t="s">
        <v>4854</v>
      </c>
      <c r="BI662" s="3" t="s">
        <v>4854</v>
      </c>
      <c r="BJ662" s="3" t="s">
        <v>4854</v>
      </c>
      <c r="BK662" s="99" t="s">
        <v>4854</v>
      </c>
      <c r="BL662" s="90">
        <v>0.996</v>
      </c>
      <c r="BM662" s="99" t="s">
        <v>4854</v>
      </c>
      <c r="BN662" s="90">
        <v>0.998</v>
      </c>
      <c r="BO662" s="90">
        <v>0.99099999999999999</v>
      </c>
      <c r="BP662" s="99" t="s">
        <v>4854</v>
      </c>
      <c r="BQ662" s="99" t="s">
        <v>4854</v>
      </c>
      <c r="BR662" s="99" t="s">
        <v>4854</v>
      </c>
      <c r="BS662" s="5" t="s">
        <v>4857</v>
      </c>
    </row>
    <row r="663" spans="1:71" s="30" customFormat="1" ht="17.100000000000001" customHeight="1">
      <c r="A663" s="10">
        <v>652</v>
      </c>
      <c r="B663" s="10" t="s">
        <v>2406</v>
      </c>
      <c r="C663" s="4" t="s">
        <v>2686</v>
      </c>
      <c r="D663" s="4" t="s">
        <v>2529</v>
      </c>
      <c r="E663" s="4" t="s">
        <v>2530</v>
      </c>
      <c r="F663" s="10" t="s">
        <v>5033</v>
      </c>
      <c r="G663" s="4" t="s">
        <v>2531</v>
      </c>
      <c r="H663" s="7" t="s">
        <v>2532</v>
      </c>
      <c r="I663" s="4" t="s">
        <v>2533</v>
      </c>
      <c r="J663" s="10" t="s">
        <v>4716</v>
      </c>
      <c r="K663" s="4" t="s">
        <v>5724</v>
      </c>
      <c r="L663" s="4" t="s">
        <v>2407</v>
      </c>
      <c r="M663" s="10">
        <v>2</v>
      </c>
      <c r="N663" s="95">
        <v>687.82159999999999</v>
      </c>
      <c r="O663" s="37" t="str">
        <f>HYPERLINK("http://ms.phosphosite.org:5080/cgi-bin/plot-msms.cgi?MassType=1&amp;NumAxis=1&amp;Mod8=170&amp;Pep=EFSVYMTKDGR&amp;Dta=/var/www/html/dta/S01/10558.7385.2.dta&amp;Global_Mod=CS57.0215", "7385")</f>
        <v>7385</v>
      </c>
      <c r="P663" s="37" t="str">
        <f>HYPERLINK("http://ms.phosphosite.org:5080/cgi-bin/plot-msms.cgi?MassType=1&amp;NumAxis=1&amp;Mod8=170&amp;Pep=EFSVYMTKDGR&amp;Dta=/var/www/html/dta/S01/10559.7345.2.dta&amp;Global_Mod=CS57.0215", "7345")</f>
        <v>7345</v>
      </c>
      <c r="Q663" s="37" t="str">
        <f>HYPERLINK("http://ms.phosphosite.org:5080/cgi-bin/plot-msms.cgi?MassType=1&amp;NumAxis=1&amp;Mod8=170&amp;Pep=EFSVYMTKDGR&amp;Dta=/var/www/html/dta/S01/10560.7316.2.dta&amp;Global_Mod=CS57.0215", "7316")</f>
        <v>7316</v>
      </c>
      <c r="R663" s="37" t="str">
        <f>HYPERLINK("http://ms.phosphosite.org:5080/cgi-bin/plot-msms.cgi?MassType=1&amp;NumAxis=1&amp;Mod8=170&amp;Pep=EFSVYMTKDGR&amp;Dta=/var/www/html/dta/S01/10561.7370.2.dta&amp;Global_Mod=CS57.0215", "7370")</f>
        <v>7370</v>
      </c>
      <c r="S663" s="37" t="str">
        <f>HYPERLINK("http://ms.phosphosite.org:5080/cgi-bin/plot-msms.cgi?MassType=1&amp;NumAxis=1&amp;Mod8=170&amp;Pep=EFSVYMTKDGR&amp;Dta=/var/www/html/dta/S01/10562.7498.2.dta&amp;Global_Mod=CS57.0215", "7498")</f>
        <v>7498</v>
      </c>
      <c r="T663" s="37" t="str">
        <f>HYPERLINK("http://ms.phosphosite.org:5080/cgi-bin/plot-msms.cgi?MassType=1&amp;NumAxis=1&amp;Mod8=170&amp;Pep=EFSVYMTKDGR&amp;Dta=/var/www/html/dta/S01/10563.7435.2.dta&amp;Global_Mod=CS57.0215", "7435")</f>
        <v>7435</v>
      </c>
      <c r="U663" s="37" t="str">
        <f>HYPERLINK("http://ms.phosphosite.org:5080/cgi-bin/plot-msms.cgi?MassType=1&amp;NumAxis=1&amp;Mod8=170&amp;Pep=EFSVYMTKDGR&amp;Dta=/var/www/html/dta/S01/10564.7878.2.dta&amp;Global_Mod=CS57.0215", "7878")</f>
        <v>7878</v>
      </c>
      <c r="V663" s="37" t="str">
        <f>HYPERLINK("http://ms.phosphosite.org:5080/cgi-bin/plot-msms.cgi?MassType=1&amp;NumAxis=1&amp;Mod8=170&amp;Pep=EFSVYMTKDGR&amp;Dta=/var/www/html/dta/S01/10565.7931.2.dta&amp;Global_Mod=CS57.0215", "7931")</f>
        <v>7931</v>
      </c>
      <c r="W663" s="10">
        <v>7391</v>
      </c>
      <c r="X663" s="10">
        <v>7339</v>
      </c>
      <c r="Y663" s="10">
        <v>7312</v>
      </c>
      <c r="Z663" s="10">
        <v>7350</v>
      </c>
      <c r="AA663" s="10">
        <v>7500</v>
      </c>
      <c r="AB663" s="10">
        <v>7432</v>
      </c>
      <c r="AC663" s="10">
        <v>7871</v>
      </c>
      <c r="AD663" s="10">
        <v>7945</v>
      </c>
      <c r="AE663" s="91">
        <v>3.129</v>
      </c>
      <c r="AF663" s="91">
        <v>2.843</v>
      </c>
      <c r="AG663" s="91">
        <v>3.0939999999999999</v>
      </c>
      <c r="AH663" s="91">
        <v>3.0289999999999999</v>
      </c>
      <c r="AI663" s="91">
        <v>2.714</v>
      </c>
      <c r="AJ663" s="91">
        <v>2.8159999999999998</v>
      </c>
      <c r="AK663" s="91">
        <v>3.0710000000000002</v>
      </c>
      <c r="AL663" s="91">
        <v>3.274</v>
      </c>
      <c r="AM663" s="95">
        <v>0.61570000000000003</v>
      </c>
      <c r="AN663" s="95">
        <v>0.36549999999999999</v>
      </c>
      <c r="AO663" s="95">
        <v>0.6099</v>
      </c>
      <c r="AP663" s="95">
        <v>0.58740000000000003</v>
      </c>
      <c r="AQ663" s="95">
        <v>0.23599999999999999</v>
      </c>
      <c r="AR663" s="95">
        <v>0.76559999999999995</v>
      </c>
      <c r="AS663" s="95">
        <v>0.1</v>
      </c>
      <c r="AT663" s="95">
        <v>-1.4200000000000001E-2</v>
      </c>
      <c r="AU663" s="95">
        <v>0.38800000000000001</v>
      </c>
      <c r="AV663" s="95">
        <v>0.435</v>
      </c>
      <c r="AW663" s="95">
        <v>0.441</v>
      </c>
      <c r="AX663" s="95">
        <v>0.39500000000000002</v>
      </c>
      <c r="AY663" s="95">
        <v>0.44</v>
      </c>
      <c r="AZ663" s="95">
        <v>0.372</v>
      </c>
      <c r="BA663" s="95">
        <v>0.47899999999999998</v>
      </c>
      <c r="BB663" s="95">
        <v>0.51700000000000002</v>
      </c>
      <c r="BC663" s="10">
        <v>1</v>
      </c>
      <c r="BD663" s="10">
        <v>1</v>
      </c>
      <c r="BE663" s="10">
        <v>1</v>
      </c>
      <c r="BF663" s="10">
        <v>1</v>
      </c>
      <c r="BG663" s="10">
        <v>1</v>
      </c>
      <c r="BH663" s="10">
        <v>1</v>
      </c>
      <c r="BI663" s="10">
        <v>1</v>
      </c>
      <c r="BJ663" s="10">
        <v>1</v>
      </c>
      <c r="BK663" s="91">
        <v>1</v>
      </c>
      <c r="BL663" s="91">
        <v>1</v>
      </c>
      <c r="BM663" s="91">
        <v>1</v>
      </c>
      <c r="BN663" s="91">
        <v>1</v>
      </c>
      <c r="BO663" s="91">
        <v>1</v>
      </c>
      <c r="BP663" s="91">
        <v>1</v>
      </c>
      <c r="BQ663" s="91">
        <v>1</v>
      </c>
      <c r="BR663" s="91">
        <v>1</v>
      </c>
      <c r="BS663" s="10" t="s">
        <v>4857</v>
      </c>
    </row>
    <row r="664" spans="1:71" s="30" customFormat="1" ht="17.100000000000001" customHeight="1">
      <c r="A664" s="14">
        <v>653</v>
      </c>
      <c r="B664" s="5" t="s">
        <v>2408</v>
      </c>
      <c r="C664" s="3" t="s">
        <v>2686</v>
      </c>
      <c r="D664" s="3" t="s">
        <v>2529</v>
      </c>
      <c r="E664" s="3" t="s">
        <v>2530</v>
      </c>
      <c r="F664" s="5" t="s">
        <v>4608</v>
      </c>
      <c r="G664" s="3" t="s">
        <v>2531</v>
      </c>
      <c r="H664" s="6" t="s">
        <v>2532</v>
      </c>
      <c r="I664" s="3" t="s">
        <v>2533</v>
      </c>
      <c r="J664" s="5" t="s">
        <v>4716</v>
      </c>
      <c r="K664" s="3" t="s">
        <v>5725</v>
      </c>
      <c r="L664" s="3" t="s">
        <v>2409</v>
      </c>
      <c r="M664" s="5">
        <v>3</v>
      </c>
      <c r="N664" s="21">
        <v>933.45839999999998</v>
      </c>
      <c r="O664" s="35" t="s">
        <v>4854</v>
      </c>
      <c r="P664" s="35" t="s">
        <v>4854</v>
      </c>
      <c r="Q664" s="35" t="s">
        <v>4854</v>
      </c>
      <c r="R664" s="35" t="s">
        <v>4854</v>
      </c>
      <c r="S664" s="35" t="s">
        <v>4854</v>
      </c>
      <c r="T664" s="35" t="s">
        <v>4854</v>
      </c>
      <c r="U664" s="36" t="str">
        <f>HYPERLINK("http://ms.phosphosite.org:5080/cgi-bin/plot-msms.cgi?MassType=1&amp;NumAxis=1&amp;Mod9=147&amp;Mod23=170&amp;Pep=SSWWTHVEMGPPDPILGVTEAFKR&amp;Dta=/var/www/html/dta/S01/10564.14212.3.dta&amp;Global_Mod=CS57.0215", "14212")</f>
        <v>14212</v>
      </c>
      <c r="V664" s="36" t="str">
        <f>HYPERLINK("http://ms.phosphosite.org:5080/cgi-bin/plot-msms.cgi?MassType=1&amp;NumAxis=1&amp;Mod9=147&amp;Mod23=170&amp;Pep=SSWWTHVEMGPPDPILGVTEAFKR&amp;Dta=/var/www/html/dta/S01/10565.14146.3.dta&amp;Global_Mod=CS57.0215", "14146")</f>
        <v>14146</v>
      </c>
      <c r="W664" s="3" t="s">
        <v>4854</v>
      </c>
      <c r="X664" s="3" t="s">
        <v>4854</v>
      </c>
      <c r="Y664" s="3" t="s">
        <v>4854</v>
      </c>
      <c r="Z664" s="3" t="s">
        <v>4854</v>
      </c>
      <c r="AA664" s="3" t="s">
        <v>4854</v>
      </c>
      <c r="AB664" s="3" t="s">
        <v>4854</v>
      </c>
      <c r="AC664" s="5">
        <v>14232</v>
      </c>
      <c r="AD664" s="5">
        <v>14164</v>
      </c>
      <c r="AE664" s="99" t="s">
        <v>4854</v>
      </c>
      <c r="AF664" s="99" t="s">
        <v>4854</v>
      </c>
      <c r="AG664" s="99" t="s">
        <v>4854</v>
      </c>
      <c r="AH664" s="99" t="s">
        <v>4854</v>
      </c>
      <c r="AI664" s="99" t="s">
        <v>4854</v>
      </c>
      <c r="AJ664" s="99" t="s">
        <v>4854</v>
      </c>
      <c r="AK664" s="90">
        <v>5.8150000000000004</v>
      </c>
      <c r="AL664" s="90">
        <v>5.7149999999999999</v>
      </c>
      <c r="AM664" s="102" t="s">
        <v>4854</v>
      </c>
      <c r="AN664" s="102" t="s">
        <v>4854</v>
      </c>
      <c r="AO664" s="102" t="s">
        <v>4854</v>
      </c>
      <c r="AP664" s="102" t="s">
        <v>4854</v>
      </c>
      <c r="AQ664" s="102" t="s">
        <v>4854</v>
      </c>
      <c r="AR664" s="102" t="s">
        <v>4854</v>
      </c>
      <c r="AS664" s="21">
        <v>1.2569999999999999</v>
      </c>
      <c r="AT664" s="21">
        <v>1.0641</v>
      </c>
      <c r="AU664" s="102" t="s">
        <v>4854</v>
      </c>
      <c r="AV664" s="102" t="s">
        <v>4854</v>
      </c>
      <c r="AW664" s="102" t="s">
        <v>4854</v>
      </c>
      <c r="AX664" s="102" t="s">
        <v>4854</v>
      </c>
      <c r="AY664" s="102" t="s">
        <v>4854</v>
      </c>
      <c r="AZ664" s="102" t="s">
        <v>4854</v>
      </c>
      <c r="BA664" s="21">
        <v>0.4</v>
      </c>
      <c r="BB664" s="21">
        <v>0.438</v>
      </c>
      <c r="BC664" s="3" t="s">
        <v>4854</v>
      </c>
      <c r="BD664" s="3" t="s">
        <v>4854</v>
      </c>
      <c r="BE664" s="3" t="s">
        <v>4854</v>
      </c>
      <c r="BF664" s="3" t="s">
        <v>4854</v>
      </c>
      <c r="BG664" s="3" t="s">
        <v>4854</v>
      </c>
      <c r="BH664" s="3" t="s">
        <v>4854</v>
      </c>
      <c r="BI664" s="5">
        <v>1</v>
      </c>
      <c r="BJ664" s="5">
        <v>1</v>
      </c>
      <c r="BK664" s="99" t="s">
        <v>4854</v>
      </c>
      <c r="BL664" s="99" t="s">
        <v>4854</v>
      </c>
      <c r="BM664" s="99" t="s">
        <v>4854</v>
      </c>
      <c r="BN664" s="99" t="s">
        <v>4854</v>
      </c>
      <c r="BO664" s="99" t="s">
        <v>4854</v>
      </c>
      <c r="BP664" s="99" t="s">
        <v>4854</v>
      </c>
      <c r="BQ664" s="90">
        <v>1</v>
      </c>
      <c r="BR664" s="90">
        <v>1</v>
      </c>
      <c r="BS664" s="5" t="s">
        <v>4857</v>
      </c>
    </row>
    <row r="665" spans="1:71" s="30" customFormat="1" ht="17.100000000000001" customHeight="1">
      <c r="A665" s="10">
        <v>654</v>
      </c>
      <c r="B665" s="10" t="s">
        <v>2410</v>
      </c>
      <c r="C665" s="4" t="s">
        <v>2686</v>
      </c>
      <c r="D665" s="4" t="s">
        <v>2529</v>
      </c>
      <c r="E665" s="4" t="s">
        <v>2530</v>
      </c>
      <c r="F665" s="10" t="s">
        <v>5002</v>
      </c>
      <c r="G665" s="4" t="s">
        <v>2531</v>
      </c>
      <c r="H665" s="7" t="s">
        <v>2532</v>
      </c>
      <c r="I665" s="4" t="s">
        <v>2533</v>
      </c>
      <c r="J665" s="10" t="s">
        <v>4716</v>
      </c>
      <c r="K665" s="4" t="s">
        <v>5726</v>
      </c>
      <c r="L665" s="4" t="s">
        <v>2411</v>
      </c>
      <c r="M665" s="10">
        <v>2</v>
      </c>
      <c r="N665" s="95">
        <v>751.38589999999999</v>
      </c>
      <c r="O665" s="37" t="str">
        <f>HYPERLINK("http://ms.phosphosite.org:5080/cgi-bin/plot-msms.cgi?MassType=1&amp;NumAxis=1&amp;Mod5=170&amp;Pep=DDNGKPYVLPSVR&amp;Dta=/var/www/html/dta/S01/10558.7835.2.dta&amp;Global_Mod=CS57.0215", "7835")</f>
        <v>7835</v>
      </c>
      <c r="P665" s="37" t="str">
        <f>HYPERLINK("http://ms.phosphosite.org:5080/cgi-bin/plot-msms.cgi?MassType=1&amp;NumAxis=1&amp;Mod5=170&amp;Pep=DDNGKPYVLPSVR&amp;Dta=/var/www/html/dta/S01/10559.7786.2.dta&amp;Global_Mod=CS57.0215", "7786")</f>
        <v>7786</v>
      </c>
      <c r="Q665" s="37" t="str">
        <f>HYPERLINK("http://ms.phosphosite.org:5080/cgi-bin/plot-msms.cgi?MassType=1&amp;NumAxis=1&amp;Mod5=170&amp;Pep=DDNGKPYVLPSVR&amp;Dta=/var/www/html/dta/S01/10560.7776.2.dta&amp;Global_Mod=CS57.0215", "7776")</f>
        <v>7776</v>
      </c>
      <c r="R665" s="38" t="s">
        <v>4854</v>
      </c>
      <c r="S665" s="37" t="str">
        <f>HYPERLINK("http://ms.phosphosite.org:5080/cgi-bin/plot-msms.cgi?MassType=1&amp;NumAxis=1&amp;Mod5=170&amp;Pep=DDNGKPYVLPSVR&amp;Dta=/var/www/html/dta/S01/10562.7937.2.dta&amp;Global_Mod=CS57.0215", "7937")</f>
        <v>7937</v>
      </c>
      <c r="T665" s="37" t="str">
        <f>HYPERLINK("http://ms.phosphosite.org:5080/cgi-bin/plot-msms.cgi?MassType=1&amp;NumAxis=1&amp;Mod5=170&amp;Pep=DDNGKPYVLPSVR&amp;Dta=/var/www/html/dta/S01/10563.7906.2.dta&amp;Global_Mod=CS57.0215", "7906")</f>
        <v>7906</v>
      </c>
      <c r="U665" s="37" t="str">
        <f>HYPERLINK("http://ms.phosphosite.org:5080/cgi-bin/plot-msms.cgi?MassType=1&amp;NumAxis=1&amp;Mod5=170&amp;Pep=DDNGKPYVLPSVR&amp;Dta=/var/www/html/dta/S01/10564.8334.2.dta&amp;Global_Mod=CS57.0215", "8334")</f>
        <v>8334</v>
      </c>
      <c r="V665" s="37" t="str">
        <f>HYPERLINK("http://ms.phosphosite.org:5080/cgi-bin/plot-msms.cgi?MassType=1&amp;NumAxis=1&amp;Mod5=170&amp;Pep=DDNGKPYVLPSVR&amp;Dta=/var/www/html/dta/S01/10565.8351.2.dta&amp;Global_Mod=CS57.0215", "8351")</f>
        <v>8351</v>
      </c>
      <c r="W665" s="10">
        <v>7864</v>
      </c>
      <c r="X665" s="10">
        <v>7834</v>
      </c>
      <c r="Y665" s="10">
        <v>7807</v>
      </c>
      <c r="Z665" s="4" t="s">
        <v>4854</v>
      </c>
      <c r="AA665" s="10">
        <v>7984</v>
      </c>
      <c r="AB665" s="10">
        <v>7938</v>
      </c>
      <c r="AC665" s="10">
        <v>8355</v>
      </c>
      <c r="AD665" s="10">
        <v>8385</v>
      </c>
      <c r="AE665" s="91">
        <v>3.1709999999999998</v>
      </c>
      <c r="AF665" s="91">
        <v>2.1469999999999998</v>
      </c>
      <c r="AG665" s="91">
        <v>2.6160000000000001</v>
      </c>
      <c r="AH665" s="100" t="s">
        <v>4854</v>
      </c>
      <c r="AI665" s="91">
        <v>3.2280000000000002</v>
      </c>
      <c r="AJ665" s="91">
        <v>2.407</v>
      </c>
      <c r="AK665" s="91">
        <v>2.7240000000000002</v>
      </c>
      <c r="AL665" s="91">
        <v>3.0720000000000001</v>
      </c>
      <c r="AM665" s="95">
        <v>0.2959</v>
      </c>
      <c r="AN665" s="95">
        <v>0.4617</v>
      </c>
      <c r="AO665" s="95">
        <v>0.48770000000000002</v>
      </c>
      <c r="AP665" s="103" t="s">
        <v>4854</v>
      </c>
      <c r="AQ665" s="95">
        <v>0.1981</v>
      </c>
      <c r="AR665" s="95">
        <v>0.29060000000000002</v>
      </c>
      <c r="AS665" s="95">
        <v>0.1767</v>
      </c>
      <c r="AT665" s="95">
        <v>-4.5699999999999998E-2</v>
      </c>
      <c r="AU665" s="95">
        <v>8.5000000000000006E-2</v>
      </c>
      <c r="AV665" s="95">
        <v>7.0000000000000007E-2</v>
      </c>
      <c r="AW665" s="95">
        <v>0.13100000000000001</v>
      </c>
      <c r="AX665" s="103" t="s">
        <v>4854</v>
      </c>
      <c r="AY665" s="95">
        <v>0.224</v>
      </c>
      <c r="AZ665" s="95">
        <v>0.14099999999999999</v>
      </c>
      <c r="BA665" s="95">
        <v>0.05</v>
      </c>
      <c r="BB665" s="95">
        <v>4.2000000000000003E-2</v>
      </c>
      <c r="BC665" s="10">
        <v>1</v>
      </c>
      <c r="BD665" s="10">
        <v>5</v>
      </c>
      <c r="BE665" s="10">
        <v>1</v>
      </c>
      <c r="BF665" s="4" t="s">
        <v>4854</v>
      </c>
      <c r="BG665" s="10">
        <v>1</v>
      </c>
      <c r="BH665" s="10">
        <v>1</v>
      </c>
      <c r="BI665" s="10">
        <v>2</v>
      </c>
      <c r="BJ665" s="10">
        <v>1</v>
      </c>
      <c r="BK665" s="91">
        <v>0.999</v>
      </c>
      <c r="BL665" s="91">
        <v>0.99199999999999999</v>
      </c>
      <c r="BM665" s="91">
        <v>0.999</v>
      </c>
      <c r="BN665" s="100" t="s">
        <v>4854</v>
      </c>
      <c r="BO665" s="91">
        <v>1</v>
      </c>
      <c r="BP665" s="91">
        <v>0.999</v>
      </c>
      <c r="BQ665" s="91">
        <v>0.998</v>
      </c>
      <c r="BR665" s="91">
        <v>0.999</v>
      </c>
      <c r="BS665" s="10" t="s">
        <v>4857</v>
      </c>
    </row>
    <row r="666" spans="1:71" s="30" customFormat="1" ht="17.100000000000001" customHeight="1">
      <c r="A666" s="10">
        <v>655</v>
      </c>
      <c r="B666" s="10" t="s">
        <v>2412</v>
      </c>
      <c r="C666" s="4" t="s">
        <v>2686</v>
      </c>
      <c r="D666" s="4" t="s">
        <v>2529</v>
      </c>
      <c r="E666" s="4" t="s">
        <v>2530</v>
      </c>
      <c r="F666" s="10" t="s">
        <v>5002</v>
      </c>
      <c r="G666" s="4" t="s">
        <v>2531</v>
      </c>
      <c r="H666" s="7" t="s">
        <v>2532</v>
      </c>
      <c r="I666" s="4" t="s">
        <v>2533</v>
      </c>
      <c r="J666" s="10" t="s">
        <v>4716</v>
      </c>
      <c r="K666" s="4" t="s">
        <v>5726</v>
      </c>
      <c r="L666" s="4" t="s">
        <v>2411</v>
      </c>
      <c r="M666" s="10">
        <v>2</v>
      </c>
      <c r="N666" s="95">
        <v>751.38589999999999</v>
      </c>
      <c r="O666" s="37" t="str">
        <f>HYPERLINK("http://ms.phosphosite.org:5080/cgi-bin/plot-msms.cgi?MassType=1&amp;NumAxis=1&amp;Mod5=170&amp;Pep=DDNGKPYVLPSVR&amp;Dta=/var/www/html/dta/S01/10558.7855.2.dta&amp;Global_Mod=CS57.0215", "7855")</f>
        <v>7855</v>
      </c>
      <c r="P666" s="38" t="s">
        <v>4854</v>
      </c>
      <c r="Q666" s="38" t="s">
        <v>4854</v>
      </c>
      <c r="R666" s="38" t="s">
        <v>4854</v>
      </c>
      <c r="S666" s="38" t="s">
        <v>4854</v>
      </c>
      <c r="T666" s="38" t="s">
        <v>4854</v>
      </c>
      <c r="U666" s="38" t="s">
        <v>4854</v>
      </c>
      <c r="V666" s="37" t="str">
        <f>HYPERLINK("http://ms.phosphosite.org:5080/cgi-bin/plot-msms.cgi?MassType=1&amp;NumAxis=1&amp;Mod5=170&amp;Pep=DDNGKPYVLPSVR&amp;Dta=/var/www/html/dta/S01/10565.8409.2.dta&amp;Global_Mod=CS57.0215", "8409")</f>
        <v>8409</v>
      </c>
      <c r="W666" s="10">
        <v>7864</v>
      </c>
      <c r="X666" s="4" t="s">
        <v>4854</v>
      </c>
      <c r="Y666" s="4" t="s">
        <v>4854</v>
      </c>
      <c r="Z666" s="4" t="s">
        <v>4854</v>
      </c>
      <c r="AA666" s="4" t="s">
        <v>4854</v>
      </c>
      <c r="AB666" s="4" t="s">
        <v>4854</v>
      </c>
      <c r="AC666" s="4" t="s">
        <v>4854</v>
      </c>
      <c r="AD666" s="10">
        <v>8385</v>
      </c>
      <c r="AE666" s="91">
        <v>2.9060000000000001</v>
      </c>
      <c r="AF666" s="100" t="s">
        <v>4854</v>
      </c>
      <c r="AG666" s="100" t="s">
        <v>4854</v>
      </c>
      <c r="AH666" s="100" t="s">
        <v>4854</v>
      </c>
      <c r="AI666" s="100" t="s">
        <v>4854</v>
      </c>
      <c r="AJ666" s="100" t="s">
        <v>4854</v>
      </c>
      <c r="AK666" s="100" t="s">
        <v>4854</v>
      </c>
      <c r="AL666" s="91">
        <v>2.3530000000000002</v>
      </c>
      <c r="AM666" s="95">
        <v>0.29530000000000001</v>
      </c>
      <c r="AN666" s="103" t="s">
        <v>4854</v>
      </c>
      <c r="AO666" s="103" t="s">
        <v>4854</v>
      </c>
      <c r="AP666" s="103" t="s">
        <v>4854</v>
      </c>
      <c r="AQ666" s="103" t="s">
        <v>4854</v>
      </c>
      <c r="AR666" s="103" t="s">
        <v>4854</v>
      </c>
      <c r="AS666" s="103" t="s">
        <v>4854</v>
      </c>
      <c r="AT666" s="95">
        <v>-4.9599999999999998E-2</v>
      </c>
      <c r="AU666" s="95">
        <v>0.26500000000000001</v>
      </c>
      <c r="AV666" s="103" t="s">
        <v>4854</v>
      </c>
      <c r="AW666" s="103" t="s">
        <v>4854</v>
      </c>
      <c r="AX666" s="103" t="s">
        <v>4854</v>
      </c>
      <c r="AY666" s="103" t="s">
        <v>4854</v>
      </c>
      <c r="AZ666" s="103" t="s">
        <v>4854</v>
      </c>
      <c r="BA666" s="103" t="s">
        <v>4854</v>
      </c>
      <c r="BB666" s="95">
        <v>0.112</v>
      </c>
      <c r="BC666" s="10">
        <v>1</v>
      </c>
      <c r="BD666" s="4" t="s">
        <v>4854</v>
      </c>
      <c r="BE666" s="4" t="s">
        <v>4854</v>
      </c>
      <c r="BF666" s="4" t="s">
        <v>4854</v>
      </c>
      <c r="BG666" s="4" t="s">
        <v>4854</v>
      </c>
      <c r="BH666" s="4" t="s">
        <v>4854</v>
      </c>
      <c r="BI666" s="4" t="s">
        <v>4854</v>
      </c>
      <c r="BJ666" s="10">
        <v>1</v>
      </c>
      <c r="BK666" s="91">
        <v>1</v>
      </c>
      <c r="BL666" s="100" t="s">
        <v>4854</v>
      </c>
      <c r="BM666" s="100" t="s">
        <v>4854</v>
      </c>
      <c r="BN666" s="100" t="s">
        <v>4854</v>
      </c>
      <c r="BO666" s="100" t="s">
        <v>4854</v>
      </c>
      <c r="BP666" s="100" t="s">
        <v>4854</v>
      </c>
      <c r="BQ666" s="100" t="s">
        <v>4854</v>
      </c>
      <c r="BR666" s="91">
        <v>0.998</v>
      </c>
      <c r="BS666" s="10" t="s">
        <v>4857</v>
      </c>
    </row>
    <row r="667" spans="1:71" s="30" customFormat="1" ht="17.100000000000001" customHeight="1">
      <c r="A667" s="10">
        <v>656</v>
      </c>
      <c r="B667" s="10" t="s">
        <v>2413</v>
      </c>
      <c r="C667" s="4" t="s">
        <v>2686</v>
      </c>
      <c r="D667" s="4" t="s">
        <v>2529</v>
      </c>
      <c r="E667" s="4" t="s">
        <v>2530</v>
      </c>
      <c r="F667" s="10" t="s">
        <v>5002</v>
      </c>
      <c r="G667" s="4" t="s">
        <v>2531</v>
      </c>
      <c r="H667" s="7" t="s">
        <v>2532</v>
      </c>
      <c r="I667" s="4" t="s">
        <v>2533</v>
      </c>
      <c r="J667" s="10" t="s">
        <v>4716</v>
      </c>
      <c r="K667" s="4" t="s">
        <v>5726</v>
      </c>
      <c r="L667" s="4" t="s">
        <v>2414</v>
      </c>
      <c r="M667" s="10">
        <v>3</v>
      </c>
      <c r="N667" s="95">
        <v>821.75319999999999</v>
      </c>
      <c r="O667" s="38" t="s">
        <v>4854</v>
      </c>
      <c r="P667" s="38" t="s">
        <v>4854</v>
      </c>
      <c r="Q667" s="37" t="str">
        <f>HYPERLINK("http://ms.phosphosite.org:5080/cgi-bin/plot-msms.cgi?MassType=1&amp;NumAxis=1&amp;Mod14=170&amp;Pep=MNLGVGAYRDDNGKPYVLPSVR&amp;Dta=/var/www/html/dta/S01/10560.9295.3.dta&amp;Global_Mod=CS57.0215", "9295")</f>
        <v>9295</v>
      </c>
      <c r="R667" s="38" t="s">
        <v>4854</v>
      </c>
      <c r="S667" s="38" t="s">
        <v>4854</v>
      </c>
      <c r="T667" s="38" t="s">
        <v>4854</v>
      </c>
      <c r="U667" s="38" t="s">
        <v>4854</v>
      </c>
      <c r="V667" s="38" t="s">
        <v>4854</v>
      </c>
      <c r="W667" s="4" t="s">
        <v>4854</v>
      </c>
      <c r="X667" s="4" t="s">
        <v>4854</v>
      </c>
      <c r="Y667" s="10">
        <v>9292</v>
      </c>
      <c r="Z667" s="4" t="s">
        <v>4854</v>
      </c>
      <c r="AA667" s="4" t="s">
        <v>4854</v>
      </c>
      <c r="AB667" s="4" t="s">
        <v>4854</v>
      </c>
      <c r="AC667" s="4" t="s">
        <v>4854</v>
      </c>
      <c r="AD667" s="4" t="s">
        <v>4854</v>
      </c>
      <c r="AE667" s="100" t="s">
        <v>4854</v>
      </c>
      <c r="AF667" s="100" t="s">
        <v>4854</v>
      </c>
      <c r="AG667" s="91">
        <v>3.9950000000000001</v>
      </c>
      <c r="AH667" s="100" t="s">
        <v>4854</v>
      </c>
      <c r="AI667" s="100" t="s">
        <v>4854</v>
      </c>
      <c r="AJ667" s="100" t="s">
        <v>4854</v>
      </c>
      <c r="AK667" s="100" t="s">
        <v>4854</v>
      </c>
      <c r="AL667" s="100" t="s">
        <v>4854</v>
      </c>
      <c r="AM667" s="103" t="s">
        <v>4854</v>
      </c>
      <c r="AN667" s="103" t="s">
        <v>4854</v>
      </c>
      <c r="AO667" s="95">
        <v>0.39650000000000002</v>
      </c>
      <c r="AP667" s="103" t="s">
        <v>4854</v>
      </c>
      <c r="AQ667" s="103" t="s">
        <v>4854</v>
      </c>
      <c r="AR667" s="103" t="s">
        <v>4854</v>
      </c>
      <c r="AS667" s="103" t="s">
        <v>4854</v>
      </c>
      <c r="AT667" s="103" t="s">
        <v>4854</v>
      </c>
      <c r="AU667" s="103" t="s">
        <v>4854</v>
      </c>
      <c r="AV667" s="103" t="s">
        <v>4854</v>
      </c>
      <c r="AW667" s="95">
        <v>0.317</v>
      </c>
      <c r="AX667" s="103" t="s">
        <v>4854</v>
      </c>
      <c r="AY667" s="103" t="s">
        <v>4854</v>
      </c>
      <c r="AZ667" s="103" t="s">
        <v>4854</v>
      </c>
      <c r="BA667" s="103" t="s">
        <v>4854</v>
      </c>
      <c r="BB667" s="103" t="s">
        <v>4854</v>
      </c>
      <c r="BC667" s="4" t="s">
        <v>4854</v>
      </c>
      <c r="BD667" s="4" t="s">
        <v>4854</v>
      </c>
      <c r="BE667" s="10">
        <v>1</v>
      </c>
      <c r="BF667" s="4" t="s">
        <v>4854</v>
      </c>
      <c r="BG667" s="4" t="s">
        <v>4854</v>
      </c>
      <c r="BH667" s="4" t="s">
        <v>4854</v>
      </c>
      <c r="BI667" s="4" t="s">
        <v>4854</v>
      </c>
      <c r="BJ667" s="4" t="s">
        <v>4854</v>
      </c>
      <c r="BK667" s="100" t="s">
        <v>4854</v>
      </c>
      <c r="BL667" s="100" t="s">
        <v>4854</v>
      </c>
      <c r="BM667" s="91">
        <v>1</v>
      </c>
      <c r="BN667" s="100" t="s">
        <v>4854</v>
      </c>
      <c r="BO667" s="100" t="s">
        <v>4854</v>
      </c>
      <c r="BP667" s="100" t="s">
        <v>4854</v>
      </c>
      <c r="BQ667" s="100" t="s">
        <v>4854</v>
      </c>
      <c r="BR667" s="100" t="s">
        <v>4854</v>
      </c>
      <c r="BS667" s="10" t="s">
        <v>4857</v>
      </c>
    </row>
    <row r="668" spans="1:71" s="30" customFormat="1" ht="17.100000000000001" customHeight="1">
      <c r="A668" s="10">
        <v>657</v>
      </c>
      <c r="B668" s="10" t="s">
        <v>2415</v>
      </c>
      <c r="C668" s="4" t="s">
        <v>2686</v>
      </c>
      <c r="D668" s="4" t="s">
        <v>2529</v>
      </c>
      <c r="E668" s="4" t="s">
        <v>2530</v>
      </c>
      <c r="F668" s="10" t="s">
        <v>5002</v>
      </c>
      <c r="G668" s="4" t="s">
        <v>2531</v>
      </c>
      <c r="H668" s="7" t="s">
        <v>2532</v>
      </c>
      <c r="I668" s="4" t="s">
        <v>2533</v>
      </c>
      <c r="J668" s="10" t="s">
        <v>4716</v>
      </c>
      <c r="K668" s="4" t="s">
        <v>5726</v>
      </c>
      <c r="L668" s="4" t="s">
        <v>2416</v>
      </c>
      <c r="M668" s="10">
        <v>3</v>
      </c>
      <c r="N668" s="95">
        <v>827.08479999999997</v>
      </c>
      <c r="O668" s="37" t="str">
        <f>HYPERLINK("http://ms.phosphosite.org:5080/cgi-bin/plot-msms.cgi?MassType=1&amp;NumAxis=1&amp;Mod1=147&amp;Mod14=170&amp;Pep=MNLGVGAYRDDNGKPYVLPSVR&amp;Dta=/var/www/html/dta/S01/10558.8364.3.dta&amp;Global_Mod=CS57.0215", "8364")</f>
        <v>8364</v>
      </c>
      <c r="P668" s="37" t="str">
        <f>HYPERLINK("http://ms.phosphosite.org:5080/cgi-bin/plot-msms.cgi?MassType=1&amp;NumAxis=1&amp;Mod1=147&amp;Mod14=170&amp;Pep=MNLGVGAYRDDNGKPYVLPSVR&amp;Dta=/var/www/html/dta/S01/10559.8336.3.dta&amp;Global_Mod=CS57.0215", "8336")</f>
        <v>8336</v>
      </c>
      <c r="Q668" s="37" t="str">
        <f>HYPERLINK("http://ms.phosphosite.org:5080/cgi-bin/plot-msms.cgi?MassType=1&amp;NumAxis=1&amp;Mod1=147&amp;Mod14=170&amp;Pep=MNLGVGAYRDDNGKPYVLPSVR&amp;Dta=/var/www/html/dta/S01/10560.8338.3.dta&amp;Global_Mod=CS57.0215", "8338")</f>
        <v>8338</v>
      </c>
      <c r="R668" s="37" t="str">
        <f>HYPERLINK("http://ms.phosphosite.org:5080/cgi-bin/plot-msms.cgi?MassType=1&amp;NumAxis=1&amp;Mod1=147&amp;Mod14=170&amp;Pep=MNLGVGAYRDDNGKPYVLPSVR&amp;Dta=/var/www/html/dta/S01/10561.8378.3.dta&amp;Global_Mod=CS57.0215", "8378")</f>
        <v>8378</v>
      </c>
      <c r="S668" s="37" t="str">
        <f>HYPERLINK("http://ms.phosphosite.org:5080/cgi-bin/plot-msms.cgi?MassType=1&amp;NumAxis=1&amp;Mod1=147&amp;Mod14=170&amp;Pep=MNLGVGAYRDDNGKPYVLPSVR&amp;Dta=/var/www/html/dta/S01/10562.8485.3.dta&amp;Global_Mod=CS57.0215", "8485")</f>
        <v>8485</v>
      </c>
      <c r="T668" s="37" t="str">
        <f>HYPERLINK("http://ms.phosphosite.org:5080/cgi-bin/plot-msms.cgi?MassType=1&amp;NumAxis=1&amp;Mod1=147&amp;Mod14=170&amp;Pep=MNLGVGAYRDDNGKPYVLPSVR&amp;Dta=/var/www/html/dta/S01/10563.8451.3.dta&amp;Global_Mod=CS57.0215", "8451")</f>
        <v>8451</v>
      </c>
      <c r="U668" s="37" t="str">
        <f>HYPERLINK("http://ms.phosphosite.org:5080/cgi-bin/plot-msms.cgi?MassType=1&amp;NumAxis=1&amp;Mod1=147&amp;Mod14=170&amp;Pep=MNLGVGAYRDDNGKPYVLPSVR&amp;Dta=/var/www/html/dta/S01/10564.8845.3.dta&amp;Global_Mod=CS57.0215", "8845")</f>
        <v>8845</v>
      </c>
      <c r="V668" s="37" t="str">
        <f>HYPERLINK("http://ms.phosphosite.org:5080/cgi-bin/plot-msms.cgi?MassType=1&amp;NumAxis=1&amp;Mod1=147&amp;Mod14=170&amp;Pep=MNLGVGAYRDDNGKPYVLPSVR&amp;Dta=/var/www/html/dta/S01/10565.8839.3.dta&amp;Global_Mod=CS57.0215", "8839")</f>
        <v>8839</v>
      </c>
      <c r="W668" s="10">
        <v>8392</v>
      </c>
      <c r="X668" s="10">
        <v>8362</v>
      </c>
      <c r="Y668" s="10">
        <v>8379</v>
      </c>
      <c r="Z668" s="10">
        <v>8406</v>
      </c>
      <c r="AA668" s="10">
        <v>8523</v>
      </c>
      <c r="AB668" s="10">
        <v>8499</v>
      </c>
      <c r="AC668" s="10">
        <v>8861</v>
      </c>
      <c r="AD668" s="10">
        <v>8869</v>
      </c>
      <c r="AE668" s="91">
        <v>4.0620000000000003</v>
      </c>
      <c r="AF668" s="91">
        <v>3.3580000000000001</v>
      </c>
      <c r="AG668" s="91">
        <v>5.2469999999999999</v>
      </c>
      <c r="AH668" s="91">
        <v>4.7089999999999996</v>
      </c>
      <c r="AI668" s="91">
        <v>4.59</v>
      </c>
      <c r="AJ668" s="91">
        <v>4.0629999999999997</v>
      </c>
      <c r="AK668" s="91">
        <v>4.226</v>
      </c>
      <c r="AL668" s="91">
        <v>4.2210000000000001</v>
      </c>
      <c r="AM668" s="95">
        <v>0.53890000000000005</v>
      </c>
      <c r="AN668" s="95">
        <v>0.69740000000000002</v>
      </c>
      <c r="AO668" s="95">
        <v>0.749</v>
      </c>
      <c r="AP668" s="95">
        <v>1.0390999999999999</v>
      </c>
      <c r="AQ668" s="95">
        <v>0.72160000000000002</v>
      </c>
      <c r="AR668" s="95">
        <v>0.54859999999999998</v>
      </c>
      <c r="AS668" s="95">
        <v>0.59379999999999999</v>
      </c>
      <c r="AT668" s="95">
        <v>0.40379999999999999</v>
      </c>
      <c r="AU668" s="95">
        <v>0.41499999999999998</v>
      </c>
      <c r="AV668" s="95">
        <v>0.23899999999999999</v>
      </c>
      <c r="AW668" s="95">
        <v>0.42799999999999999</v>
      </c>
      <c r="AX668" s="95">
        <v>0.44900000000000001</v>
      </c>
      <c r="AY668" s="95">
        <v>0.39</v>
      </c>
      <c r="AZ668" s="95">
        <v>0.374</v>
      </c>
      <c r="BA668" s="95">
        <v>0.42199999999999999</v>
      </c>
      <c r="BB668" s="95">
        <v>0.41099999999999998</v>
      </c>
      <c r="BC668" s="10">
        <v>1</v>
      </c>
      <c r="BD668" s="10">
        <v>11</v>
      </c>
      <c r="BE668" s="10">
        <v>1</v>
      </c>
      <c r="BF668" s="10">
        <v>1</v>
      </c>
      <c r="BG668" s="10">
        <v>1</v>
      </c>
      <c r="BH668" s="10">
        <v>1</v>
      </c>
      <c r="BI668" s="10">
        <v>1</v>
      </c>
      <c r="BJ668" s="10">
        <v>1</v>
      </c>
      <c r="BK668" s="91">
        <v>1</v>
      </c>
      <c r="BL668" s="91">
        <v>0.999</v>
      </c>
      <c r="BM668" s="91">
        <v>1</v>
      </c>
      <c r="BN668" s="91">
        <v>1</v>
      </c>
      <c r="BO668" s="91">
        <v>1</v>
      </c>
      <c r="BP668" s="91">
        <v>1</v>
      </c>
      <c r="BQ668" s="91">
        <v>1</v>
      </c>
      <c r="BR668" s="91">
        <v>1</v>
      </c>
      <c r="BS668" s="10" t="s">
        <v>4857</v>
      </c>
    </row>
    <row r="669" spans="1:71" s="30" customFormat="1" ht="17.100000000000001" customHeight="1">
      <c r="A669" s="14">
        <v>658</v>
      </c>
      <c r="B669" s="5" t="s">
        <v>2417</v>
      </c>
      <c r="C669" s="3" t="s">
        <v>2686</v>
      </c>
      <c r="D669" s="3" t="s">
        <v>2418</v>
      </c>
      <c r="E669" s="3" t="s">
        <v>2419</v>
      </c>
      <c r="F669" s="5" t="s">
        <v>5027</v>
      </c>
      <c r="G669" s="3" t="s">
        <v>2420</v>
      </c>
      <c r="H669" s="6" t="s">
        <v>2421</v>
      </c>
      <c r="I669" s="3" t="s">
        <v>2422</v>
      </c>
      <c r="J669" s="5" t="s">
        <v>4708</v>
      </c>
      <c r="K669" s="3" t="s">
        <v>5727</v>
      </c>
      <c r="L669" s="3" t="s">
        <v>2423</v>
      </c>
      <c r="M669" s="5">
        <v>2</v>
      </c>
      <c r="N669" s="21">
        <v>635.35609999999997</v>
      </c>
      <c r="O669" s="36" t="str">
        <f>HYPERLINK("http://ms.phosphosite.org:5080/cgi-bin/plot-msms.cgi?MassType=1&amp;NumAxis=1&amp;Mod6=170&amp;Pep=AVLIDKDQTPK&amp;Dta=/var/www/html/dta/S01/10558.4931.2.dta&amp;Global_Mod=CS57.0215", "4931")</f>
        <v>4931</v>
      </c>
      <c r="P669" s="35" t="s">
        <v>4854</v>
      </c>
      <c r="Q669" s="36" t="str">
        <f>HYPERLINK("http://ms.phosphosite.org:5080/cgi-bin/plot-msms.cgi?MassType=1&amp;NumAxis=1&amp;Mod6=170&amp;Pep=AVLIDKDQTPK&amp;Dta=/var/www/html/dta/S01/10560.4857.2.dta&amp;Global_Mod=CS57.0215", "4857")</f>
        <v>4857</v>
      </c>
      <c r="R669" s="36" t="str">
        <f>HYPERLINK("http://ms.phosphosite.org:5080/cgi-bin/plot-msms.cgi?MassType=1&amp;NumAxis=1&amp;Mod6=170&amp;Pep=AVLIDKDQTPK&amp;Dta=/var/www/html/dta/S01/10561.4896.2.dta&amp;Global_Mod=CS57.0215", "4896")</f>
        <v>4896</v>
      </c>
      <c r="S669" s="36" t="str">
        <f>HYPERLINK("http://ms.phosphosite.org:5080/cgi-bin/plot-msms.cgi?MassType=1&amp;NumAxis=1&amp;Mod6=170&amp;Pep=AVLIDKDQTPK&amp;Dta=/var/www/html/dta/S01/10562.4997.2.dta&amp;Global_Mod=CS57.0215", "4997")</f>
        <v>4997</v>
      </c>
      <c r="T669" s="36" t="str">
        <f>HYPERLINK("http://ms.phosphosite.org:5080/cgi-bin/plot-msms.cgi?MassType=1&amp;NumAxis=1&amp;Mod6=170&amp;Pep=AVLIDKDQTPK&amp;Dta=/var/www/html/dta/S01/10563.4935.2.dta&amp;Global_Mod=CS57.0215", "4935")</f>
        <v>4935</v>
      </c>
      <c r="U669" s="35" t="s">
        <v>4854</v>
      </c>
      <c r="V669" s="36" t="str">
        <f>HYPERLINK("http://ms.phosphosite.org:5080/cgi-bin/plot-msms.cgi?MassType=1&amp;NumAxis=1&amp;Mod6=170&amp;Pep=AVLIDKDQTPK&amp;Dta=/var/www/html/dta/S01/10565.5348.2.dta&amp;Global_Mod=CS57.0215", "5348")</f>
        <v>5348</v>
      </c>
      <c r="W669" s="5">
        <v>4911</v>
      </c>
      <c r="X669" s="3" t="s">
        <v>4854</v>
      </c>
      <c r="Y669" s="5">
        <v>4848</v>
      </c>
      <c r="Z669" s="5">
        <v>4897</v>
      </c>
      <c r="AA669" s="5">
        <v>4999</v>
      </c>
      <c r="AB669" s="5">
        <v>4914</v>
      </c>
      <c r="AC669" s="3" t="s">
        <v>4854</v>
      </c>
      <c r="AD669" s="5">
        <v>5339</v>
      </c>
      <c r="AE669" s="90">
        <v>2.8250000000000002</v>
      </c>
      <c r="AF669" s="99" t="s">
        <v>4854</v>
      </c>
      <c r="AG669" s="90">
        <v>2.294</v>
      </c>
      <c r="AH669" s="90">
        <v>2.57</v>
      </c>
      <c r="AI669" s="90">
        <v>2.8650000000000002</v>
      </c>
      <c r="AJ669" s="90">
        <v>2.2170000000000001</v>
      </c>
      <c r="AK669" s="99" t="s">
        <v>4854</v>
      </c>
      <c r="AL669" s="90">
        <v>2.3559999999999999</v>
      </c>
      <c r="AM669" s="21">
        <v>9.6500000000000002E-2</v>
      </c>
      <c r="AN669" s="102" t="s">
        <v>4854</v>
      </c>
      <c r="AO669" s="21">
        <v>0.41470000000000001</v>
      </c>
      <c r="AP669" s="21">
        <v>0.2092</v>
      </c>
      <c r="AQ669" s="21">
        <v>0.12570000000000001</v>
      </c>
      <c r="AR669" s="21">
        <v>0.89280000000000004</v>
      </c>
      <c r="AS669" s="102" t="s">
        <v>4854</v>
      </c>
      <c r="AT669" s="21">
        <v>0.31940000000000002</v>
      </c>
      <c r="AU669" s="21">
        <v>0.21</v>
      </c>
      <c r="AV669" s="102" t="s">
        <v>4854</v>
      </c>
      <c r="AW669" s="21">
        <v>0.192</v>
      </c>
      <c r="AX669" s="21">
        <v>0.26200000000000001</v>
      </c>
      <c r="AY669" s="21">
        <v>0.28599999999999998</v>
      </c>
      <c r="AZ669" s="21">
        <v>0.28699999999999998</v>
      </c>
      <c r="BA669" s="102" t="s">
        <v>4854</v>
      </c>
      <c r="BB669" s="21">
        <v>0.222</v>
      </c>
      <c r="BC669" s="5">
        <v>3</v>
      </c>
      <c r="BD669" s="3" t="s">
        <v>4854</v>
      </c>
      <c r="BE669" s="5">
        <v>3</v>
      </c>
      <c r="BF669" s="5">
        <v>2</v>
      </c>
      <c r="BG669" s="5">
        <v>1</v>
      </c>
      <c r="BH669" s="5">
        <v>3</v>
      </c>
      <c r="BI669" s="3" t="s">
        <v>4854</v>
      </c>
      <c r="BJ669" s="5">
        <v>3</v>
      </c>
      <c r="BK669" s="90">
        <v>0.998</v>
      </c>
      <c r="BL669" s="99" t="s">
        <v>4854</v>
      </c>
      <c r="BM669" s="90">
        <v>0.995</v>
      </c>
      <c r="BN669" s="90">
        <v>0.999</v>
      </c>
      <c r="BO669" s="90">
        <v>1</v>
      </c>
      <c r="BP669" s="90">
        <v>0.998</v>
      </c>
      <c r="BQ669" s="99" t="s">
        <v>4854</v>
      </c>
      <c r="BR669" s="90">
        <v>0.997</v>
      </c>
      <c r="BS669" s="5" t="s">
        <v>4857</v>
      </c>
    </row>
    <row r="670" spans="1:71" s="30" customFormat="1" ht="17.100000000000001" customHeight="1">
      <c r="A670" s="10">
        <v>659</v>
      </c>
      <c r="B670" s="10" t="s">
        <v>2424</v>
      </c>
      <c r="C670" s="4" t="s">
        <v>2686</v>
      </c>
      <c r="D670" s="4" t="s">
        <v>2425</v>
      </c>
      <c r="E670" s="7" t="s">
        <v>2426</v>
      </c>
      <c r="F670" s="10" t="s">
        <v>2427</v>
      </c>
      <c r="G670" s="4" t="s">
        <v>2428</v>
      </c>
      <c r="H670" s="7" t="s">
        <v>2429</v>
      </c>
      <c r="I670" s="4" t="s">
        <v>2430</v>
      </c>
      <c r="J670" s="10" t="s">
        <v>2431</v>
      </c>
      <c r="K670" s="4" t="s">
        <v>5728</v>
      </c>
      <c r="L670" s="4" t="s">
        <v>2432</v>
      </c>
      <c r="M670" s="10">
        <v>3</v>
      </c>
      <c r="N670" s="95">
        <v>784.39570000000003</v>
      </c>
      <c r="O670" s="38" t="s">
        <v>4854</v>
      </c>
      <c r="P670" s="37" t="str">
        <f>HYPERLINK("http://ms.phosphosite.org:5080/cgi-bin/plot-msms.cgi?MassType=1&amp;NumAxis=1&amp;Mod15=170&amp;Pep=GKFTTSDVAAIETDKEGVQNAK&amp;Dta=/var/www/html/dta/S01/10559.7107.3.dta&amp;Global_Mod=CS57.0215", "7107")</f>
        <v>7107</v>
      </c>
      <c r="Q670" s="37" t="str">
        <f>HYPERLINK("http://ms.phosphosite.org:5080/cgi-bin/plot-msms.cgi?MassType=1&amp;NumAxis=1&amp;Mod15=170&amp;Pep=GKFTTSDVAAIETDKEGVQNAK&amp;Dta=/var/www/html/dta/S01/10560.7102.3.dta&amp;Global_Mod=CS57.0215", "7102")</f>
        <v>7102</v>
      </c>
      <c r="R670" s="38" t="s">
        <v>4854</v>
      </c>
      <c r="S670" s="38" t="s">
        <v>4854</v>
      </c>
      <c r="T670" s="38" t="s">
        <v>4854</v>
      </c>
      <c r="U670" s="37" t="str">
        <f>HYPERLINK("http://ms.phosphosite.org:5080/cgi-bin/plot-msms.cgi?MassType=1&amp;NumAxis=1&amp;Mod15=170&amp;Pep=GKFTTSDVAAIETDKEGVQNAK&amp;Dta=/var/www/html/dta/S01/10564.7551.3.dta&amp;Global_Mod=CS57.0215", "7551")</f>
        <v>7551</v>
      </c>
      <c r="V670" s="38" t="s">
        <v>4854</v>
      </c>
      <c r="W670" s="4" t="s">
        <v>4854</v>
      </c>
      <c r="X670" s="10">
        <v>7097</v>
      </c>
      <c r="Y670" s="10">
        <v>7081</v>
      </c>
      <c r="Z670" s="4" t="s">
        <v>4854</v>
      </c>
      <c r="AA670" s="4" t="s">
        <v>4854</v>
      </c>
      <c r="AB670" s="4" t="s">
        <v>4854</v>
      </c>
      <c r="AC670" s="10">
        <v>7563</v>
      </c>
      <c r="AD670" s="4" t="s">
        <v>4854</v>
      </c>
      <c r="AE670" s="100" t="s">
        <v>4854</v>
      </c>
      <c r="AF670" s="91">
        <v>3.089</v>
      </c>
      <c r="AG670" s="91">
        <v>3.8759999999999999</v>
      </c>
      <c r="AH670" s="100" t="s">
        <v>4854</v>
      </c>
      <c r="AI670" s="100" t="s">
        <v>4854</v>
      </c>
      <c r="AJ670" s="100" t="s">
        <v>4854</v>
      </c>
      <c r="AK670" s="91">
        <v>3.9460000000000002</v>
      </c>
      <c r="AL670" s="100" t="s">
        <v>4854</v>
      </c>
      <c r="AM670" s="103" t="s">
        <v>4854</v>
      </c>
      <c r="AN670" s="95">
        <v>1.0839000000000001</v>
      </c>
      <c r="AO670" s="95">
        <v>2.7942</v>
      </c>
      <c r="AP670" s="103" t="s">
        <v>4854</v>
      </c>
      <c r="AQ670" s="103" t="s">
        <v>4854</v>
      </c>
      <c r="AR670" s="103" t="s">
        <v>4854</v>
      </c>
      <c r="AS670" s="95">
        <v>0.78790000000000004</v>
      </c>
      <c r="AT670" s="103" t="s">
        <v>4854</v>
      </c>
      <c r="AU670" s="103" t="s">
        <v>4854</v>
      </c>
      <c r="AV670" s="95">
        <v>0.246</v>
      </c>
      <c r="AW670" s="95">
        <v>0.129</v>
      </c>
      <c r="AX670" s="103" t="s">
        <v>4854</v>
      </c>
      <c r="AY670" s="103" t="s">
        <v>4854</v>
      </c>
      <c r="AZ670" s="103" t="s">
        <v>4854</v>
      </c>
      <c r="BA670" s="95">
        <v>0.32400000000000001</v>
      </c>
      <c r="BB670" s="103" t="s">
        <v>4854</v>
      </c>
      <c r="BC670" s="4" t="s">
        <v>4854</v>
      </c>
      <c r="BD670" s="10">
        <v>4</v>
      </c>
      <c r="BE670" s="10">
        <v>2</v>
      </c>
      <c r="BF670" s="4" t="s">
        <v>4854</v>
      </c>
      <c r="BG670" s="4" t="s">
        <v>4854</v>
      </c>
      <c r="BH670" s="4" t="s">
        <v>4854</v>
      </c>
      <c r="BI670" s="10">
        <v>1</v>
      </c>
      <c r="BJ670" s="4" t="s">
        <v>4854</v>
      </c>
      <c r="BK670" s="100" t="s">
        <v>4854</v>
      </c>
      <c r="BL670" s="91">
        <v>0.999</v>
      </c>
      <c r="BM670" s="91">
        <v>0.96</v>
      </c>
      <c r="BN670" s="100" t="s">
        <v>4854</v>
      </c>
      <c r="BO670" s="100" t="s">
        <v>4854</v>
      </c>
      <c r="BP670" s="100" t="s">
        <v>4854</v>
      </c>
      <c r="BQ670" s="91">
        <v>1</v>
      </c>
      <c r="BR670" s="100" t="s">
        <v>4854</v>
      </c>
      <c r="BS670" s="10" t="s">
        <v>4857</v>
      </c>
    </row>
    <row r="671" spans="1:71" s="30" customFormat="1" ht="17.100000000000001" customHeight="1">
      <c r="A671" s="14">
        <v>660</v>
      </c>
      <c r="B671" s="5" t="s">
        <v>2433</v>
      </c>
      <c r="C671" s="3" t="s">
        <v>2686</v>
      </c>
      <c r="D671" s="3" t="s">
        <v>2434</v>
      </c>
      <c r="E671" s="3" t="s">
        <v>2435</v>
      </c>
      <c r="F671" s="5" t="s">
        <v>5117</v>
      </c>
      <c r="G671" s="3" t="s">
        <v>2436</v>
      </c>
      <c r="H671" s="6" t="s">
        <v>2437</v>
      </c>
      <c r="I671" s="3" t="s">
        <v>2438</v>
      </c>
      <c r="J671" s="5" t="s">
        <v>4825</v>
      </c>
      <c r="K671" s="3" t="s">
        <v>5729</v>
      </c>
      <c r="L671" s="3" t="s">
        <v>2439</v>
      </c>
      <c r="M671" s="5">
        <v>2</v>
      </c>
      <c r="N671" s="21">
        <v>786.40890000000002</v>
      </c>
      <c r="O671" s="35" t="s">
        <v>4854</v>
      </c>
      <c r="P671" s="35" t="s">
        <v>4854</v>
      </c>
      <c r="Q671" s="35" t="s">
        <v>4854</v>
      </c>
      <c r="R671" s="36" t="str">
        <f>HYPERLINK("http://ms.phosphosite.org:5080/cgi-bin/plot-msms.cgi?MassType=1&amp;NumAxis=1&amp;Mod6=170&amp;Pep=VVLDDKDYFLFR&amp;Dta=/var/www/html/dta/S01/10561.12242.2.dta&amp;Global_Mod=CS57.0215", "12242")</f>
        <v>12242</v>
      </c>
      <c r="S671" s="35" t="s">
        <v>4854</v>
      </c>
      <c r="T671" s="35" t="s">
        <v>4854</v>
      </c>
      <c r="U671" s="35" t="s">
        <v>4854</v>
      </c>
      <c r="V671" s="36" t="str">
        <f>HYPERLINK("http://ms.phosphosite.org:5080/cgi-bin/plot-msms.cgi?MassType=1&amp;NumAxis=1&amp;Mod6=170&amp;Pep=VVLDDKDYFLFR&amp;Dta=/var/www/html/dta/S01/10565.12858.2.dta&amp;Global_Mod=CS57.0215", "12858")</f>
        <v>12858</v>
      </c>
      <c r="W671" s="3" t="s">
        <v>4854</v>
      </c>
      <c r="X671" s="3" t="s">
        <v>4854</v>
      </c>
      <c r="Y671" s="3" t="s">
        <v>4854</v>
      </c>
      <c r="Z671" s="5">
        <v>12237</v>
      </c>
      <c r="AA671" s="3" t="s">
        <v>4854</v>
      </c>
      <c r="AB671" s="3" t="s">
        <v>4854</v>
      </c>
      <c r="AC671" s="3" t="s">
        <v>4854</v>
      </c>
      <c r="AD671" s="5">
        <v>12866</v>
      </c>
      <c r="AE671" s="99" t="s">
        <v>4854</v>
      </c>
      <c r="AF671" s="99" t="s">
        <v>4854</v>
      </c>
      <c r="AG671" s="99" t="s">
        <v>4854</v>
      </c>
      <c r="AH671" s="90">
        <v>2.74</v>
      </c>
      <c r="AI671" s="99" t="s">
        <v>4854</v>
      </c>
      <c r="AJ671" s="99" t="s">
        <v>4854</v>
      </c>
      <c r="AK671" s="99" t="s">
        <v>4854</v>
      </c>
      <c r="AL671" s="90">
        <v>2.5139999999999998</v>
      </c>
      <c r="AM671" s="102" t="s">
        <v>4854</v>
      </c>
      <c r="AN671" s="102" t="s">
        <v>4854</v>
      </c>
      <c r="AO671" s="102" t="s">
        <v>4854</v>
      </c>
      <c r="AP671" s="21">
        <v>1.6375</v>
      </c>
      <c r="AQ671" s="102" t="s">
        <v>4854</v>
      </c>
      <c r="AR671" s="102" t="s">
        <v>4854</v>
      </c>
      <c r="AS671" s="102" t="s">
        <v>4854</v>
      </c>
      <c r="AT671" s="21">
        <v>2.4754</v>
      </c>
      <c r="AU671" s="102" t="s">
        <v>4854</v>
      </c>
      <c r="AV671" s="102" t="s">
        <v>4854</v>
      </c>
      <c r="AW671" s="102" t="s">
        <v>4854</v>
      </c>
      <c r="AX671" s="21">
        <v>0.308</v>
      </c>
      <c r="AY671" s="102" t="s">
        <v>4854</v>
      </c>
      <c r="AZ671" s="102" t="s">
        <v>4854</v>
      </c>
      <c r="BA671" s="102" t="s">
        <v>4854</v>
      </c>
      <c r="BB671" s="21">
        <v>0.28100000000000003</v>
      </c>
      <c r="BC671" s="3" t="s">
        <v>4854</v>
      </c>
      <c r="BD671" s="3" t="s">
        <v>4854</v>
      </c>
      <c r="BE671" s="3" t="s">
        <v>4854</v>
      </c>
      <c r="BF671" s="5">
        <v>1</v>
      </c>
      <c r="BG671" s="3" t="s">
        <v>4854</v>
      </c>
      <c r="BH671" s="3" t="s">
        <v>4854</v>
      </c>
      <c r="BI671" s="3" t="s">
        <v>4854</v>
      </c>
      <c r="BJ671" s="5">
        <v>1</v>
      </c>
      <c r="BK671" s="99" t="s">
        <v>4854</v>
      </c>
      <c r="BL671" s="99" t="s">
        <v>4854</v>
      </c>
      <c r="BM671" s="99" t="s">
        <v>4854</v>
      </c>
      <c r="BN671" s="90">
        <v>0.998</v>
      </c>
      <c r="BO671" s="99" t="s">
        <v>4854</v>
      </c>
      <c r="BP671" s="99" t="s">
        <v>4854</v>
      </c>
      <c r="BQ671" s="99" t="s">
        <v>4854</v>
      </c>
      <c r="BR671" s="90">
        <v>0.97</v>
      </c>
      <c r="BS671" s="5" t="s">
        <v>4857</v>
      </c>
    </row>
    <row r="672" spans="1:71" s="30" customFormat="1" ht="17.100000000000001" customHeight="1">
      <c r="A672" s="10">
        <v>661</v>
      </c>
      <c r="B672" s="10" t="s">
        <v>2440</v>
      </c>
      <c r="C672" s="4" t="s">
        <v>2686</v>
      </c>
      <c r="D672" s="4" t="s">
        <v>2434</v>
      </c>
      <c r="E672" s="4" t="s">
        <v>2435</v>
      </c>
      <c r="F672" s="10" t="s">
        <v>5039</v>
      </c>
      <c r="G672" s="4" t="s">
        <v>2436</v>
      </c>
      <c r="H672" s="7" t="s">
        <v>2437</v>
      </c>
      <c r="I672" s="4" t="s">
        <v>2438</v>
      </c>
      <c r="J672" s="10" t="s">
        <v>4825</v>
      </c>
      <c r="K672" s="4" t="s">
        <v>5730</v>
      </c>
      <c r="L672" s="4" t="s">
        <v>2441</v>
      </c>
      <c r="M672" s="10">
        <v>2</v>
      </c>
      <c r="N672" s="95">
        <v>583.78240000000005</v>
      </c>
      <c r="O672" s="37" t="str">
        <f>HYPERLINK("http://ms.phosphosite.org:5080/cgi-bin/plot-msms.cgi?MassType=1&amp;NumAxis=1&amp;Mod7=170&amp;Pep=DSDILGKYVD&amp;Dta=/var/www/html/dta/S01/10558.10583.2.dta&amp;Global_Mod=CS57.0215", "10583")</f>
        <v>10583</v>
      </c>
      <c r="P672" s="37" t="str">
        <f>HYPERLINK("http://ms.phosphosite.org:5080/cgi-bin/plot-msms.cgi?MassType=1&amp;NumAxis=1&amp;Mod7=170&amp;Pep=DSDILGKYVD&amp;Dta=/var/www/html/dta/S01/10559.10537.2.dta&amp;Global_Mod=CS57.0215", "10537")</f>
        <v>10537</v>
      </c>
      <c r="Q672" s="37" t="str">
        <f>HYPERLINK("http://ms.phosphosite.org:5080/cgi-bin/plot-msms.cgi?MassType=1&amp;NumAxis=1&amp;Mod7=170&amp;Pep=DSDILGKYVD&amp;Dta=/var/www/html/dta/S01/10560.10583.2.dta&amp;Global_Mod=CS57.0215", "10583")</f>
        <v>10583</v>
      </c>
      <c r="R672" s="37" t="str">
        <f>HYPERLINK("http://ms.phosphosite.org:5080/cgi-bin/plot-msms.cgi?MassType=1&amp;NumAxis=1&amp;Mod7=170&amp;Pep=DSDILGKYVD&amp;Dta=/var/www/html/dta/S01/10561.10610.2.dta&amp;Global_Mod=CS57.0215", "10610")</f>
        <v>10610</v>
      </c>
      <c r="S672" s="37" t="str">
        <f>HYPERLINK("http://ms.phosphosite.org:5080/cgi-bin/plot-msms.cgi?MassType=1&amp;NumAxis=1&amp;Mod7=170&amp;Pep=DSDILGKYVD&amp;Dta=/var/www/html/dta/S01/10562.10766.2.dta&amp;Global_Mod=CS57.0215", "10766")</f>
        <v>10766</v>
      </c>
      <c r="T672" s="37" t="str">
        <f>HYPERLINK("http://ms.phosphosite.org:5080/cgi-bin/plot-msms.cgi?MassType=1&amp;NumAxis=1&amp;Mod7=170&amp;Pep=DSDILGKYVD&amp;Dta=/var/www/html/dta/S01/10563.10709.2.dta&amp;Global_Mod=CS57.0215", "10709")</f>
        <v>10709</v>
      </c>
      <c r="U672" s="38" t="s">
        <v>4854</v>
      </c>
      <c r="V672" s="38" t="s">
        <v>4854</v>
      </c>
      <c r="W672" s="10">
        <v>10581</v>
      </c>
      <c r="X672" s="10">
        <v>10553</v>
      </c>
      <c r="Y672" s="10">
        <v>10612</v>
      </c>
      <c r="Z672" s="10">
        <v>10605</v>
      </c>
      <c r="AA672" s="10">
        <v>10774</v>
      </c>
      <c r="AB672" s="10">
        <v>10721</v>
      </c>
      <c r="AC672" s="4" t="s">
        <v>4854</v>
      </c>
      <c r="AD672" s="4" t="s">
        <v>4854</v>
      </c>
      <c r="AE672" s="91">
        <v>1.9750000000000001</v>
      </c>
      <c r="AF672" s="91">
        <v>1.7529999999999999</v>
      </c>
      <c r="AG672" s="91">
        <v>2.0830000000000002</v>
      </c>
      <c r="AH672" s="91">
        <v>1.98</v>
      </c>
      <c r="AI672" s="91">
        <v>1.657</v>
      </c>
      <c r="AJ672" s="91">
        <v>2.2200000000000002</v>
      </c>
      <c r="AK672" s="100" t="s">
        <v>4854</v>
      </c>
      <c r="AL672" s="100" t="s">
        <v>4854</v>
      </c>
      <c r="AM672" s="95">
        <v>0.45729999999999998</v>
      </c>
      <c r="AN672" s="95">
        <v>0.35620000000000002</v>
      </c>
      <c r="AO672" s="95">
        <v>0.72989999999999999</v>
      </c>
      <c r="AP672" s="95">
        <v>0.54910000000000003</v>
      </c>
      <c r="AQ672" s="95">
        <v>0.68879999999999997</v>
      </c>
      <c r="AR672" s="95">
        <v>0.47020000000000001</v>
      </c>
      <c r="AS672" s="103" t="s">
        <v>4854</v>
      </c>
      <c r="AT672" s="103" t="s">
        <v>4854</v>
      </c>
      <c r="AU672" s="95">
        <v>0.31900000000000001</v>
      </c>
      <c r="AV672" s="95">
        <v>0.223</v>
      </c>
      <c r="AW672" s="95">
        <v>0.34200000000000003</v>
      </c>
      <c r="AX672" s="95">
        <v>0.34200000000000003</v>
      </c>
      <c r="AY672" s="95">
        <v>0.26600000000000001</v>
      </c>
      <c r="AZ672" s="95">
        <v>0.36799999999999999</v>
      </c>
      <c r="BA672" s="103" t="s">
        <v>4854</v>
      </c>
      <c r="BB672" s="103" t="s">
        <v>4854</v>
      </c>
      <c r="BC672" s="10">
        <v>3</v>
      </c>
      <c r="BD672" s="10">
        <v>1</v>
      </c>
      <c r="BE672" s="10">
        <v>1</v>
      </c>
      <c r="BF672" s="10">
        <v>1</v>
      </c>
      <c r="BG672" s="10">
        <v>11</v>
      </c>
      <c r="BH672" s="10">
        <v>1</v>
      </c>
      <c r="BI672" s="4" t="s">
        <v>4854</v>
      </c>
      <c r="BJ672" s="4" t="s">
        <v>4854</v>
      </c>
      <c r="BK672" s="91">
        <v>0.998</v>
      </c>
      <c r="BL672" s="91">
        <v>0.99099999999999999</v>
      </c>
      <c r="BM672" s="91">
        <v>0.999</v>
      </c>
      <c r="BN672" s="91">
        <v>0.999</v>
      </c>
      <c r="BO672" s="91">
        <v>0.98499999999999999</v>
      </c>
      <c r="BP672" s="91">
        <v>1</v>
      </c>
      <c r="BQ672" s="100" t="s">
        <v>4854</v>
      </c>
      <c r="BR672" s="100" t="s">
        <v>4854</v>
      </c>
      <c r="BS672" s="10" t="s">
        <v>4857</v>
      </c>
    </row>
    <row r="673" spans="1:71" s="30" customFormat="1" ht="17.100000000000001" customHeight="1">
      <c r="A673" s="14">
        <v>662</v>
      </c>
      <c r="B673" s="5" t="s">
        <v>2442</v>
      </c>
      <c r="C673" s="3" t="s">
        <v>2686</v>
      </c>
      <c r="D673" s="3" t="s">
        <v>2443</v>
      </c>
      <c r="E673" s="3" t="s">
        <v>2444</v>
      </c>
      <c r="F673" s="5" t="s">
        <v>5318</v>
      </c>
      <c r="G673" s="3" t="s">
        <v>2445</v>
      </c>
      <c r="H673" s="6" t="s">
        <v>2446</v>
      </c>
      <c r="I673" s="3" t="s">
        <v>2447</v>
      </c>
      <c r="J673" s="5" t="s">
        <v>4601</v>
      </c>
      <c r="K673" s="3" t="s">
        <v>5731</v>
      </c>
      <c r="L673" s="3" t="s">
        <v>2448</v>
      </c>
      <c r="M673" s="5">
        <v>4</v>
      </c>
      <c r="N673" s="21">
        <v>903.96</v>
      </c>
      <c r="O673" s="35" t="s">
        <v>4854</v>
      </c>
      <c r="P673" s="36" t="str">
        <f>HYPERLINK("http://ms.phosphosite.org:5080/cgi-bin/plot-msms.cgi?MassType=1&amp;NumAxis=1&amp;Mod26=170&amp;Pep=YFDLGLPNRDQTNDQVTIDSALATQKYSVAVK&amp;Dta=/var/www/html/dta/S01/10559.11917.4.dta&amp;Global_Mod=CS57.0215", "11917")</f>
        <v>11917</v>
      </c>
      <c r="Q673" s="35" t="s">
        <v>4854</v>
      </c>
      <c r="R673" s="35" t="s">
        <v>4854</v>
      </c>
      <c r="S673" s="36" t="str">
        <f>HYPERLINK("http://ms.phosphosite.org:5080/cgi-bin/plot-msms.cgi?MassType=1&amp;NumAxis=1&amp;Mod26=170&amp;Pep=YFDLGLPNRDQTNDQVTIDSALATQKYSVAVK&amp;Dta=/var/www/html/dta/S01/10562.12150.4.dta&amp;Global_Mod=CS57.0215", "12150")</f>
        <v>12150</v>
      </c>
      <c r="T673" s="35" t="s">
        <v>4854</v>
      </c>
      <c r="U673" s="35" t="s">
        <v>4854</v>
      </c>
      <c r="V673" s="36" t="str">
        <f>HYPERLINK("http://ms.phosphosite.org:5080/cgi-bin/plot-msms.cgi?MassType=1&amp;NumAxis=1&amp;Mod26=170&amp;Pep=YFDLGLPNRDQTNDQVTIDSALATQKYSVAVK&amp;Dta=/var/www/html/dta/S01/10565.12549.4.dta&amp;Global_Mod=CS57.0215", "12549")</f>
        <v>12549</v>
      </c>
      <c r="W673" s="3" t="s">
        <v>4854</v>
      </c>
      <c r="X673" s="3" t="s">
        <v>4854</v>
      </c>
      <c r="Y673" s="3" t="s">
        <v>4854</v>
      </c>
      <c r="Z673" s="3" t="s">
        <v>4854</v>
      </c>
      <c r="AA673" s="5">
        <v>12171</v>
      </c>
      <c r="AB673" s="3" t="s">
        <v>4854</v>
      </c>
      <c r="AC673" s="3" t="s">
        <v>4854</v>
      </c>
      <c r="AD673" s="5">
        <v>12558</v>
      </c>
      <c r="AE673" s="99" t="s">
        <v>4854</v>
      </c>
      <c r="AF673" s="90">
        <v>2.4529999999999998</v>
      </c>
      <c r="AG673" s="99" t="s">
        <v>4854</v>
      </c>
      <c r="AH673" s="99" t="s">
        <v>4854</v>
      </c>
      <c r="AI673" s="90">
        <v>3.8980000000000001</v>
      </c>
      <c r="AJ673" s="99" t="s">
        <v>4854</v>
      </c>
      <c r="AK673" s="99" t="s">
        <v>4854</v>
      </c>
      <c r="AL673" s="90">
        <v>3.0619999999999998</v>
      </c>
      <c r="AM673" s="102" t="s">
        <v>4854</v>
      </c>
      <c r="AN673" s="21">
        <v>2.0169000000000001</v>
      </c>
      <c r="AO673" s="102" t="s">
        <v>4854</v>
      </c>
      <c r="AP673" s="102" t="s">
        <v>4854</v>
      </c>
      <c r="AQ673" s="21">
        <v>2.2170000000000001</v>
      </c>
      <c r="AR673" s="102" t="s">
        <v>4854</v>
      </c>
      <c r="AS673" s="102" t="s">
        <v>4854</v>
      </c>
      <c r="AT673" s="21">
        <v>1.1312</v>
      </c>
      <c r="AU673" s="102" t="s">
        <v>4854</v>
      </c>
      <c r="AV673" s="21">
        <v>1.7000000000000001E-2</v>
      </c>
      <c r="AW673" s="102" t="s">
        <v>4854</v>
      </c>
      <c r="AX673" s="102" t="s">
        <v>4854</v>
      </c>
      <c r="AY673" s="21">
        <v>0.28499999999999998</v>
      </c>
      <c r="AZ673" s="102" t="s">
        <v>4854</v>
      </c>
      <c r="BA673" s="102" t="s">
        <v>4854</v>
      </c>
      <c r="BB673" s="21">
        <v>0.126</v>
      </c>
      <c r="BC673" s="3" t="s">
        <v>4854</v>
      </c>
      <c r="BD673" s="5">
        <v>1</v>
      </c>
      <c r="BE673" s="3" t="s">
        <v>4854</v>
      </c>
      <c r="BF673" s="3" t="s">
        <v>4854</v>
      </c>
      <c r="BG673" s="5">
        <v>86</v>
      </c>
      <c r="BH673" s="3" t="s">
        <v>4854</v>
      </c>
      <c r="BI673" s="3" t="s">
        <v>4854</v>
      </c>
      <c r="BJ673" s="5">
        <v>30</v>
      </c>
      <c r="BK673" s="99" t="s">
        <v>4854</v>
      </c>
      <c r="BL673" s="90">
        <v>0.94799999999999995</v>
      </c>
      <c r="BM673" s="99" t="s">
        <v>4854</v>
      </c>
      <c r="BN673" s="99" t="s">
        <v>4854</v>
      </c>
      <c r="BO673" s="90">
        <v>0.98799999999999999</v>
      </c>
      <c r="BP673" s="99" t="s">
        <v>4854</v>
      </c>
      <c r="BQ673" s="99" t="s">
        <v>4854</v>
      </c>
      <c r="BR673" s="90">
        <v>0.97899999999999998</v>
      </c>
      <c r="BS673" s="5" t="s">
        <v>4857</v>
      </c>
    </row>
    <row r="674" spans="1:71" s="30" customFormat="1" ht="17.100000000000001" customHeight="1">
      <c r="A674" s="10">
        <v>663</v>
      </c>
      <c r="B674" s="10" t="s">
        <v>2449</v>
      </c>
      <c r="C674" s="4" t="s">
        <v>2686</v>
      </c>
      <c r="D674" s="4" t="s">
        <v>2443</v>
      </c>
      <c r="E674" s="4" t="s">
        <v>2444</v>
      </c>
      <c r="F674" s="10" t="s">
        <v>5203</v>
      </c>
      <c r="G674" s="4" t="s">
        <v>2445</v>
      </c>
      <c r="H674" s="7" t="s">
        <v>2446</v>
      </c>
      <c r="I674" s="4" t="s">
        <v>2447</v>
      </c>
      <c r="J674" s="10" t="s">
        <v>4601</v>
      </c>
      <c r="K674" s="4" t="s">
        <v>5732</v>
      </c>
      <c r="L674" s="4" t="s">
        <v>2450</v>
      </c>
      <c r="M674" s="10">
        <v>2</v>
      </c>
      <c r="N674" s="95">
        <v>740.43769999999995</v>
      </c>
      <c r="O674" s="37" t="str">
        <f>HYPERLINK("http://ms.phosphosite.org:5080/cgi-bin/plot-msms.cgi?MassType=1&amp;NumAxis=1&amp;Mod7=170&amp;Pep=LVPGWTKPITIGR&amp;Dta=/var/www/html/dta/S01/10558.10134.2.dta&amp;Global_Mod=CS57.0215", "10134")</f>
        <v>10134</v>
      </c>
      <c r="P674" s="38" t="s">
        <v>4854</v>
      </c>
      <c r="Q674" s="38" t="s">
        <v>4854</v>
      </c>
      <c r="R674" s="38" t="s">
        <v>4854</v>
      </c>
      <c r="S674" s="38" t="s">
        <v>4854</v>
      </c>
      <c r="T674" s="38" t="s">
        <v>4854</v>
      </c>
      <c r="U674" s="38" t="s">
        <v>4854</v>
      </c>
      <c r="V674" s="38" t="s">
        <v>4854</v>
      </c>
      <c r="W674" s="10">
        <v>10141</v>
      </c>
      <c r="X674" s="4" t="s">
        <v>4854</v>
      </c>
      <c r="Y674" s="4" t="s">
        <v>4854</v>
      </c>
      <c r="Z674" s="4" t="s">
        <v>4854</v>
      </c>
      <c r="AA674" s="4" t="s">
        <v>4854</v>
      </c>
      <c r="AB674" s="4" t="s">
        <v>4854</v>
      </c>
      <c r="AC674" s="4" t="s">
        <v>4854</v>
      </c>
      <c r="AD674" s="4" t="s">
        <v>4854</v>
      </c>
      <c r="AE674" s="91">
        <v>1.8740000000000001</v>
      </c>
      <c r="AF674" s="100" t="s">
        <v>4854</v>
      </c>
      <c r="AG674" s="100" t="s">
        <v>4854</v>
      </c>
      <c r="AH674" s="100" t="s">
        <v>4854</v>
      </c>
      <c r="AI674" s="100" t="s">
        <v>4854</v>
      </c>
      <c r="AJ674" s="100" t="s">
        <v>4854</v>
      </c>
      <c r="AK674" s="100" t="s">
        <v>4854</v>
      </c>
      <c r="AL674" s="100" t="s">
        <v>4854</v>
      </c>
      <c r="AM674" s="95">
        <v>0.63529999999999998</v>
      </c>
      <c r="AN674" s="103" t="s">
        <v>4854</v>
      </c>
      <c r="AO674" s="103" t="s">
        <v>4854</v>
      </c>
      <c r="AP674" s="103" t="s">
        <v>4854</v>
      </c>
      <c r="AQ674" s="103" t="s">
        <v>4854</v>
      </c>
      <c r="AR674" s="103" t="s">
        <v>4854</v>
      </c>
      <c r="AS674" s="103" t="s">
        <v>4854</v>
      </c>
      <c r="AT674" s="103" t="s">
        <v>4854</v>
      </c>
      <c r="AU674" s="95">
        <v>0.112</v>
      </c>
      <c r="AV674" s="103" t="s">
        <v>4854</v>
      </c>
      <c r="AW674" s="103" t="s">
        <v>4854</v>
      </c>
      <c r="AX674" s="103" t="s">
        <v>4854</v>
      </c>
      <c r="AY674" s="103" t="s">
        <v>4854</v>
      </c>
      <c r="AZ674" s="103" t="s">
        <v>4854</v>
      </c>
      <c r="BA674" s="103" t="s">
        <v>4854</v>
      </c>
      <c r="BB674" s="103" t="s">
        <v>4854</v>
      </c>
      <c r="BC674" s="10">
        <v>1</v>
      </c>
      <c r="BD674" s="4" t="s">
        <v>4854</v>
      </c>
      <c r="BE674" s="4" t="s">
        <v>4854</v>
      </c>
      <c r="BF674" s="4" t="s">
        <v>4854</v>
      </c>
      <c r="BG674" s="4" t="s">
        <v>4854</v>
      </c>
      <c r="BH674" s="4" t="s">
        <v>4854</v>
      </c>
      <c r="BI674" s="4" t="s">
        <v>4854</v>
      </c>
      <c r="BJ674" s="4" t="s">
        <v>4854</v>
      </c>
      <c r="BK674" s="91">
        <v>0.995</v>
      </c>
      <c r="BL674" s="100" t="s">
        <v>4854</v>
      </c>
      <c r="BM674" s="100" t="s">
        <v>4854</v>
      </c>
      <c r="BN674" s="100" t="s">
        <v>4854</v>
      </c>
      <c r="BO674" s="100" t="s">
        <v>4854</v>
      </c>
      <c r="BP674" s="100" t="s">
        <v>4854</v>
      </c>
      <c r="BQ674" s="100" t="s">
        <v>4854</v>
      </c>
      <c r="BR674" s="100" t="s">
        <v>4854</v>
      </c>
      <c r="BS674" s="10" t="s">
        <v>4857</v>
      </c>
    </row>
    <row r="675" spans="1:71" s="30" customFormat="1" ht="17.100000000000001" customHeight="1">
      <c r="A675" s="14">
        <v>664</v>
      </c>
      <c r="B675" s="5" t="s">
        <v>2451</v>
      </c>
      <c r="C675" s="3" t="s">
        <v>2686</v>
      </c>
      <c r="D675" s="3" t="s">
        <v>2443</v>
      </c>
      <c r="E675" s="3" t="s">
        <v>2444</v>
      </c>
      <c r="F675" s="5" t="s">
        <v>5204</v>
      </c>
      <c r="G675" s="3" t="s">
        <v>2445</v>
      </c>
      <c r="H675" s="6" t="s">
        <v>2446</v>
      </c>
      <c r="I675" s="3" t="s">
        <v>2447</v>
      </c>
      <c r="J675" s="5" t="s">
        <v>4601</v>
      </c>
      <c r="K675" s="3" t="s">
        <v>5733</v>
      </c>
      <c r="L675" s="3" t="s">
        <v>2452</v>
      </c>
      <c r="M675" s="5">
        <v>3</v>
      </c>
      <c r="N675" s="21">
        <v>634.30269999999996</v>
      </c>
      <c r="O675" s="36" t="str">
        <f>HYPERLINK("http://ms.phosphosite.org:5080/cgi-bin/plot-msms.cgi?MassType=1&amp;NumAxis=1&amp;Mod8=170&amp;Pep=HAHGDQYKATDFVVDR&amp;Dta=/var/www/html/dta/S01/10558.5079.3.dta&amp;Global_Mod=CS57.0215", "5079")</f>
        <v>5079</v>
      </c>
      <c r="P675" s="36" t="str">
        <f>HYPERLINK("http://ms.phosphosite.org:5080/cgi-bin/plot-msms.cgi?MassType=1&amp;NumAxis=1&amp;Mod8=170&amp;Pep=HAHGDQYKATDFVVDR&amp;Dta=/var/www/html/dta/S01/10559.4980.3.dta&amp;Global_Mod=CS57.0215", "4980")</f>
        <v>4980</v>
      </c>
      <c r="Q675" s="36" t="str">
        <f>HYPERLINK("http://ms.phosphosite.org:5080/cgi-bin/plot-msms.cgi?MassType=1&amp;NumAxis=1&amp;Mod8=170&amp;Pep=HAHGDQYKATDFVVDR&amp;Dta=/var/www/html/dta/S01/10560.4988.3.dta&amp;Global_Mod=CS57.0215", "4988")</f>
        <v>4988</v>
      </c>
      <c r="R675" s="36" t="str">
        <f>HYPERLINK("http://ms.phosphosite.org:5080/cgi-bin/plot-msms.cgi?MassType=1&amp;NumAxis=1&amp;Mod8=170&amp;Pep=HAHGDQYKATDFVVDR&amp;Dta=/var/www/html/dta/S01/10561.5024.3.dta&amp;Global_Mod=CS57.0215", "5024")</f>
        <v>5024</v>
      </c>
      <c r="S675" s="36" t="str">
        <f>HYPERLINK("http://ms.phosphosite.org:5080/cgi-bin/plot-msms.cgi?MassType=1&amp;NumAxis=1&amp;Mod8=170&amp;Pep=HAHGDQYKATDFVVDR&amp;Dta=/var/www/html/dta/S01/10562.5116.3.dta&amp;Global_Mod=CS57.0215", "5116")</f>
        <v>5116</v>
      </c>
      <c r="T675" s="36" t="str">
        <f>HYPERLINK("http://ms.phosphosite.org:5080/cgi-bin/plot-msms.cgi?MassType=1&amp;NumAxis=1&amp;Mod8=170&amp;Pep=HAHGDQYKATDFVVDR&amp;Dta=/var/www/html/dta/S01/10563.5053.3.dta&amp;Global_Mod=CS57.0215", "5053")</f>
        <v>5053</v>
      </c>
      <c r="U675" s="36" t="str">
        <f>HYPERLINK("http://ms.phosphosite.org:5080/cgi-bin/plot-msms.cgi?MassType=1&amp;NumAxis=1&amp;Mod8=170&amp;Pep=HAHGDQYKATDFVVDR&amp;Dta=/var/www/html/dta/S01/10564.5372.3.dta&amp;Global_Mod=CS57.0215", "5372")</f>
        <v>5372</v>
      </c>
      <c r="V675" s="36" t="str">
        <f>HYPERLINK("http://ms.phosphosite.org:5080/cgi-bin/plot-msms.cgi?MassType=1&amp;NumAxis=1&amp;Mod8=170&amp;Pep=HAHGDQYKATDFVVDR&amp;Dta=/var/www/html/dta/S01/10565.5492.3.dta&amp;Global_Mod=CS57.0215", "5492")</f>
        <v>5492</v>
      </c>
      <c r="W675" s="5">
        <v>5074</v>
      </c>
      <c r="X675" s="5">
        <v>4998</v>
      </c>
      <c r="Y675" s="5">
        <v>4980</v>
      </c>
      <c r="Z675" s="5">
        <v>5029</v>
      </c>
      <c r="AA675" s="5">
        <v>5120</v>
      </c>
      <c r="AB675" s="5">
        <v>5067</v>
      </c>
      <c r="AC675" s="5">
        <v>5396</v>
      </c>
      <c r="AD675" s="5">
        <v>5493</v>
      </c>
      <c r="AE675" s="90">
        <v>3.327</v>
      </c>
      <c r="AF675" s="90">
        <v>4.0979999999999999</v>
      </c>
      <c r="AG675" s="90">
        <v>3.6960000000000002</v>
      </c>
      <c r="AH675" s="90">
        <v>3.6549999999999998</v>
      </c>
      <c r="AI675" s="90">
        <v>3.13</v>
      </c>
      <c r="AJ675" s="90">
        <v>3.6219999999999999</v>
      </c>
      <c r="AK675" s="90">
        <v>4.3620000000000001</v>
      </c>
      <c r="AL675" s="90">
        <v>3.7850000000000001</v>
      </c>
      <c r="AM675" s="21">
        <v>0.39389999999999997</v>
      </c>
      <c r="AN675" s="21">
        <v>0.15770000000000001</v>
      </c>
      <c r="AO675" s="21">
        <v>-6.3299999999999995E-2</v>
      </c>
      <c r="AP675" s="21">
        <v>0.57699999999999996</v>
      </c>
      <c r="AQ675" s="21">
        <v>0.31080000000000002</v>
      </c>
      <c r="AR675" s="21">
        <v>0.86209999999999998</v>
      </c>
      <c r="AS675" s="21">
        <v>0.42699999999999999</v>
      </c>
      <c r="AT675" s="21">
        <v>5.2999999999999999E-2</v>
      </c>
      <c r="AU675" s="21">
        <v>0.308</v>
      </c>
      <c r="AV675" s="21">
        <v>0.33300000000000002</v>
      </c>
      <c r="AW675" s="21">
        <v>0.27100000000000002</v>
      </c>
      <c r="AX675" s="21">
        <v>0.184</v>
      </c>
      <c r="AY675" s="21">
        <v>0.14699999999999999</v>
      </c>
      <c r="AZ675" s="21">
        <v>0.3</v>
      </c>
      <c r="BA675" s="21">
        <v>0.23100000000000001</v>
      </c>
      <c r="BB675" s="21">
        <v>0.255</v>
      </c>
      <c r="BC675" s="5">
        <v>1</v>
      </c>
      <c r="BD675" s="5">
        <v>1</v>
      </c>
      <c r="BE675" s="5">
        <v>3</v>
      </c>
      <c r="BF675" s="5">
        <v>1</v>
      </c>
      <c r="BG675" s="5">
        <v>1</v>
      </c>
      <c r="BH675" s="5">
        <v>1</v>
      </c>
      <c r="BI675" s="5">
        <v>1</v>
      </c>
      <c r="BJ675" s="5">
        <v>1</v>
      </c>
      <c r="BK675" s="90">
        <v>1</v>
      </c>
      <c r="BL675" s="90">
        <v>1</v>
      </c>
      <c r="BM675" s="90">
        <v>1</v>
      </c>
      <c r="BN675" s="90">
        <v>0.999</v>
      </c>
      <c r="BO675" s="90">
        <v>0.997</v>
      </c>
      <c r="BP675" s="90">
        <v>1</v>
      </c>
      <c r="BQ675" s="90">
        <v>1</v>
      </c>
      <c r="BR675" s="90">
        <v>1</v>
      </c>
      <c r="BS675" s="5" t="s">
        <v>4857</v>
      </c>
    </row>
    <row r="676" spans="1:71" s="30" customFormat="1" ht="17.100000000000001" customHeight="1">
      <c r="A676" s="10">
        <v>665</v>
      </c>
      <c r="B676" s="10" t="s">
        <v>2453</v>
      </c>
      <c r="C676" s="4" t="s">
        <v>2686</v>
      </c>
      <c r="D676" s="4" t="s">
        <v>2443</v>
      </c>
      <c r="E676" s="4" t="s">
        <v>2444</v>
      </c>
      <c r="F676" s="10" t="s">
        <v>5122</v>
      </c>
      <c r="G676" s="4" t="s">
        <v>2445</v>
      </c>
      <c r="H676" s="7" t="s">
        <v>2446</v>
      </c>
      <c r="I676" s="4" t="s">
        <v>2447</v>
      </c>
      <c r="J676" s="10" t="s">
        <v>4601</v>
      </c>
      <c r="K676" s="4" t="s">
        <v>5734</v>
      </c>
      <c r="L676" s="4" t="s">
        <v>2454</v>
      </c>
      <c r="M676" s="10">
        <v>2</v>
      </c>
      <c r="N676" s="95">
        <v>635.84109999999998</v>
      </c>
      <c r="O676" s="37" t="str">
        <f>HYPERLINK("http://ms.phosphosite.org:5080/cgi-bin/plot-msms.cgi?MassType=1&amp;NumAxis=1&amp;Mod2=170&amp;Pep=GKLDGNQDLIR&amp;Dta=/var/www/html/dta/S01/10558.5971.2.dta&amp;Global_Mod=CS57.0215", "5971")</f>
        <v>5971</v>
      </c>
      <c r="P676" s="37" t="str">
        <f>HYPERLINK("http://ms.phosphosite.org:5080/cgi-bin/plot-msms.cgi?MassType=1&amp;NumAxis=1&amp;Mod2=170&amp;Pep=GKLDGNQDLIR&amp;Dta=/var/www/html/dta/S01/10559.5913.2.dta&amp;Global_Mod=CS57.0215", "5913")</f>
        <v>5913</v>
      </c>
      <c r="Q676" s="37" t="str">
        <f>HYPERLINK("http://ms.phosphosite.org:5080/cgi-bin/plot-msms.cgi?MassType=1&amp;NumAxis=1&amp;Mod2=170&amp;Pep=GKLDGNQDLIR&amp;Dta=/var/www/html/dta/S01/10560.5890.2.dta&amp;Global_Mod=CS57.0215", "5890")</f>
        <v>5890</v>
      </c>
      <c r="R676" s="37" t="str">
        <f>HYPERLINK("http://ms.phosphosite.org:5080/cgi-bin/plot-msms.cgi?MassType=1&amp;NumAxis=1&amp;Mod2=170&amp;Pep=GKLDGNQDLIR&amp;Dta=/var/www/html/dta/S01/10561.5938.2.dta&amp;Global_Mod=CS57.0215", "5938")</f>
        <v>5938</v>
      </c>
      <c r="S676" s="37" t="str">
        <f>HYPERLINK("http://ms.phosphosite.org:5080/cgi-bin/plot-msms.cgi?MassType=1&amp;NumAxis=1&amp;Mod2=170&amp;Pep=GKLDGNQDLIR&amp;Dta=/var/www/html/dta/S01/10562.6028.2.dta&amp;Global_Mod=CS57.0215", "6028")</f>
        <v>6028</v>
      </c>
      <c r="T676" s="37" t="str">
        <f>HYPERLINK("http://ms.phosphosite.org:5080/cgi-bin/plot-msms.cgi?MassType=1&amp;NumAxis=1&amp;Mod2=170&amp;Pep=GKLDGNQDLIR&amp;Dta=/var/www/html/dta/S01/10563.5985.2.dta&amp;Global_Mod=CS57.0215", "5985")</f>
        <v>5985</v>
      </c>
      <c r="U676" s="38" t="s">
        <v>4854</v>
      </c>
      <c r="V676" s="38" t="s">
        <v>4854</v>
      </c>
      <c r="W676" s="10">
        <v>5976</v>
      </c>
      <c r="X676" s="10">
        <v>5920</v>
      </c>
      <c r="Y676" s="10">
        <v>5882</v>
      </c>
      <c r="Z676" s="10">
        <v>5953</v>
      </c>
      <c r="AA676" s="10">
        <v>6040</v>
      </c>
      <c r="AB676" s="10">
        <v>5980</v>
      </c>
      <c r="AC676" s="4" t="s">
        <v>4854</v>
      </c>
      <c r="AD676" s="4" t="s">
        <v>4854</v>
      </c>
      <c r="AE676" s="91">
        <v>2.7669999999999999</v>
      </c>
      <c r="AF676" s="91">
        <v>2.91</v>
      </c>
      <c r="AG676" s="91">
        <v>3.1949999999999998</v>
      </c>
      <c r="AH676" s="91">
        <v>3.0270000000000001</v>
      </c>
      <c r="AI676" s="91">
        <v>2.92</v>
      </c>
      <c r="AJ676" s="91">
        <v>3.1150000000000002</v>
      </c>
      <c r="AK676" s="100" t="s">
        <v>4854</v>
      </c>
      <c r="AL676" s="100" t="s">
        <v>4854</v>
      </c>
      <c r="AM676" s="95">
        <v>-8.8400000000000006E-2</v>
      </c>
      <c r="AN676" s="95">
        <v>0.30359999999999998</v>
      </c>
      <c r="AO676" s="95">
        <v>7.6899999999999996E-2</v>
      </c>
      <c r="AP676" s="95">
        <v>0.4098</v>
      </c>
      <c r="AQ676" s="95">
        <v>0.85450000000000004</v>
      </c>
      <c r="AR676" s="95">
        <v>0.1391</v>
      </c>
      <c r="AS676" s="103" t="s">
        <v>4854</v>
      </c>
      <c r="AT676" s="103" t="s">
        <v>4854</v>
      </c>
      <c r="AU676" s="95">
        <v>0.28299999999999997</v>
      </c>
      <c r="AV676" s="95">
        <v>0.33400000000000002</v>
      </c>
      <c r="AW676" s="95">
        <v>0.26100000000000001</v>
      </c>
      <c r="AX676" s="95">
        <v>0.27200000000000002</v>
      </c>
      <c r="AY676" s="95">
        <v>0.20699999999999999</v>
      </c>
      <c r="AZ676" s="95">
        <v>0.20300000000000001</v>
      </c>
      <c r="BA676" s="103" t="s">
        <v>4854</v>
      </c>
      <c r="BB676" s="103" t="s">
        <v>4854</v>
      </c>
      <c r="BC676" s="10">
        <v>1</v>
      </c>
      <c r="BD676" s="10">
        <v>1</v>
      </c>
      <c r="BE676" s="10">
        <v>1</v>
      </c>
      <c r="BF676" s="10">
        <v>1</v>
      </c>
      <c r="BG676" s="10">
        <v>1</v>
      </c>
      <c r="BH676" s="10">
        <v>1</v>
      </c>
      <c r="BI676" s="4" t="s">
        <v>4854</v>
      </c>
      <c r="BJ676" s="4" t="s">
        <v>4854</v>
      </c>
      <c r="BK676" s="91">
        <v>0.999</v>
      </c>
      <c r="BL676" s="91">
        <v>1</v>
      </c>
      <c r="BM676" s="91">
        <v>1</v>
      </c>
      <c r="BN676" s="91">
        <v>1</v>
      </c>
      <c r="BO676" s="91">
        <v>0.999</v>
      </c>
      <c r="BP676" s="91">
        <v>0.999</v>
      </c>
      <c r="BQ676" s="100" t="s">
        <v>4854</v>
      </c>
      <c r="BR676" s="100" t="s">
        <v>4854</v>
      </c>
      <c r="BS676" s="10" t="s">
        <v>4857</v>
      </c>
    </row>
    <row r="677" spans="1:71" s="30" customFormat="1" ht="17.100000000000001" customHeight="1">
      <c r="A677" s="14">
        <v>666</v>
      </c>
      <c r="B677" s="5" t="s">
        <v>2455</v>
      </c>
      <c r="C677" s="3" t="s">
        <v>2686</v>
      </c>
      <c r="D677" s="3" t="s">
        <v>2443</v>
      </c>
      <c r="E677" s="3" t="s">
        <v>2444</v>
      </c>
      <c r="F677" s="5" t="s">
        <v>5191</v>
      </c>
      <c r="G677" s="3" t="s">
        <v>2445</v>
      </c>
      <c r="H677" s="6" t="s">
        <v>2446</v>
      </c>
      <c r="I677" s="3" t="s">
        <v>2447</v>
      </c>
      <c r="J677" s="5" t="s">
        <v>4601</v>
      </c>
      <c r="K677" s="3" t="s">
        <v>5735</v>
      </c>
      <c r="L677" s="3" t="s">
        <v>2456</v>
      </c>
      <c r="M677" s="5">
        <v>3</v>
      </c>
      <c r="N677" s="21">
        <v>798.11779999999999</v>
      </c>
      <c r="O677" s="36" t="str">
        <f>HYPERLINK("http://ms.phosphosite.org:5080/cgi-bin/plot-msms.cgi?MassType=1&amp;NumAxis=1&amp;Mod11=170&amp;Pep=LILPHVDVQLKYFDLGLPNR&amp;Dta=/var/www/html/dta/S01/10558.13481.3.dta&amp;Global_Mod=CS57.0215", "13481")</f>
        <v>13481</v>
      </c>
      <c r="P677" s="35" t="s">
        <v>4854</v>
      </c>
      <c r="Q677" s="35" t="s">
        <v>4854</v>
      </c>
      <c r="R677" s="35" t="s">
        <v>4854</v>
      </c>
      <c r="S677" s="36" t="str">
        <f>HYPERLINK("http://ms.phosphosite.org:5080/cgi-bin/plot-msms.cgi?MassType=1&amp;NumAxis=1&amp;Mod11=170&amp;Pep=LILPHVDVQLKYFDLGLPNR&amp;Dta=/var/www/html/dta/S01/10562.13748.3.dta&amp;Global_Mod=CS57.0215", "13748")</f>
        <v>13748</v>
      </c>
      <c r="T677" s="35" t="s">
        <v>4854</v>
      </c>
      <c r="U677" s="36" t="str">
        <f>HYPERLINK("http://ms.phosphosite.org:5080/cgi-bin/plot-msms.cgi?MassType=1&amp;NumAxis=1&amp;Mod11=170&amp;Pep=LILPHVDVQLKYFDLGLPNR&amp;Dta=/var/www/html/dta/S01/10564.14268.3.dta&amp;Global_Mod=CS57.0215", "14268")</f>
        <v>14268</v>
      </c>
      <c r="V677" s="35" t="s">
        <v>4854</v>
      </c>
      <c r="W677" s="5">
        <v>13495</v>
      </c>
      <c r="X677" s="3" t="s">
        <v>4854</v>
      </c>
      <c r="Y677" s="3" t="s">
        <v>4854</v>
      </c>
      <c r="Z677" s="3" t="s">
        <v>4854</v>
      </c>
      <c r="AA677" s="5">
        <v>13755</v>
      </c>
      <c r="AB677" s="3" t="s">
        <v>4854</v>
      </c>
      <c r="AC677" s="5">
        <v>14309</v>
      </c>
      <c r="AD677" s="3" t="s">
        <v>4854</v>
      </c>
      <c r="AE677" s="90">
        <v>2.2919999999999998</v>
      </c>
      <c r="AF677" s="99" t="s">
        <v>4854</v>
      </c>
      <c r="AG677" s="99" t="s">
        <v>4854</v>
      </c>
      <c r="AH677" s="99" t="s">
        <v>4854</v>
      </c>
      <c r="AI677" s="90">
        <v>2.7450000000000001</v>
      </c>
      <c r="AJ677" s="99" t="s">
        <v>4854</v>
      </c>
      <c r="AK677" s="90">
        <v>2.629</v>
      </c>
      <c r="AL677" s="99" t="s">
        <v>4854</v>
      </c>
      <c r="AM677" s="21">
        <v>0.90569999999999995</v>
      </c>
      <c r="AN677" s="102" t="s">
        <v>4854</v>
      </c>
      <c r="AO677" s="102" t="s">
        <v>4854</v>
      </c>
      <c r="AP677" s="102" t="s">
        <v>4854</v>
      </c>
      <c r="AQ677" s="21">
        <v>0.56079999999999997</v>
      </c>
      <c r="AR677" s="102" t="s">
        <v>4854</v>
      </c>
      <c r="AS677" s="21">
        <v>0.86760000000000004</v>
      </c>
      <c r="AT677" s="102" t="s">
        <v>4854</v>
      </c>
      <c r="AU677" s="21">
        <v>0.158</v>
      </c>
      <c r="AV677" s="102" t="s">
        <v>4854</v>
      </c>
      <c r="AW677" s="102" t="s">
        <v>4854</v>
      </c>
      <c r="AX677" s="102" t="s">
        <v>4854</v>
      </c>
      <c r="AY677" s="21">
        <v>0.317</v>
      </c>
      <c r="AZ677" s="102" t="s">
        <v>4854</v>
      </c>
      <c r="BA677" s="21">
        <v>7.5999999999999998E-2</v>
      </c>
      <c r="BB677" s="102" t="s">
        <v>4854</v>
      </c>
      <c r="BC677" s="5">
        <v>4</v>
      </c>
      <c r="BD677" s="3" t="s">
        <v>4854</v>
      </c>
      <c r="BE677" s="3" t="s">
        <v>4854</v>
      </c>
      <c r="BF677" s="3" t="s">
        <v>4854</v>
      </c>
      <c r="BG677" s="5">
        <v>2</v>
      </c>
      <c r="BH677" s="3" t="s">
        <v>4854</v>
      </c>
      <c r="BI677" s="5">
        <v>6</v>
      </c>
      <c r="BJ677" s="3" t="s">
        <v>4854</v>
      </c>
      <c r="BK677" s="90">
        <v>0.98799999999999999</v>
      </c>
      <c r="BL677" s="99" t="s">
        <v>4854</v>
      </c>
      <c r="BM677" s="99" t="s">
        <v>4854</v>
      </c>
      <c r="BN677" s="99" t="s">
        <v>4854</v>
      </c>
      <c r="BO677" s="90">
        <v>0.999</v>
      </c>
      <c r="BP677" s="99" t="s">
        <v>4854</v>
      </c>
      <c r="BQ677" s="90">
        <v>0.97199999999999998</v>
      </c>
      <c r="BR677" s="99" t="s">
        <v>4854</v>
      </c>
      <c r="BS677" s="5" t="s">
        <v>4857</v>
      </c>
    </row>
    <row r="678" spans="1:71" s="30" customFormat="1" ht="17.100000000000001" customHeight="1">
      <c r="A678" s="14">
        <v>667</v>
      </c>
      <c r="B678" s="5" t="s">
        <v>2457</v>
      </c>
      <c r="C678" s="3" t="s">
        <v>2686</v>
      </c>
      <c r="D678" s="3" t="s">
        <v>2443</v>
      </c>
      <c r="E678" s="3" t="s">
        <v>2444</v>
      </c>
      <c r="F678" s="5" t="s">
        <v>5191</v>
      </c>
      <c r="G678" s="3" t="s">
        <v>2445</v>
      </c>
      <c r="H678" s="6" t="s">
        <v>2446</v>
      </c>
      <c r="I678" s="3" t="s">
        <v>2447</v>
      </c>
      <c r="J678" s="5" t="s">
        <v>4601</v>
      </c>
      <c r="K678" s="3" t="s">
        <v>5735</v>
      </c>
      <c r="L678" s="3" t="s">
        <v>2458</v>
      </c>
      <c r="M678" s="5">
        <v>5</v>
      </c>
      <c r="N678" s="21">
        <v>845.04960000000005</v>
      </c>
      <c r="O678" s="35" t="s">
        <v>4854</v>
      </c>
      <c r="P678" s="35" t="s">
        <v>4854</v>
      </c>
      <c r="Q678" s="35" t="s">
        <v>4854</v>
      </c>
      <c r="R678" s="35" t="s">
        <v>4854</v>
      </c>
      <c r="S678" s="35" t="s">
        <v>4854</v>
      </c>
      <c r="T678" s="35" t="s">
        <v>4854</v>
      </c>
      <c r="U678" s="36" t="str">
        <f>HYPERLINK("http://ms.phosphosite.org:5080/cgi-bin/plot-msms.cgi?MassType=1&amp;NumAxis=1&amp;Mod11=170&amp;Pep=LILPHVDVQLKYFDLGLPNRDQTNDQVTIDSALATQK&amp;Dta=/var/www/html/dta/S01/10564.13885.5.dta&amp;Global_Mod=CS57.0215", "13885")</f>
        <v>13885</v>
      </c>
      <c r="V678" s="35" t="s">
        <v>4854</v>
      </c>
      <c r="W678" s="3" t="s">
        <v>4854</v>
      </c>
      <c r="X678" s="3" t="s">
        <v>4854</v>
      </c>
      <c r="Y678" s="3" t="s">
        <v>4854</v>
      </c>
      <c r="Z678" s="3" t="s">
        <v>4854</v>
      </c>
      <c r="AA678" s="3" t="s">
        <v>4854</v>
      </c>
      <c r="AB678" s="3" t="s">
        <v>4854</v>
      </c>
      <c r="AC678" s="5">
        <v>13924</v>
      </c>
      <c r="AD678" s="3" t="s">
        <v>4854</v>
      </c>
      <c r="AE678" s="99" t="s">
        <v>4854</v>
      </c>
      <c r="AF678" s="99" t="s">
        <v>4854</v>
      </c>
      <c r="AG678" s="99" t="s">
        <v>4854</v>
      </c>
      <c r="AH678" s="99" t="s">
        <v>4854</v>
      </c>
      <c r="AI678" s="99" t="s">
        <v>4854</v>
      </c>
      <c r="AJ678" s="99" t="s">
        <v>4854</v>
      </c>
      <c r="AK678" s="90">
        <v>4.3710000000000004</v>
      </c>
      <c r="AL678" s="99" t="s">
        <v>4854</v>
      </c>
      <c r="AM678" s="102" t="s">
        <v>4854</v>
      </c>
      <c r="AN678" s="102" t="s">
        <v>4854</v>
      </c>
      <c r="AO678" s="102" t="s">
        <v>4854</v>
      </c>
      <c r="AP678" s="102" t="s">
        <v>4854</v>
      </c>
      <c r="AQ678" s="102" t="s">
        <v>4854</v>
      </c>
      <c r="AR678" s="102" t="s">
        <v>4854</v>
      </c>
      <c r="AS678" s="21">
        <v>1.1452</v>
      </c>
      <c r="AT678" s="102" t="s">
        <v>4854</v>
      </c>
      <c r="AU678" s="102" t="s">
        <v>4854</v>
      </c>
      <c r="AV678" s="102" t="s">
        <v>4854</v>
      </c>
      <c r="AW678" s="102" t="s">
        <v>4854</v>
      </c>
      <c r="AX678" s="102" t="s">
        <v>4854</v>
      </c>
      <c r="AY678" s="102" t="s">
        <v>4854</v>
      </c>
      <c r="AZ678" s="102" t="s">
        <v>4854</v>
      </c>
      <c r="BA678" s="21">
        <v>0.29899999999999999</v>
      </c>
      <c r="BB678" s="102" t="s">
        <v>4854</v>
      </c>
      <c r="BC678" s="3" t="s">
        <v>4854</v>
      </c>
      <c r="BD678" s="3" t="s">
        <v>4854</v>
      </c>
      <c r="BE678" s="3" t="s">
        <v>4854</v>
      </c>
      <c r="BF678" s="3" t="s">
        <v>4854</v>
      </c>
      <c r="BG678" s="3" t="s">
        <v>4854</v>
      </c>
      <c r="BH678" s="3" t="s">
        <v>4854</v>
      </c>
      <c r="BI678" s="5">
        <v>1</v>
      </c>
      <c r="BJ678" s="3" t="s">
        <v>4854</v>
      </c>
      <c r="BK678" s="99" t="s">
        <v>4854</v>
      </c>
      <c r="BL678" s="99" t="s">
        <v>4854</v>
      </c>
      <c r="BM678" s="99" t="s">
        <v>4854</v>
      </c>
      <c r="BN678" s="99" t="s">
        <v>4854</v>
      </c>
      <c r="BO678" s="99" t="s">
        <v>4854</v>
      </c>
      <c r="BP678" s="99" t="s">
        <v>4854</v>
      </c>
      <c r="BQ678" s="90">
        <v>1</v>
      </c>
      <c r="BR678" s="99" t="s">
        <v>4854</v>
      </c>
      <c r="BS678" s="5" t="s">
        <v>4857</v>
      </c>
    </row>
    <row r="679" spans="1:71" s="30" customFormat="1" ht="17.100000000000001" customHeight="1">
      <c r="A679" s="10">
        <v>668</v>
      </c>
      <c r="B679" s="10" t="s">
        <v>2459</v>
      </c>
      <c r="C679" s="4" t="s">
        <v>2686</v>
      </c>
      <c r="D679" s="4" t="s">
        <v>2460</v>
      </c>
      <c r="E679" s="7" t="s">
        <v>2461</v>
      </c>
      <c r="F679" s="10" t="s">
        <v>5082</v>
      </c>
      <c r="G679" s="4" t="s">
        <v>2462</v>
      </c>
      <c r="H679" s="7" t="s">
        <v>2463</v>
      </c>
      <c r="I679" s="4" t="s">
        <v>2464</v>
      </c>
      <c r="J679" s="10" t="s">
        <v>4695</v>
      </c>
      <c r="K679" s="4" t="s">
        <v>5736</v>
      </c>
      <c r="L679" s="4" t="s">
        <v>2465</v>
      </c>
      <c r="M679" s="10">
        <v>2</v>
      </c>
      <c r="N679" s="95">
        <v>822.44119999999998</v>
      </c>
      <c r="O679" s="38" t="s">
        <v>4854</v>
      </c>
      <c r="P679" s="38" t="s">
        <v>4854</v>
      </c>
      <c r="Q679" s="38" t="s">
        <v>4854</v>
      </c>
      <c r="R679" s="38" t="s">
        <v>4854</v>
      </c>
      <c r="S679" s="37" t="str">
        <f>HYPERLINK("http://ms.phosphosite.org:5080/cgi-bin/plot-msms.cgi?MassType=1&amp;NumAxis=1&amp;Mod9=170&amp;Pep=ANTFVAELKGLDPAR&amp;Dta=/var/www/html/dta/S01/10562.12455.2.dta&amp;Global_Mod=CS57.0215", "12455")</f>
        <v>12455</v>
      </c>
      <c r="T679" s="38" t="s">
        <v>4854</v>
      </c>
      <c r="U679" s="38" t="s">
        <v>4854</v>
      </c>
      <c r="V679" s="38" t="s">
        <v>4854</v>
      </c>
      <c r="W679" s="4" t="s">
        <v>4854</v>
      </c>
      <c r="X679" s="4" t="s">
        <v>4854</v>
      </c>
      <c r="Y679" s="4" t="s">
        <v>4854</v>
      </c>
      <c r="Z679" s="4" t="s">
        <v>4854</v>
      </c>
      <c r="AA679" s="10">
        <v>12446</v>
      </c>
      <c r="AB679" s="4" t="s">
        <v>4854</v>
      </c>
      <c r="AC679" s="4" t="s">
        <v>4854</v>
      </c>
      <c r="AD679" s="4" t="s">
        <v>4854</v>
      </c>
      <c r="AE679" s="100" t="s">
        <v>4854</v>
      </c>
      <c r="AF679" s="100" t="s">
        <v>4854</v>
      </c>
      <c r="AG679" s="100" t="s">
        <v>4854</v>
      </c>
      <c r="AH679" s="100" t="s">
        <v>4854</v>
      </c>
      <c r="AI679" s="91">
        <v>2.1</v>
      </c>
      <c r="AJ679" s="100" t="s">
        <v>4854</v>
      </c>
      <c r="AK679" s="100" t="s">
        <v>4854</v>
      </c>
      <c r="AL679" s="100" t="s">
        <v>4854</v>
      </c>
      <c r="AM679" s="103" t="s">
        <v>4854</v>
      </c>
      <c r="AN679" s="103" t="s">
        <v>4854</v>
      </c>
      <c r="AO679" s="103" t="s">
        <v>4854</v>
      </c>
      <c r="AP679" s="103" t="s">
        <v>4854</v>
      </c>
      <c r="AQ679" s="95">
        <v>0.97660000000000002</v>
      </c>
      <c r="AR679" s="103" t="s">
        <v>4854</v>
      </c>
      <c r="AS679" s="103" t="s">
        <v>4854</v>
      </c>
      <c r="AT679" s="103" t="s">
        <v>4854</v>
      </c>
      <c r="AU679" s="103" t="s">
        <v>4854</v>
      </c>
      <c r="AV679" s="103" t="s">
        <v>4854</v>
      </c>
      <c r="AW679" s="103" t="s">
        <v>4854</v>
      </c>
      <c r="AX679" s="103" t="s">
        <v>4854</v>
      </c>
      <c r="AY679" s="95">
        <v>0.14299999999999999</v>
      </c>
      <c r="AZ679" s="103" t="s">
        <v>4854</v>
      </c>
      <c r="BA679" s="103" t="s">
        <v>4854</v>
      </c>
      <c r="BB679" s="103" t="s">
        <v>4854</v>
      </c>
      <c r="BC679" s="4" t="s">
        <v>4854</v>
      </c>
      <c r="BD679" s="4" t="s">
        <v>4854</v>
      </c>
      <c r="BE679" s="4" t="s">
        <v>4854</v>
      </c>
      <c r="BF679" s="4" t="s">
        <v>4854</v>
      </c>
      <c r="BG679" s="10">
        <v>1</v>
      </c>
      <c r="BH679" s="4" t="s">
        <v>4854</v>
      </c>
      <c r="BI679" s="4" t="s">
        <v>4854</v>
      </c>
      <c r="BJ679" s="4" t="s">
        <v>4854</v>
      </c>
      <c r="BK679" s="100" t="s">
        <v>4854</v>
      </c>
      <c r="BL679" s="100" t="s">
        <v>4854</v>
      </c>
      <c r="BM679" s="100" t="s">
        <v>4854</v>
      </c>
      <c r="BN679" s="100" t="s">
        <v>4854</v>
      </c>
      <c r="BO679" s="91">
        <v>0.98599999999999999</v>
      </c>
      <c r="BP679" s="100" t="s">
        <v>4854</v>
      </c>
      <c r="BQ679" s="100" t="s">
        <v>4854</v>
      </c>
      <c r="BR679" s="100" t="s">
        <v>4854</v>
      </c>
      <c r="BS679" s="10" t="s">
        <v>4857</v>
      </c>
    </row>
    <row r="680" spans="1:71" s="30" customFormat="1" ht="17.100000000000001" customHeight="1">
      <c r="A680" s="14">
        <v>669</v>
      </c>
      <c r="B680" s="5" t="s">
        <v>2466</v>
      </c>
      <c r="C680" s="3" t="s">
        <v>2686</v>
      </c>
      <c r="D680" s="3" t="s">
        <v>2460</v>
      </c>
      <c r="E680" s="6" t="s">
        <v>2461</v>
      </c>
      <c r="F680" s="5" t="s">
        <v>4951</v>
      </c>
      <c r="G680" s="3" t="s">
        <v>2462</v>
      </c>
      <c r="H680" s="6" t="s">
        <v>2463</v>
      </c>
      <c r="I680" s="3" t="s">
        <v>2464</v>
      </c>
      <c r="J680" s="5" t="s">
        <v>4695</v>
      </c>
      <c r="K680" s="3" t="s">
        <v>5737</v>
      </c>
      <c r="L680" s="3" t="s">
        <v>2341</v>
      </c>
      <c r="M680" s="5">
        <v>2</v>
      </c>
      <c r="N680" s="21">
        <v>657.86680000000001</v>
      </c>
      <c r="O680" s="35" t="s">
        <v>4854</v>
      </c>
      <c r="P680" s="35" t="s">
        <v>4854</v>
      </c>
      <c r="Q680" s="35" t="s">
        <v>4854</v>
      </c>
      <c r="R680" s="35" t="s">
        <v>4854</v>
      </c>
      <c r="S680" s="35" t="s">
        <v>4854</v>
      </c>
      <c r="T680" s="35" t="s">
        <v>4854</v>
      </c>
      <c r="U680" s="36" t="str">
        <f>HYPERLINK("http://ms.phosphosite.org:5080/cgi-bin/plot-msms.cgi?MassType=1&amp;NumAxis=1&amp;Mod10=170&amp;Pep=IQEAGTEVVKAK&amp;Dta=/var/www/html/dta/S01/10564.3636.2.dta&amp;Global_Mod=CS57.0215", "3636")</f>
        <v>3636</v>
      </c>
      <c r="V680" s="35" t="s">
        <v>4854</v>
      </c>
      <c r="W680" s="3" t="s">
        <v>4854</v>
      </c>
      <c r="X680" s="3" t="s">
        <v>4854</v>
      </c>
      <c r="Y680" s="3" t="s">
        <v>4854</v>
      </c>
      <c r="Z680" s="3" t="s">
        <v>4854</v>
      </c>
      <c r="AA680" s="3" t="s">
        <v>4854</v>
      </c>
      <c r="AB680" s="3" t="s">
        <v>4854</v>
      </c>
      <c r="AC680" s="5">
        <v>3627</v>
      </c>
      <c r="AD680" s="3" t="s">
        <v>4854</v>
      </c>
      <c r="AE680" s="99" t="s">
        <v>4854</v>
      </c>
      <c r="AF680" s="99" t="s">
        <v>4854</v>
      </c>
      <c r="AG680" s="99" t="s">
        <v>4854</v>
      </c>
      <c r="AH680" s="99" t="s">
        <v>4854</v>
      </c>
      <c r="AI680" s="99" t="s">
        <v>4854</v>
      </c>
      <c r="AJ680" s="99" t="s">
        <v>4854</v>
      </c>
      <c r="AK680" s="90">
        <v>3.3730000000000002</v>
      </c>
      <c r="AL680" s="99" t="s">
        <v>4854</v>
      </c>
      <c r="AM680" s="102" t="s">
        <v>4854</v>
      </c>
      <c r="AN680" s="102" t="s">
        <v>4854</v>
      </c>
      <c r="AO680" s="102" t="s">
        <v>4854</v>
      </c>
      <c r="AP680" s="102" t="s">
        <v>4854</v>
      </c>
      <c r="AQ680" s="102" t="s">
        <v>4854</v>
      </c>
      <c r="AR680" s="102" t="s">
        <v>4854</v>
      </c>
      <c r="AS680" s="21">
        <v>0.39689999999999998</v>
      </c>
      <c r="AT680" s="102" t="s">
        <v>4854</v>
      </c>
      <c r="AU680" s="102" t="s">
        <v>4854</v>
      </c>
      <c r="AV680" s="102" t="s">
        <v>4854</v>
      </c>
      <c r="AW680" s="102" t="s">
        <v>4854</v>
      </c>
      <c r="AX680" s="102" t="s">
        <v>4854</v>
      </c>
      <c r="AY680" s="102" t="s">
        <v>4854</v>
      </c>
      <c r="AZ680" s="102" t="s">
        <v>4854</v>
      </c>
      <c r="BA680" s="21">
        <v>0.224</v>
      </c>
      <c r="BB680" s="102" t="s">
        <v>4854</v>
      </c>
      <c r="BC680" s="3" t="s">
        <v>4854</v>
      </c>
      <c r="BD680" s="3" t="s">
        <v>4854</v>
      </c>
      <c r="BE680" s="3" t="s">
        <v>4854</v>
      </c>
      <c r="BF680" s="3" t="s">
        <v>4854</v>
      </c>
      <c r="BG680" s="3" t="s">
        <v>4854</v>
      </c>
      <c r="BH680" s="3" t="s">
        <v>4854</v>
      </c>
      <c r="BI680" s="5">
        <v>1</v>
      </c>
      <c r="BJ680" s="3" t="s">
        <v>4854</v>
      </c>
      <c r="BK680" s="99" t="s">
        <v>4854</v>
      </c>
      <c r="BL680" s="99" t="s">
        <v>4854</v>
      </c>
      <c r="BM680" s="99" t="s">
        <v>4854</v>
      </c>
      <c r="BN680" s="99" t="s">
        <v>4854</v>
      </c>
      <c r="BO680" s="99" t="s">
        <v>4854</v>
      </c>
      <c r="BP680" s="99" t="s">
        <v>4854</v>
      </c>
      <c r="BQ680" s="90">
        <v>1</v>
      </c>
      <c r="BR680" s="99" t="s">
        <v>4854</v>
      </c>
      <c r="BS680" s="5" t="s">
        <v>4857</v>
      </c>
    </row>
    <row r="681" spans="1:71" s="30" customFormat="1" ht="17.100000000000001" customHeight="1">
      <c r="A681" s="10">
        <v>670</v>
      </c>
      <c r="B681" s="10" t="s">
        <v>2342</v>
      </c>
      <c r="C681" s="4" t="s">
        <v>2686</v>
      </c>
      <c r="D681" s="4" t="s">
        <v>2460</v>
      </c>
      <c r="E681" s="7" t="s">
        <v>2461</v>
      </c>
      <c r="F681" s="10" t="s">
        <v>5065</v>
      </c>
      <c r="G681" s="4" t="s">
        <v>2462</v>
      </c>
      <c r="H681" s="7" t="s">
        <v>2463</v>
      </c>
      <c r="I681" s="4" t="s">
        <v>2464</v>
      </c>
      <c r="J681" s="10" t="s">
        <v>4695</v>
      </c>
      <c r="K681" s="4" t="s">
        <v>5738</v>
      </c>
      <c r="L681" s="4" t="s">
        <v>2343</v>
      </c>
      <c r="M681" s="10">
        <v>2</v>
      </c>
      <c r="N681" s="95">
        <v>1009.0317</v>
      </c>
      <c r="O681" s="37" t="str">
        <f>HYPERLINK("http://ms.phosphosite.org:5080/cgi-bin/plot-msms.cgi?MassType=1&amp;NumAxis=1&amp;Mod7=170&amp;Mod8=147&amp;Pep=ITPFEEKMIAEAIPELK&amp;Dta=/var/www/html/dta/S01/10558.12053.2.dta&amp;Global_Mod=CS57.0215", "12053")</f>
        <v>12053</v>
      </c>
      <c r="P681" s="38" t="s">
        <v>4854</v>
      </c>
      <c r="Q681" s="37" t="str">
        <f>HYPERLINK("http://ms.phosphosite.org:5080/cgi-bin/plot-msms.cgi?MassType=1&amp;NumAxis=1&amp;Mod7=170&amp;Mod8=147&amp;Pep=ITPFEEKMIAEAIPELK&amp;Dta=/var/www/html/dta/S01/10560.12107.2.dta&amp;Global_Mod=CS57.0215", "12107")</f>
        <v>12107</v>
      </c>
      <c r="R681" s="37" t="str">
        <f>HYPERLINK("http://ms.phosphosite.org:5080/cgi-bin/plot-msms.cgi?MassType=1&amp;NumAxis=1&amp;Mod7=170&amp;Mod8=147&amp;Pep=ITPFEEKMIAEAIPELK&amp;Dta=/var/www/html/dta/S01/10561.12136.2.dta&amp;Global_Mod=CS57.0215", "12136")</f>
        <v>12136</v>
      </c>
      <c r="S681" s="38" t="s">
        <v>4854</v>
      </c>
      <c r="T681" s="37" t="str">
        <f>HYPERLINK("http://ms.phosphosite.org:5080/cgi-bin/plot-msms.cgi?MassType=1&amp;NumAxis=1&amp;Mod7=170&amp;Mod8=147&amp;Pep=ITPFEEKMIAEAIPELK&amp;Dta=/var/www/html/dta/S01/10563.12243.2.dta&amp;Global_Mod=CS57.0215", "12243")</f>
        <v>12243</v>
      </c>
      <c r="U681" s="37" t="str">
        <f>HYPERLINK("http://ms.phosphosite.org:5080/cgi-bin/plot-msms.cgi?MassType=1&amp;NumAxis=1&amp;Mod7=170&amp;Mod8=147&amp;Pep=ITPFEEKMIAEAIPELK&amp;Dta=/var/www/html/dta/S01/10564.12799.2.dta&amp;Global_Mod=CS57.0215", "12799")</f>
        <v>12799</v>
      </c>
      <c r="V681" s="37" t="str">
        <f>HYPERLINK("http://ms.phosphosite.org:5080/cgi-bin/plot-msms.cgi?MassType=1&amp;NumAxis=1&amp;Mod7=170&amp;Mod8=147&amp;Pep=ITPFEEKMIAEAIPELK&amp;Dta=/var/www/html/dta/S01/10565.12731.2.dta&amp;Global_Mod=CS57.0215", "12731")</f>
        <v>12731</v>
      </c>
      <c r="W681" s="10">
        <v>12054</v>
      </c>
      <c r="X681" s="4" t="s">
        <v>4854</v>
      </c>
      <c r="Y681" s="10">
        <v>12143</v>
      </c>
      <c r="Z681" s="10">
        <v>12149</v>
      </c>
      <c r="AA681" s="4" t="s">
        <v>4854</v>
      </c>
      <c r="AB681" s="10">
        <v>12246</v>
      </c>
      <c r="AC681" s="10">
        <v>12813</v>
      </c>
      <c r="AD681" s="10">
        <v>12767</v>
      </c>
      <c r="AE681" s="91">
        <v>2.4089999999999998</v>
      </c>
      <c r="AF681" s="100" t="s">
        <v>4854</v>
      </c>
      <c r="AG681" s="91">
        <v>2.4470000000000001</v>
      </c>
      <c r="AH681" s="91">
        <v>2.5390000000000001</v>
      </c>
      <c r="AI681" s="100" t="s">
        <v>4854</v>
      </c>
      <c r="AJ681" s="91">
        <v>2.077</v>
      </c>
      <c r="AK681" s="91">
        <v>2.3119999999999998</v>
      </c>
      <c r="AL681" s="91">
        <v>2.2559999999999998</v>
      </c>
      <c r="AM681" s="95">
        <v>1.2354000000000001</v>
      </c>
      <c r="AN681" s="103" t="s">
        <v>4854</v>
      </c>
      <c r="AO681" s="95">
        <v>1.3310999999999999</v>
      </c>
      <c r="AP681" s="95">
        <v>1.2211000000000001</v>
      </c>
      <c r="AQ681" s="103" t="s">
        <v>4854</v>
      </c>
      <c r="AR681" s="95">
        <v>1.3167</v>
      </c>
      <c r="AS681" s="95">
        <v>1.401</v>
      </c>
      <c r="AT681" s="95">
        <v>0.91220000000000001</v>
      </c>
      <c r="AU681" s="95">
        <v>0.25900000000000001</v>
      </c>
      <c r="AV681" s="103" t="s">
        <v>4854</v>
      </c>
      <c r="AW681" s="95">
        <v>0.27600000000000002</v>
      </c>
      <c r="AX681" s="95">
        <v>0.16700000000000001</v>
      </c>
      <c r="AY681" s="103" t="s">
        <v>4854</v>
      </c>
      <c r="AZ681" s="95">
        <v>0.20399999999999999</v>
      </c>
      <c r="BA681" s="95">
        <v>0.23</v>
      </c>
      <c r="BB681" s="95">
        <v>0.19900000000000001</v>
      </c>
      <c r="BC681" s="10">
        <v>1</v>
      </c>
      <c r="BD681" s="4" t="s">
        <v>4854</v>
      </c>
      <c r="BE681" s="10">
        <v>1</v>
      </c>
      <c r="BF681" s="10">
        <v>13</v>
      </c>
      <c r="BG681" s="4" t="s">
        <v>4854</v>
      </c>
      <c r="BH681" s="10">
        <v>4</v>
      </c>
      <c r="BI681" s="10">
        <v>2</v>
      </c>
      <c r="BJ681" s="10">
        <v>7</v>
      </c>
      <c r="BK681" s="91">
        <v>0.998</v>
      </c>
      <c r="BL681" s="100" t="s">
        <v>4854</v>
      </c>
      <c r="BM681" s="91">
        <v>0.995</v>
      </c>
      <c r="BN681" s="91">
        <v>0.99</v>
      </c>
      <c r="BO681" s="100" t="s">
        <v>4854</v>
      </c>
      <c r="BP681" s="91">
        <v>0.96799999999999997</v>
      </c>
      <c r="BQ681" s="91">
        <v>0.98799999999999999</v>
      </c>
      <c r="BR681" s="91">
        <v>0.99</v>
      </c>
      <c r="BS681" s="10" t="s">
        <v>4857</v>
      </c>
    </row>
    <row r="682" spans="1:71" s="30" customFormat="1" ht="17.100000000000001" customHeight="1">
      <c r="A682" s="10">
        <v>671</v>
      </c>
      <c r="B682" s="10" t="s">
        <v>2344</v>
      </c>
      <c r="C682" s="4" t="s">
        <v>2686</v>
      </c>
      <c r="D682" s="4" t="s">
        <v>2460</v>
      </c>
      <c r="E682" s="7" t="s">
        <v>2461</v>
      </c>
      <c r="F682" s="10" t="s">
        <v>5065</v>
      </c>
      <c r="G682" s="4" t="s">
        <v>2462</v>
      </c>
      <c r="H682" s="7" t="s">
        <v>2463</v>
      </c>
      <c r="I682" s="4" t="s">
        <v>2464</v>
      </c>
      <c r="J682" s="10" t="s">
        <v>4695</v>
      </c>
      <c r="K682" s="4" t="s">
        <v>5738</v>
      </c>
      <c r="L682" s="4" t="s">
        <v>2343</v>
      </c>
      <c r="M682" s="10">
        <v>3</v>
      </c>
      <c r="N682" s="95">
        <v>673.02359999999999</v>
      </c>
      <c r="O682" s="38" t="s">
        <v>4854</v>
      </c>
      <c r="P682" s="38" t="s">
        <v>4854</v>
      </c>
      <c r="Q682" s="38" t="s">
        <v>4854</v>
      </c>
      <c r="R682" s="38" t="s">
        <v>4854</v>
      </c>
      <c r="S682" s="37" t="str">
        <f>HYPERLINK("http://ms.phosphosite.org:5080/cgi-bin/plot-msms.cgi?MassType=1&amp;NumAxis=1&amp;Mod7=170&amp;Mod8=147&amp;Pep=ITPFEEKMIAEAIPELK&amp;Dta=/var/www/html/dta/S01/10562.12287.3.dta&amp;Global_Mod=CS57.0215", "12287")</f>
        <v>12287</v>
      </c>
      <c r="T682" s="37" t="str">
        <f>HYPERLINK("http://ms.phosphosite.org:5080/cgi-bin/plot-msms.cgi?MassType=1&amp;NumAxis=1&amp;Mod7=170&amp;Mod8=147&amp;Pep=ITPFEEKMIAEAIPELK&amp;Dta=/var/www/html/dta/S01/10563.12225.3.dta&amp;Global_Mod=CS57.0215", "12225")</f>
        <v>12225</v>
      </c>
      <c r="U682" s="38" t="s">
        <v>4854</v>
      </c>
      <c r="V682" s="37" t="str">
        <f>HYPERLINK("http://ms.phosphosite.org:5080/cgi-bin/plot-msms.cgi?MassType=1&amp;NumAxis=1&amp;Mod7=170&amp;Mod8=147&amp;Pep=ITPFEEKMIAEAIPELK&amp;Dta=/var/www/html/dta/S01/10565.12748.3.dta&amp;Global_Mod=CS57.0215", "12748")</f>
        <v>12748</v>
      </c>
      <c r="W682" s="4" t="s">
        <v>4854</v>
      </c>
      <c r="X682" s="4" t="s">
        <v>4854</v>
      </c>
      <c r="Y682" s="4" t="s">
        <v>4854</v>
      </c>
      <c r="Z682" s="4" t="s">
        <v>4854</v>
      </c>
      <c r="AA682" s="4" t="s">
        <v>4854</v>
      </c>
      <c r="AB682" s="10">
        <v>12246</v>
      </c>
      <c r="AC682" s="4" t="s">
        <v>4854</v>
      </c>
      <c r="AD682" s="10">
        <v>12767</v>
      </c>
      <c r="AE682" s="100" t="s">
        <v>4854</v>
      </c>
      <c r="AF682" s="100" t="s">
        <v>4854</v>
      </c>
      <c r="AG682" s="100" t="s">
        <v>4854</v>
      </c>
      <c r="AH682" s="100" t="s">
        <v>4854</v>
      </c>
      <c r="AI682" s="91">
        <v>1.9810000000000001</v>
      </c>
      <c r="AJ682" s="91">
        <v>4.3719999999999999</v>
      </c>
      <c r="AK682" s="100" t="s">
        <v>4854</v>
      </c>
      <c r="AL682" s="91">
        <v>4.1870000000000003</v>
      </c>
      <c r="AM682" s="103" t="s">
        <v>4854</v>
      </c>
      <c r="AN682" s="103" t="s">
        <v>4854</v>
      </c>
      <c r="AO682" s="103" t="s">
        <v>4854</v>
      </c>
      <c r="AP682" s="103" t="s">
        <v>4854</v>
      </c>
      <c r="AQ682" s="95">
        <v>1.1501999999999999</v>
      </c>
      <c r="AR682" s="95">
        <v>1.1556</v>
      </c>
      <c r="AS682" s="103" t="s">
        <v>4854</v>
      </c>
      <c r="AT682" s="95">
        <v>0.92310000000000003</v>
      </c>
      <c r="AU682" s="103" t="s">
        <v>4854</v>
      </c>
      <c r="AV682" s="103" t="s">
        <v>4854</v>
      </c>
      <c r="AW682" s="103" t="s">
        <v>4854</v>
      </c>
      <c r="AX682" s="103" t="s">
        <v>4854</v>
      </c>
      <c r="AY682" s="95">
        <v>2.7E-2</v>
      </c>
      <c r="AZ682" s="95">
        <v>0.29899999999999999</v>
      </c>
      <c r="BA682" s="103" t="s">
        <v>4854</v>
      </c>
      <c r="BB682" s="95">
        <v>0.29099999999999998</v>
      </c>
      <c r="BC682" s="4" t="s">
        <v>4854</v>
      </c>
      <c r="BD682" s="4" t="s">
        <v>4854</v>
      </c>
      <c r="BE682" s="4" t="s">
        <v>4854</v>
      </c>
      <c r="BF682" s="4" t="s">
        <v>4854</v>
      </c>
      <c r="BG682" s="10">
        <v>8</v>
      </c>
      <c r="BH682" s="10">
        <v>1</v>
      </c>
      <c r="BI682" s="4" t="s">
        <v>4854</v>
      </c>
      <c r="BJ682" s="10">
        <v>1</v>
      </c>
      <c r="BK682" s="100" t="s">
        <v>4854</v>
      </c>
      <c r="BL682" s="100" t="s">
        <v>4854</v>
      </c>
      <c r="BM682" s="100" t="s">
        <v>4854</v>
      </c>
      <c r="BN682" s="100" t="s">
        <v>4854</v>
      </c>
      <c r="BO682" s="91">
        <v>0.879</v>
      </c>
      <c r="BP682" s="91">
        <v>1</v>
      </c>
      <c r="BQ682" s="100" t="s">
        <v>4854</v>
      </c>
      <c r="BR682" s="91">
        <v>1</v>
      </c>
      <c r="BS682" s="10" t="s">
        <v>4857</v>
      </c>
    </row>
    <row r="683" spans="1:71" s="30" customFormat="1" ht="17.100000000000001" customHeight="1">
      <c r="A683" s="14">
        <v>672</v>
      </c>
      <c r="B683" s="5" t="s">
        <v>2345</v>
      </c>
      <c r="C683" s="3" t="s">
        <v>2686</v>
      </c>
      <c r="D683" s="3" t="s">
        <v>2346</v>
      </c>
      <c r="E683" s="3" t="s">
        <v>2347</v>
      </c>
      <c r="F683" s="5" t="s">
        <v>4994</v>
      </c>
      <c r="G683" s="3" t="s">
        <v>2348</v>
      </c>
      <c r="H683" s="6" t="s">
        <v>2349</v>
      </c>
      <c r="I683" s="3" t="s">
        <v>2350</v>
      </c>
      <c r="J683" s="5" t="s">
        <v>4700</v>
      </c>
      <c r="K683" s="3" t="s">
        <v>5739</v>
      </c>
      <c r="L683" s="3" t="s">
        <v>2351</v>
      </c>
      <c r="M683" s="5">
        <v>2</v>
      </c>
      <c r="N683" s="21">
        <v>860.36590000000001</v>
      </c>
      <c r="O683" s="36" t="str">
        <f>HYPERLINK("http://ms.phosphosite.org:5080/cgi-bin/plot-msms.cgi?MassType=1&amp;NumAxis=1&amp;Mod6=170&amp;Pep=FYDDPKSNDGNSYR&amp;Dta=/var/www/html/dta/S01/10558.4866.2.dta&amp;Global_Mod=CS57.0215", "4866")</f>
        <v>4866</v>
      </c>
      <c r="P683" s="36" t="str">
        <f>HYPERLINK("http://ms.phosphosite.org:5080/cgi-bin/plot-msms.cgi?MassType=1&amp;NumAxis=1&amp;Mod6=170&amp;Pep=FYDDPKSNDGNSYR&amp;Dta=/var/www/html/dta/S01/10559.4764.2.dta&amp;Global_Mod=CS57.0215", "4764")</f>
        <v>4764</v>
      </c>
      <c r="Q683" s="35" t="s">
        <v>4854</v>
      </c>
      <c r="R683" s="35" t="s">
        <v>4854</v>
      </c>
      <c r="S683" s="35" t="s">
        <v>4854</v>
      </c>
      <c r="T683" s="35" t="s">
        <v>4854</v>
      </c>
      <c r="U683" s="36" t="str">
        <f>HYPERLINK("http://ms.phosphosite.org:5080/cgi-bin/plot-msms.cgi?MassType=1&amp;NumAxis=1&amp;Mod6=170&amp;Pep=FYDDPKSNDGNSYR&amp;Dta=/var/www/html/dta/S01/10564.5151.2.dta&amp;Global_Mod=CS57.0215", "5151")</f>
        <v>5151</v>
      </c>
      <c r="V683" s="36" t="str">
        <f>HYPERLINK("http://ms.phosphosite.org:5080/cgi-bin/plot-msms.cgi?MassType=1&amp;NumAxis=1&amp;Mod6=170&amp;Pep=FYDDPKSNDGNSYR&amp;Dta=/var/www/html/dta/S01/10565.5259.2.dta&amp;Global_Mod=CS57.0215", "5259")</f>
        <v>5259</v>
      </c>
      <c r="W683" s="5">
        <v>4867</v>
      </c>
      <c r="X683" s="5">
        <v>4756</v>
      </c>
      <c r="Y683" s="3" t="s">
        <v>4854</v>
      </c>
      <c r="Z683" s="3" t="s">
        <v>4854</v>
      </c>
      <c r="AA683" s="3" t="s">
        <v>4854</v>
      </c>
      <c r="AB683" s="3" t="s">
        <v>4854</v>
      </c>
      <c r="AC683" s="5">
        <v>5143</v>
      </c>
      <c r="AD683" s="5">
        <v>5273</v>
      </c>
      <c r="AE683" s="90">
        <v>3.5529999999999999</v>
      </c>
      <c r="AF683" s="90">
        <v>2.88</v>
      </c>
      <c r="AG683" s="99" t="s">
        <v>4854</v>
      </c>
      <c r="AH683" s="99" t="s">
        <v>4854</v>
      </c>
      <c r="AI683" s="99" t="s">
        <v>4854</v>
      </c>
      <c r="AJ683" s="99" t="s">
        <v>4854</v>
      </c>
      <c r="AK683" s="90">
        <v>3.9470000000000001</v>
      </c>
      <c r="AL683" s="90">
        <v>3.4940000000000002</v>
      </c>
      <c r="AM683" s="21">
        <v>-4.8399999999999999E-2</v>
      </c>
      <c r="AN683" s="21">
        <v>0.80810000000000004</v>
      </c>
      <c r="AO683" s="102" t="s">
        <v>4854</v>
      </c>
      <c r="AP683" s="102" t="s">
        <v>4854</v>
      </c>
      <c r="AQ683" s="102" t="s">
        <v>4854</v>
      </c>
      <c r="AR683" s="102" t="s">
        <v>4854</v>
      </c>
      <c r="AS683" s="21">
        <v>0.69069999999999998</v>
      </c>
      <c r="AT683" s="21">
        <v>6.5000000000000002E-2</v>
      </c>
      <c r="AU683" s="21">
        <v>0.52200000000000002</v>
      </c>
      <c r="AV683" s="21">
        <v>0.45600000000000002</v>
      </c>
      <c r="AW683" s="102" t="s">
        <v>4854</v>
      </c>
      <c r="AX683" s="102" t="s">
        <v>4854</v>
      </c>
      <c r="AY683" s="102" t="s">
        <v>4854</v>
      </c>
      <c r="AZ683" s="102" t="s">
        <v>4854</v>
      </c>
      <c r="BA683" s="21">
        <v>0.52900000000000003</v>
      </c>
      <c r="BB683" s="21">
        <v>0.47299999999999998</v>
      </c>
      <c r="BC683" s="5">
        <v>1</v>
      </c>
      <c r="BD683" s="5">
        <v>1</v>
      </c>
      <c r="BE683" s="3" t="s">
        <v>4854</v>
      </c>
      <c r="BF683" s="3" t="s">
        <v>4854</v>
      </c>
      <c r="BG683" s="3" t="s">
        <v>4854</v>
      </c>
      <c r="BH683" s="3" t="s">
        <v>4854</v>
      </c>
      <c r="BI683" s="5">
        <v>1</v>
      </c>
      <c r="BJ683" s="5">
        <v>1</v>
      </c>
      <c r="BK683" s="90">
        <v>1</v>
      </c>
      <c r="BL683" s="90">
        <v>1</v>
      </c>
      <c r="BM683" s="99" t="s">
        <v>4854</v>
      </c>
      <c r="BN683" s="99" t="s">
        <v>4854</v>
      </c>
      <c r="BO683" s="99" t="s">
        <v>4854</v>
      </c>
      <c r="BP683" s="99" t="s">
        <v>4854</v>
      </c>
      <c r="BQ683" s="90">
        <v>1</v>
      </c>
      <c r="BR683" s="90">
        <v>1</v>
      </c>
      <c r="BS683" s="5" t="s">
        <v>4857</v>
      </c>
    </row>
    <row r="684" spans="1:71" s="30" customFormat="1" ht="17.100000000000001" customHeight="1">
      <c r="A684" s="10">
        <v>673</v>
      </c>
      <c r="B684" s="10" t="s">
        <v>2352</v>
      </c>
      <c r="C684" s="4" t="s">
        <v>2686</v>
      </c>
      <c r="D684" s="4" t="s">
        <v>2353</v>
      </c>
      <c r="E684" s="4" t="s">
        <v>2354</v>
      </c>
      <c r="F684" s="10" t="s">
        <v>5237</v>
      </c>
      <c r="G684" s="4" t="s">
        <v>2355</v>
      </c>
      <c r="H684" s="7" t="s">
        <v>2356</v>
      </c>
      <c r="I684" s="4" t="s">
        <v>2357</v>
      </c>
      <c r="J684" s="10" t="s">
        <v>4837</v>
      </c>
      <c r="K684" s="4" t="s">
        <v>5740</v>
      </c>
      <c r="L684" s="4" t="s">
        <v>2358</v>
      </c>
      <c r="M684" s="10">
        <v>3</v>
      </c>
      <c r="N684" s="95">
        <v>418.57990000000001</v>
      </c>
      <c r="O684" s="38" t="s">
        <v>4854</v>
      </c>
      <c r="P684" s="38" t="s">
        <v>4854</v>
      </c>
      <c r="Q684" s="38" t="s">
        <v>4854</v>
      </c>
      <c r="R684" s="38" t="s">
        <v>4854</v>
      </c>
      <c r="S684" s="38" t="s">
        <v>4854</v>
      </c>
      <c r="T684" s="38" t="s">
        <v>4854</v>
      </c>
      <c r="U684" s="37" t="str">
        <f>HYPERLINK("http://ms.phosphosite.org:5080/cgi-bin/plot-msms.cgi?MassType=1&amp;NumAxis=1&amp;Mod6=170&amp;Pep=TLDILKHFPK&amp;Dta=/var/www/html/dta/S01/10564.9692.3.dta&amp;Global_Mod=CS57.0215", "9692")</f>
        <v>9692</v>
      </c>
      <c r="V684" s="38" t="s">
        <v>4854</v>
      </c>
      <c r="W684" s="4" t="s">
        <v>4854</v>
      </c>
      <c r="X684" s="4" t="s">
        <v>4854</v>
      </c>
      <c r="Y684" s="4" t="s">
        <v>4854</v>
      </c>
      <c r="Z684" s="4" t="s">
        <v>4854</v>
      </c>
      <c r="AA684" s="4" t="s">
        <v>4854</v>
      </c>
      <c r="AB684" s="4" t="s">
        <v>4854</v>
      </c>
      <c r="AC684" s="4" t="s">
        <v>4854</v>
      </c>
      <c r="AD684" s="4" t="s">
        <v>4854</v>
      </c>
      <c r="AE684" s="100" t="s">
        <v>4854</v>
      </c>
      <c r="AF684" s="100" t="s">
        <v>4854</v>
      </c>
      <c r="AG684" s="100" t="s">
        <v>4854</v>
      </c>
      <c r="AH684" s="100" t="s">
        <v>4854</v>
      </c>
      <c r="AI684" s="100" t="s">
        <v>4854</v>
      </c>
      <c r="AJ684" s="100" t="s">
        <v>4854</v>
      </c>
      <c r="AK684" s="91">
        <v>1.8080000000000001</v>
      </c>
      <c r="AL684" s="100" t="s">
        <v>4854</v>
      </c>
      <c r="AM684" s="103" t="s">
        <v>4854</v>
      </c>
      <c r="AN684" s="103" t="s">
        <v>4854</v>
      </c>
      <c r="AO684" s="103" t="s">
        <v>4854</v>
      </c>
      <c r="AP684" s="103" t="s">
        <v>4854</v>
      </c>
      <c r="AQ684" s="103" t="s">
        <v>4854</v>
      </c>
      <c r="AR684" s="103" t="s">
        <v>4854</v>
      </c>
      <c r="AS684" s="95">
        <v>0.64929999999999999</v>
      </c>
      <c r="AT684" s="103" t="s">
        <v>4854</v>
      </c>
      <c r="AU684" s="103" t="s">
        <v>4854</v>
      </c>
      <c r="AV684" s="103" t="s">
        <v>4854</v>
      </c>
      <c r="AW684" s="103" t="s">
        <v>4854</v>
      </c>
      <c r="AX684" s="103" t="s">
        <v>4854</v>
      </c>
      <c r="AY684" s="103" t="s">
        <v>4854</v>
      </c>
      <c r="AZ684" s="103" t="s">
        <v>4854</v>
      </c>
      <c r="BA684" s="95">
        <v>2.8000000000000001E-2</v>
      </c>
      <c r="BB684" s="103" t="s">
        <v>4854</v>
      </c>
      <c r="BC684" s="4" t="s">
        <v>4854</v>
      </c>
      <c r="BD684" s="4" t="s">
        <v>4854</v>
      </c>
      <c r="BE684" s="4" t="s">
        <v>4854</v>
      </c>
      <c r="BF684" s="4" t="s">
        <v>4854</v>
      </c>
      <c r="BG684" s="4" t="s">
        <v>4854</v>
      </c>
      <c r="BH684" s="4" t="s">
        <v>4854</v>
      </c>
      <c r="BI684" s="10">
        <v>183</v>
      </c>
      <c r="BJ684" s="4" t="s">
        <v>4854</v>
      </c>
      <c r="BK684" s="100" t="s">
        <v>4854</v>
      </c>
      <c r="BL684" s="100" t="s">
        <v>4854</v>
      </c>
      <c r="BM684" s="100" t="s">
        <v>4854</v>
      </c>
      <c r="BN684" s="100" t="s">
        <v>4854</v>
      </c>
      <c r="BO684" s="100" t="s">
        <v>4854</v>
      </c>
      <c r="BP684" s="100" t="s">
        <v>4854</v>
      </c>
      <c r="BQ684" s="91">
        <v>0.78800000000000003</v>
      </c>
      <c r="BR684" s="100" t="s">
        <v>4854</v>
      </c>
      <c r="BS684" s="10" t="s">
        <v>4857</v>
      </c>
    </row>
    <row r="685" spans="1:71" s="30" customFormat="1" ht="17.100000000000001" customHeight="1">
      <c r="A685" s="14">
        <v>674</v>
      </c>
      <c r="B685" s="5" t="s">
        <v>2359</v>
      </c>
      <c r="C685" s="3" t="s">
        <v>2686</v>
      </c>
      <c r="D685" s="3" t="s">
        <v>2360</v>
      </c>
      <c r="E685" s="3" t="s">
        <v>2361</v>
      </c>
      <c r="F685" s="5" t="s">
        <v>5105</v>
      </c>
      <c r="G685" s="3" t="s">
        <v>2362</v>
      </c>
      <c r="H685" s="6" t="s">
        <v>2363</v>
      </c>
      <c r="I685" s="3" t="s">
        <v>2364</v>
      </c>
      <c r="J685" s="5" t="s">
        <v>4708</v>
      </c>
      <c r="K685" s="3" t="s">
        <v>5741</v>
      </c>
      <c r="L685" s="3" t="s">
        <v>2365</v>
      </c>
      <c r="M685" s="5">
        <v>2</v>
      </c>
      <c r="N685" s="21">
        <v>780.40120000000002</v>
      </c>
      <c r="O685" s="36" t="str">
        <f>HYPERLINK("http://ms.phosphosite.org:5080/cgi-bin/plot-msms.cgi?MassType=1&amp;NumAxis=1&amp;Mod10=170&amp;Pep=WLSSEIEETKPAK&amp;Dta=/var/www/html/dta/S01/10558.7092.2.dta&amp;Global_Mod=CS57.0215", "7092")</f>
        <v>7092</v>
      </c>
      <c r="P685" s="36" t="str">
        <f>HYPERLINK("http://ms.phosphosite.org:5080/cgi-bin/plot-msms.cgi?MassType=1&amp;NumAxis=1&amp;Mod10=170&amp;Pep=WLSSEIEETKPAK&amp;Dta=/var/www/html/dta/S01/10559.7041.2.dta&amp;Global_Mod=CS57.0215", "7041")</f>
        <v>7041</v>
      </c>
      <c r="Q685" s="35" t="s">
        <v>4854</v>
      </c>
      <c r="R685" s="36" t="str">
        <f>HYPERLINK("http://ms.phosphosite.org:5080/cgi-bin/plot-msms.cgi?MassType=1&amp;NumAxis=1&amp;Mod10=170&amp;Pep=WLSSEIEETKPAK&amp;Dta=/var/www/html/dta/S01/10561.7073.2.dta&amp;Global_Mod=CS57.0215", "7073")</f>
        <v>7073</v>
      </c>
      <c r="S685" s="36" t="str">
        <f>HYPERLINK("http://ms.phosphosite.org:5080/cgi-bin/plot-msms.cgi?MassType=1&amp;NumAxis=1&amp;Mod10=170&amp;Pep=WLSSEIEETKPAK&amp;Dta=/var/www/html/dta/S01/10562.7199.2.dta&amp;Global_Mod=CS57.0215", "7199")</f>
        <v>7199</v>
      </c>
      <c r="T685" s="35" t="s">
        <v>4854</v>
      </c>
      <c r="U685" s="35" t="s">
        <v>4854</v>
      </c>
      <c r="V685" s="35" t="s">
        <v>4854</v>
      </c>
      <c r="W685" s="5">
        <v>7094</v>
      </c>
      <c r="X685" s="5">
        <v>7042</v>
      </c>
      <c r="Y685" s="3" t="s">
        <v>4854</v>
      </c>
      <c r="Z685" s="5">
        <v>7075</v>
      </c>
      <c r="AA685" s="5">
        <v>7192</v>
      </c>
      <c r="AB685" s="3" t="s">
        <v>4854</v>
      </c>
      <c r="AC685" s="3" t="s">
        <v>4854</v>
      </c>
      <c r="AD685" s="3" t="s">
        <v>4854</v>
      </c>
      <c r="AE685" s="90">
        <v>3.0259999999999998</v>
      </c>
      <c r="AF685" s="90">
        <v>4.194</v>
      </c>
      <c r="AG685" s="99" t="s">
        <v>4854</v>
      </c>
      <c r="AH685" s="90">
        <v>3.5659999999999998</v>
      </c>
      <c r="AI685" s="90">
        <v>2.91</v>
      </c>
      <c r="AJ685" s="99" t="s">
        <v>4854</v>
      </c>
      <c r="AK685" s="99" t="s">
        <v>4854</v>
      </c>
      <c r="AL685" s="99" t="s">
        <v>4854</v>
      </c>
      <c r="AM685" s="21">
        <v>0.7097</v>
      </c>
      <c r="AN685" s="21">
        <v>0.24360000000000001</v>
      </c>
      <c r="AO685" s="102" t="s">
        <v>4854</v>
      </c>
      <c r="AP685" s="21">
        <v>0.40329999999999999</v>
      </c>
      <c r="AQ685" s="21">
        <v>0.4481</v>
      </c>
      <c r="AR685" s="102" t="s">
        <v>4854</v>
      </c>
      <c r="AS685" s="102" t="s">
        <v>4854</v>
      </c>
      <c r="AT685" s="102" t="s">
        <v>4854</v>
      </c>
      <c r="AU685" s="21">
        <v>0.35199999999999998</v>
      </c>
      <c r="AV685" s="21">
        <v>0.372</v>
      </c>
      <c r="AW685" s="102" t="s">
        <v>4854</v>
      </c>
      <c r="AX685" s="21">
        <v>0.33300000000000002</v>
      </c>
      <c r="AY685" s="21">
        <v>0.186</v>
      </c>
      <c r="AZ685" s="102" t="s">
        <v>4854</v>
      </c>
      <c r="BA685" s="102" t="s">
        <v>4854</v>
      </c>
      <c r="BB685" s="102" t="s">
        <v>4854</v>
      </c>
      <c r="BC685" s="5">
        <v>1</v>
      </c>
      <c r="BD685" s="5">
        <v>1</v>
      </c>
      <c r="BE685" s="3" t="s">
        <v>4854</v>
      </c>
      <c r="BF685" s="5">
        <v>1</v>
      </c>
      <c r="BG685" s="5">
        <v>1</v>
      </c>
      <c r="BH685" s="3" t="s">
        <v>4854</v>
      </c>
      <c r="BI685" s="3" t="s">
        <v>4854</v>
      </c>
      <c r="BJ685" s="3" t="s">
        <v>4854</v>
      </c>
      <c r="BK685" s="90">
        <v>1</v>
      </c>
      <c r="BL685" s="90">
        <v>1</v>
      </c>
      <c r="BM685" s="99" t="s">
        <v>4854</v>
      </c>
      <c r="BN685" s="90">
        <v>1</v>
      </c>
      <c r="BO685" s="90">
        <v>1</v>
      </c>
      <c r="BP685" s="99" t="s">
        <v>4854</v>
      </c>
      <c r="BQ685" s="99" t="s">
        <v>4854</v>
      </c>
      <c r="BR685" s="99" t="s">
        <v>4854</v>
      </c>
      <c r="BS685" s="5" t="s">
        <v>4857</v>
      </c>
    </row>
    <row r="686" spans="1:71" s="30" customFormat="1" ht="17.100000000000001" customHeight="1">
      <c r="A686" s="10">
        <v>675</v>
      </c>
      <c r="B686" s="10" t="s">
        <v>2366</v>
      </c>
      <c r="C686" s="4" t="s">
        <v>2686</v>
      </c>
      <c r="D686" s="4" t="s">
        <v>2367</v>
      </c>
      <c r="E686" s="4" t="s">
        <v>2368</v>
      </c>
      <c r="F686" s="10" t="s">
        <v>5139</v>
      </c>
      <c r="G686" s="4" t="s">
        <v>2369</v>
      </c>
      <c r="H686" s="7" t="s">
        <v>2370</v>
      </c>
      <c r="I686" s="4" t="s">
        <v>2371</v>
      </c>
      <c r="J686" s="10" t="s">
        <v>4601</v>
      </c>
      <c r="K686" s="4" t="s">
        <v>5742</v>
      </c>
      <c r="L686" s="4" t="s">
        <v>2372</v>
      </c>
      <c r="M686" s="10">
        <v>3</v>
      </c>
      <c r="N686" s="95">
        <v>742.99580000000003</v>
      </c>
      <c r="O686" s="37" t="str">
        <f>HYPERLINK("http://ms.phosphosite.org:5080/cgi-bin/plot-msms.cgi?MassType=1&amp;NumAxis=1&amp;Mod6=170&amp;Mod10=160&amp;Mod13=160&amp;Mod16=160&amp;Pep=LIEFYKHESCGQCTPCR&amp;Dta=/var/www/html/dta/S01/10558.5974.3.dta&amp;Global_Mod=CS57.0215", "5974")</f>
        <v>5974</v>
      </c>
      <c r="P686" s="37" t="str">
        <f>HYPERLINK("http://ms.phosphosite.org:5080/cgi-bin/plot-msms.cgi?MassType=1&amp;NumAxis=1&amp;Mod6=170&amp;Mod10=160&amp;Mod13=160&amp;Mod16=160&amp;Pep=LIEFYKHESCGQCTPCR&amp;Dta=/var/www/html/dta/S01/10559.5929.3.dta&amp;Global_Mod=CS57.0215", "5929")</f>
        <v>5929</v>
      </c>
      <c r="Q686" s="37" t="str">
        <f>HYPERLINK("http://ms.phosphosite.org:5080/cgi-bin/plot-msms.cgi?MassType=1&amp;NumAxis=1&amp;Mod6=170&amp;Mod10=160&amp;Mod13=160&amp;Mod16=160&amp;Pep=LIEFYKHESCGQCTPCR&amp;Dta=/var/www/html/dta/S01/10560.5891.3.dta&amp;Global_Mod=CS57.0215", "5891")</f>
        <v>5891</v>
      </c>
      <c r="R686" s="37" t="str">
        <f>HYPERLINK("http://ms.phosphosite.org:5080/cgi-bin/plot-msms.cgi?MassType=1&amp;NumAxis=1&amp;Mod6=170&amp;Mod10=160&amp;Mod13=160&amp;Mod16=160&amp;Pep=LIEFYKHESCGQCTPCR&amp;Dta=/var/www/html/dta/S01/10561.5926.3.dta&amp;Global_Mod=CS57.0215", "5926")</f>
        <v>5926</v>
      </c>
      <c r="S686" s="37" t="str">
        <f>HYPERLINK("http://ms.phosphosite.org:5080/cgi-bin/plot-msms.cgi?MassType=1&amp;NumAxis=1&amp;Mod6=170&amp;Mod10=160&amp;Mod13=160&amp;Mod16=160&amp;Pep=LIEFYKHESCGQCTPCR&amp;Dta=/var/www/html/dta/S01/10562.6034.3.dta&amp;Global_Mod=CS57.0215", "6034")</f>
        <v>6034</v>
      </c>
      <c r="T686" s="37" t="str">
        <f>HYPERLINK("http://ms.phosphosite.org:5080/cgi-bin/plot-msms.cgi?MassType=1&amp;NumAxis=1&amp;Mod6=170&amp;Mod10=160&amp;Mod13=160&amp;Mod16=160&amp;Pep=LIEFYKHESCGQCTPCR&amp;Dta=/var/www/html/dta/S01/10563.5988.3.dta&amp;Global_Mod=CS57.0215", "5988")</f>
        <v>5988</v>
      </c>
      <c r="U686" s="37" t="str">
        <f>HYPERLINK("http://ms.phosphosite.org:5080/cgi-bin/plot-msms.cgi?MassType=1&amp;NumAxis=1&amp;Mod6=170&amp;Mod10=160&amp;Mod13=160&amp;Mod16=160&amp;Pep=LIEFYKHESCGQCTPCR&amp;Dta=/var/www/html/dta/S01/10564.6317.3.dta&amp;Global_Mod=CS57.0215", "6317")</f>
        <v>6317</v>
      </c>
      <c r="V686" s="37" t="str">
        <f>HYPERLINK("http://ms.phosphosite.org:5080/cgi-bin/plot-msms.cgi?MassType=1&amp;NumAxis=1&amp;Mod6=170&amp;Mod10=160&amp;Mod13=160&amp;Mod16=160&amp;Pep=LIEFYKHESCGQCTPCR&amp;Dta=/var/www/html/dta/S01/10565.6414.3.dta&amp;Global_Mod=CS57.0215", "6414")</f>
        <v>6414</v>
      </c>
      <c r="W686" s="10">
        <v>5976</v>
      </c>
      <c r="X686" s="10">
        <v>5931</v>
      </c>
      <c r="Y686" s="10">
        <v>5915</v>
      </c>
      <c r="Z686" s="10">
        <v>5953</v>
      </c>
      <c r="AA686" s="10">
        <v>6040</v>
      </c>
      <c r="AB686" s="10">
        <v>6002</v>
      </c>
      <c r="AC686" s="10">
        <v>6342</v>
      </c>
      <c r="AD686" s="10">
        <v>6427</v>
      </c>
      <c r="AE686" s="91">
        <v>3.98</v>
      </c>
      <c r="AF686" s="91">
        <v>3.9910000000000001</v>
      </c>
      <c r="AG686" s="91">
        <v>3.3079999999999998</v>
      </c>
      <c r="AH686" s="91">
        <v>3.2040000000000002</v>
      </c>
      <c r="AI686" s="91">
        <v>4.0659999999999998</v>
      </c>
      <c r="AJ686" s="91">
        <v>3.9239999999999999</v>
      </c>
      <c r="AK686" s="91">
        <v>3.9470000000000001</v>
      </c>
      <c r="AL686" s="91">
        <v>3.718</v>
      </c>
      <c r="AM686" s="95">
        <v>1.018</v>
      </c>
      <c r="AN686" s="95">
        <v>0.45760000000000001</v>
      </c>
      <c r="AO686" s="95">
        <v>0.9879</v>
      </c>
      <c r="AP686" s="95">
        <v>0.97399999999999998</v>
      </c>
      <c r="AQ686" s="95">
        <v>1.3539000000000001</v>
      </c>
      <c r="AR686" s="95">
        <v>0.88329999999999997</v>
      </c>
      <c r="AS686" s="95">
        <v>0.87519999999999998</v>
      </c>
      <c r="AT686" s="95">
        <v>0.60580000000000001</v>
      </c>
      <c r="AU686" s="95">
        <v>0.442</v>
      </c>
      <c r="AV686" s="95">
        <v>0.317</v>
      </c>
      <c r="AW686" s="95">
        <v>0.36499999999999999</v>
      </c>
      <c r="AX686" s="95">
        <v>0.318</v>
      </c>
      <c r="AY686" s="95">
        <v>0.36799999999999999</v>
      </c>
      <c r="AZ686" s="95">
        <v>0.46800000000000003</v>
      </c>
      <c r="BA686" s="95">
        <v>0.48899999999999999</v>
      </c>
      <c r="BB686" s="95">
        <v>0.41399999999999998</v>
      </c>
      <c r="BC686" s="10">
        <v>1</v>
      </c>
      <c r="BD686" s="10">
        <v>1</v>
      </c>
      <c r="BE686" s="10">
        <v>1</v>
      </c>
      <c r="BF686" s="10">
        <v>2</v>
      </c>
      <c r="BG686" s="10">
        <v>1</v>
      </c>
      <c r="BH686" s="10">
        <v>1</v>
      </c>
      <c r="BI686" s="10">
        <v>1</v>
      </c>
      <c r="BJ686" s="10">
        <v>1</v>
      </c>
      <c r="BK686" s="91">
        <v>1</v>
      </c>
      <c r="BL686" s="91">
        <v>1</v>
      </c>
      <c r="BM686" s="91">
        <v>1</v>
      </c>
      <c r="BN686" s="91">
        <v>1</v>
      </c>
      <c r="BO686" s="91">
        <v>1</v>
      </c>
      <c r="BP686" s="91">
        <v>1</v>
      </c>
      <c r="BQ686" s="91">
        <v>1</v>
      </c>
      <c r="BR686" s="91">
        <v>1</v>
      </c>
      <c r="BS686" s="10" t="s">
        <v>4857</v>
      </c>
    </row>
    <row r="687" spans="1:71" s="30" customFormat="1" ht="17.100000000000001" customHeight="1">
      <c r="A687" s="14">
        <v>676</v>
      </c>
      <c r="B687" s="5" t="s">
        <v>2373</v>
      </c>
      <c r="C687" s="3" t="s">
        <v>2686</v>
      </c>
      <c r="D687" s="3" t="s">
        <v>2374</v>
      </c>
      <c r="E687" s="3" t="s">
        <v>2375</v>
      </c>
      <c r="F687" s="5" t="s">
        <v>5111</v>
      </c>
      <c r="G687" s="3" t="s">
        <v>2376</v>
      </c>
      <c r="H687" s="6" t="s">
        <v>2377</v>
      </c>
      <c r="I687" s="3" t="s">
        <v>2378</v>
      </c>
      <c r="J687" s="5" t="s">
        <v>4685</v>
      </c>
      <c r="K687" s="3" t="s">
        <v>5743</v>
      </c>
      <c r="L687" s="3" t="s">
        <v>2379</v>
      </c>
      <c r="M687" s="5">
        <v>2</v>
      </c>
      <c r="N687" s="21">
        <v>627.80930000000001</v>
      </c>
      <c r="O687" s="36" t="str">
        <f>HYPERLINK("http://ms.phosphosite.org:5080/cgi-bin/plot-msms.cgi?MassType=1&amp;NumAxis=1&amp;Mod3=170&amp;Pep=NNKEYLEFR&amp;Dta=/var/www/html/dta/S01/10558.7014.2.dta&amp;Global_Mod=CS57.0215", "7014")</f>
        <v>7014</v>
      </c>
      <c r="P687" s="36" t="str">
        <f>HYPERLINK("http://ms.phosphosite.org:5080/cgi-bin/plot-msms.cgi?MassType=1&amp;NumAxis=1&amp;Mod3=170&amp;Pep=NNKEYLEFR&amp;Dta=/var/www/html/dta/S01/10559.6941.2.dta&amp;Global_Mod=CS57.0215", "6941")</f>
        <v>6941</v>
      </c>
      <c r="Q687" s="35" t="s">
        <v>4854</v>
      </c>
      <c r="R687" s="36" t="str">
        <f>HYPERLINK("http://ms.phosphosite.org:5080/cgi-bin/plot-msms.cgi?MassType=1&amp;NumAxis=1&amp;Mod3=170&amp;Pep=NNKEYLEFR&amp;Dta=/var/www/html/dta/S01/10561.6985.2.dta&amp;Global_Mod=CS57.0215", "6985")</f>
        <v>6985</v>
      </c>
      <c r="S687" s="36" t="str">
        <f>HYPERLINK("http://ms.phosphosite.org:5080/cgi-bin/plot-msms.cgi?MassType=1&amp;NumAxis=1&amp;Mod3=170&amp;Pep=NNKEYLEFR&amp;Dta=/var/www/html/dta/S01/10562.7097.2.dta&amp;Global_Mod=CS57.0215", "7097")</f>
        <v>7097</v>
      </c>
      <c r="T687" s="35" t="s">
        <v>4854</v>
      </c>
      <c r="U687" s="36" t="str">
        <f>HYPERLINK("http://ms.phosphosite.org:5080/cgi-bin/plot-msms.cgi?MassType=1&amp;NumAxis=1&amp;Mod3=170&amp;Pep=NNKEYLEFR&amp;Dta=/var/www/html/dta/S01/10564.7456.2.dta&amp;Global_Mod=CS57.0215", "7456")</f>
        <v>7456</v>
      </c>
      <c r="V687" s="35" t="s">
        <v>4854</v>
      </c>
      <c r="W687" s="5">
        <v>6995</v>
      </c>
      <c r="X687" s="5">
        <v>6921</v>
      </c>
      <c r="Y687" s="3" t="s">
        <v>4854</v>
      </c>
      <c r="Z687" s="3" t="s">
        <v>4854</v>
      </c>
      <c r="AA687" s="3" t="s">
        <v>4854</v>
      </c>
      <c r="AB687" s="3" t="s">
        <v>4854</v>
      </c>
      <c r="AC687" s="5">
        <v>7453</v>
      </c>
      <c r="AD687" s="3" t="s">
        <v>4854</v>
      </c>
      <c r="AE687" s="90">
        <v>2.3119999999999998</v>
      </c>
      <c r="AF687" s="90">
        <v>2.2290000000000001</v>
      </c>
      <c r="AG687" s="99" t="s">
        <v>4854</v>
      </c>
      <c r="AH687" s="90">
        <v>1.66</v>
      </c>
      <c r="AI687" s="90">
        <v>1.74</v>
      </c>
      <c r="AJ687" s="99" t="s">
        <v>4854</v>
      </c>
      <c r="AK687" s="90">
        <v>2.0910000000000002</v>
      </c>
      <c r="AL687" s="99" t="s">
        <v>4854</v>
      </c>
      <c r="AM687" s="21">
        <v>0.2205</v>
      </c>
      <c r="AN687" s="21">
        <v>0.52339999999999998</v>
      </c>
      <c r="AO687" s="102" t="s">
        <v>4854</v>
      </c>
      <c r="AP687" s="21">
        <v>0.79600000000000004</v>
      </c>
      <c r="AQ687" s="21">
        <v>0.81030000000000002</v>
      </c>
      <c r="AR687" s="102" t="s">
        <v>4854</v>
      </c>
      <c r="AS687" s="21">
        <v>0.51060000000000005</v>
      </c>
      <c r="AT687" s="102" t="s">
        <v>4854</v>
      </c>
      <c r="AU687" s="21">
        <v>0.15</v>
      </c>
      <c r="AV687" s="21">
        <v>0.151</v>
      </c>
      <c r="AW687" s="102" t="s">
        <v>4854</v>
      </c>
      <c r="AX687" s="21">
        <v>0.02</v>
      </c>
      <c r="AY687" s="21">
        <v>0.04</v>
      </c>
      <c r="AZ687" s="102" t="s">
        <v>4854</v>
      </c>
      <c r="BA687" s="21">
        <v>0.14099999999999999</v>
      </c>
      <c r="BB687" s="102" t="s">
        <v>4854</v>
      </c>
      <c r="BC687" s="5">
        <v>1</v>
      </c>
      <c r="BD687" s="5">
        <v>7</v>
      </c>
      <c r="BE687" s="3" t="s">
        <v>4854</v>
      </c>
      <c r="BF687" s="5">
        <v>5</v>
      </c>
      <c r="BG687" s="5">
        <v>13</v>
      </c>
      <c r="BH687" s="3" t="s">
        <v>4854</v>
      </c>
      <c r="BI687" s="5">
        <v>1</v>
      </c>
      <c r="BJ687" s="3" t="s">
        <v>4854</v>
      </c>
      <c r="BK687" s="90">
        <v>0.996</v>
      </c>
      <c r="BL687" s="90">
        <v>0.99</v>
      </c>
      <c r="BM687" s="99" t="s">
        <v>4854</v>
      </c>
      <c r="BN687" s="90">
        <v>0.83199999999999996</v>
      </c>
      <c r="BO687" s="90">
        <v>0.85399999999999998</v>
      </c>
      <c r="BP687" s="99" t="s">
        <v>4854</v>
      </c>
      <c r="BQ687" s="90">
        <v>0.99199999999999999</v>
      </c>
      <c r="BR687" s="99" t="s">
        <v>4854</v>
      </c>
      <c r="BS687" s="5" t="s">
        <v>4857</v>
      </c>
    </row>
    <row r="688" spans="1:71" s="30" customFormat="1" ht="17.100000000000001" customHeight="1">
      <c r="A688" s="10">
        <v>677</v>
      </c>
      <c r="B688" s="10" t="s">
        <v>2380</v>
      </c>
      <c r="C688" s="4" t="s">
        <v>2686</v>
      </c>
      <c r="D688" s="4" t="s">
        <v>2381</v>
      </c>
      <c r="E688" s="4" t="s">
        <v>2382</v>
      </c>
      <c r="F688" s="10" t="s">
        <v>4201</v>
      </c>
      <c r="G688" s="4" t="s">
        <v>2383</v>
      </c>
      <c r="H688" s="7" t="s">
        <v>2384</v>
      </c>
      <c r="I688" s="4" t="s">
        <v>2385</v>
      </c>
      <c r="J688" s="10" t="s">
        <v>4623</v>
      </c>
      <c r="K688" s="4" t="s">
        <v>5744</v>
      </c>
      <c r="L688" s="4" t="s">
        <v>2386</v>
      </c>
      <c r="M688" s="10">
        <v>3</v>
      </c>
      <c r="N688" s="95">
        <v>383.8886</v>
      </c>
      <c r="O688" s="38" t="s">
        <v>4854</v>
      </c>
      <c r="P688" s="38" t="s">
        <v>4854</v>
      </c>
      <c r="Q688" s="37" t="str">
        <f>HYPERLINK("http://ms.phosphosite.org:5080/cgi-bin/plot-msms.cgi?MassType=1&amp;NumAxis=1&amp;Mod3=170&amp;Pep=LIKGEKYEK&amp;Dta=/var/www/html/dta/S01/10560.1915.3.dta&amp;Global_Mod=CS57.0215", "1915")</f>
        <v>1915</v>
      </c>
      <c r="R688" s="38" t="s">
        <v>4854</v>
      </c>
      <c r="S688" s="38" t="s">
        <v>4854</v>
      </c>
      <c r="T688" s="38" t="s">
        <v>4854</v>
      </c>
      <c r="U688" s="38" t="s">
        <v>4854</v>
      </c>
      <c r="V688" s="38" t="s">
        <v>4854</v>
      </c>
      <c r="W688" s="4" t="s">
        <v>4854</v>
      </c>
      <c r="X688" s="4" t="s">
        <v>4854</v>
      </c>
      <c r="Y688" s="10">
        <v>1914</v>
      </c>
      <c r="Z688" s="4" t="s">
        <v>4854</v>
      </c>
      <c r="AA688" s="4" t="s">
        <v>4854</v>
      </c>
      <c r="AB688" s="4" t="s">
        <v>4854</v>
      </c>
      <c r="AC688" s="4" t="s">
        <v>4854</v>
      </c>
      <c r="AD688" s="4" t="s">
        <v>4854</v>
      </c>
      <c r="AE688" s="100" t="s">
        <v>4854</v>
      </c>
      <c r="AF688" s="100" t="s">
        <v>4854</v>
      </c>
      <c r="AG688" s="91">
        <v>2.0190000000000001</v>
      </c>
      <c r="AH688" s="100" t="s">
        <v>4854</v>
      </c>
      <c r="AI688" s="100" t="s">
        <v>4854</v>
      </c>
      <c r="AJ688" s="100" t="s">
        <v>4854</v>
      </c>
      <c r="AK688" s="100" t="s">
        <v>4854</v>
      </c>
      <c r="AL688" s="100" t="s">
        <v>4854</v>
      </c>
      <c r="AM688" s="103" t="s">
        <v>4854</v>
      </c>
      <c r="AN688" s="103" t="s">
        <v>4854</v>
      </c>
      <c r="AO688" s="95">
        <v>0.1928</v>
      </c>
      <c r="AP688" s="103" t="s">
        <v>4854</v>
      </c>
      <c r="AQ688" s="103" t="s">
        <v>4854</v>
      </c>
      <c r="AR688" s="103" t="s">
        <v>4854</v>
      </c>
      <c r="AS688" s="103" t="s">
        <v>4854</v>
      </c>
      <c r="AT688" s="103" t="s">
        <v>4854</v>
      </c>
      <c r="AU688" s="103" t="s">
        <v>4854</v>
      </c>
      <c r="AV688" s="103" t="s">
        <v>4854</v>
      </c>
      <c r="AW688" s="95">
        <v>0.121</v>
      </c>
      <c r="AX688" s="103" t="s">
        <v>4854</v>
      </c>
      <c r="AY688" s="103" t="s">
        <v>4854</v>
      </c>
      <c r="AZ688" s="103" t="s">
        <v>4854</v>
      </c>
      <c r="BA688" s="103" t="s">
        <v>4854</v>
      </c>
      <c r="BB688" s="103" t="s">
        <v>4854</v>
      </c>
      <c r="BC688" s="4" t="s">
        <v>4854</v>
      </c>
      <c r="BD688" s="4" t="s">
        <v>4854</v>
      </c>
      <c r="BE688" s="10">
        <v>2</v>
      </c>
      <c r="BF688" s="4" t="s">
        <v>4854</v>
      </c>
      <c r="BG688" s="4" t="s">
        <v>4854</v>
      </c>
      <c r="BH688" s="4" t="s">
        <v>4854</v>
      </c>
      <c r="BI688" s="4" t="s">
        <v>4854</v>
      </c>
      <c r="BJ688" s="4" t="s">
        <v>4854</v>
      </c>
      <c r="BK688" s="100" t="s">
        <v>4854</v>
      </c>
      <c r="BL688" s="100" t="s">
        <v>4854</v>
      </c>
      <c r="BM688" s="91">
        <v>0.98499999999999999</v>
      </c>
      <c r="BN688" s="100" t="s">
        <v>4854</v>
      </c>
      <c r="BO688" s="100" t="s">
        <v>4854</v>
      </c>
      <c r="BP688" s="100" t="s">
        <v>4854</v>
      </c>
      <c r="BQ688" s="100" t="s">
        <v>4854</v>
      </c>
      <c r="BR688" s="100" t="s">
        <v>4854</v>
      </c>
      <c r="BS688" s="10" t="s">
        <v>4857</v>
      </c>
    </row>
    <row r="689" spans="1:71" s="30" customFormat="1" ht="17.100000000000001" customHeight="1">
      <c r="A689" s="14">
        <v>678</v>
      </c>
      <c r="B689" s="5" t="s">
        <v>2387</v>
      </c>
      <c r="C689" s="3" t="s">
        <v>2686</v>
      </c>
      <c r="D689" s="3" t="s">
        <v>2381</v>
      </c>
      <c r="E689" s="3" t="s">
        <v>2382</v>
      </c>
      <c r="F689" s="5" t="s">
        <v>3750</v>
      </c>
      <c r="G689" s="3" t="s">
        <v>2383</v>
      </c>
      <c r="H689" s="6" t="s">
        <v>2384</v>
      </c>
      <c r="I689" s="3" t="s">
        <v>2385</v>
      </c>
      <c r="J689" s="5" t="s">
        <v>4623</v>
      </c>
      <c r="K689" s="3" t="s">
        <v>5745</v>
      </c>
      <c r="L689" s="3" t="s">
        <v>2388</v>
      </c>
      <c r="M689" s="5">
        <v>2</v>
      </c>
      <c r="N689" s="21">
        <v>575.32929999999999</v>
      </c>
      <c r="O689" s="36" t="str">
        <f>HYPERLINK("http://ms.phosphosite.org:5080/cgi-bin/plot-msms.cgi?MassType=1&amp;NumAxis=1&amp;Mod6=170&amp;Pep=LIKGEKYEK&amp;Dta=/var/www/html/dta/S01/10558.1952.2.dta&amp;Global_Mod=CS57.0215", "1952")</f>
        <v>1952</v>
      </c>
      <c r="P689" s="35" t="s">
        <v>4854</v>
      </c>
      <c r="Q689" s="36" t="str">
        <f>HYPERLINK("http://ms.phosphosite.org:5080/cgi-bin/plot-msms.cgi?MassType=1&amp;NumAxis=1&amp;Mod6=170&amp;Pep=LIKGEKYEK&amp;Dta=/var/www/html/dta/S01/10560.1894.2.dta&amp;Global_Mod=CS57.0215", "1894")</f>
        <v>1894</v>
      </c>
      <c r="R689" s="36" t="str">
        <f>HYPERLINK("http://ms.phosphosite.org:5080/cgi-bin/plot-msms.cgi?MassType=1&amp;NumAxis=1&amp;Mod6=170&amp;Pep=LIKGEKYEK&amp;Dta=/var/www/html/dta/S01/10561.1931.2.dta&amp;Global_Mod=CS57.0215", "1931")</f>
        <v>1931</v>
      </c>
      <c r="S689" s="36" t="str">
        <f>HYPERLINK("http://ms.phosphosite.org:5080/cgi-bin/plot-msms.cgi?MassType=1&amp;NumAxis=1&amp;Mod6=170&amp;Pep=LIKGEKYEK&amp;Dta=/var/www/html/dta/S01/10562.2000.2.dta&amp;Global_Mod=CS57.0215", "2000")</f>
        <v>2000</v>
      </c>
      <c r="T689" s="36" t="str">
        <f>HYPERLINK("http://ms.phosphosite.org:5080/cgi-bin/plot-msms.cgi?MassType=1&amp;NumAxis=1&amp;Mod6=170&amp;Pep=LIKGEKYEK&amp;Dta=/var/www/html/dta/S01/10563.1924.2.dta&amp;Global_Mod=CS57.0215", "1924")</f>
        <v>1924</v>
      </c>
      <c r="U689" s="36" t="str">
        <f>HYPERLINK("http://ms.phosphosite.org:5080/cgi-bin/plot-msms.cgi?MassType=1&amp;NumAxis=1&amp;Mod6=170&amp;Pep=LIKGEKYEK&amp;Dta=/var/www/html/dta/S01/10564.2189.2.dta&amp;Global_Mod=CS57.0215", "2189")</f>
        <v>2189</v>
      </c>
      <c r="V689" s="36" t="str">
        <f>HYPERLINK("http://ms.phosphosite.org:5080/cgi-bin/plot-msms.cgi?MassType=1&amp;NumAxis=1&amp;Mod6=170&amp;Pep=LIKGEKYEK&amp;Dta=/var/www/html/dta/S01/10565.2233.2.dta&amp;Global_Mod=CS57.0215", "2233")</f>
        <v>2233</v>
      </c>
      <c r="W689" s="5">
        <v>1971</v>
      </c>
      <c r="X689" s="3" t="s">
        <v>4854</v>
      </c>
      <c r="Y689" s="3" t="s">
        <v>4854</v>
      </c>
      <c r="Z689" s="5">
        <v>1949</v>
      </c>
      <c r="AA689" s="5">
        <v>2006</v>
      </c>
      <c r="AB689" s="5">
        <v>1941</v>
      </c>
      <c r="AC689" s="5">
        <v>2208</v>
      </c>
      <c r="AD689" s="3" t="s">
        <v>4854</v>
      </c>
      <c r="AE689" s="90">
        <v>2.6480000000000001</v>
      </c>
      <c r="AF689" s="99" t="s">
        <v>4854</v>
      </c>
      <c r="AG689" s="90">
        <v>1.776</v>
      </c>
      <c r="AH689" s="90">
        <v>2.5739999999999998</v>
      </c>
      <c r="AI689" s="90">
        <v>2.1190000000000002</v>
      </c>
      <c r="AJ689" s="90">
        <v>2.5779999999999998</v>
      </c>
      <c r="AK689" s="90">
        <v>1.984</v>
      </c>
      <c r="AL689" s="90">
        <v>1.948</v>
      </c>
      <c r="AM689" s="21">
        <v>5.4600000000000003E-2</v>
      </c>
      <c r="AN689" s="102" t="s">
        <v>4854</v>
      </c>
      <c r="AO689" s="21">
        <v>8.1500000000000003E-2</v>
      </c>
      <c r="AP689" s="21">
        <v>0.21290000000000001</v>
      </c>
      <c r="AQ689" s="21">
        <v>0.57299999999999995</v>
      </c>
      <c r="AR689" s="21">
        <v>0.82699999999999996</v>
      </c>
      <c r="AS689" s="21">
        <v>0.29980000000000001</v>
      </c>
      <c r="AT689" s="21">
        <v>-0.45950000000000002</v>
      </c>
      <c r="AU689" s="21">
        <v>0.23400000000000001</v>
      </c>
      <c r="AV689" s="102" t="s">
        <v>4854</v>
      </c>
      <c r="AW689" s="21">
        <v>5.3999999999999999E-2</v>
      </c>
      <c r="AX689" s="21">
        <v>0.11600000000000001</v>
      </c>
      <c r="AY689" s="21">
        <v>0.16400000000000001</v>
      </c>
      <c r="AZ689" s="21">
        <v>9.2999999999999999E-2</v>
      </c>
      <c r="BA689" s="21">
        <v>0.10199999999999999</v>
      </c>
      <c r="BB689" s="21">
        <v>0.107</v>
      </c>
      <c r="BC689" s="5">
        <v>1</v>
      </c>
      <c r="BD689" s="3" t="s">
        <v>4854</v>
      </c>
      <c r="BE689" s="5">
        <v>31</v>
      </c>
      <c r="BF689" s="5">
        <v>1</v>
      </c>
      <c r="BG689" s="5">
        <v>2</v>
      </c>
      <c r="BH689" s="5">
        <v>2</v>
      </c>
      <c r="BI689" s="5">
        <v>8</v>
      </c>
      <c r="BJ689" s="5">
        <v>6</v>
      </c>
      <c r="BK689" s="90">
        <v>0.999</v>
      </c>
      <c r="BL689" s="99" t="s">
        <v>4854</v>
      </c>
      <c r="BM689" s="90">
        <v>0.85299999999999998</v>
      </c>
      <c r="BN689" s="90">
        <v>0.996</v>
      </c>
      <c r="BO689" s="90">
        <v>0.99299999999999999</v>
      </c>
      <c r="BP689" s="90">
        <v>0.99399999999999999</v>
      </c>
      <c r="BQ689" s="90">
        <v>0.96699999999999997</v>
      </c>
      <c r="BR689" s="90">
        <v>0.93400000000000005</v>
      </c>
      <c r="BS689" s="5" t="s">
        <v>4857</v>
      </c>
    </row>
    <row r="690" spans="1:71" s="30" customFormat="1" ht="17.100000000000001" customHeight="1">
      <c r="A690" s="14">
        <v>679</v>
      </c>
      <c r="B690" s="5" t="s">
        <v>2389</v>
      </c>
      <c r="C690" s="3" t="s">
        <v>2686</v>
      </c>
      <c r="D690" s="3" t="s">
        <v>2381</v>
      </c>
      <c r="E690" s="3" t="s">
        <v>2382</v>
      </c>
      <c r="F690" s="5" t="s">
        <v>3750</v>
      </c>
      <c r="G690" s="3" t="s">
        <v>2383</v>
      </c>
      <c r="H690" s="6" t="s">
        <v>2384</v>
      </c>
      <c r="I690" s="3" t="s">
        <v>2385</v>
      </c>
      <c r="J690" s="5" t="s">
        <v>4623</v>
      </c>
      <c r="K690" s="3" t="s">
        <v>5745</v>
      </c>
      <c r="L690" s="3" t="s">
        <v>2388</v>
      </c>
      <c r="M690" s="5">
        <v>3</v>
      </c>
      <c r="N690" s="21">
        <v>383.8886</v>
      </c>
      <c r="O690" s="35" t="s">
        <v>4854</v>
      </c>
      <c r="P690" s="36" t="str">
        <f>HYPERLINK("http://ms.phosphosite.org:5080/cgi-bin/plot-msms.cgi?MassType=1&amp;NumAxis=1&amp;Mod6=170&amp;Pep=LIKGEKYEK&amp;Dta=/var/www/html/dta/S01/10559.1942.3.dta&amp;Global_Mod=CS57.0215", "1942")</f>
        <v>1942</v>
      </c>
      <c r="Q690" s="35" t="s">
        <v>4854</v>
      </c>
      <c r="R690" s="35" t="s">
        <v>4854</v>
      </c>
      <c r="S690" s="35" t="s">
        <v>4854</v>
      </c>
      <c r="T690" s="35" t="s">
        <v>4854</v>
      </c>
      <c r="U690" s="36" t="str">
        <f>HYPERLINK("http://ms.phosphosite.org:5080/cgi-bin/plot-msms.cgi?MassType=1&amp;NumAxis=1&amp;Mod6=170&amp;Pep=LIKGEKYEK&amp;Dta=/var/www/html/dta/S01/10564.2198.3.dta&amp;Global_Mod=CS57.0215", "2198")</f>
        <v>2198</v>
      </c>
      <c r="V690" s="36" t="str">
        <f>HYPERLINK("http://ms.phosphosite.org:5080/cgi-bin/plot-msms.cgi?MassType=1&amp;NumAxis=1&amp;Mod6=170&amp;Pep=LIKGEKYEK&amp;Dta=/var/www/html/dta/S01/10565.2252.3.dta&amp;Global_Mod=CS57.0215", "2252")</f>
        <v>2252</v>
      </c>
      <c r="W690" s="3" t="s">
        <v>4854</v>
      </c>
      <c r="X690" s="5">
        <v>1941</v>
      </c>
      <c r="Y690" s="3" t="s">
        <v>4854</v>
      </c>
      <c r="Z690" s="3" t="s">
        <v>4854</v>
      </c>
      <c r="AA690" s="3" t="s">
        <v>4854</v>
      </c>
      <c r="AB690" s="3" t="s">
        <v>4854</v>
      </c>
      <c r="AC690" s="3" t="s">
        <v>4854</v>
      </c>
      <c r="AD690" s="5">
        <v>2245</v>
      </c>
      <c r="AE690" s="99" t="s">
        <v>4854</v>
      </c>
      <c r="AF690" s="90">
        <v>2.0230000000000001</v>
      </c>
      <c r="AG690" s="99" t="s">
        <v>4854</v>
      </c>
      <c r="AH690" s="99" t="s">
        <v>4854</v>
      </c>
      <c r="AI690" s="99" t="s">
        <v>4854</v>
      </c>
      <c r="AJ690" s="99" t="s">
        <v>4854</v>
      </c>
      <c r="AK690" s="90">
        <v>2.1150000000000002</v>
      </c>
      <c r="AL690" s="90">
        <v>2.294</v>
      </c>
      <c r="AM690" s="102" t="s">
        <v>4854</v>
      </c>
      <c r="AN690" s="21">
        <v>-9.2499999999999999E-2</v>
      </c>
      <c r="AO690" s="102" t="s">
        <v>4854</v>
      </c>
      <c r="AP690" s="102" t="s">
        <v>4854</v>
      </c>
      <c r="AQ690" s="102" t="s">
        <v>4854</v>
      </c>
      <c r="AR690" s="102" t="s">
        <v>4854</v>
      </c>
      <c r="AS690" s="21">
        <v>-0.22989999999999999</v>
      </c>
      <c r="AT690" s="21">
        <v>-1.1206</v>
      </c>
      <c r="AU690" s="102" t="s">
        <v>4854</v>
      </c>
      <c r="AV690" s="21">
        <v>0.152</v>
      </c>
      <c r="AW690" s="102" t="s">
        <v>4854</v>
      </c>
      <c r="AX690" s="102" t="s">
        <v>4854</v>
      </c>
      <c r="AY690" s="102" t="s">
        <v>4854</v>
      </c>
      <c r="AZ690" s="102" t="s">
        <v>4854</v>
      </c>
      <c r="BA690" s="21">
        <v>2.5999999999999999E-2</v>
      </c>
      <c r="BB690" s="21">
        <v>0.11700000000000001</v>
      </c>
      <c r="BC690" s="3" t="s">
        <v>4854</v>
      </c>
      <c r="BD690" s="5">
        <v>13</v>
      </c>
      <c r="BE690" s="3" t="s">
        <v>4854</v>
      </c>
      <c r="BF690" s="3" t="s">
        <v>4854</v>
      </c>
      <c r="BG690" s="3" t="s">
        <v>4854</v>
      </c>
      <c r="BH690" s="3" t="s">
        <v>4854</v>
      </c>
      <c r="BI690" s="5">
        <v>166</v>
      </c>
      <c r="BJ690" s="5">
        <v>4</v>
      </c>
      <c r="BK690" s="99" t="s">
        <v>4854</v>
      </c>
      <c r="BL690" s="90">
        <v>0.98399999999999999</v>
      </c>
      <c r="BM690" s="99" t="s">
        <v>4854</v>
      </c>
      <c r="BN690" s="99" t="s">
        <v>4854</v>
      </c>
      <c r="BO690" s="99" t="s">
        <v>4854</v>
      </c>
      <c r="BP690" s="99" t="s">
        <v>4854</v>
      </c>
      <c r="BQ690" s="90">
        <v>0.871</v>
      </c>
      <c r="BR690" s="90">
        <v>0.97599999999999998</v>
      </c>
      <c r="BS690" s="5" t="s">
        <v>4857</v>
      </c>
    </row>
    <row r="691" spans="1:71" s="30" customFormat="1" ht="17.100000000000001" customHeight="1">
      <c r="A691" s="10">
        <v>680</v>
      </c>
      <c r="B691" s="10" t="s">
        <v>2390</v>
      </c>
      <c r="C691" s="4" t="s">
        <v>2686</v>
      </c>
      <c r="D691" s="4" t="s">
        <v>2381</v>
      </c>
      <c r="E691" s="4" t="s">
        <v>2382</v>
      </c>
      <c r="F691" s="10" t="s">
        <v>3337</v>
      </c>
      <c r="G691" s="4" t="s">
        <v>2383</v>
      </c>
      <c r="H691" s="7" t="s">
        <v>2384</v>
      </c>
      <c r="I691" s="4" t="s">
        <v>2385</v>
      </c>
      <c r="J691" s="10" t="s">
        <v>4623</v>
      </c>
      <c r="K691" s="4" t="s">
        <v>5746</v>
      </c>
      <c r="L691" s="4" t="s">
        <v>2391</v>
      </c>
      <c r="M691" s="10">
        <v>3</v>
      </c>
      <c r="N691" s="95">
        <v>1026.8330000000001</v>
      </c>
      <c r="O691" s="38" t="s">
        <v>4854</v>
      </c>
      <c r="P691" s="37" t="str">
        <f>HYPERLINK("http://ms.phosphosite.org:5080/cgi-bin/plot-msms.cgi?MassType=1&amp;NumAxis=1&amp;Mod8=147&amp;Mod12=147&amp;Mod16=170&amp;Mod24=147&amp;Pep=GGHVNLTMLGAMQVSKYGDLANWMIPGK&amp;Dta=/var/www/html/dta/S01/10559.11531.3.dta&amp;Global_Mod=CS57.0215", "11531")</f>
        <v>11531</v>
      </c>
      <c r="Q691" s="37" t="str">
        <f>HYPERLINK("http://ms.phosphosite.org:5080/cgi-bin/plot-msms.cgi?MassType=1&amp;NumAxis=1&amp;Mod8=147&amp;Mod12=147&amp;Mod16=170&amp;Mod24=147&amp;Pep=GGHVNLTMLGAMQVSKYGDLANWMIPGK&amp;Dta=/var/www/html/dta/S01/10560.11565.3.dta&amp;Global_Mod=CS57.0215", "11565")</f>
        <v>11565</v>
      </c>
      <c r="R691" s="37" t="str">
        <f>HYPERLINK("http://ms.phosphosite.org:5080/cgi-bin/plot-msms.cgi?MassType=1&amp;NumAxis=1&amp;Mod8=147&amp;Mod12=147&amp;Mod16=170&amp;Mod24=147&amp;Pep=GGHVNLTMLGAMQVSKYGDLANWMIPGK&amp;Dta=/var/www/html/dta/S01/10561.11593.3.dta&amp;Global_Mod=CS57.0215", "11593")</f>
        <v>11593</v>
      </c>
      <c r="S691" s="38" t="s">
        <v>4854</v>
      </c>
      <c r="T691" s="38" t="s">
        <v>4854</v>
      </c>
      <c r="U691" s="38" t="s">
        <v>4854</v>
      </c>
      <c r="V691" s="38" t="s">
        <v>4854</v>
      </c>
      <c r="W691" s="4" t="s">
        <v>4854</v>
      </c>
      <c r="X691" s="4" t="s">
        <v>4854</v>
      </c>
      <c r="Y691" s="10">
        <v>11571</v>
      </c>
      <c r="Z691" s="10">
        <v>11577</v>
      </c>
      <c r="AA691" s="4" t="s">
        <v>4854</v>
      </c>
      <c r="AB691" s="4" t="s">
        <v>4854</v>
      </c>
      <c r="AC691" s="4" t="s">
        <v>4854</v>
      </c>
      <c r="AD691" s="4" t="s">
        <v>4854</v>
      </c>
      <c r="AE691" s="100" t="s">
        <v>4854</v>
      </c>
      <c r="AF691" s="91">
        <v>2.1509999999999998</v>
      </c>
      <c r="AG691" s="91">
        <v>2.0409999999999999</v>
      </c>
      <c r="AH691" s="91">
        <v>2.698</v>
      </c>
      <c r="AI691" s="100" t="s">
        <v>4854</v>
      </c>
      <c r="AJ691" s="100" t="s">
        <v>4854</v>
      </c>
      <c r="AK691" s="100" t="s">
        <v>4854</v>
      </c>
      <c r="AL691" s="100" t="s">
        <v>4854</v>
      </c>
      <c r="AM691" s="103" t="s">
        <v>4854</v>
      </c>
      <c r="AN691" s="95">
        <v>1.5862000000000001</v>
      </c>
      <c r="AO691" s="95">
        <v>0.41970000000000002</v>
      </c>
      <c r="AP691" s="95">
        <v>0.1933</v>
      </c>
      <c r="AQ691" s="103" t="s">
        <v>4854</v>
      </c>
      <c r="AR691" s="103" t="s">
        <v>4854</v>
      </c>
      <c r="AS691" s="103" t="s">
        <v>4854</v>
      </c>
      <c r="AT691" s="103" t="s">
        <v>4854</v>
      </c>
      <c r="AU691" s="103" t="s">
        <v>4854</v>
      </c>
      <c r="AV691" s="95">
        <v>4.9000000000000002E-2</v>
      </c>
      <c r="AW691" s="95">
        <v>0.252</v>
      </c>
      <c r="AX691" s="95">
        <v>0.33300000000000002</v>
      </c>
      <c r="AY691" s="103" t="s">
        <v>4854</v>
      </c>
      <c r="AZ691" s="103" t="s">
        <v>4854</v>
      </c>
      <c r="BA691" s="103" t="s">
        <v>4854</v>
      </c>
      <c r="BB691" s="103" t="s">
        <v>4854</v>
      </c>
      <c r="BC691" s="4" t="s">
        <v>4854</v>
      </c>
      <c r="BD691" s="10">
        <v>3</v>
      </c>
      <c r="BE691" s="10">
        <v>238</v>
      </c>
      <c r="BF691" s="10">
        <v>3</v>
      </c>
      <c r="BG691" s="4" t="s">
        <v>4854</v>
      </c>
      <c r="BH691" s="4" t="s">
        <v>4854</v>
      </c>
      <c r="BI691" s="4" t="s">
        <v>4854</v>
      </c>
      <c r="BJ691" s="4" t="s">
        <v>4854</v>
      </c>
      <c r="BK691" s="100" t="s">
        <v>4854</v>
      </c>
      <c r="BL691" s="91">
        <v>0.77300000000000002</v>
      </c>
      <c r="BM691" s="91">
        <v>0.98499999999999999</v>
      </c>
      <c r="BN691" s="91">
        <v>0.999</v>
      </c>
      <c r="BO691" s="100" t="s">
        <v>4854</v>
      </c>
      <c r="BP691" s="100" t="s">
        <v>4854</v>
      </c>
      <c r="BQ691" s="100" t="s">
        <v>4854</v>
      </c>
      <c r="BR691" s="100" t="s">
        <v>4854</v>
      </c>
      <c r="BS691" s="10" t="s">
        <v>4857</v>
      </c>
    </row>
    <row r="692" spans="1:71" s="30" customFormat="1" ht="17.100000000000001" customHeight="1">
      <c r="A692" s="14">
        <v>681</v>
      </c>
      <c r="B692" s="5" t="s">
        <v>2392</v>
      </c>
      <c r="C692" s="3" t="s">
        <v>2686</v>
      </c>
      <c r="D692" s="3" t="s">
        <v>2393</v>
      </c>
      <c r="E692" s="3" t="s">
        <v>2394</v>
      </c>
      <c r="F692" s="5" t="s">
        <v>2395</v>
      </c>
      <c r="G692" s="3" t="s">
        <v>2396</v>
      </c>
      <c r="H692" s="6" t="s">
        <v>2397</v>
      </c>
      <c r="I692" s="3" t="s">
        <v>2398</v>
      </c>
      <c r="J692" s="5" t="s">
        <v>2399</v>
      </c>
      <c r="K692" s="3" t="s">
        <v>5747</v>
      </c>
      <c r="L692" s="3" t="s">
        <v>2276</v>
      </c>
      <c r="M692" s="5">
        <v>2</v>
      </c>
      <c r="N692" s="21">
        <v>626.34190000000001</v>
      </c>
      <c r="O692" s="35" t="s">
        <v>4854</v>
      </c>
      <c r="P692" s="35" t="s">
        <v>4854</v>
      </c>
      <c r="Q692" s="35" t="s">
        <v>4854</v>
      </c>
      <c r="R692" s="35" t="s">
        <v>4854</v>
      </c>
      <c r="S692" s="35" t="s">
        <v>4854</v>
      </c>
      <c r="T692" s="35" t="s">
        <v>4854</v>
      </c>
      <c r="U692" s="36" t="str">
        <f>HYPERLINK("http://ms.phosphosite.org:5080/cgi-bin/plot-msms.cgi?MassType=1&amp;NumAxis=1&amp;Mod3=160&amp;Mod4=170&amp;Pep=INCKYITIGK&amp;Dta=/var/www/html/dta/S01/10564.6846.2.dta&amp;Global_Mod=CS57.0215", "6846")</f>
        <v>6846</v>
      </c>
      <c r="V692" s="36" t="str">
        <f>HYPERLINK("http://ms.phosphosite.org:5080/cgi-bin/plot-msms.cgi?MassType=1&amp;NumAxis=1&amp;Mod3=160&amp;Mod4=170&amp;Pep=INCKYITIGK&amp;Dta=/var/www/html/dta/S01/10565.6941.2.dta&amp;Global_Mod=CS57.0215", "6941")</f>
        <v>6941</v>
      </c>
      <c r="W692" s="3" t="s">
        <v>4854</v>
      </c>
      <c r="X692" s="3" t="s">
        <v>4854</v>
      </c>
      <c r="Y692" s="3" t="s">
        <v>4854</v>
      </c>
      <c r="Z692" s="3" t="s">
        <v>4854</v>
      </c>
      <c r="AA692" s="3" t="s">
        <v>4854</v>
      </c>
      <c r="AB692" s="3" t="s">
        <v>4854</v>
      </c>
      <c r="AC692" s="5">
        <v>6408</v>
      </c>
      <c r="AD692" s="5">
        <v>6493</v>
      </c>
      <c r="AE692" s="99" t="s">
        <v>4854</v>
      </c>
      <c r="AF692" s="99" t="s">
        <v>4854</v>
      </c>
      <c r="AG692" s="99" t="s">
        <v>4854</v>
      </c>
      <c r="AH692" s="99" t="s">
        <v>4854</v>
      </c>
      <c r="AI692" s="99" t="s">
        <v>4854</v>
      </c>
      <c r="AJ692" s="99" t="s">
        <v>4854</v>
      </c>
      <c r="AK692" s="90">
        <v>2.5459999999999998</v>
      </c>
      <c r="AL692" s="90">
        <v>2.7970000000000002</v>
      </c>
      <c r="AM692" s="102" t="s">
        <v>4854</v>
      </c>
      <c r="AN692" s="102" t="s">
        <v>4854</v>
      </c>
      <c r="AO692" s="102" t="s">
        <v>4854</v>
      </c>
      <c r="AP692" s="102" t="s">
        <v>4854</v>
      </c>
      <c r="AQ692" s="102" t="s">
        <v>4854</v>
      </c>
      <c r="AR692" s="102" t="s">
        <v>4854</v>
      </c>
      <c r="AS692" s="21">
        <v>-0.44109999999999999</v>
      </c>
      <c r="AT692" s="21">
        <v>7.0999999999999994E-2</v>
      </c>
      <c r="AU692" s="102" t="s">
        <v>4854</v>
      </c>
      <c r="AV692" s="102" t="s">
        <v>4854</v>
      </c>
      <c r="AW692" s="102" t="s">
        <v>4854</v>
      </c>
      <c r="AX692" s="102" t="s">
        <v>4854</v>
      </c>
      <c r="AY692" s="102" t="s">
        <v>4854</v>
      </c>
      <c r="AZ692" s="102" t="s">
        <v>4854</v>
      </c>
      <c r="BA692" s="21">
        <v>0.316</v>
      </c>
      <c r="BB692" s="21">
        <v>0.23599999999999999</v>
      </c>
      <c r="BC692" s="3" t="s">
        <v>4854</v>
      </c>
      <c r="BD692" s="3" t="s">
        <v>4854</v>
      </c>
      <c r="BE692" s="3" t="s">
        <v>4854</v>
      </c>
      <c r="BF692" s="3" t="s">
        <v>4854</v>
      </c>
      <c r="BG692" s="3" t="s">
        <v>4854</v>
      </c>
      <c r="BH692" s="3" t="s">
        <v>4854</v>
      </c>
      <c r="BI692" s="5">
        <v>2</v>
      </c>
      <c r="BJ692" s="5">
        <v>3</v>
      </c>
      <c r="BK692" s="99" t="s">
        <v>4854</v>
      </c>
      <c r="BL692" s="99" t="s">
        <v>4854</v>
      </c>
      <c r="BM692" s="99" t="s">
        <v>4854</v>
      </c>
      <c r="BN692" s="99" t="s">
        <v>4854</v>
      </c>
      <c r="BO692" s="99" t="s">
        <v>4854</v>
      </c>
      <c r="BP692" s="99" t="s">
        <v>4854</v>
      </c>
      <c r="BQ692" s="90">
        <v>0.999</v>
      </c>
      <c r="BR692" s="90">
        <v>0.999</v>
      </c>
      <c r="BS692" s="5" t="s">
        <v>4857</v>
      </c>
    </row>
    <row r="693" spans="1:71" s="30" customFormat="1" ht="17.100000000000001" customHeight="1">
      <c r="A693" s="10">
        <v>682</v>
      </c>
      <c r="B693" s="10" t="s">
        <v>2277</v>
      </c>
      <c r="C693" s="4" t="s">
        <v>2686</v>
      </c>
      <c r="D693" s="4" t="s">
        <v>2278</v>
      </c>
      <c r="E693" s="7" t="s">
        <v>2279</v>
      </c>
      <c r="F693" s="10" t="s">
        <v>3812</v>
      </c>
      <c r="G693" s="4" t="s">
        <v>2280</v>
      </c>
      <c r="H693" s="7" t="s">
        <v>2281</v>
      </c>
      <c r="I693" s="4" t="s">
        <v>2282</v>
      </c>
      <c r="J693" s="10" t="s">
        <v>4708</v>
      </c>
      <c r="K693" s="4" t="s">
        <v>5748</v>
      </c>
      <c r="L693" s="4" t="s">
        <v>2283</v>
      </c>
      <c r="M693" s="10">
        <v>2</v>
      </c>
      <c r="N693" s="95">
        <v>665.31640000000004</v>
      </c>
      <c r="O693" s="37" t="str">
        <f>HYPERLINK("http://ms.phosphosite.org:5080/cgi-bin/plot-msms.cgi?MassType=1&amp;NumAxis=1&amp;Mod4=170&amp;Mod10=160&amp;Pep=EATKFAAAYCR&amp;Dta=/var/www/html/dta/S01/10558.5500.2.dta&amp;Global_Mod=CS57.0215", "5500")</f>
        <v>5500</v>
      </c>
      <c r="P693" s="38" t="s">
        <v>4854</v>
      </c>
      <c r="Q693" s="38" t="s">
        <v>4854</v>
      </c>
      <c r="R693" s="38" t="s">
        <v>4854</v>
      </c>
      <c r="S693" s="38" t="s">
        <v>4854</v>
      </c>
      <c r="T693" s="38" t="s">
        <v>4854</v>
      </c>
      <c r="U693" s="37" t="str">
        <f>HYPERLINK("http://ms.phosphosite.org:5080/cgi-bin/plot-msms.cgi?MassType=1&amp;NumAxis=1&amp;Mod4=170&amp;Mod10=160&amp;Pep=EATKFAAAYCR&amp;Dta=/var/www/html/dta/S01/10564.5843.2.dta&amp;Global_Mod=CS57.0215", "5843")</f>
        <v>5843</v>
      </c>
      <c r="V693" s="37" t="str">
        <f>HYPERLINK("http://ms.phosphosite.org:5080/cgi-bin/plot-msms.cgi?MassType=1&amp;NumAxis=1&amp;Mod4=170&amp;Mod10=160&amp;Pep=EATKFAAAYCR&amp;Dta=/var/www/html/dta/S01/10565.5940.2.dta&amp;Global_Mod=CS57.0215", "5940")</f>
        <v>5940</v>
      </c>
      <c r="W693" s="10">
        <v>5514</v>
      </c>
      <c r="X693" s="4" t="s">
        <v>4854</v>
      </c>
      <c r="Y693" s="4" t="s">
        <v>4854</v>
      </c>
      <c r="Z693" s="4" t="s">
        <v>4854</v>
      </c>
      <c r="AA693" s="4" t="s">
        <v>4854</v>
      </c>
      <c r="AB693" s="4" t="s">
        <v>4854</v>
      </c>
      <c r="AC693" s="10">
        <v>5836</v>
      </c>
      <c r="AD693" s="10">
        <v>5943</v>
      </c>
      <c r="AE693" s="91">
        <v>2.4350000000000001</v>
      </c>
      <c r="AF693" s="100" t="s">
        <v>4854</v>
      </c>
      <c r="AG693" s="100" t="s">
        <v>4854</v>
      </c>
      <c r="AH693" s="100" t="s">
        <v>4854</v>
      </c>
      <c r="AI693" s="100" t="s">
        <v>4854</v>
      </c>
      <c r="AJ693" s="100" t="s">
        <v>4854</v>
      </c>
      <c r="AK693" s="91">
        <v>2.2290000000000001</v>
      </c>
      <c r="AL693" s="91">
        <v>2.5430000000000001</v>
      </c>
      <c r="AM693" s="95">
        <v>-1.1832</v>
      </c>
      <c r="AN693" s="103" t="s">
        <v>4854</v>
      </c>
      <c r="AO693" s="103" t="s">
        <v>4854</v>
      </c>
      <c r="AP693" s="103" t="s">
        <v>4854</v>
      </c>
      <c r="AQ693" s="103" t="s">
        <v>4854</v>
      </c>
      <c r="AR693" s="103" t="s">
        <v>4854</v>
      </c>
      <c r="AS693" s="95">
        <v>-0.40410000000000001</v>
      </c>
      <c r="AT693" s="95">
        <v>-0.91769999999999996</v>
      </c>
      <c r="AU693" s="95">
        <v>0.312</v>
      </c>
      <c r="AV693" s="103" t="s">
        <v>4854</v>
      </c>
      <c r="AW693" s="103" t="s">
        <v>4854</v>
      </c>
      <c r="AX693" s="103" t="s">
        <v>4854</v>
      </c>
      <c r="AY693" s="103" t="s">
        <v>4854</v>
      </c>
      <c r="AZ693" s="103" t="s">
        <v>4854</v>
      </c>
      <c r="BA693" s="95">
        <v>0.20699999999999999</v>
      </c>
      <c r="BB693" s="95">
        <v>0.378</v>
      </c>
      <c r="BC693" s="10">
        <v>1</v>
      </c>
      <c r="BD693" s="4" t="s">
        <v>4854</v>
      </c>
      <c r="BE693" s="4" t="s">
        <v>4854</v>
      </c>
      <c r="BF693" s="4" t="s">
        <v>4854</v>
      </c>
      <c r="BG693" s="4" t="s">
        <v>4854</v>
      </c>
      <c r="BH693" s="4" t="s">
        <v>4854</v>
      </c>
      <c r="BI693" s="10">
        <v>1</v>
      </c>
      <c r="BJ693" s="10">
        <v>1</v>
      </c>
      <c r="BK693" s="91">
        <v>0.99099999999999999</v>
      </c>
      <c r="BL693" s="100" t="s">
        <v>4854</v>
      </c>
      <c r="BM693" s="100" t="s">
        <v>4854</v>
      </c>
      <c r="BN693" s="100" t="s">
        <v>4854</v>
      </c>
      <c r="BO693" s="100" t="s">
        <v>4854</v>
      </c>
      <c r="BP693" s="100" t="s">
        <v>4854</v>
      </c>
      <c r="BQ693" s="91">
        <v>0.99199999999999999</v>
      </c>
      <c r="BR693" s="91">
        <v>0.999</v>
      </c>
      <c r="BS693" s="10" t="s">
        <v>4857</v>
      </c>
    </row>
    <row r="694" spans="1:71" s="30" customFormat="1" ht="17.100000000000001" customHeight="1">
      <c r="A694" s="14">
        <v>683</v>
      </c>
      <c r="B694" s="5" t="s">
        <v>4640</v>
      </c>
      <c r="C694" s="3" t="s">
        <v>2686</v>
      </c>
      <c r="D694" s="3" t="s">
        <v>2278</v>
      </c>
      <c r="E694" s="6" t="s">
        <v>2279</v>
      </c>
      <c r="F694" s="5" t="s">
        <v>5074</v>
      </c>
      <c r="G694" s="3" t="s">
        <v>2280</v>
      </c>
      <c r="H694" s="6" t="s">
        <v>2281</v>
      </c>
      <c r="I694" s="3" t="s">
        <v>2282</v>
      </c>
      <c r="J694" s="5" t="s">
        <v>4708</v>
      </c>
      <c r="K694" s="3" t="s">
        <v>5749</v>
      </c>
      <c r="L694" s="3" t="s">
        <v>2284</v>
      </c>
      <c r="M694" s="5">
        <v>2</v>
      </c>
      <c r="N694" s="21">
        <v>730.89250000000004</v>
      </c>
      <c r="O694" s="36" t="str">
        <f>HYPERLINK("http://ms.phosphosite.org:5080/cgi-bin/plot-msms.cgi?MassType=1&amp;NumAxis=1&amp;Mod7=147&amp;Mod10=170&amp;Pep=SKSDPIMLLKDR&amp;Dta=/var/www/html/dta/S01/10558.7181.2.dta&amp;Global_Mod=CS57.0215", "7181")</f>
        <v>7181</v>
      </c>
      <c r="P694" s="35" t="s">
        <v>4854</v>
      </c>
      <c r="Q694" s="35" t="s">
        <v>4854</v>
      </c>
      <c r="R694" s="35" t="s">
        <v>4854</v>
      </c>
      <c r="S694" s="35" t="s">
        <v>4854</v>
      </c>
      <c r="T694" s="35" t="s">
        <v>4854</v>
      </c>
      <c r="U694" s="35" t="s">
        <v>4854</v>
      </c>
      <c r="V694" s="35" t="s">
        <v>4854</v>
      </c>
      <c r="W694" s="3" t="s">
        <v>4854</v>
      </c>
      <c r="X694" s="3" t="s">
        <v>4854</v>
      </c>
      <c r="Y694" s="3" t="s">
        <v>4854</v>
      </c>
      <c r="Z694" s="3" t="s">
        <v>4854</v>
      </c>
      <c r="AA694" s="3" t="s">
        <v>4854</v>
      </c>
      <c r="AB694" s="3" t="s">
        <v>4854</v>
      </c>
      <c r="AC694" s="3" t="s">
        <v>4854</v>
      </c>
      <c r="AD694" s="3" t="s">
        <v>4854</v>
      </c>
      <c r="AE694" s="90">
        <v>1.784</v>
      </c>
      <c r="AF694" s="99" t="s">
        <v>4854</v>
      </c>
      <c r="AG694" s="99" t="s">
        <v>4854</v>
      </c>
      <c r="AH694" s="99" t="s">
        <v>4854</v>
      </c>
      <c r="AI694" s="99" t="s">
        <v>4854</v>
      </c>
      <c r="AJ694" s="99" t="s">
        <v>4854</v>
      </c>
      <c r="AK694" s="99" t="s">
        <v>4854</v>
      </c>
      <c r="AL694" s="99" t="s">
        <v>4854</v>
      </c>
      <c r="AM694" s="21">
        <v>0.27400000000000002</v>
      </c>
      <c r="AN694" s="102" t="s">
        <v>4854</v>
      </c>
      <c r="AO694" s="102" t="s">
        <v>4854</v>
      </c>
      <c r="AP694" s="102" t="s">
        <v>4854</v>
      </c>
      <c r="AQ694" s="102" t="s">
        <v>4854</v>
      </c>
      <c r="AR694" s="102" t="s">
        <v>4854</v>
      </c>
      <c r="AS694" s="102" t="s">
        <v>4854</v>
      </c>
      <c r="AT694" s="102" t="s">
        <v>4854</v>
      </c>
      <c r="AU694" s="21">
        <v>4.7E-2</v>
      </c>
      <c r="AV694" s="102" t="s">
        <v>4854</v>
      </c>
      <c r="AW694" s="102" t="s">
        <v>4854</v>
      </c>
      <c r="AX694" s="102" t="s">
        <v>4854</v>
      </c>
      <c r="AY694" s="102" t="s">
        <v>4854</v>
      </c>
      <c r="AZ694" s="102" t="s">
        <v>4854</v>
      </c>
      <c r="BA694" s="102" t="s">
        <v>4854</v>
      </c>
      <c r="BB694" s="102" t="s">
        <v>4854</v>
      </c>
      <c r="BC694" s="5">
        <v>2</v>
      </c>
      <c r="BD694" s="3" t="s">
        <v>4854</v>
      </c>
      <c r="BE694" s="3" t="s">
        <v>4854</v>
      </c>
      <c r="BF694" s="3" t="s">
        <v>4854</v>
      </c>
      <c r="BG694" s="3" t="s">
        <v>4854</v>
      </c>
      <c r="BH694" s="3" t="s">
        <v>4854</v>
      </c>
      <c r="BI694" s="3" t="s">
        <v>4854</v>
      </c>
      <c r="BJ694" s="3" t="s">
        <v>4854</v>
      </c>
      <c r="BK694" s="90">
        <v>0.91</v>
      </c>
      <c r="BL694" s="99" t="s">
        <v>4854</v>
      </c>
      <c r="BM694" s="99" t="s">
        <v>4854</v>
      </c>
      <c r="BN694" s="99" t="s">
        <v>4854</v>
      </c>
      <c r="BO694" s="99" t="s">
        <v>4854</v>
      </c>
      <c r="BP694" s="99" t="s">
        <v>4854</v>
      </c>
      <c r="BQ694" s="99" t="s">
        <v>4854</v>
      </c>
      <c r="BR694" s="99" t="s">
        <v>4854</v>
      </c>
      <c r="BS694" s="5" t="s">
        <v>4857</v>
      </c>
    </row>
    <row r="695" spans="1:71" s="30" customFormat="1" ht="17.100000000000001" customHeight="1">
      <c r="A695" s="10">
        <v>684</v>
      </c>
      <c r="B695" s="10" t="s">
        <v>2285</v>
      </c>
      <c r="C695" s="4" t="s">
        <v>2686</v>
      </c>
      <c r="D695" s="4" t="s">
        <v>2278</v>
      </c>
      <c r="E695" s="7" t="s">
        <v>2279</v>
      </c>
      <c r="F695" s="10" t="s">
        <v>4697</v>
      </c>
      <c r="G695" s="4" t="s">
        <v>2280</v>
      </c>
      <c r="H695" s="7" t="s">
        <v>2281</v>
      </c>
      <c r="I695" s="4" t="s">
        <v>2282</v>
      </c>
      <c r="J695" s="10" t="s">
        <v>4708</v>
      </c>
      <c r="K695" s="4" t="s">
        <v>5750</v>
      </c>
      <c r="L695" s="4" t="s">
        <v>2286</v>
      </c>
      <c r="M695" s="10">
        <v>2</v>
      </c>
      <c r="N695" s="95">
        <v>663.34040000000005</v>
      </c>
      <c r="O695" s="38" t="s">
        <v>4854</v>
      </c>
      <c r="P695" s="38" t="s">
        <v>4854</v>
      </c>
      <c r="Q695" s="38" t="s">
        <v>4854</v>
      </c>
      <c r="R695" s="37" t="str">
        <f>HYPERLINK("http://ms.phosphosite.org:5080/cgi-bin/plot-msms.cgi?MassType=1&amp;NumAxis=1&amp;Mod10=170&amp;Pep=FANDATFEIKK&amp;Dta=/var/www/html/dta/S01/10561.6875.2.dta&amp;Global_Mod=CS57.0215", "6875")</f>
        <v>6875</v>
      </c>
      <c r="S695" s="38" t="s">
        <v>4854</v>
      </c>
      <c r="T695" s="38" t="s">
        <v>4854</v>
      </c>
      <c r="U695" s="38" t="s">
        <v>4854</v>
      </c>
      <c r="V695" s="37" t="str">
        <f>HYPERLINK("http://ms.phosphosite.org:5080/cgi-bin/plot-msms.cgi?MassType=1&amp;NumAxis=1&amp;Mod10=170&amp;Pep=FANDATFEIKK&amp;Dta=/var/www/html/dta/S01/10565.7379.2.dta&amp;Global_Mod=CS57.0215", "7379")</f>
        <v>7379</v>
      </c>
      <c r="W695" s="4" t="s">
        <v>4854</v>
      </c>
      <c r="X695" s="4" t="s">
        <v>4854</v>
      </c>
      <c r="Y695" s="4" t="s">
        <v>4854</v>
      </c>
      <c r="Z695" s="4" t="s">
        <v>4854</v>
      </c>
      <c r="AA695" s="4" t="s">
        <v>4854</v>
      </c>
      <c r="AB695" s="4" t="s">
        <v>4854</v>
      </c>
      <c r="AC695" s="4" t="s">
        <v>4854</v>
      </c>
      <c r="AD695" s="4" t="s">
        <v>4854</v>
      </c>
      <c r="AE695" s="100" t="s">
        <v>4854</v>
      </c>
      <c r="AF695" s="100" t="s">
        <v>4854</v>
      </c>
      <c r="AG695" s="100" t="s">
        <v>4854</v>
      </c>
      <c r="AH695" s="91">
        <v>2.19</v>
      </c>
      <c r="AI695" s="100" t="s">
        <v>4854</v>
      </c>
      <c r="AJ695" s="100" t="s">
        <v>4854</v>
      </c>
      <c r="AK695" s="100" t="s">
        <v>4854</v>
      </c>
      <c r="AL695" s="91">
        <v>2.5720000000000001</v>
      </c>
      <c r="AM695" s="103" t="s">
        <v>4854</v>
      </c>
      <c r="AN695" s="103" t="s">
        <v>4854</v>
      </c>
      <c r="AO695" s="103" t="s">
        <v>4854</v>
      </c>
      <c r="AP695" s="95">
        <v>-1.1777</v>
      </c>
      <c r="AQ695" s="103" t="s">
        <v>4854</v>
      </c>
      <c r="AR695" s="103" t="s">
        <v>4854</v>
      </c>
      <c r="AS695" s="103" t="s">
        <v>4854</v>
      </c>
      <c r="AT695" s="95">
        <v>-2.2797999999999998</v>
      </c>
      <c r="AU695" s="103" t="s">
        <v>4854</v>
      </c>
      <c r="AV695" s="103" t="s">
        <v>4854</v>
      </c>
      <c r="AW695" s="103" t="s">
        <v>4854</v>
      </c>
      <c r="AX695" s="95">
        <v>2.1999999999999999E-2</v>
      </c>
      <c r="AY695" s="103" t="s">
        <v>4854</v>
      </c>
      <c r="AZ695" s="103" t="s">
        <v>4854</v>
      </c>
      <c r="BA695" s="103" t="s">
        <v>4854</v>
      </c>
      <c r="BB695" s="95">
        <v>0.16300000000000001</v>
      </c>
      <c r="BC695" s="4" t="s">
        <v>4854</v>
      </c>
      <c r="BD695" s="4" t="s">
        <v>4854</v>
      </c>
      <c r="BE695" s="4" t="s">
        <v>4854</v>
      </c>
      <c r="BF695" s="10">
        <v>1</v>
      </c>
      <c r="BG695" s="4" t="s">
        <v>4854</v>
      </c>
      <c r="BH695" s="4" t="s">
        <v>4854</v>
      </c>
      <c r="BI695" s="4" t="s">
        <v>4854</v>
      </c>
      <c r="BJ695" s="10">
        <v>1</v>
      </c>
      <c r="BK695" s="100" t="s">
        <v>4854</v>
      </c>
      <c r="BL695" s="100" t="s">
        <v>4854</v>
      </c>
      <c r="BM695" s="100" t="s">
        <v>4854</v>
      </c>
      <c r="BN695" s="91">
        <v>9.6000000000000002E-2</v>
      </c>
      <c r="BO695" s="100" t="s">
        <v>4854</v>
      </c>
      <c r="BP695" s="100" t="s">
        <v>4854</v>
      </c>
      <c r="BQ695" s="100" t="s">
        <v>4854</v>
      </c>
      <c r="BR695" s="91">
        <v>0.20799999999999999</v>
      </c>
      <c r="BS695" s="10" t="s">
        <v>4857</v>
      </c>
    </row>
    <row r="696" spans="1:71" s="30" customFormat="1" ht="17.100000000000001" customHeight="1">
      <c r="A696" s="14">
        <v>685</v>
      </c>
      <c r="B696" s="5" t="s">
        <v>2287</v>
      </c>
      <c r="C696" s="3" t="s">
        <v>2686</v>
      </c>
      <c r="D696" s="3" t="s">
        <v>2278</v>
      </c>
      <c r="E696" s="6" t="s">
        <v>2279</v>
      </c>
      <c r="F696" s="5" t="s">
        <v>4528</v>
      </c>
      <c r="G696" s="3" t="s">
        <v>2280</v>
      </c>
      <c r="H696" s="6" t="s">
        <v>2281</v>
      </c>
      <c r="I696" s="3" t="s">
        <v>2282</v>
      </c>
      <c r="J696" s="5" t="s">
        <v>4708</v>
      </c>
      <c r="K696" s="3" t="s">
        <v>5751</v>
      </c>
      <c r="L696" s="3" t="s">
        <v>2288</v>
      </c>
      <c r="M696" s="5">
        <v>2</v>
      </c>
      <c r="N696" s="21">
        <v>543.26670000000001</v>
      </c>
      <c r="O696" s="35" t="s">
        <v>4854</v>
      </c>
      <c r="P696" s="35" t="s">
        <v>4854</v>
      </c>
      <c r="Q696" s="35" t="s">
        <v>4854</v>
      </c>
      <c r="R696" s="35" t="s">
        <v>4854</v>
      </c>
      <c r="S696" s="35" t="s">
        <v>4854</v>
      </c>
      <c r="T696" s="35" t="s">
        <v>4854</v>
      </c>
      <c r="U696" s="36" t="str">
        <f>HYPERLINK("http://ms.phosphosite.org:5080/cgi-bin/plot-msms.cgi?MassType=1&amp;NumAxis=1&amp;Mod5=170&amp;Pep=EDGLKYYR&amp;Dta=/var/www/html/dta/S01/10564.5390.2.dta&amp;Global_Mod=CS57.0215", "5390")</f>
        <v>5390</v>
      </c>
      <c r="V696" s="35" t="s">
        <v>4854</v>
      </c>
      <c r="W696" s="3" t="s">
        <v>4854</v>
      </c>
      <c r="X696" s="3" t="s">
        <v>4854</v>
      </c>
      <c r="Y696" s="3" t="s">
        <v>4854</v>
      </c>
      <c r="Z696" s="3" t="s">
        <v>4854</v>
      </c>
      <c r="AA696" s="3" t="s">
        <v>4854</v>
      </c>
      <c r="AB696" s="3" t="s">
        <v>4854</v>
      </c>
      <c r="AC696" s="5">
        <v>5396</v>
      </c>
      <c r="AD696" s="3" t="s">
        <v>4854</v>
      </c>
      <c r="AE696" s="99" t="s">
        <v>4854</v>
      </c>
      <c r="AF696" s="99" t="s">
        <v>4854</v>
      </c>
      <c r="AG696" s="99" t="s">
        <v>4854</v>
      </c>
      <c r="AH696" s="99" t="s">
        <v>4854</v>
      </c>
      <c r="AI696" s="99" t="s">
        <v>4854</v>
      </c>
      <c r="AJ696" s="99" t="s">
        <v>4854</v>
      </c>
      <c r="AK696" s="90">
        <v>1.766</v>
      </c>
      <c r="AL696" s="99" t="s">
        <v>4854</v>
      </c>
      <c r="AM696" s="102" t="s">
        <v>4854</v>
      </c>
      <c r="AN696" s="102" t="s">
        <v>4854</v>
      </c>
      <c r="AO696" s="102" t="s">
        <v>4854</v>
      </c>
      <c r="AP696" s="102" t="s">
        <v>4854</v>
      </c>
      <c r="AQ696" s="102" t="s">
        <v>4854</v>
      </c>
      <c r="AR696" s="102" t="s">
        <v>4854</v>
      </c>
      <c r="AS696" s="21">
        <v>-0.10299999999999999</v>
      </c>
      <c r="AT696" s="102" t="s">
        <v>4854</v>
      </c>
      <c r="AU696" s="102" t="s">
        <v>4854</v>
      </c>
      <c r="AV696" s="102" t="s">
        <v>4854</v>
      </c>
      <c r="AW696" s="102" t="s">
        <v>4854</v>
      </c>
      <c r="AX696" s="102" t="s">
        <v>4854</v>
      </c>
      <c r="AY696" s="102" t="s">
        <v>4854</v>
      </c>
      <c r="AZ696" s="102" t="s">
        <v>4854</v>
      </c>
      <c r="BA696" s="21">
        <v>0.14000000000000001</v>
      </c>
      <c r="BB696" s="102" t="s">
        <v>4854</v>
      </c>
      <c r="BC696" s="3" t="s">
        <v>4854</v>
      </c>
      <c r="BD696" s="3" t="s">
        <v>4854</v>
      </c>
      <c r="BE696" s="3" t="s">
        <v>4854</v>
      </c>
      <c r="BF696" s="3" t="s">
        <v>4854</v>
      </c>
      <c r="BG696" s="3" t="s">
        <v>4854</v>
      </c>
      <c r="BH696" s="3" t="s">
        <v>4854</v>
      </c>
      <c r="BI696" s="5">
        <v>1</v>
      </c>
      <c r="BJ696" s="3" t="s">
        <v>4854</v>
      </c>
      <c r="BK696" s="99" t="s">
        <v>4854</v>
      </c>
      <c r="BL696" s="99" t="s">
        <v>4854</v>
      </c>
      <c r="BM696" s="99" t="s">
        <v>4854</v>
      </c>
      <c r="BN696" s="99" t="s">
        <v>4854</v>
      </c>
      <c r="BO696" s="99" t="s">
        <v>4854</v>
      </c>
      <c r="BP696" s="99" t="s">
        <v>4854</v>
      </c>
      <c r="BQ696" s="90">
        <v>0.98199999999999998</v>
      </c>
      <c r="BR696" s="99" t="s">
        <v>4854</v>
      </c>
      <c r="BS696" s="5" t="s">
        <v>4857</v>
      </c>
    </row>
    <row r="697" spans="1:71" s="30" customFormat="1" ht="17.100000000000001" customHeight="1">
      <c r="A697" s="10">
        <v>686</v>
      </c>
      <c r="B697" s="10" t="s">
        <v>2289</v>
      </c>
      <c r="C697" s="4" t="s">
        <v>2686</v>
      </c>
      <c r="D697" s="4" t="s">
        <v>2290</v>
      </c>
      <c r="E697" s="7" t="s">
        <v>2291</v>
      </c>
      <c r="F697" s="10" t="s">
        <v>5127</v>
      </c>
      <c r="G697" s="4" t="s">
        <v>2280</v>
      </c>
      <c r="H697" s="7" t="s">
        <v>2292</v>
      </c>
      <c r="I697" s="4" t="s">
        <v>2282</v>
      </c>
      <c r="J697" s="10" t="s">
        <v>2293</v>
      </c>
      <c r="K697" s="4" t="s">
        <v>5752</v>
      </c>
      <c r="L697" s="4" t="s">
        <v>2294</v>
      </c>
      <c r="M697" s="10">
        <v>2</v>
      </c>
      <c r="N697" s="95">
        <v>640.83140000000003</v>
      </c>
      <c r="O697" s="38" t="s">
        <v>4854</v>
      </c>
      <c r="P697" s="38" t="s">
        <v>4854</v>
      </c>
      <c r="Q697" s="38" t="s">
        <v>4854</v>
      </c>
      <c r="R697" s="38" t="s">
        <v>4854</v>
      </c>
      <c r="S697" s="38" t="s">
        <v>4854</v>
      </c>
      <c r="T697" s="38" t="s">
        <v>4854</v>
      </c>
      <c r="U697" s="37" t="str">
        <f>HYPERLINK("http://ms.phosphosite.org:5080/cgi-bin/plot-msms.cgi?MassType=1&amp;NumAxis=1&amp;Mod4=170&amp;Pep=MELKADQLYK&amp;Dta=/var/www/html/dta/S01/10564.7461.2.dta&amp;Global_Mod=CS57.0215", "7461")</f>
        <v>7461</v>
      </c>
      <c r="V697" s="38" t="s">
        <v>4854</v>
      </c>
      <c r="W697" s="4" t="s">
        <v>4854</v>
      </c>
      <c r="X697" s="4" t="s">
        <v>4854</v>
      </c>
      <c r="Y697" s="4" t="s">
        <v>4854</v>
      </c>
      <c r="Z697" s="4" t="s">
        <v>4854</v>
      </c>
      <c r="AA697" s="4" t="s">
        <v>4854</v>
      </c>
      <c r="AB697" s="4" t="s">
        <v>4854</v>
      </c>
      <c r="AC697" s="10">
        <v>7464</v>
      </c>
      <c r="AD697" s="4" t="s">
        <v>4854</v>
      </c>
      <c r="AE697" s="100" t="s">
        <v>4854</v>
      </c>
      <c r="AF697" s="100" t="s">
        <v>4854</v>
      </c>
      <c r="AG697" s="100" t="s">
        <v>4854</v>
      </c>
      <c r="AH697" s="100" t="s">
        <v>4854</v>
      </c>
      <c r="AI697" s="100" t="s">
        <v>4854</v>
      </c>
      <c r="AJ697" s="100" t="s">
        <v>4854</v>
      </c>
      <c r="AK697" s="91">
        <v>1.982</v>
      </c>
      <c r="AL697" s="100" t="s">
        <v>4854</v>
      </c>
      <c r="AM697" s="103" t="s">
        <v>4854</v>
      </c>
      <c r="AN697" s="103" t="s">
        <v>4854</v>
      </c>
      <c r="AO697" s="103" t="s">
        <v>4854</v>
      </c>
      <c r="AP697" s="103" t="s">
        <v>4854</v>
      </c>
      <c r="AQ697" s="103" t="s">
        <v>4854</v>
      </c>
      <c r="AR697" s="103" t="s">
        <v>4854</v>
      </c>
      <c r="AS697" s="95">
        <v>0.26829999999999998</v>
      </c>
      <c r="AT697" s="103" t="s">
        <v>4854</v>
      </c>
      <c r="AU697" s="103" t="s">
        <v>4854</v>
      </c>
      <c r="AV697" s="103" t="s">
        <v>4854</v>
      </c>
      <c r="AW697" s="103" t="s">
        <v>4854</v>
      </c>
      <c r="AX697" s="103" t="s">
        <v>4854</v>
      </c>
      <c r="AY697" s="103" t="s">
        <v>4854</v>
      </c>
      <c r="AZ697" s="103" t="s">
        <v>4854</v>
      </c>
      <c r="BA697" s="95">
        <v>0.20699999999999999</v>
      </c>
      <c r="BB697" s="103" t="s">
        <v>4854</v>
      </c>
      <c r="BC697" s="4" t="s">
        <v>4854</v>
      </c>
      <c r="BD697" s="4" t="s">
        <v>4854</v>
      </c>
      <c r="BE697" s="4" t="s">
        <v>4854</v>
      </c>
      <c r="BF697" s="4" t="s">
        <v>4854</v>
      </c>
      <c r="BG697" s="4" t="s">
        <v>4854</v>
      </c>
      <c r="BH697" s="4" t="s">
        <v>4854</v>
      </c>
      <c r="BI697" s="10">
        <v>11</v>
      </c>
      <c r="BJ697" s="4" t="s">
        <v>4854</v>
      </c>
      <c r="BK697" s="100" t="s">
        <v>4854</v>
      </c>
      <c r="BL697" s="100" t="s">
        <v>4854</v>
      </c>
      <c r="BM697" s="100" t="s">
        <v>4854</v>
      </c>
      <c r="BN697" s="100" t="s">
        <v>4854</v>
      </c>
      <c r="BO697" s="100" t="s">
        <v>4854</v>
      </c>
      <c r="BP697" s="100" t="s">
        <v>4854</v>
      </c>
      <c r="BQ697" s="91">
        <v>0.98799999999999999</v>
      </c>
      <c r="BR697" s="100" t="s">
        <v>4854</v>
      </c>
      <c r="BS697" s="10" t="s">
        <v>4857</v>
      </c>
    </row>
    <row r="698" spans="1:71" s="30" customFormat="1" ht="17.100000000000001" customHeight="1">
      <c r="A698" s="10">
        <v>687</v>
      </c>
      <c r="B698" s="10" t="s">
        <v>2295</v>
      </c>
      <c r="C698" s="4" t="s">
        <v>2686</v>
      </c>
      <c r="D698" s="4" t="s">
        <v>2290</v>
      </c>
      <c r="E698" s="7" t="s">
        <v>2291</v>
      </c>
      <c r="F698" s="10" t="s">
        <v>5127</v>
      </c>
      <c r="G698" s="4" t="s">
        <v>2280</v>
      </c>
      <c r="H698" s="7" t="s">
        <v>2292</v>
      </c>
      <c r="I698" s="4" t="s">
        <v>2282</v>
      </c>
      <c r="J698" s="10" t="s">
        <v>2293</v>
      </c>
      <c r="K698" s="4" t="s">
        <v>5752</v>
      </c>
      <c r="L698" s="4" t="s">
        <v>2296</v>
      </c>
      <c r="M698" s="10">
        <v>2</v>
      </c>
      <c r="N698" s="95">
        <v>718.88189999999997</v>
      </c>
      <c r="O698" s="38" t="s">
        <v>4854</v>
      </c>
      <c r="P698" s="38" t="s">
        <v>4854</v>
      </c>
      <c r="Q698" s="38" t="s">
        <v>4854</v>
      </c>
      <c r="R698" s="38" t="s">
        <v>4854</v>
      </c>
      <c r="S698" s="38" t="s">
        <v>4854</v>
      </c>
      <c r="T698" s="38" t="s">
        <v>4854</v>
      </c>
      <c r="U698" s="37" t="str">
        <f>HYPERLINK("http://ms.phosphosite.org:5080/cgi-bin/plot-msms.cgi?MassType=1&amp;NumAxis=1&amp;Mod5=170&amp;Pep=RMELKADQLYK&amp;Dta=/var/www/html/dta/S01/10564.6064.2.dta&amp;Global_Mod=CS57.0215", "6064")</f>
        <v>6064</v>
      </c>
      <c r="V698" s="38" t="s">
        <v>4854</v>
      </c>
      <c r="W698" s="4" t="s">
        <v>4854</v>
      </c>
      <c r="X698" s="4" t="s">
        <v>4854</v>
      </c>
      <c r="Y698" s="4" t="s">
        <v>4854</v>
      </c>
      <c r="Z698" s="4" t="s">
        <v>4854</v>
      </c>
      <c r="AA698" s="4" t="s">
        <v>4854</v>
      </c>
      <c r="AB698" s="4" t="s">
        <v>4854</v>
      </c>
      <c r="AC698" s="10">
        <v>6056</v>
      </c>
      <c r="AD698" s="4" t="s">
        <v>4854</v>
      </c>
      <c r="AE698" s="100" t="s">
        <v>4854</v>
      </c>
      <c r="AF698" s="100" t="s">
        <v>4854</v>
      </c>
      <c r="AG698" s="100" t="s">
        <v>4854</v>
      </c>
      <c r="AH698" s="100" t="s">
        <v>4854</v>
      </c>
      <c r="AI698" s="100" t="s">
        <v>4854</v>
      </c>
      <c r="AJ698" s="100" t="s">
        <v>4854</v>
      </c>
      <c r="AK698" s="91">
        <v>2.98</v>
      </c>
      <c r="AL698" s="100" t="s">
        <v>4854</v>
      </c>
      <c r="AM698" s="103" t="s">
        <v>4854</v>
      </c>
      <c r="AN698" s="103" t="s">
        <v>4854</v>
      </c>
      <c r="AO698" s="103" t="s">
        <v>4854</v>
      </c>
      <c r="AP698" s="103" t="s">
        <v>4854</v>
      </c>
      <c r="AQ698" s="103" t="s">
        <v>4854</v>
      </c>
      <c r="AR698" s="103" t="s">
        <v>4854</v>
      </c>
      <c r="AS698" s="95">
        <v>0.26629999999999998</v>
      </c>
      <c r="AT698" s="103" t="s">
        <v>4854</v>
      </c>
      <c r="AU698" s="103" t="s">
        <v>4854</v>
      </c>
      <c r="AV698" s="103" t="s">
        <v>4854</v>
      </c>
      <c r="AW698" s="103" t="s">
        <v>4854</v>
      </c>
      <c r="AX698" s="103" t="s">
        <v>4854</v>
      </c>
      <c r="AY698" s="103" t="s">
        <v>4854</v>
      </c>
      <c r="AZ698" s="103" t="s">
        <v>4854</v>
      </c>
      <c r="BA698" s="95">
        <v>0.17599999999999999</v>
      </c>
      <c r="BB698" s="103" t="s">
        <v>4854</v>
      </c>
      <c r="BC698" s="4" t="s">
        <v>4854</v>
      </c>
      <c r="BD698" s="4" t="s">
        <v>4854</v>
      </c>
      <c r="BE698" s="4" t="s">
        <v>4854</v>
      </c>
      <c r="BF698" s="4" t="s">
        <v>4854</v>
      </c>
      <c r="BG698" s="4" t="s">
        <v>4854</v>
      </c>
      <c r="BH698" s="4" t="s">
        <v>4854</v>
      </c>
      <c r="BI698" s="10">
        <v>1</v>
      </c>
      <c r="BJ698" s="4" t="s">
        <v>4854</v>
      </c>
      <c r="BK698" s="100" t="s">
        <v>4854</v>
      </c>
      <c r="BL698" s="100" t="s">
        <v>4854</v>
      </c>
      <c r="BM698" s="100" t="s">
        <v>4854</v>
      </c>
      <c r="BN698" s="100" t="s">
        <v>4854</v>
      </c>
      <c r="BO698" s="100" t="s">
        <v>4854</v>
      </c>
      <c r="BP698" s="100" t="s">
        <v>4854</v>
      </c>
      <c r="BQ698" s="91">
        <v>0.999</v>
      </c>
      <c r="BR698" s="100" t="s">
        <v>4854</v>
      </c>
      <c r="BS698" s="10" t="s">
        <v>4857</v>
      </c>
    </row>
    <row r="699" spans="1:71" s="30" customFormat="1" ht="17.100000000000001" customHeight="1">
      <c r="A699" s="10">
        <v>688</v>
      </c>
      <c r="B699" s="10" t="s">
        <v>2297</v>
      </c>
      <c r="C699" s="4" t="s">
        <v>2686</v>
      </c>
      <c r="D699" s="4" t="s">
        <v>2290</v>
      </c>
      <c r="E699" s="7" t="s">
        <v>2291</v>
      </c>
      <c r="F699" s="10" t="s">
        <v>5127</v>
      </c>
      <c r="G699" s="4" t="s">
        <v>2280</v>
      </c>
      <c r="H699" s="7" t="s">
        <v>2292</v>
      </c>
      <c r="I699" s="4" t="s">
        <v>2282</v>
      </c>
      <c r="J699" s="10" t="s">
        <v>2293</v>
      </c>
      <c r="K699" s="4" t="s">
        <v>5752</v>
      </c>
      <c r="L699" s="4" t="s">
        <v>2296</v>
      </c>
      <c r="M699" s="10">
        <v>3</v>
      </c>
      <c r="N699" s="95">
        <v>479.59039999999999</v>
      </c>
      <c r="O699" s="38" t="s">
        <v>4854</v>
      </c>
      <c r="P699" s="38" t="s">
        <v>4854</v>
      </c>
      <c r="Q699" s="38" t="s">
        <v>4854</v>
      </c>
      <c r="R699" s="38" t="s">
        <v>4854</v>
      </c>
      <c r="S699" s="38" t="s">
        <v>4854</v>
      </c>
      <c r="T699" s="38" t="s">
        <v>4854</v>
      </c>
      <c r="U699" s="37" t="str">
        <f>HYPERLINK("http://ms.phosphosite.org:5080/cgi-bin/plot-msms.cgi?MassType=1&amp;NumAxis=1&amp;Mod5=170&amp;Pep=RMELKADQLYK&amp;Dta=/var/www/html/dta/S01/10564.6071.3.dta&amp;Global_Mod=CS57.0215", "6071")</f>
        <v>6071</v>
      </c>
      <c r="V699" s="38" t="s">
        <v>4854</v>
      </c>
      <c r="W699" s="4" t="s">
        <v>4854</v>
      </c>
      <c r="X699" s="4" t="s">
        <v>4854</v>
      </c>
      <c r="Y699" s="4" t="s">
        <v>4854</v>
      </c>
      <c r="Z699" s="4" t="s">
        <v>4854</v>
      </c>
      <c r="AA699" s="4" t="s">
        <v>4854</v>
      </c>
      <c r="AB699" s="4" t="s">
        <v>4854</v>
      </c>
      <c r="AC699" s="4" t="s">
        <v>4854</v>
      </c>
      <c r="AD699" s="4" t="s">
        <v>4854</v>
      </c>
      <c r="AE699" s="100" t="s">
        <v>4854</v>
      </c>
      <c r="AF699" s="100" t="s">
        <v>4854</v>
      </c>
      <c r="AG699" s="100" t="s">
        <v>4854</v>
      </c>
      <c r="AH699" s="100" t="s">
        <v>4854</v>
      </c>
      <c r="AI699" s="100" t="s">
        <v>4854</v>
      </c>
      <c r="AJ699" s="100" t="s">
        <v>4854</v>
      </c>
      <c r="AK699" s="91">
        <v>1.7909999999999999</v>
      </c>
      <c r="AL699" s="100" t="s">
        <v>4854</v>
      </c>
      <c r="AM699" s="103" t="s">
        <v>4854</v>
      </c>
      <c r="AN699" s="103" t="s">
        <v>4854</v>
      </c>
      <c r="AO699" s="103" t="s">
        <v>4854</v>
      </c>
      <c r="AP699" s="103" t="s">
        <v>4854</v>
      </c>
      <c r="AQ699" s="103" t="s">
        <v>4854</v>
      </c>
      <c r="AR699" s="103" t="s">
        <v>4854</v>
      </c>
      <c r="AS699" s="95">
        <v>-1.21E-2</v>
      </c>
      <c r="AT699" s="103" t="s">
        <v>4854</v>
      </c>
      <c r="AU699" s="103" t="s">
        <v>4854</v>
      </c>
      <c r="AV699" s="103" t="s">
        <v>4854</v>
      </c>
      <c r="AW699" s="103" t="s">
        <v>4854</v>
      </c>
      <c r="AX699" s="103" t="s">
        <v>4854</v>
      </c>
      <c r="AY699" s="103" t="s">
        <v>4854</v>
      </c>
      <c r="AZ699" s="103" t="s">
        <v>4854</v>
      </c>
      <c r="BA699" s="95">
        <v>4.1000000000000002E-2</v>
      </c>
      <c r="BB699" s="103" t="s">
        <v>4854</v>
      </c>
      <c r="BC699" s="4" t="s">
        <v>4854</v>
      </c>
      <c r="BD699" s="4" t="s">
        <v>4854</v>
      </c>
      <c r="BE699" s="4" t="s">
        <v>4854</v>
      </c>
      <c r="BF699" s="4" t="s">
        <v>4854</v>
      </c>
      <c r="BG699" s="4" t="s">
        <v>4854</v>
      </c>
      <c r="BH699" s="4" t="s">
        <v>4854</v>
      </c>
      <c r="BI699" s="10">
        <v>55</v>
      </c>
      <c r="BJ699" s="4" t="s">
        <v>4854</v>
      </c>
      <c r="BK699" s="100" t="s">
        <v>4854</v>
      </c>
      <c r="BL699" s="100" t="s">
        <v>4854</v>
      </c>
      <c r="BM699" s="100" t="s">
        <v>4854</v>
      </c>
      <c r="BN699" s="100" t="s">
        <v>4854</v>
      </c>
      <c r="BO699" s="100" t="s">
        <v>4854</v>
      </c>
      <c r="BP699" s="100" t="s">
        <v>4854</v>
      </c>
      <c r="BQ699" s="91">
        <v>0.83699999999999997</v>
      </c>
      <c r="BR699" s="100" t="s">
        <v>4854</v>
      </c>
      <c r="BS699" s="10" t="s">
        <v>4857</v>
      </c>
    </row>
    <row r="700" spans="1:71" s="30" customFormat="1" ht="17.100000000000001" customHeight="1">
      <c r="A700" s="14">
        <v>689</v>
      </c>
      <c r="B700" s="5" t="s">
        <v>2298</v>
      </c>
      <c r="C700" s="3" t="s">
        <v>2686</v>
      </c>
      <c r="D700" s="3" t="s">
        <v>2290</v>
      </c>
      <c r="E700" s="6" t="s">
        <v>2291</v>
      </c>
      <c r="F700" s="5" t="s">
        <v>5030</v>
      </c>
      <c r="G700" s="3" t="s">
        <v>2280</v>
      </c>
      <c r="H700" s="6" t="s">
        <v>2292</v>
      </c>
      <c r="I700" s="3" t="s">
        <v>2282</v>
      </c>
      <c r="J700" s="5" t="s">
        <v>2293</v>
      </c>
      <c r="K700" s="3" t="s">
        <v>5753</v>
      </c>
      <c r="L700" s="3" t="s">
        <v>2299</v>
      </c>
      <c r="M700" s="5">
        <v>2</v>
      </c>
      <c r="N700" s="21">
        <v>518.27710000000002</v>
      </c>
      <c r="O700" s="35" t="s">
        <v>4854</v>
      </c>
      <c r="P700" s="36" t="str">
        <f>HYPERLINK("http://ms.phosphosite.org:5080/cgi-bin/plot-msms.cgi?MassType=1&amp;NumAxis=1&amp;Mod6=170&amp;Pep=ADQLYKQK&amp;Dta=/var/www/html/dta/S01/10559.2453.2.dta&amp;Global_Mod=CS57.0215", "2453")</f>
        <v>2453</v>
      </c>
      <c r="Q700" s="36" t="str">
        <f>HYPERLINK("http://ms.phosphosite.org:5080/cgi-bin/plot-msms.cgi?MassType=1&amp;NumAxis=1&amp;Mod6=170&amp;Pep=ADQLYKQK&amp;Dta=/var/www/html/dta/S01/10560.2430.2.dta&amp;Global_Mod=CS57.0215", "2430")</f>
        <v>2430</v>
      </c>
      <c r="R700" s="35" t="s">
        <v>4854</v>
      </c>
      <c r="S700" s="36" t="str">
        <f>HYPERLINK("http://ms.phosphosite.org:5080/cgi-bin/plot-msms.cgi?MassType=1&amp;NumAxis=1&amp;Mod6=170&amp;Pep=ADQLYKQK&amp;Dta=/var/www/html/dta/S01/10562.2541.2.dta&amp;Global_Mod=CS57.0215", "2541")</f>
        <v>2541</v>
      </c>
      <c r="T700" s="36" t="str">
        <f>HYPERLINK("http://ms.phosphosite.org:5080/cgi-bin/plot-msms.cgi?MassType=1&amp;NumAxis=1&amp;Mod6=170&amp;Pep=ADQLYKQK&amp;Dta=/var/www/html/dta/S01/10563.2471.2.dta&amp;Global_Mod=CS57.0215", "2471")</f>
        <v>2471</v>
      </c>
      <c r="U700" s="35" t="s">
        <v>4854</v>
      </c>
      <c r="V700" s="35" t="s">
        <v>4854</v>
      </c>
      <c r="W700" s="3" t="s">
        <v>4854</v>
      </c>
      <c r="X700" s="5">
        <v>2450</v>
      </c>
      <c r="Y700" s="5">
        <v>2428</v>
      </c>
      <c r="Z700" s="3" t="s">
        <v>4854</v>
      </c>
      <c r="AA700" s="5">
        <v>2547</v>
      </c>
      <c r="AB700" s="5">
        <v>2467</v>
      </c>
      <c r="AC700" s="3" t="s">
        <v>4854</v>
      </c>
      <c r="AD700" s="3" t="s">
        <v>4854</v>
      </c>
      <c r="AE700" s="99" t="s">
        <v>4854</v>
      </c>
      <c r="AF700" s="90">
        <v>2.698</v>
      </c>
      <c r="AG700" s="90">
        <v>2.7949999999999999</v>
      </c>
      <c r="AH700" s="99" t="s">
        <v>4854</v>
      </c>
      <c r="AI700" s="90">
        <v>2.581</v>
      </c>
      <c r="AJ700" s="90">
        <v>2.61</v>
      </c>
      <c r="AK700" s="99" t="s">
        <v>4854</v>
      </c>
      <c r="AL700" s="99" t="s">
        <v>4854</v>
      </c>
      <c r="AM700" s="102" t="s">
        <v>4854</v>
      </c>
      <c r="AN700" s="21">
        <v>-0.79590000000000005</v>
      </c>
      <c r="AO700" s="21">
        <v>-0.63370000000000004</v>
      </c>
      <c r="AP700" s="102" t="s">
        <v>4854</v>
      </c>
      <c r="AQ700" s="21">
        <v>-0.55840000000000001</v>
      </c>
      <c r="AR700" s="21">
        <v>-0.43380000000000002</v>
      </c>
      <c r="AS700" s="102" t="s">
        <v>4854</v>
      </c>
      <c r="AT700" s="102" t="s">
        <v>4854</v>
      </c>
      <c r="AU700" s="102" t="s">
        <v>4854</v>
      </c>
      <c r="AV700" s="21">
        <v>0.121</v>
      </c>
      <c r="AW700" s="21">
        <v>6.7000000000000004E-2</v>
      </c>
      <c r="AX700" s="102" t="s">
        <v>4854</v>
      </c>
      <c r="AY700" s="21">
        <v>7.3999999999999996E-2</v>
      </c>
      <c r="AZ700" s="21">
        <v>8.4000000000000005E-2</v>
      </c>
      <c r="BA700" s="102" t="s">
        <v>4854</v>
      </c>
      <c r="BB700" s="102" t="s">
        <v>4854</v>
      </c>
      <c r="BC700" s="3" t="s">
        <v>4854</v>
      </c>
      <c r="BD700" s="5">
        <v>2</v>
      </c>
      <c r="BE700" s="5">
        <v>2</v>
      </c>
      <c r="BF700" s="3" t="s">
        <v>4854</v>
      </c>
      <c r="BG700" s="5">
        <v>1</v>
      </c>
      <c r="BH700" s="5">
        <v>2</v>
      </c>
      <c r="BI700" s="3" t="s">
        <v>4854</v>
      </c>
      <c r="BJ700" s="3" t="s">
        <v>4854</v>
      </c>
      <c r="BK700" s="99" t="s">
        <v>4854</v>
      </c>
      <c r="BL700" s="90">
        <v>0.99399999999999999</v>
      </c>
      <c r="BM700" s="90">
        <v>0.99099999999999999</v>
      </c>
      <c r="BN700" s="99" t="s">
        <v>4854</v>
      </c>
      <c r="BO700" s="90">
        <v>0.99</v>
      </c>
      <c r="BP700" s="90">
        <v>0.995</v>
      </c>
      <c r="BQ700" s="99" t="s">
        <v>4854</v>
      </c>
      <c r="BR700" s="99" t="s">
        <v>4854</v>
      </c>
      <c r="BS700" s="5" t="s">
        <v>4857</v>
      </c>
    </row>
    <row r="701" spans="1:71" s="30" customFormat="1" ht="17.100000000000001" customHeight="1">
      <c r="A701" s="10">
        <v>690</v>
      </c>
      <c r="B701" s="10" t="s">
        <v>2300</v>
      </c>
      <c r="C701" s="4" t="s">
        <v>2686</v>
      </c>
      <c r="D701" s="4" t="s">
        <v>2301</v>
      </c>
      <c r="E701" s="4" t="s">
        <v>2302</v>
      </c>
      <c r="F701" s="10" t="s">
        <v>3312</v>
      </c>
      <c r="G701" s="4" t="s">
        <v>2303</v>
      </c>
      <c r="H701" s="7" t="s">
        <v>2304</v>
      </c>
      <c r="I701" s="4" t="s">
        <v>2305</v>
      </c>
      <c r="J701" s="10" t="s">
        <v>4638</v>
      </c>
      <c r="K701" s="4" t="s">
        <v>5754</v>
      </c>
      <c r="L701" s="4" t="s">
        <v>2306</v>
      </c>
      <c r="M701" s="10">
        <v>2</v>
      </c>
      <c r="N701" s="95">
        <v>741.88300000000004</v>
      </c>
      <c r="O701" s="38" t="s">
        <v>4854</v>
      </c>
      <c r="P701" s="37" t="str">
        <f>HYPERLINK("http://ms.phosphosite.org:5080/cgi-bin/plot-msms.cgi?MassType=1&amp;NumAxis=1&amp;Mod8=170&amp;Pep=SSAGDGFKANLVFK&amp;Dta=/var/www/html/dta/S01/10559.9309.2.dta&amp;Global_Mod=CS57.0215", "9309")</f>
        <v>9309</v>
      </c>
      <c r="Q701" s="37" t="str">
        <f>HYPERLINK("http://ms.phosphosite.org:5080/cgi-bin/plot-msms.cgi?MassType=1&amp;NumAxis=1&amp;Mod8=170&amp;Pep=SSAGDGFKANLVFK&amp;Dta=/var/www/html/dta/S01/10560.9331.2.dta&amp;Global_Mod=CS57.0215", "9331")</f>
        <v>9331</v>
      </c>
      <c r="R701" s="37" t="str">
        <f>HYPERLINK("http://ms.phosphosite.org:5080/cgi-bin/plot-msms.cgi?MassType=1&amp;NumAxis=1&amp;Mod8=170&amp;Pep=SSAGDGFKANLVFK&amp;Dta=/var/www/html/dta/S01/10561.9356.2.dta&amp;Global_Mod=CS57.0215", "9356")</f>
        <v>9356</v>
      </c>
      <c r="S701" s="37" t="str">
        <f>HYPERLINK("http://ms.phosphosite.org:5080/cgi-bin/plot-msms.cgi?MassType=1&amp;NumAxis=1&amp;Mod8=170&amp;Pep=SSAGDGFKANLVFK&amp;Dta=/var/www/html/dta/S01/10562.9510.2.dta&amp;Global_Mod=CS57.0215", "9510")</f>
        <v>9510</v>
      </c>
      <c r="T701" s="38" t="s">
        <v>4854</v>
      </c>
      <c r="U701" s="37" t="str">
        <f>HYPERLINK("http://ms.phosphosite.org:5080/cgi-bin/plot-msms.cgi?MassType=1&amp;NumAxis=1&amp;Mod8=170&amp;Pep=SSAGDGFKANLVFK&amp;Dta=/var/www/html/dta/S01/10564.9980.2.dta&amp;Global_Mod=CS57.0215", "9980")</f>
        <v>9980</v>
      </c>
      <c r="V701" s="37" t="str">
        <f>HYPERLINK("http://ms.phosphosite.org:5080/cgi-bin/plot-msms.cgi?MassType=1&amp;NumAxis=1&amp;Mod8=170&amp;Pep=SSAGDGFKANLVFK&amp;Dta=/var/www/html/dta/S01/10565.9931.2.dta&amp;Global_Mod=CS57.0215", "9931")</f>
        <v>9931</v>
      </c>
      <c r="W701" s="4" t="s">
        <v>4854</v>
      </c>
      <c r="X701" s="10">
        <v>9319</v>
      </c>
      <c r="Y701" s="10">
        <v>9347</v>
      </c>
      <c r="Z701" s="10">
        <v>9352</v>
      </c>
      <c r="AA701" s="10">
        <v>9513</v>
      </c>
      <c r="AB701" s="4" t="s">
        <v>4854</v>
      </c>
      <c r="AC701" s="10">
        <v>9994</v>
      </c>
      <c r="AD701" s="10">
        <v>9936</v>
      </c>
      <c r="AE701" s="100" t="s">
        <v>4854</v>
      </c>
      <c r="AF701" s="91">
        <v>3.847</v>
      </c>
      <c r="AG701" s="91">
        <v>3.7389999999999999</v>
      </c>
      <c r="AH701" s="91">
        <v>2.9319999999999999</v>
      </c>
      <c r="AI701" s="91">
        <v>3.181</v>
      </c>
      <c r="AJ701" s="100" t="s">
        <v>4854</v>
      </c>
      <c r="AK701" s="91">
        <v>3.4140000000000001</v>
      </c>
      <c r="AL701" s="91">
        <v>3.653</v>
      </c>
      <c r="AM701" s="103" t="s">
        <v>4854</v>
      </c>
      <c r="AN701" s="95">
        <v>0.71970000000000001</v>
      </c>
      <c r="AO701" s="95">
        <v>0.72909999999999997</v>
      </c>
      <c r="AP701" s="95">
        <v>0.3009</v>
      </c>
      <c r="AQ701" s="95">
        <v>0.80130000000000001</v>
      </c>
      <c r="AR701" s="103" t="s">
        <v>4854</v>
      </c>
      <c r="AS701" s="95">
        <v>0.45660000000000001</v>
      </c>
      <c r="AT701" s="95">
        <v>9.3799999999999994E-2</v>
      </c>
      <c r="AU701" s="103" t="s">
        <v>4854</v>
      </c>
      <c r="AV701" s="95">
        <v>0.33900000000000002</v>
      </c>
      <c r="AW701" s="95">
        <v>0.45800000000000002</v>
      </c>
      <c r="AX701" s="95">
        <v>0.35699999999999998</v>
      </c>
      <c r="AY701" s="95">
        <v>0.4</v>
      </c>
      <c r="AZ701" s="103" t="s">
        <v>4854</v>
      </c>
      <c r="BA701" s="95">
        <v>0.39300000000000002</v>
      </c>
      <c r="BB701" s="95">
        <v>0.35799999999999998</v>
      </c>
      <c r="BC701" s="4" t="s">
        <v>4854</v>
      </c>
      <c r="BD701" s="10">
        <v>1</v>
      </c>
      <c r="BE701" s="10">
        <v>1</v>
      </c>
      <c r="BF701" s="10">
        <v>1</v>
      </c>
      <c r="BG701" s="10">
        <v>1</v>
      </c>
      <c r="BH701" s="4" t="s">
        <v>4854</v>
      </c>
      <c r="BI701" s="10">
        <v>1</v>
      </c>
      <c r="BJ701" s="10">
        <v>1</v>
      </c>
      <c r="BK701" s="100" t="s">
        <v>4854</v>
      </c>
      <c r="BL701" s="91">
        <v>0.98399999999999999</v>
      </c>
      <c r="BM701" s="91">
        <v>1</v>
      </c>
      <c r="BN701" s="91">
        <v>0.96499999999999997</v>
      </c>
      <c r="BO701" s="91">
        <v>0.98199999999999998</v>
      </c>
      <c r="BP701" s="100" t="s">
        <v>4854</v>
      </c>
      <c r="BQ701" s="91">
        <v>0.98499999999999999</v>
      </c>
      <c r="BR701" s="91">
        <v>0.98399999999999999</v>
      </c>
      <c r="BS701" s="10" t="s">
        <v>4857</v>
      </c>
    </row>
    <row r="702" spans="1:71" s="30" customFormat="1" ht="17.100000000000001" customHeight="1">
      <c r="A702" s="14">
        <v>691</v>
      </c>
      <c r="B702" s="5" t="s">
        <v>2307</v>
      </c>
      <c r="C702" s="3" t="s">
        <v>2686</v>
      </c>
      <c r="D702" s="3" t="s">
        <v>2301</v>
      </c>
      <c r="E702" s="3" t="s">
        <v>2302</v>
      </c>
      <c r="F702" s="5" t="s">
        <v>5164</v>
      </c>
      <c r="G702" s="3" t="s">
        <v>2303</v>
      </c>
      <c r="H702" s="6" t="s">
        <v>2304</v>
      </c>
      <c r="I702" s="3" t="s">
        <v>2305</v>
      </c>
      <c r="J702" s="5" t="s">
        <v>4638</v>
      </c>
      <c r="K702" s="3" t="s">
        <v>5755</v>
      </c>
      <c r="L702" s="3" t="s">
        <v>2308</v>
      </c>
      <c r="M702" s="5">
        <v>2</v>
      </c>
      <c r="N702" s="21">
        <v>616.84789999999998</v>
      </c>
      <c r="O702" s="35" t="s">
        <v>4854</v>
      </c>
      <c r="P702" s="35" t="s">
        <v>4854</v>
      </c>
      <c r="Q702" s="35" t="s">
        <v>4854</v>
      </c>
      <c r="R702" s="36" t="str">
        <f>HYPERLINK("http://ms.phosphosite.org:5080/cgi-bin/plot-msms.cgi?MassType=1&amp;NumAxis=1&amp;Mod6=170&amp;Pep=ANLVFKEIEK&amp;Dta=/var/www/html/dta/S01/10561.8410.2.dta&amp;Global_Mod=CS57.0215", "8410")</f>
        <v>8410</v>
      </c>
      <c r="S702" s="35" t="s">
        <v>4854</v>
      </c>
      <c r="T702" s="36" t="str">
        <f>HYPERLINK("http://ms.phosphosite.org:5080/cgi-bin/plot-msms.cgi?MassType=1&amp;NumAxis=1&amp;Mod6=170&amp;Pep=ANLVFKEIEK&amp;Dta=/var/www/html/dta/S01/10563.8484.2.dta&amp;Global_Mod=CS57.0215", "8484")</f>
        <v>8484</v>
      </c>
      <c r="U702" s="36" t="str">
        <f>HYPERLINK("http://ms.phosphosite.org:5080/cgi-bin/plot-msms.cgi?MassType=1&amp;NumAxis=1&amp;Mod6=170&amp;Pep=ANLVFKEIEK&amp;Dta=/var/www/html/dta/S01/10564.8936.2.dta&amp;Global_Mod=CS57.0215", "8936")</f>
        <v>8936</v>
      </c>
      <c r="V702" s="35" t="s">
        <v>4854</v>
      </c>
      <c r="W702" s="3" t="s">
        <v>4854</v>
      </c>
      <c r="X702" s="3" t="s">
        <v>4854</v>
      </c>
      <c r="Y702" s="3" t="s">
        <v>4854</v>
      </c>
      <c r="Z702" s="5">
        <v>8406</v>
      </c>
      <c r="AA702" s="3" t="s">
        <v>4854</v>
      </c>
      <c r="AB702" s="5">
        <v>8499</v>
      </c>
      <c r="AC702" s="5">
        <v>8949</v>
      </c>
      <c r="AD702" s="3" t="s">
        <v>4854</v>
      </c>
      <c r="AE702" s="99" t="s">
        <v>4854</v>
      </c>
      <c r="AF702" s="99" t="s">
        <v>4854</v>
      </c>
      <c r="AG702" s="99" t="s">
        <v>4854</v>
      </c>
      <c r="AH702" s="90">
        <v>2.1160000000000001</v>
      </c>
      <c r="AI702" s="99" t="s">
        <v>4854</v>
      </c>
      <c r="AJ702" s="90">
        <v>2.3849999999999998</v>
      </c>
      <c r="AK702" s="90">
        <v>2.0190000000000001</v>
      </c>
      <c r="AL702" s="99" t="s">
        <v>4854</v>
      </c>
      <c r="AM702" s="102" t="s">
        <v>4854</v>
      </c>
      <c r="AN702" s="102" t="s">
        <v>4854</v>
      </c>
      <c r="AO702" s="102" t="s">
        <v>4854</v>
      </c>
      <c r="AP702" s="21">
        <v>0.64810000000000001</v>
      </c>
      <c r="AQ702" s="102" t="s">
        <v>4854</v>
      </c>
      <c r="AR702" s="21">
        <v>-4.5499999999999999E-2</v>
      </c>
      <c r="AS702" s="21">
        <v>9.9699999999999997E-2</v>
      </c>
      <c r="AT702" s="102" t="s">
        <v>4854</v>
      </c>
      <c r="AU702" s="102" t="s">
        <v>4854</v>
      </c>
      <c r="AV702" s="102" t="s">
        <v>4854</v>
      </c>
      <c r="AW702" s="102" t="s">
        <v>4854</v>
      </c>
      <c r="AX702" s="21">
        <v>0.128</v>
      </c>
      <c r="AY702" s="102" t="s">
        <v>4854</v>
      </c>
      <c r="AZ702" s="21">
        <v>0.121</v>
      </c>
      <c r="BA702" s="21">
        <v>5.3999999999999999E-2</v>
      </c>
      <c r="BB702" s="102" t="s">
        <v>4854</v>
      </c>
      <c r="BC702" s="3" t="s">
        <v>4854</v>
      </c>
      <c r="BD702" s="3" t="s">
        <v>4854</v>
      </c>
      <c r="BE702" s="3" t="s">
        <v>4854</v>
      </c>
      <c r="BF702" s="5">
        <v>1</v>
      </c>
      <c r="BG702" s="3" t="s">
        <v>4854</v>
      </c>
      <c r="BH702" s="5">
        <v>1</v>
      </c>
      <c r="BI702" s="5">
        <v>1</v>
      </c>
      <c r="BJ702" s="3" t="s">
        <v>4854</v>
      </c>
      <c r="BK702" s="99" t="s">
        <v>4854</v>
      </c>
      <c r="BL702" s="99" t="s">
        <v>4854</v>
      </c>
      <c r="BM702" s="99" t="s">
        <v>4854</v>
      </c>
      <c r="BN702" s="90">
        <v>0.99</v>
      </c>
      <c r="BO702" s="99" t="s">
        <v>4854</v>
      </c>
      <c r="BP702" s="90">
        <v>0.99399999999999999</v>
      </c>
      <c r="BQ702" s="90">
        <v>0.96899999999999997</v>
      </c>
      <c r="BR702" s="99" t="s">
        <v>4854</v>
      </c>
      <c r="BS702" s="5" t="s">
        <v>4857</v>
      </c>
    </row>
    <row r="703" spans="1:71" s="30" customFormat="1" ht="17.100000000000001" customHeight="1">
      <c r="A703" s="10">
        <v>692</v>
      </c>
      <c r="B703" s="10" t="s">
        <v>2309</v>
      </c>
      <c r="C703" s="4" t="s">
        <v>2686</v>
      </c>
      <c r="D703" s="4" t="s">
        <v>2310</v>
      </c>
      <c r="E703" s="7" t="s">
        <v>2311</v>
      </c>
      <c r="F703" s="10" t="s">
        <v>4113</v>
      </c>
      <c r="G703" s="4" t="s">
        <v>2312</v>
      </c>
      <c r="H703" s="7" t="s">
        <v>2313</v>
      </c>
      <c r="I703" s="4" t="s">
        <v>2314</v>
      </c>
      <c r="J703" s="10" t="s">
        <v>4667</v>
      </c>
      <c r="K703" s="4" t="s">
        <v>5756</v>
      </c>
      <c r="L703" s="4" t="s">
        <v>2315</v>
      </c>
      <c r="M703" s="10">
        <v>2</v>
      </c>
      <c r="N703" s="95">
        <v>576.28819999999996</v>
      </c>
      <c r="O703" s="38" t="s">
        <v>4854</v>
      </c>
      <c r="P703" s="38" t="s">
        <v>4854</v>
      </c>
      <c r="Q703" s="37" t="str">
        <f>HYPERLINK("http://ms.phosphosite.org:5080/cgi-bin/plot-msms.cgi?MassType=1&amp;NumAxis=1&amp;Mod5=170&amp;Pep=TEDGKIYQR&amp;Dta=/var/www/html/dta/S01/10560.2943.2.dta&amp;Global_Mod=CS57.0215", "2943")</f>
        <v>2943</v>
      </c>
      <c r="R703" s="38" t="s">
        <v>4854</v>
      </c>
      <c r="S703" s="37" t="str">
        <f>HYPERLINK("http://ms.phosphosite.org:5080/cgi-bin/plot-msms.cgi?MassType=1&amp;NumAxis=1&amp;Mod5=170&amp;Pep=TEDGKIYQR&amp;Dta=/var/www/html/dta/S01/10562.3063.2.dta&amp;Global_Mod=CS57.0215", "3063")</f>
        <v>3063</v>
      </c>
      <c r="T703" s="38" t="s">
        <v>4854</v>
      </c>
      <c r="U703" s="38" t="s">
        <v>4854</v>
      </c>
      <c r="V703" s="38" t="s">
        <v>4854</v>
      </c>
      <c r="W703" s="4" t="s">
        <v>4854</v>
      </c>
      <c r="X703" s="4" t="s">
        <v>4854</v>
      </c>
      <c r="Y703" s="10">
        <v>2625</v>
      </c>
      <c r="Z703" s="4" t="s">
        <v>4854</v>
      </c>
      <c r="AA703" s="10">
        <v>2745</v>
      </c>
      <c r="AB703" s="4" t="s">
        <v>4854</v>
      </c>
      <c r="AC703" s="4" t="s">
        <v>4854</v>
      </c>
      <c r="AD703" s="4" t="s">
        <v>4854</v>
      </c>
      <c r="AE703" s="100" t="s">
        <v>4854</v>
      </c>
      <c r="AF703" s="100" t="s">
        <v>4854</v>
      </c>
      <c r="AG703" s="91">
        <v>2.298</v>
      </c>
      <c r="AH703" s="100" t="s">
        <v>4854</v>
      </c>
      <c r="AI703" s="91">
        <v>2.0750000000000002</v>
      </c>
      <c r="AJ703" s="100" t="s">
        <v>4854</v>
      </c>
      <c r="AK703" s="100" t="s">
        <v>4854</v>
      </c>
      <c r="AL703" s="100" t="s">
        <v>4854</v>
      </c>
      <c r="AM703" s="103" t="s">
        <v>4854</v>
      </c>
      <c r="AN703" s="103" t="s">
        <v>4854</v>
      </c>
      <c r="AO703" s="95">
        <v>-1.3028</v>
      </c>
      <c r="AP703" s="103" t="s">
        <v>4854</v>
      </c>
      <c r="AQ703" s="95">
        <v>0.42699999999999999</v>
      </c>
      <c r="AR703" s="103" t="s">
        <v>4854</v>
      </c>
      <c r="AS703" s="103" t="s">
        <v>4854</v>
      </c>
      <c r="AT703" s="103" t="s">
        <v>4854</v>
      </c>
      <c r="AU703" s="103" t="s">
        <v>4854</v>
      </c>
      <c r="AV703" s="103" t="s">
        <v>4854</v>
      </c>
      <c r="AW703" s="95">
        <v>0.17100000000000001</v>
      </c>
      <c r="AX703" s="103" t="s">
        <v>4854</v>
      </c>
      <c r="AY703" s="95">
        <v>0.152</v>
      </c>
      <c r="AZ703" s="103" t="s">
        <v>4854</v>
      </c>
      <c r="BA703" s="103" t="s">
        <v>4854</v>
      </c>
      <c r="BB703" s="103" t="s">
        <v>4854</v>
      </c>
      <c r="BC703" s="4" t="s">
        <v>4854</v>
      </c>
      <c r="BD703" s="4" t="s">
        <v>4854</v>
      </c>
      <c r="BE703" s="10">
        <v>110</v>
      </c>
      <c r="BF703" s="4" t="s">
        <v>4854</v>
      </c>
      <c r="BG703" s="10">
        <v>7</v>
      </c>
      <c r="BH703" s="4" t="s">
        <v>4854</v>
      </c>
      <c r="BI703" s="4" t="s">
        <v>4854</v>
      </c>
      <c r="BJ703" s="4" t="s">
        <v>4854</v>
      </c>
      <c r="BK703" s="100" t="s">
        <v>4854</v>
      </c>
      <c r="BL703" s="100" t="s">
        <v>4854</v>
      </c>
      <c r="BM703" s="91">
        <v>0.96599999999999997</v>
      </c>
      <c r="BN703" s="100" t="s">
        <v>4854</v>
      </c>
      <c r="BO703" s="91">
        <v>0.98599999999999999</v>
      </c>
      <c r="BP703" s="100" t="s">
        <v>4854</v>
      </c>
      <c r="BQ703" s="100" t="s">
        <v>4854</v>
      </c>
      <c r="BR703" s="100" t="s">
        <v>4854</v>
      </c>
      <c r="BS703" s="10" t="s">
        <v>4857</v>
      </c>
    </row>
    <row r="704" spans="1:71" s="30" customFormat="1" ht="17.100000000000001" customHeight="1">
      <c r="A704" s="14">
        <v>693</v>
      </c>
      <c r="B704" s="5" t="s">
        <v>2316</v>
      </c>
      <c r="C704" s="3" t="s">
        <v>2686</v>
      </c>
      <c r="D704" s="3" t="s">
        <v>2310</v>
      </c>
      <c r="E704" s="6" t="s">
        <v>2311</v>
      </c>
      <c r="F704" s="5" t="s">
        <v>5168</v>
      </c>
      <c r="G704" s="3" t="s">
        <v>2312</v>
      </c>
      <c r="H704" s="6" t="s">
        <v>2313</v>
      </c>
      <c r="I704" s="3" t="s">
        <v>2314</v>
      </c>
      <c r="J704" s="5" t="s">
        <v>4667</v>
      </c>
      <c r="K704" s="3" t="s">
        <v>2317</v>
      </c>
      <c r="L704" s="3" t="s">
        <v>2317</v>
      </c>
      <c r="M704" s="5">
        <v>3</v>
      </c>
      <c r="N704" s="21">
        <v>613.96349999999995</v>
      </c>
      <c r="O704" s="35" t="s">
        <v>4854</v>
      </c>
      <c r="P704" s="35" t="s">
        <v>4854</v>
      </c>
      <c r="Q704" s="35" t="s">
        <v>4854</v>
      </c>
      <c r="R704" s="35" t="s">
        <v>4854</v>
      </c>
      <c r="S704" s="36" t="str">
        <f>HYPERLINK("http://ms.phosphosite.org:5080/cgi-bin/plot-msms.cgi?MassType=1&amp;NumAxis=1&amp;Mod8=170&amp;Pep=VDEYDYSKPIQGQQK&amp;Dta=/var/www/html/dta/S01/10562.5277.3.dta&amp;Global_Mod=CS57.0215", "5277")</f>
        <v>5277</v>
      </c>
      <c r="T704" s="36" t="str">
        <f>HYPERLINK("http://ms.phosphosite.org:5080/cgi-bin/plot-msms.cgi?MassType=1&amp;NumAxis=1&amp;Mod8=170&amp;Pep=VDEYDYSKPIQGQQK&amp;Dta=/var/www/html/dta/S01/10563.5241.3.dta&amp;Global_Mod=CS57.0215", "5241")</f>
        <v>5241</v>
      </c>
      <c r="U704" s="35" t="s">
        <v>4854</v>
      </c>
      <c r="V704" s="35" t="s">
        <v>4854</v>
      </c>
      <c r="W704" s="3" t="s">
        <v>4854</v>
      </c>
      <c r="X704" s="3" t="s">
        <v>4854</v>
      </c>
      <c r="Y704" s="3" t="s">
        <v>4854</v>
      </c>
      <c r="Z704" s="3" t="s">
        <v>4854</v>
      </c>
      <c r="AA704" s="5">
        <v>5303</v>
      </c>
      <c r="AB704" s="5">
        <v>5232</v>
      </c>
      <c r="AC704" s="3" t="s">
        <v>4854</v>
      </c>
      <c r="AD704" s="3" t="s">
        <v>4854</v>
      </c>
      <c r="AE704" s="99" t="s">
        <v>4854</v>
      </c>
      <c r="AF704" s="99" t="s">
        <v>4854</v>
      </c>
      <c r="AG704" s="99" t="s">
        <v>4854</v>
      </c>
      <c r="AH704" s="99" t="s">
        <v>4854</v>
      </c>
      <c r="AI704" s="90">
        <v>2.8879999999999999</v>
      </c>
      <c r="AJ704" s="90">
        <v>1.958</v>
      </c>
      <c r="AK704" s="99" t="s">
        <v>4854</v>
      </c>
      <c r="AL704" s="99" t="s">
        <v>4854</v>
      </c>
      <c r="AM704" s="102" t="s">
        <v>4854</v>
      </c>
      <c r="AN704" s="102" t="s">
        <v>4854</v>
      </c>
      <c r="AO704" s="102" t="s">
        <v>4854</v>
      </c>
      <c r="AP704" s="102" t="s">
        <v>4854</v>
      </c>
      <c r="AQ704" s="21">
        <v>1.4612000000000001</v>
      </c>
      <c r="AR704" s="21">
        <v>0.87909999999999999</v>
      </c>
      <c r="AS704" s="102" t="s">
        <v>4854</v>
      </c>
      <c r="AT704" s="102" t="s">
        <v>4854</v>
      </c>
      <c r="AU704" s="102" t="s">
        <v>4854</v>
      </c>
      <c r="AV704" s="102" t="s">
        <v>4854</v>
      </c>
      <c r="AW704" s="102" t="s">
        <v>4854</v>
      </c>
      <c r="AX704" s="102" t="s">
        <v>4854</v>
      </c>
      <c r="AY704" s="21">
        <v>0.152</v>
      </c>
      <c r="AZ704" s="21">
        <v>2.5999999999999999E-2</v>
      </c>
      <c r="BA704" s="102" t="s">
        <v>4854</v>
      </c>
      <c r="BB704" s="102" t="s">
        <v>4854</v>
      </c>
      <c r="BC704" s="3" t="s">
        <v>4854</v>
      </c>
      <c r="BD704" s="3" t="s">
        <v>4854</v>
      </c>
      <c r="BE704" s="3" t="s">
        <v>4854</v>
      </c>
      <c r="BF704" s="3" t="s">
        <v>4854</v>
      </c>
      <c r="BG704" s="5">
        <v>6</v>
      </c>
      <c r="BH704" s="5">
        <v>242</v>
      </c>
      <c r="BI704" s="3" t="s">
        <v>4854</v>
      </c>
      <c r="BJ704" s="3" t="s">
        <v>4854</v>
      </c>
      <c r="BK704" s="99" t="s">
        <v>4854</v>
      </c>
      <c r="BL704" s="99" t="s">
        <v>4854</v>
      </c>
      <c r="BM704" s="99" t="s">
        <v>4854</v>
      </c>
      <c r="BN704" s="99" t="s">
        <v>4854</v>
      </c>
      <c r="BO704" s="90">
        <v>0.999</v>
      </c>
      <c r="BP704" s="90">
        <v>0.95099999999999996</v>
      </c>
      <c r="BQ704" s="99" t="s">
        <v>4854</v>
      </c>
      <c r="BR704" s="99" t="s">
        <v>4854</v>
      </c>
      <c r="BS704" s="5" t="s">
        <v>4857</v>
      </c>
    </row>
    <row r="705" spans="1:71" s="30" customFormat="1" ht="17.100000000000001" customHeight="1">
      <c r="A705" s="14">
        <v>694</v>
      </c>
      <c r="B705" s="5" t="s">
        <v>2318</v>
      </c>
      <c r="C705" s="3" t="s">
        <v>2686</v>
      </c>
      <c r="D705" s="3" t="s">
        <v>2310</v>
      </c>
      <c r="E705" s="6" t="s">
        <v>2311</v>
      </c>
      <c r="F705" s="5" t="s">
        <v>5168</v>
      </c>
      <c r="G705" s="3" t="s">
        <v>2312</v>
      </c>
      <c r="H705" s="6" t="s">
        <v>2313</v>
      </c>
      <c r="I705" s="3" t="s">
        <v>2314</v>
      </c>
      <c r="J705" s="5" t="s">
        <v>4667</v>
      </c>
      <c r="K705" s="3" t="s">
        <v>2317</v>
      </c>
      <c r="L705" s="3" t="s">
        <v>2319</v>
      </c>
      <c r="M705" s="5">
        <v>3</v>
      </c>
      <c r="N705" s="21">
        <v>699.02</v>
      </c>
      <c r="O705" s="35" t="s">
        <v>4854</v>
      </c>
      <c r="P705" s="35" t="s">
        <v>4854</v>
      </c>
      <c r="Q705" s="35" t="s">
        <v>4854</v>
      </c>
      <c r="R705" s="35" t="s">
        <v>4854</v>
      </c>
      <c r="S705" s="35" t="s">
        <v>4854</v>
      </c>
      <c r="T705" s="36" t="str">
        <f>HYPERLINK("http://ms.phosphosite.org:5080/cgi-bin/plot-msms.cgi?MassType=1&amp;NumAxis=1&amp;Mod10=170&amp;Pep=VRVDEYDYSKPIQGQQK&amp;Dta=/var/www/html/dta/S01/10563.5349.3.dta&amp;Global_Mod=CS57.0215", "5349")</f>
        <v>5349</v>
      </c>
      <c r="U705" s="36" t="str">
        <f>HYPERLINK("http://ms.phosphosite.org:5080/cgi-bin/plot-msms.cgi?MassType=1&amp;NumAxis=1&amp;Mod10=170&amp;Pep=VRVDEYDYSKPIQGQQK&amp;Dta=/var/www/html/dta/S01/10564.5653.3.dta&amp;Global_Mod=CS57.0215", "5653")</f>
        <v>5653</v>
      </c>
      <c r="V705" s="36" t="str">
        <f>HYPERLINK("http://ms.phosphosite.org:5080/cgi-bin/plot-msms.cgi?MassType=1&amp;NumAxis=1&amp;Mod10=170&amp;Pep=VRVDEYDYSKPIQGQQK&amp;Dta=/var/www/html/dta/S01/10565.5751.3.dta&amp;Global_Mod=CS57.0215", "5751")</f>
        <v>5751</v>
      </c>
      <c r="W705" s="3" t="s">
        <v>4854</v>
      </c>
      <c r="X705" s="3" t="s">
        <v>4854</v>
      </c>
      <c r="Y705" s="3" t="s">
        <v>4854</v>
      </c>
      <c r="Z705" s="3" t="s">
        <v>4854</v>
      </c>
      <c r="AA705" s="3" t="s">
        <v>4854</v>
      </c>
      <c r="AB705" s="3" t="s">
        <v>4854</v>
      </c>
      <c r="AC705" s="3" t="s">
        <v>4854</v>
      </c>
      <c r="AD705" s="3" t="s">
        <v>4854</v>
      </c>
      <c r="AE705" s="99" t="s">
        <v>4854</v>
      </c>
      <c r="AF705" s="99" t="s">
        <v>4854</v>
      </c>
      <c r="AG705" s="99" t="s">
        <v>4854</v>
      </c>
      <c r="AH705" s="99" t="s">
        <v>4854</v>
      </c>
      <c r="AI705" s="99" t="s">
        <v>4854</v>
      </c>
      <c r="AJ705" s="90">
        <v>2.8639999999999999</v>
      </c>
      <c r="AK705" s="90">
        <v>2.597</v>
      </c>
      <c r="AL705" s="90">
        <v>2.1379999999999999</v>
      </c>
      <c r="AM705" s="102" t="s">
        <v>4854</v>
      </c>
      <c r="AN705" s="102" t="s">
        <v>4854</v>
      </c>
      <c r="AO705" s="102" t="s">
        <v>4854</v>
      </c>
      <c r="AP705" s="102" t="s">
        <v>4854</v>
      </c>
      <c r="AQ705" s="102" t="s">
        <v>4854</v>
      </c>
      <c r="AR705" s="21">
        <v>-0.1019</v>
      </c>
      <c r="AS705" s="21">
        <v>0.54959999999999998</v>
      </c>
      <c r="AT705" s="21">
        <v>-6.9400000000000003E-2</v>
      </c>
      <c r="AU705" s="102" t="s">
        <v>4854</v>
      </c>
      <c r="AV705" s="102" t="s">
        <v>4854</v>
      </c>
      <c r="AW705" s="102" t="s">
        <v>4854</v>
      </c>
      <c r="AX705" s="102" t="s">
        <v>4854</v>
      </c>
      <c r="AY705" s="102" t="s">
        <v>4854</v>
      </c>
      <c r="AZ705" s="21">
        <v>1.2E-2</v>
      </c>
      <c r="BA705" s="21">
        <v>6.0000000000000001E-3</v>
      </c>
      <c r="BB705" s="21">
        <v>4.0000000000000001E-3</v>
      </c>
      <c r="BC705" s="3" t="s">
        <v>4854</v>
      </c>
      <c r="BD705" s="3" t="s">
        <v>4854</v>
      </c>
      <c r="BE705" s="3" t="s">
        <v>4854</v>
      </c>
      <c r="BF705" s="3" t="s">
        <v>4854</v>
      </c>
      <c r="BG705" s="3" t="s">
        <v>4854</v>
      </c>
      <c r="BH705" s="5">
        <v>16</v>
      </c>
      <c r="BI705" s="5">
        <v>4</v>
      </c>
      <c r="BJ705" s="5">
        <v>66</v>
      </c>
      <c r="BK705" s="99" t="s">
        <v>4854</v>
      </c>
      <c r="BL705" s="99" t="s">
        <v>4854</v>
      </c>
      <c r="BM705" s="99" t="s">
        <v>4854</v>
      </c>
      <c r="BN705" s="99" t="s">
        <v>4854</v>
      </c>
      <c r="BO705" s="99" t="s">
        <v>4854</v>
      </c>
      <c r="BP705" s="90">
        <v>0.94299999999999995</v>
      </c>
      <c r="BQ705" s="90">
        <v>0.94</v>
      </c>
      <c r="BR705" s="90">
        <v>0.81100000000000005</v>
      </c>
      <c r="BS705" s="5" t="s">
        <v>4857</v>
      </c>
    </row>
    <row r="706" spans="1:71" s="30" customFormat="1" ht="17.100000000000001" customHeight="1">
      <c r="A706" s="10">
        <v>695</v>
      </c>
      <c r="B706" s="10" t="s">
        <v>2320</v>
      </c>
      <c r="C706" s="4" t="s">
        <v>2686</v>
      </c>
      <c r="D706" s="4" t="s">
        <v>2321</v>
      </c>
      <c r="E706" s="4" t="s">
        <v>2322</v>
      </c>
      <c r="F706" s="10" t="s">
        <v>4966</v>
      </c>
      <c r="G706" s="4" t="s">
        <v>2323</v>
      </c>
      <c r="H706" s="7" t="s">
        <v>2324</v>
      </c>
      <c r="I706" s="4" t="s">
        <v>2325</v>
      </c>
      <c r="J706" s="10" t="s">
        <v>4664</v>
      </c>
      <c r="K706" s="4" t="s">
        <v>5757</v>
      </c>
      <c r="L706" s="4" t="s">
        <v>2326</v>
      </c>
      <c r="M706" s="10">
        <v>2</v>
      </c>
      <c r="N706" s="95">
        <v>702.34569999999997</v>
      </c>
      <c r="O706" s="37" t="str">
        <f>HYPERLINK("http://ms.phosphosite.org:5080/cgi-bin/plot-msms.cgi?MassType=1&amp;NumAxis=1&amp;Mod7=170&amp;Pep=DFGSFEKFKEK&amp;Dta=/var/www/html/dta/S01/10558.7517.2.dta&amp;Global_Mod=CS57.0215", "7517")</f>
        <v>7517</v>
      </c>
      <c r="P706" s="37" t="str">
        <f>HYPERLINK("http://ms.phosphosite.org:5080/cgi-bin/plot-msms.cgi?MassType=1&amp;NumAxis=1&amp;Mod7=170&amp;Pep=DFGSFEKFKEK&amp;Dta=/var/www/html/dta/S01/10559.7481.2.dta&amp;Global_Mod=CS57.0215", "7481")</f>
        <v>7481</v>
      </c>
      <c r="Q706" s="37" t="str">
        <f>HYPERLINK("http://ms.phosphosite.org:5080/cgi-bin/plot-msms.cgi?MassType=1&amp;NumAxis=1&amp;Mod7=170&amp;Pep=DFGSFEKFKEK&amp;Dta=/var/www/html/dta/S01/10560.7460.2.dta&amp;Global_Mod=CS57.0215", "7460")</f>
        <v>7460</v>
      </c>
      <c r="R706" s="37" t="str">
        <f>HYPERLINK("http://ms.phosphosite.org:5080/cgi-bin/plot-msms.cgi?MassType=1&amp;NumAxis=1&amp;Mod7=170&amp;Pep=DFGSFEKFKEK&amp;Dta=/var/www/html/dta/S01/10561.7498.2.dta&amp;Global_Mod=CS57.0215", "7498")</f>
        <v>7498</v>
      </c>
      <c r="S706" s="38" t="s">
        <v>4854</v>
      </c>
      <c r="T706" s="38" t="s">
        <v>4854</v>
      </c>
      <c r="U706" s="38" t="s">
        <v>4854</v>
      </c>
      <c r="V706" s="38" t="s">
        <v>4854</v>
      </c>
      <c r="W706" s="10">
        <v>7523</v>
      </c>
      <c r="X706" s="10">
        <v>7460</v>
      </c>
      <c r="Y706" s="10">
        <v>7455</v>
      </c>
      <c r="Z706" s="10">
        <v>7493</v>
      </c>
      <c r="AA706" s="4" t="s">
        <v>4854</v>
      </c>
      <c r="AB706" s="4" t="s">
        <v>4854</v>
      </c>
      <c r="AC706" s="4" t="s">
        <v>4854</v>
      </c>
      <c r="AD706" s="4" t="s">
        <v>4854</v>
      </c>
      <c r="AE706" s="91">
        <v>3.0219999999999998</v>
      </c>
      <c r="AF706" s="91">
        <v>2.6659999999999999</v>
      </c>
      <c r="AG706" s="91">
        <v>2.617</v>
      </c>
      <c r="AH706" s="91">
        <v>2.6960000000000002</v>
      </c>
      <c r="AI706" s="100" t="s">
        <v>4854</v>
      </c>
      <c r="AJ706" s="100" t="s">
        <v>4854</v>
      </c>
      <c r="AK706" s="100" t="s">
        <v>4854</v>
      </c>
      <c r="AL706" s="100" t="s">
        <v>4854</v>
      </c>
      <c r="AM706" s="95">
        <v>0.20799999999999999</v>
      </c>
      <c r="AN706" s="95">
        <v>-0.15390000000000001</v>
      </c>
      <c r="AO706" s="95">
        <v>-0.1895</v>
      </c>
      <c r="AP706" s="95">
        <v>-0.2344</v>
      </c>
      <c r="AQ706" s="103" t="s">
        <v>4854</v>
      </c>
      <c r="AR706" s="103" t="s">
        <v>4854</v>
      </c>
      <c r="AS706" s="103" t="s">
        <v>4854</v>
      </c>
      <c r="AT706" s="103" t="s">
        <v>4854</v>
      </c>
      <c r="AU706" s="95">
        <v>0.34899999999999998</v>
      </c>
      <c r="AV706" s="95">
        <v>0.24099999999999999</v>
      </c>
      <c r="AW706" s="95">
        <v>0.26100000000000001</v>
      </c>
      <c r="AX706" s="95">
        <v>0.23200000000000001</v>
      </c>
      <c r="AY706" s="103" t="s">
        <v>4854</v>
      </c>
      <c r="AZ706" s="103" t="s">
        <v>4854</v>
      </c>
      <c r="BA706" s="103" t="s">
        <v>4854</v>
      </c>
      <c r="BB706" s="103" t="s">
        <v>4854</v>
      </c>
      <c r="BC706" s="10">
        <v>1</v>
      </c>
      <c r="BD706" s="10">
        <v>1</v>
      </c>
      <c r="BE706" s="10">
        <v>1</v>
      </c>
      <c r="BF706" s="10">
        <v>1</v>
      </c>
      <c r="BG706" s="4" t="s">
        <v>4854</v>
      </c>
      <c r="BH706" s="4" t="s">
        <v>4854</v>
      </c>
      <c r="BI706" s="4" t="s">
        <v>4854</v>
      </c>
      <c r="BJ706" s="4" t="s">
        <v>4854</v>
      </c>
      <c r="BK706" s="91">
        <v>1</v>
      </c>
      <c r="BL706" s="91">
        <v>0.999</v>
      </c>
      <c r="BM706" s="91">
        <v>0.999</v>
      </c>
      <c r="BN706" s="91">
        <v>0.999</v>
      </c>
      <c r="BO706" s="100" t="s">
        <v>4854</v>
      </c>
      <c r="BP706" s="100" t="s">
        <v>4854</v>
      </c>
      <c r="BQ706" s="100" t="s">
        <v>4854</v>
      </c>
      <c r="BR706" s="100" t="s">
        <v>4854</v>
      </c>
      <c r="BS706" s="10" t="s">
        <v>4857</v>
      </c>
    </row>
    <row r="707" spans="1:71" s="30" customFormat="1" ht="17.100000000000001" customHeight="1">
      <c r="A707" s="14">
        <v>696</v>
      </c>
      <c r="B707" s="5" t="s">
        <v>2327</v>
      </c>
      <c r="C707" s="3" t="s">
        <v>2686</v>
      </c>
      <c r="D707" s="3" t="s">
        <v>2321</v>
      </c>
      <c r="E707" s="3" t="s">
        <v>2322</v>
      </c>
      <c r="F707" s="5" t="s">
        <v>5126</v>
      </c>
      <c r="G707" s="3" t="s">
        <v>2323</v>
      </c>
      <c r="H707" s="6" t="s">
        <v>2324</v>
      </c>
      <c r="I707" s="3" t="s">
        <v>2325</v>
      </c>
      <c r="J707" s="5" t="s">
        <v>4664</v>
      </c>
      <c r="K707" s="3" t="s">
        <v>5758</v>
      </c>
      <c r="L707" s="3" t="s">
        <v>2328</v>
      </c>
      <c r="M707" s="5">
        <v>4</v>
      </c>
      <c r="N707" s="21">
        <v>642.0675</v>
      </c>
      <c r="O707" s="36" t="str">
        <f>HYPERLINK("http://ms.phosphosite.org:5080/cgi-bin/plot-msms.cgi?MassType=1&amp;NumAxis=1&amp;Mod15=170&amp;Pep=HHAAYVNNLNATEEKYHEALAK&amp;Dta=/var/www/html/dta/S01/10558.6179.4.dta&amp;Global_Mod=CS57.0215", "6179")</f>
        <v>6179</v>
      </c>
      <c r="P707" s="35" t="s">
        <v>4854</v>
      </c>
      <c r="Q707" s="36" t="str">
        <f>HYPERLINK("http://ms.phosphosite.org:5080/cgi-bin/plot-msms.cgi?MassType=1&amp;NumAxis=1&amp;Mod15=170&amp;Pep=HHAAYVNNLNATEEKYHEALAK&amp;Dta=/var/www/html/dta/S01/10560.6094.4.dta&amp;Global_Mod=CS57.0215", "6094")</f>
        <v>6094</v>
      </c>
      <c r="R707" s="36" t="str">
        <f>HYPERLINK("http://ms.phosphosite.org:5080/cgi-bin/plot-msms.cgi?MassType=1&amp;NumAxis=1&amp;Mod15=170&amp;Pep=HHAAYVNNLNATEEKYHEALAK&amp;Dta=/var/www/html/dta/S01/10561.6153.4.dta&amp;Global_Mod=CS57.0215", "6153")</f>
        <v>6153</v>
      </c>
      <c r="S707" s="36" t="str">
        <f>HYPERLINK("http://ms.phosphosite.org:5080/cgi-bin/plot-msms.cgi?MassType=1&amp;NumAxis=1&amp;Mod15=170&amp;Pep=HHAAYVNNLNATEEKYHEALAK&amp;Dta=/var/www/html/dta/S01/10562.6254.4.dta&amp;Global_Mod=CS57.0215", "6254")</f>
        <v>6254</v>
      </c>
      <c r="T707" s="35" t="s">
        <v>4854</v>
      </c>
      <c r="U707" s="35" t="s">
        <v>4854</v>
      </c>
      <c r="V707" s="36" t="str">
        <f>HYPERLINK("http://ms.phosphosite.org:5080/cgi-bin/plot-msms.cgi?MassType=1&amp;NumAxis=1&amp;Mod15=170&amp;Pep=HHAAYVNNLNATEEKYHEALAK&amp;Dta=/var/www/html/dta/S01/10565.6578.4.dta&amp;Global_Mod=CS57.0215", "6578")</f>
        <v>6578</v>
      </c>
      <c r="W707" s="5">
        <v>6163</v>
      </c>
      <c r="X707" s="3" t="s">
        <v>4854</v>
      </c>
      <c r="Y707" s="5">
        <v>6080</v>
      </c>
      <c r="Z707" s="5">
        <v>6151</v>
      </c>
      <c r="AA707" s="5">
        <v>6260</v>
      </c>
      <c r="AB707" s="3" t="s">
        <v>4854</v>
      </c>
      <c r="AC707" s="3" t="s">
        <v>4854</v>
      </c>
      <c r="AD707" s="5">
        <v>6625</v>
      </c>
      <c r="AE707" s="90">
        <v>2.7669999999999999</v>
      </c>
      <c r="AF707" s="99" t="s">
        <v>4854</v>
      </c>
      <c r="AG707" s="90">
        <v>2.556</v>
      </c>
      <c r="AH707" s="90">
        <v>3.3250000000000002</v>
      </c>
      <c r="AI707" s="90">
        <v>3.2160000000000002</v>
      </c>
      <c r="AJ707" s="99" t="s">
        <v>4854</v>
      </c>
      <c r="AK707" s="99" t="s">
        <v>4854</v>
      </c>
      <c r="AL707" s="90">
        <v>2.5329999999999999</v>
      </c>
      <c r="AM707" s="21">
        <v>0.17599999999999999</v>
      </c>
      <c r="AN707" s="102" t="s">
        <v>4854</v>
      </c>
      <c r="AO707" s="21">
        <v>0.57089999999999996</v>
      </c>
      <c r="AP707" s="21">
        <v>0.74870000000000003</v>
      </c>
      <c r="AQ707" s="21">
        <v>0.75180000000000002</v>
      </c>
      <c r="AR707" s="102" t="s">
        <v>4854</v>
      </c>
      <c r="AS707" s="102" t="s">
        <v>4854</v>
      </c>
      <c r="AT707" s="21">
        <v>0.4551</v>
      </c>
      <c r="AU707" s="21">
        <v>0.11600000000000001</v>
      </c>
      <c r="AV707" s="102" t="s">
        <v>4854</v>
      </c>
      <c r="AW707" s="21">
        <v>0.03</v>
      </c>
      <c r="AX707" s="21">
        <v>0.223</v>
      </c>
      <c r="AY707" s="21">
        <v>0.183</v>
      </c>
      <c r="AZ707" s="102" t="s">
        <v>4854</v>
      </c>
      <c r="BA707" s="102" t="s">
        <v>4854</v>
      </c>
      <c r="BB707" s="21">
        <v>2.1000000000000001E-2</v>
      </c>
      <c r="BC707" s="5">
        <v>1</v>
      </c>
      <c r="BD707" s="3" t="s">
        <v>4854</v>
      </c>
      <c r="BE707" s="5">
        <v>1</v>
      </c>
      <c r="BF707" s="5">
        <v>1</v>
      </c>
      <c r="BG707" s="5">
        <v>1</v>
      </c>
      <c r="BH707" s="3" t="s">
        <v>4854</v>
      </c>
      <c r="BI707" s="3" t="s">
        <v>4854</v>
      </c>
      <c r="BJ707" s="5">
        <v>1</v>
      </c>
      <c r="BK707" s="90">
        <v>0.997</v>
      </c>
      <c r="BL707" s="99" t="s">
        <v>4854</v>
      </c>
      <c r="BM707" s="90">
        <v>0.98699999999999999</v>
      </c>
      <c r="BN707" s="90">
        <v>1</v>
      </c>
      <c r="BO707" s="90">
        <v>0.999</v>
      </c>
      <c r="BP707" s="99" t="s">
        <v>4854</v>
      </c>
      <c r="BQ707" s="99" t="s">
        <v>4854</v>
      </c>
      <c r="BR707" s="90">
        <v>0.98499999999999999</v>
      </c>
      <c r="BS707" s="5" t="s">
        <v>4857</v>
      </c>
    </row>
    <row r="708" spans="1:71" s="30" customFormat="1" ht="17.100000000000001" customHeight="1">
      <c r="A708" s="10">
        <v>697</v>
      </c>
      <c r="B708" s="10" t="s">
        <v>2329</v>
      </c>
      <c r="C708" s="4" t="s">
        <v>2686</v>
      </c>
      <c r="D708" s="4" t="s">
        <v>2330</v>
      </c>
      <c r="E708" s="4" t="s">
        <v>2331</v>
      </c>
      <c r="F708" s="10" t="s">
        <v>5089</v>
      </c>
      <c r="G708" s="4" t="s">
        <v>2332</v>
      </c>
      <c r="H708" s="7" t="s">
        <v>2333</v>
      </c>
      <c r="I708" s="4" t="s">
        <v>2334</v>
      </c>
      <c r="J708" s="10" t="s">
        <v>4823</v>
      </c>
      <c r="K708" s="4" t="s">
        <v>5759</v>
      </c>
      <c r="L708" s="4" t="s">
        <v>2335</v>
      </c>
      <c r="M708" s="10">
        <v>2</v>
      </c>
      <c r="N708" s="95">
        <v>612.80899999999997</v>
      </c>
      <c r="O708" s="38" t="s">
        <v>4854</v>
      </c>
      <c r="P708" s="38" t="s">
        <v>4854</v>
      </c>
      <c r="Q708" s="38" t="s">
        <v>4854</v>
      </c>
      <c r="R708" s="37" t="str">
        <f>HYPERLINK("http://ms.phosphosite.org:5080/cgi-bin/plot-msms.cgi?MassType=1&amp;NumAxis=1&amp;Mod10=170&amp;Pep=SSDEAYAIAKK&amp;Dta=/var/www/html/dta/S01/10561.3998.2.dta&amp;Global_Mod=CS57.0215", "3998")</f>
        <v>3998</v>
      </c>
      <c r="S708" s="38" t="s">
        <v>4854</v>
      </c>
      <c r="T708" s="38" t="s">
        <v>4854</v>
      </c>
      <c r="U708" s="37" t="str">
        <f>HYPERLINK("http://ms.phosphosite.org:5080/cgi-bin/plot-msms.cgi?MassType=1&amp;NumAxis=1&amp;Mod10=170&amp;Pep=SSDEAYAIAKK&amp;Dta=/var/www/html/dta/S01/10564.4358.2.dta&amp;Global_Mod=CS57.0215", "4358")</f>
        <v>4358</v>
      </c>
      <c r="V708" s="37" t="str">
        <f>HYPERLINK("http://ms.phosphosite.org:5080/cgi-bin/plot-msms.cgi?MassType=1&amp;NumAxis=1&amp;Mod10=170&amp;Pep=SSDEAYAIAKK&amp;Dta=/var/www/html/dta/S01/10565.4453.2.dta&amp;Global_Mod=CS57.0215", "4453")</f>
        <v>4453</v>
      </c>
      <c r="W708" s="4" t="s">
        <v>4854</v>
      </c>
      <c r="X708" s="4" t="s">
        <v>4854</v>
      </c>
      <c r="Y708" s="4" t="s">
        <v>4854</v>
      </c>
      <c r="Z708" s="10">
        <v>3984</v>
      </c>
      <c r="AA708" s="4" t="s">
        <v>4854</v>
      </c>
      <c r="AB708" s="4" t="s">
        <v>4854</v>
      </c>
      <c r="AC708" s="10">
        <v>4351</v>
      </c>
      <c r="AD708" s="10">
        <v>4452</v>
      </c>
      <c r="AE708" s="100" t="s">
        <v>4854</v>
      </c>
      <c r="AF708" s="100" t="s">
        <v>4854</v>
      </c>
      <c r="AG708" s="100" t="s">
        <v>4854</v>
      </c>
      <c r="AH708" s="91">
        <v>2.6139999999999999</v>
      </c>
      <c r="AI708" s="100" t="s">
        <v>4854</v>
      </c>
      <c r="AJ708" s="100" t="s">
        <v>4854</v>
      </c>
      <c r="AK708" s="91">
        <v>3.129</v>
      </c>
      <c r="AL708" s="91">
        <v>3.3210000000000002</v>
      </c>
      <c r="AM708" s="103" t="s">
        <v>4854</v>
      </c>
      <c r="AN708" s="103" t="s">
        <v>4854</v>
      </c>
      <c r="AO708" s="103" t="s">
        <v>4854</v>
      </c>
      <c r="AP708" s="95">
        <v>0.76700000000000002</v>
      </c>
      <c r="AQ708" s="103" t="s">
        <v>4854</v>
      </c>
      <c r="AR708" s="103" t="s">
        <v>4854</v>
      </c>
      <c r="AS708" s="95">
        <v>1.208</v>
      </c>
      <c r="AT708" s="95">
        <v>-0.57709999999999995</v>
      </c>
      <c r="AU708" s="103" t="s">
        <v>4854</v>
      </c>
      <c r="AV708" s="103" t="s">
        <v>4854</v>
      </c>
      <c r="AW708" s="103" t="s">
        <v>4854</v>
      </c>
      <c r="AX708" s="95">
        <v>0.193</v>
      </c>
      <c r="AY708" s="103" t="s">
        <v>4854</v>
      </c>
      <c r="AZ708" s="103" t="s">
        <v>4854</v>
      </c>
      <c r="BA708" s="95">
        <v>0.27800000000000002</v>
      </c>
      <c r="BB708" s="95">
        <v>0.35799999999999998</v>
      </c>
      <c r="BC708" s="4" t="s">
        <v>4854</v>
      </c>
      <c r="BD708" s="4" t="s">
        <v>4854</v>
      </c>
      <c r="BE708" s="4" t="s">
        <v>4854</v>
      </c>
      <c r="BF708" s="10">
        <v>1</v>
      </c>
      <c r="BG708" s="4" t="s">
        <v>4854</v>
      </c>
      <c r="BH708" s="4" t="s">
        <v>4854</v>
      </c>
      <c r="BI708" s="10">
        <v>1</v>
      </c>
      <c r="BJ708" s="10">
        <v>1</v>
      </c>
      <c r="BK708" s="100" t="s">
        <v>4854</v>
      </c>
      <c r="BL708" s="100" t="s">
        <v>4854</v>
      </c>
      <c r="BM708" s="100" t="s">
        <v>4854</v>
      </c>
      <c r="BN708" s="91">
        <v>1</v>
      </c>
      <c r="BO708" s="100" t="s">
        <v>4854</v>
      </c>
      <c r="BP708" s="100" t="s">
        <v>4854</v>
      </c>
      <c r="BQ708" s="91">
        <v>1</v>
      </c>
      <c r="BR708" s="91">
        <v>1</v>
      </c>
      <c r="BS708" s="10" t="s">
        <v>4857</v>
      </c>
    </row>
    <row r="709" spans="1:71" s="30" customFormat="1" ht="17.100000000000001" customHeight="1">
      <c r="A709" s="14">
        <v>698</v>
      </c>
      <c r="B709" s="5" t="s">
        <v>2336</v>
      </c>
      <c r="C709" s="3" t="s">
        <v>2686</v>
      </c>
      <c r="D709" s="3" t="s">
        <v>2337</v>
      </c>
      <c r="E709" s="3" t="s">
        <v>2338</v>
      </c>
      <c r="F709" s="5" t="s">
        <v>5019</v>
      </c>
      <c r="G709" s="3" t="s">
        <v>2339</v>
      </c>
      <c r="H709" s="6" t="s">
        <v>2340</v>
      </c>
      <c r="I709" s="3" t="s">
        <v>2209</v>
      </c>
      <c r="J709" s="5" t="s">
        <v>4838</v>
      </c>
      <c r="K709" s="3" t="s">
        <v>5760</v>
      </c>
      <c r="L709" s="3" t="s">
        <v>2210</v>
      </c>
      <c r="M709" s="5">
        <v>3</v>
      </c>
      <c r="N709" s="21">
        <v>813.05809999999997</v>
      </c>
      <c r="O709" s="35" t="s">
        <v>4854</v>
      </c>
      <c r="P709" s="35" t="s">
        <v>4854</v>
      </c>
      <c r="Q709" s="36" t="str">
        <f>HYPERLINK("http://ms.phosphosite.org:5080/cgi-bin/plot-msms.cgi?MassType=1&amp;NumAxis=1&amp;Mod5=170&amp;Pep=DQWTKYEEDKFYLEPYLK&amp;Dta=/var/www/html/dta/S01/10560.12260.3.dta&amp;Global_Mod=CS57.0215", "12260")</f>
        <v>12260</v>
      </c>
      <c r="R709" s="35" t="s">
        <v>4854</v>
      </c>
      <c r="S709" s="35" t="s">
        <v>4854</v>
      </c>
      <c r="T709" s="35" t="s">
        <v>4854</v>
      </c>
      <c r="U709" s="35" t="s">
        <v>4854</v>
      </c>
      <c r="V709" s="35" t="s">
        <v>4854</v>
      </c>
      <c r="W709" s="3" t="s">
        <v>4854</v>
      </c>
      <c r="X709" s="3" t="s">
        <v>4854</v>
      </c>
      <c r="Y709" s="5">
        <v>12253</v>
      </c>
      <c r="Z709" s="3" t="s">
        <v>4854</v>
      </c>
      <c r="AA709" s="3" t="s">
        <v>4854</v>
      </c>
      <c r="AB709" s="3" t="s">
        <v>4854</v>
      </c>
      <c r="AC709" s="3" t="s">
        <v>4854</v>
      </c>
      <c r="AD709" s="3" t="s">
        <v>4854</v>
      </c>
      <c r="AE709" s="99" t="s">
        <v>4854</v>
      </c>
      <c r="AF709" s="99" t="s">
        <v>4854</v>
      </c>
      <c r="AG709" s="90">
        <v>2.6240000000000001</v>
      </c>
      <c r="AH709" s="99" t="s">
        <v>4854</v>
      </c>
      <c r="AI709" s="99" t="s">
        <v>4854</v>
      </c>
      <c r="AJ709" s="99" t="s">
        <v>4854</v>
      </c>
      <c r="AK709" s="99" t="s">
        <v>4854</v>
      </c>
      <c r="AL709" s="99" t="s">
        <v>4854</v>
      </c>
      <c r="AM709" s="102" t="s">
        <v>4854</v>
      </c>
      <c r="AN709" s="102" t="s">
        <v>4854</v>
      </c>
      <c r="AO709" s="21">
        <v>1.3329</v>
      </c>
      <c r="AP709" s="102" t="s">
        <v>4854</v>
      </c>
      <c r="AQ709" s="102" t="s">
        <v>4854</v>
      </c>
      <c r="AR709" s="102" t="s">
        <v>4854</v>
      </c>
      <c r="AS709" s="102" t="s">
        <v>4854</v>
      </c>
      <c r="AT709" s="102" t="s">
        <v>4854</v>
      </c>
      <c r="AU709" s="102" t="s">
        <v>4854</v>
      </c>
      <c r="AV709" s="102" t="s">
        <v>4854</v>
      </c>
      <c r="AW709" s="21">
        <v>0.112</v>
      </c>
      <c r="AX709" s="102" t="s">
        <v>4854</v>
      </c>
      <c r="AY709" s="102" t="s">
        <v>4854</v>
      </c>
      <c r="AZ709" s="102" t="s">
        <v>4854</v>
      </c>
      <c r="BA709" s="102" t="s">
        <v>4854</v>
      </c>
      <c r="BB709" s="102" t="s">
        <v>4854</v>
      </c>
      <c r="BC709" s="3" t="s">
        <v>4854</v>
      </c>
      <c r="BD709" s="3" t="s">
        <v>4854</v>
      </c>
      <c r="BE709" s="5">
        <v>1</v>
      </c>
      <c r="BF709" s="3" t="s">
        <v>4854</v>
      </c>
      <c r="BG709" s="3" t="s">
        <v>4854</v>
      </c>
      <c r="BH709" s="3" t="s">
        <v>4854</v>
      </c>
      <c r="BI709" s="3" t="s">
        <v>4854</v>
      </c>
      <c r="BJ709" s="3" t="s">
        <v>4854</v>
      </c>
      <c r="BK709" s="99" t="s">
        <v>4854</v>
      </c>
      <c r="BL709" s="99" t="s">
        <v>4854</v>
      </c>
      <c r="BM709" s="90">
        <v>0.99099999999999999</v>
      </c>
      <c r="BN709" s="99" t="s">
        <v>4854</v>
      </c>
      <c r="BO709" s="99" t="s">
        <v>4854</v>
      </c>
      <c r="BP709" s="99" t="s">
        <v>4854</v>
      </c>
      <c r="BQ709" s="99" t="s">
        <v>4854</v>
      </c>
      <c r="BR709" s="99" t="s">
        <v>4854</v>
      </c>
      <c r="BS709" s="5" t="s">
        <v>4857</v>
      </c>
    </row>
    <row r="710" spans="1:71" s="30" customFormat="1" ht="17.100000000000001" customHeight="1">
      <c r="A710" s="10">
        <v>699</v>
      </c>
      <c r="B710" s="10" t="s">
        <v>2211</v>
      </c>
      <c r="C710" s="4" t="s">
        <v>2686</v>
      </c>
      <c r="D710" s="4" t="s">
        <v>2337</v>
      </c>
      <c r="E710" s="4" t="s">
        <v>2338</v>
      </c>
      <c r="F710" s="10" t="s">
        <v>5089</v>
      </c>
      <c r="G710" s="4" t="s">
        <v>2339</v>
      </c>
      <c r="H710" s="7" t="s">
        <v>2340</v>
      </c>
      <c r="I710" s="4" t="s">
        <v>2209</v>
      </c>
      <c r="J710" s="10" t="s">
        <v>4838</v>
      </c>
      <c r="K710" s="4" t="s">
        <v>5761</v>
      </c>
      <c r="L710" s="4" t="s">
        <v>2212</v>
      </c>
      <c r="M710" s="10">
        <v>3</v>
      </c>
      <c r="N710" s="95">
        <v>813.05809999999997</v>
      </c>
      <c r="O710" s="37" t="str">
        <f>HYPERLINK("http://ms.phosphosite.org:5080/cgi-bin/plot-msms.cgi?MassType=1&amp;NumAxis=1&amp;Mod10=170&amp;Pep=DQWTKYEEDKFYLEPYLK&amp;Dta=/var/www/html/dta/S01/10558.12203.3.dta&amp;Global_Mod=CS57.0215", "12203")</f>
        <v>12203</v>
      </c>
      <c r="P710" s="38" t="s">
        <v>4854</v>
      </c>
      <c r="Q710" s="38" t="s">
        <v>4854</v>
      </c>
      <c r="R710" s="38" t="s">
        <v>4854</v>
      </c>
      <c r="S710" s="38" t="s">
        <v>4854</v>
      </c>
      <c r="T710" s="38" t="s">
        <v>4854</v>
      </c>
      <c r="U710" s="38" t="s">
        <v>4854</v>
      </c>
      <c r="V710" s="38" t="s">
        <v>4854</v>
      </c>
      <c r="W710" s="10">
        <v>12208</v>
      </c>
      <c r="X710" s="4" t="s">
        <v>4854</v>
      </c>
      <c r="Y710" s="4" t="s">
        <v>4854</v>
      </c>
      <c r="Z710" s="4" t="s">
        <v>4854</v>
      </c>
      <c r="AA710" s="4" t="s">
        <v>4854</v>
      </c>
      <c r="AB710" s="4" t="s">
        <v>4854</v>
      </c>
      <c r="AC710" s="4" t="s">
        <v>4854</v>
      </c>
      <c r="AD710" s="4" t="s">
        <v>4854</v>
      </c>
      <c r="AE710" s="91">
        <v>2.919</v>
      </c>
      <c r="AF710" s="100" t="s">
        <v>4854</v>
      </c>
      <c r="AG710" s="100" t="s">
        <v>4854</v>
      </c>
      <c r="AH710" s="100" t="s">
        <v>4854</v>
      </c>
      <c r="AI710" s="100" t="s">
        <v>4854</v>
      </c>
      <c r="AJ710" s="100" t="s">
        <v>4854</v>
      </c>
      <c r="AK710" s="100" t="s">
        <v>4854</v>
      </c>
      <c r="AL710" s="100" t="s">
        <v>4854</v>
      </c>
      <c r="AM710" s="95">
        <v>1.2466999999999999</v>
      </c>
      <c r="AN710" s="103" t="s">
        <v>4854</v>
      </c>
      <c r="AO710" s="103" t="s">
        <v>4854</v>
      </c>
      <c r="AP710" s="103" t="s">
        <v>4854</v>
      </c>
      <c r="AQ710" s="103" t="s">
        <v>4854</v>
      </c>
      <c r="AR710" s="103" t="s">
        <v>4854</v>
      </c>
      <c r="AS710" s="103" t="s">
        <v>4854</v>
      </c>
      <c r="AT710" s="103" t="s">
        <v>4854</v>
      </c>
      <c r="AU710" s="95">
        <v>0.11799999999999999</v>
      </c>
      <c r="AV710" s="103" t="s">
        <v>4854</v>
      </c>
      <c r="AW710" s="103" t="s">
        <v>4854</v>
      </c>
      <c r="AX710" s="103" t="s">
        <v>4854</v>
      </c>
      <c r="AY710" s="103" t="s">
        <v>4854</v>
      </c>
      <c r="AZ710" s="103" t="s">
        <v>4854</v>
      </c>
      <c r="BA710" s="103" t="s">
        <v>4854</v>
      </c>
      <c r="BB710" s="103" t="s">
        <v>4854</v>
      </c>
      <c r="BC710" s="10">
        <v>1</v>
      </c>
      <c r="BD710" s="4" t="s">
        <v>4854</v>
      </c>
      <c r="BE710" s="4" t="s">
        <v>4854</v>
      </c>
      <c r="BF710" s="4" t="s">
        <v>4854</v>
      </c>
      <c r="BG710" s="4" t="s">
        <v>4854</v>
      </c>
      <c r="BH710" s="4" t="s">
        <v>4854</v>
      </c>
      <c r="BI710" s="4" t="s">
        <v>4854</v>
      </c>
      <c r="BJ710" s="4" t="s">
        <v>4854</v>
      </c>
      <c r="BK710" s="91">
        <v>0.99399999999999999</v>
      </c>
      <c r="BL710" s="100" t="s">
        <v>4854</v>
      </c>
      <c r="BM710" s="100" t="s">
        <v>4854</v>
      </c>
      <c r="BN710" s="100" t="s">
        <v>4854</v>
      </c>
      <c r="BO710" s="100" t="s">
        <v>4854</v>
      </c>
      <c r="BP710" s="100" t="s">
        <v>4854</v>
      </c>
      <c r="BQ710" s="100" t="s">
        <v>4854</v>
      </c>
      <c r="BR710" s="100" t="s">
        <v>4854</v>
      </c>
      <c r="BS710" s="10" t="s">
        <v>4857</v>
      </c>
    </row>
    <row r="711" spans="1:71" s="30" customFormat="1" ht="17.100000000000001" customHeight="1">
      <c r="A711" s="14">
        <v>700</v>
      </c>
      <c r="B711" s="5" t="s">
        <v>2213</v>
      </c>
      <c r="C711" s="3" t="s">
        <v>2686</v>
      </c>
      <c r="D711" s="3" t="s">
        <v>2214</v>
      </c>
      <c r="E711" s="3" t="s">
        <v>2215</v>
      </c>
      <c r="F711" s="5" t="s">
        <v>5019</v>
      </c>
      <c r="G711" s="3" t="s">
        <v>2216</v>
      </c>
      <c r="H711" s="6" t="s">
        <v>2217</v>
      </c>
      <c r="I711" s="3" t="s">
        <v>2218</v>
      </c>
      <c r="J711" s="5" t="s">
        <v>4816</v>
      </c>
      <c r="K711" s="3" t="s">
        <v>5762</v>
      </c>
      <c r="L711" s="3" t="s">
        <v>2219</v>
      </c>
      <c r="M711" s="5">
        <v>3</v>
      </c>
      <c r="N711" s="21">
        <v>432.8888</v>
      </c>
      <c r="O711" s="35" t="s">
        <v>4854</v>
      </c>
      <c r="P711" s="35" t="s">
        <v>4854</v>
      </c>
      <c r="Q711" s="35" t="s">
        <v>4854</v>
      </c>
      <c r="R711" s="35" t="s">
        <v>4854</v>
      </c>
      <c r="S711" s="35" t="s">
        <v>4854</v>
      </c>
      <c r="T711" s="35" t="s">
        <v>4854</v>
      </c>
      <c r="U711" s="35" t="s">
        <v>4854</v>
      </c>
      <c r="V711" s="36" t="str">
        <f>HYPERLINK("http://ms.phosphosite.org:5080/cgi-bin/plot-msms.cgi?MassType=1&amp;NumAxis=1&amp;Mod3=160&amp;Mod7=170&amp;Pep=DHCVAHKLFK&amp;Dta=/var/www/html/dta/S01/10565.4390.3.dta&amp;Global_Mod=CS57.0215", "4390")</f>
        <v>4390</v>
      </c>
      <c r="W711" s="3" t="s">
        <v>4854</v>
      </c>
      <c r="X711" s="3" t="s">
        <v>4854</v>
      </c>
      <c r="Y711" s="3" t="s">
        <v>4854</v>
      </c>
      <c r="Z711" s="3" t="s">
        <v>4854</v>
      </c>
      <c r="AA711" s="3" t="s">
        <v>4854</v>
      </c>
      <c r="AB711" s="3" t="s">
        <v>4854</v>
      </c>
      <c r="AC711" s="3" t="s">
        <v>4854</v>
      </c>
      <c r="AD711" s="3" t="s">
        <v>4854</v>
      </c>
      <c r="AE711" s="99" t="s">
        <v>4854</v>
      </c>
      <c r="AF711" s="99" t="s">
        <v>4854</v>
      </c>
      <c r="AG711" s="99" t="s">
        <v>4854</v>
      </c>
      <c r="AH711" s="99" t="s">
        <v>4854</v>
      </c>
      <c r="AI711" s="99" t="s">
        <v>4854</v>
      </c>
      <c r="AJ711" s="99" t="s">
        <v>4854</v>
      </c>
      <c r="AK711" s="99" t="s">
        <v>4854</v>
      </c>
      <c r="AL711" s="90">
        <v>1.9690000000000001</v>
      </c>
      <c r="AM711" s="102" t="s">
        <v>4854</v>
      </c>
      <c r="AN711" s="102" t="s">
        <v>4854</v>
      </c>
      <c r="AO711" s="102" t="s">
        <v>4854</v>
      </c>
      <c r="AP711" s="102" t="s">
        <v>4854</v>
      </c>
      <c r="AQ711" s="102" t="s">
        <v>4854</v>
      </c>
      <c r="AR711" s="102" t="s">
        <v>4854</v>
      </c>
      <c r="AS711" s="102" t="s">
        <v>4854</v>
      </c>
      <c r="AT711" s="21">
        <v>-0.66359999999999997</v>
      </c>
      <c r="AU711" s="102" t="s">
        <v>4854</v>
      </c>
      <c r="AV711" s="102" t="s">
        <v>4854</v>
      </c>
      <c r="AW711" s="102" t="s">
        <v>4854</v>
      </c>
      <c r="AX711" s="102" t="s">
        <v>4854</v>
      </c>
      <c r="AY711" s="102" t="s">
        <v>4854</v>
      </c>
      <c r="AZ711" s="102" t="s">
        <v>4854</v>
      </c>
      <c r="BA711" s="102" t="s">
        <v>4854</v>
      </c>
      <c r="BB711" s="21">
        <v>0.08</v>
      </c>
      <c r="BC711" s="3" t="s">
        <v>4854</v>
      </c>
      <c r="BD711" s="3" t="s">
        <v>4854</v>
      </c>
      <c r="BE711" s="3" t="s">
        <v>4854</v>
      </c>
      <c r="BF711" s="3" t="s">
        <v>4854</v>
      </c>
      <c r="BG711" s="3" t="s">
        <v>4854</v>
      </c>
      <c r="BH711" s="3" t="s">
        <v>4854</v>
      </c>
      <c r="BI711" s="3" t="s">
        <v>4854</v>
      </c>
      <c r="BJ711" s="5">
        <v>199</v>
      </c>
      <c r="BK711" s="99" t="s">
        <v>4854</v>
      </c>
      <c r="BL711" s="99" t="s">
        <v>4854</v>
      </c>
      <c r="BM711" s="99" t="s">
        <v>4854</v>
      </c>
      <c r="BN711" s="99" t="s">
        <v>4854</v>
      </c>
      <c r="BO711" s="99" t="s">
        <v>4854</v>
      </c>
      <c r="BP711" s="99" t="s">
        <v>4854</v>
      </c>
      <c r="BQ711" s="99" t="s">
        <v>4854</v>
      </c>
      <c r="BR711" s="90">
        <v>0.80900000000000005</v>
      </c>
      <c r="BS711" s="5" t="s">
        <v>4857</v>
      </c>
    </row>
    <row r="712" spans="1:71" ht="17.100000000000001" customHeight="1">
      <c r="A712" s="31">
        <v>701</v>
      </c>
      <c r="B712" s="2" t="s">
        <v>2220</v>
      </c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94"/>
      <c r="O712" s="34"/>
      <c r="P712" s="34"/>
      <c r="Q712" s="34"/>
      <c r="R712" s="34"/>
      <c r="S712" s="34"/>
      <c r="T712" s="34"/>
      <c r="U712" s="34"/>
      <c r="V712" s="34"/>
      <c r="W712" s="1"/>
      <c r="X712" s="1"/>
      <c r="Y712" s="1"/>
      <c r="Z712" s="1"/>
      <c r="AA712" s="1"/>
      <c r="AB712" s="1"/>
      <c r="AC712" s="1"/>
      <c r="AD712" s="1"/>
      <c r="AE712" s="89"/>
      <c r="AF712" s="89"/>
      <c r="AG712" s="89"/>
      <c r="AH712" s="89"/>
      <c r="AI712" s="89"/>
      <c r="AJ712" s="89"/>
      <c r="AK712" s="89"/>
      <c r="AL712" s="89"/>
      <c r="AM712" s="94"/>
      <c r="AN712" s="94"/>
      <c r="AO712" s="94"/>
      <c r="AP712" s="94"/>
      <c r="AQ712" s="94"/>
      <c r="AR712" s="94"/>
      <c r="AS712" s="94"/>
      <c r="AT712" s="94"/>
      <c r="AU712" s="94"/>
      <c r="AV712" s="94"/>
      <c r="AW712" s="94"/>
      <c r="AX712" s="94"/>
      <c r="AY712" s="94"/>
      <c r="AZ712" s="94"/>
      <c r="BA712" s="94"/>
      <c r="BB712" s="94"/>
      <c r="BC712" s="1"/>
      <c r="BD712" s="1"/>
      <c r="BE712" s="1"/>
      <c r="BF712" s="1"/>
      <c r="BG712" s="1"/>
      <c r="BH712" s="1"/>
      <c r="BI712" s="1"/>
      <c r="BJ712" s="1"/>
      <c r="BK712" s="89"/>
      <c r="BL712" s="89"/>
      <c r="BM712" s="89"/>
      <c r="BN712" s="89"/>
      <c r="BO712" s="89"/>
      <c r="BP712" s="89"/>
      <c r="BQ712" s="89"/>
      <c r="BR712" s="89"/>
      <c r="BS712" s="1"/>
    </row>
    <row r="713" spans="1:71" s="30" customFormat="1" ht="17.100000000000001" customHeight="1">
      <c r="A713" s="10">
        <v>702</v>
      </c>
      <c r="B713" s="10" t="s">
        <v>2221</v>
      </c>
      <c r="C713" s="4" t="s">
        <v>2220</v>
      </c>
      <c r="D713" s="4" t="s">
        <v>2222</v>
      </c>
      <c r="E713" s="4" t="s">
        <v>2223</v>
      </c>
      <c r="F713" s="10" t="s">
        <v>4313</v>
      </c>
      <c r="G713" s="4" t="s">
        <v>2224</v>
      </c>
      <c r="H713" s="7" t="s">
        <v>2225</v>
      </c>
      <c r="I713" s="4" t="s">
        <v>2226</v>
      </c>
      <c r="J713" s="10" t="s">
        <v>4666</v>
      </c>
      <c r="K713" s="4" t="s">
        <v>5763</v>
      </c>
      <c r="L713" s="4" t="s">
        <v>2227</v>
      </c>
      <c r="M713" s="10">
        <v>2</v>
      </c>
      <c r="N713" s="95">
        <v>654.29359999999997</v>
      </c>
      <c r="O713" s="37" t="str">
        <f>HYPERLINK("http://ms.phosphosite.org:5080/cgi-bin/plot-msms.cgi?MassType=1&amp;NumAxis=1&amp;Mod3=170&amp;Mod5=160&amp;Pep=MFKYCPYEK&amp;Dta=/var/www/html/dta/S01/10558.6455.2.dta&amp;Global_Mod=CS57.0215", "6455")</f>
        <v>6455</v>
      </c>
      <c r="P713" s="38" t="s">
        <v>4854</v>
      </c>
      <c r="Q713" s="38" t="s">
        <v>4854</v>
      </c>
      <c r="R713" s="38" t="s">
        <v>4854</v>
      </c>
      <c r="S713" s="38" t="s">
        <v>4854</v>
      </c>
      <c r="T713" s="38" t="s">
        <v>4854</v>
      </c>
      <c r="U713" s="38" t="s">
        <v>4854</v>
      </c>
      <c r="V713" s="37" t="str">
        <f>HYPERLINK("http://ms.phosphosite.org:5080/cgi-bin/plot-msms.cgi?MassType=1&amp;NumAxis=1&amp;Mod3=170&amp;Mod5=160&amp;Pep=MFKYCPYEK&amp;Dta=/var/www/html/dta/S01/10565.6954.2.dta&amp;Global_Mod=CS57.0215", "6954")</f>
        <v>6954</v>
      </c>
      <c r="W713" s="10">
        <v>6424</v>
      </c>
      <c r="X713" s="4" t="s">
        <v>4854</v>
      </c>
      <c r="Y713" s="4" t="s">
        <v>4854</v>
      </c>
      <c r="Z713" s="4" t="s">
        <v>4854</v>
      </c>
      <c r="AA713" s="4" t="s">
        <v>4854</v>
      </c>
      <c r="AB713" s="4" t="s">
        <v>4854</v>
      </c>
      <c r="AC713" s="4" t="s">
        <v>4854</v>
      </c>
      <c r="AD713" s="10">
        <v>6944</v>
      </c>
      <c r="AE713" s="91">
        <v>1.976</v>
      </c>
      <c r="AF713" s="100" t="s">
        <v>4854</v>
      </c>
      <c r="AG713" s="100" t="s">
        <v>4854</v>
      </c>
      <c r="AH713" s="100" t="s">
        <v>4854</v>
      </c>
      <c r="AI713" s="100" t="s">
        <v>4854</v>
      </c>
      <c r="AJ713" s="100" t="s">
        <v>4854</v>
      </c>
      <c r="AK713" s="100" t="s">
        <v>4854</v>
      </c>
      <c r="AL713" s="91">
        <v>2.2810000000000001</v>
      </c>
      <c r="AM713" s="95">
        <v>0.99150000000000005</v>
      </c>
      <c r="AN713" s="103" t="s">
        <v>4854</v>
      </c>
      <c r="AO713" s="103" t="s">
        <v>4854</v>
      </c>
      <c r="AP713" s="103" t="s">
        <v>4854</v>
      </c>
      <c r="AQ713" s="103" t="s">
        <v>4854</v>
      </c>
      <c r="AR713" s="103" t="s">
        <v>4854</v>
      </c>
      <c r="AS713" s="103" t="s">
        <v>4854</v>
      </c>
      <c r="AT713" s="95">
        <v>1.0200000000000001E-2</v>
      </c>
      <c r="AU713" s="95">
        <v>0.158</v>
      </c>
      <c r="AV713" s="103" t="s">
        <v>4854</v>
      </c>
      <c r="AW713" s="103" t="s">
        <v>4854</v>
      </c>
      <c r="AX713" s="103" t="s">
        <v>4854</v>
      </c>
      <c r="AY713" s="103" t="s">
        <v>4854</v>
      </c>
      <c r="AZ713" s="103" t="s">
        <v>4854</v>
      </c>
      <c r="BA713" s="103" t="s">
        <v>4854</v>
      </c>
      <c r="BB713" s="95">
        <v>0.21099999999999999</v>
      </c>
      <c r="BC713" s="10">
        <v>2</v>
      </c>
      <c r="BD713" s="4" t="s">
        <v>4854</v>
      </c>
      <c r="BE713" s="4" t="s">
        <v>4854</v>
      </c>
      <c r="BF713" s="4" t="s">
        <v>4854</v>
      </c>
      <c r="BG713" s="4" t="s">
        <v>4854</v>
      </c>
      <c r="BH713" s="4" t="s">
        <v>4854</v>
      </c>
      <c r="BI713" s="4" t="s">
        <v>4854</v>
      </c>
      <c r="BJ713" s="10">
        <v>1</v>
      </c>
      <c r="BK713" s="91">
        <v>0.98899999999999999</v>
      </c>
      <c r="BL713" s="100" t="s">
        <v>4854</v>
      </c>
      <c r="BM713" s="100" t="s">
        <v>4854</v>
      </c>
      <c r="BN713" s="100" t="s">
        <v>4854</v>
      </c>
      <c r="BO713" s="100" t="s">
        <v>4854</v>
      </c>
      <c r="BP713" s="100" t="s">
        <v>4854</v>
      </c>
      <c r="BQ713" s="100" t="s">
        <v>4854</v>
      </c>
      <c r="BR713" s="91">
        <v>0.998</v>
      </c>
      <c r="BS713" s="10" t="s">
        <v>4857</v>
      </c>
    </row>
    <row r="714" spans="1:71" s="30" customFormat="1" ht="17.100000000000001" customHeight="1">
      <c r="A714" s="10">
        <v>703</v>
      </c>
      <c r="B714" s="10" t="s">
        <v>2228</v>
      </c>
      <c r="C714" s="4" t="s">
        <v>2220</v>
      </c>
      <c r="D714" s="4" t="s">
        <v>2222</v>
      </c>
      <c r="E714" s="4" t="s">
        <v>2223</v>
      </c>
      <c r="F714" s="10" t="s">
        <v>4313</v>
      </c>
      <c r="G714" s="4" t="s">
        <v>2224</v>
      </c>
      <c r="H714" s="7" t="s">
        <v>2225</v>
      </c>
      <c r="I714" s="4" t="s">
        <v>2226</v>
      </c>
      <c r="J714" s="10" t="s">
        <v>4666</v>
      </c>
      <c r="K714" s="4" t="s">
        <v>5763</v>
      </c>
      <c r="L714" s="4" t="s">
        <v>2229</v>
      </c>
      <c r="M714" s="10">
        <v>2</v>
      </c>
      <c r="N714" s="95">
        <v>662.29100000000005</v>
      </c>
      <c r="O714" s="38" t="s">
        <v>4854</v>
      </c>
      <c r="P714" s="37" t="str">
        <f>HYPERLINK("http://ms.phosphosite.org:5080/cgi-bin/plot-msms.cgi?MassType=1&amp;NumAxis=1&amp;Mod1=147&amp;Mod3=170&amp;Mod5=160&amp;Pep=MFKYCPYEK&amp;Dta=/var/www/html/dta/S01/10559.5424.2.dta&amp;Global_Mod=CS57.0215", "5424")</f>
        <v>5424</v>
      </c>
      <c r="Q714" s="38" t="s">
        <v>4854</v>
      </c>
      <c r="R714" s="38" t="s">
        <v>4854</v>
      </c>
      <c r="S714" s="38" t="s">
        <v>4854</v>
      </c>
      <c r="T714" s="38" t="s">
        <v>4854</v>
      </c>
      <c r="U714" s="38" t="s">
        <v>4854</v>
      </c>
      <c r="V714" s="38" t="s">
        <v>4854</v>
      </c>
      <c r="W714" s="4" t="s">
        <v>4854</v>
      </c>
      <c r="X714" s="10">
        <v>5414</v>
      </c>
      <c r="Y714" s="4" t="s">
        <v>4854</v>
      </c>
      <c r="Z714" s="4" t="s">
        <v>4854</v>
      </c>
      <c r="AA714" s="4" t="s">
        <v>4854</v>
      </c>
      <c r="AB714" s="4" t="s">
        <v>4854</v>
      </c>
      <c r="AC714" s="4" t="s">
        <v>4854</v>
      </c>
      <c r="AD714" s="4" t="s">
        <v>4854</v>
      </c>
      <c r="AE714" s="100" t="s">
        <v>4854</v>
      </c>
      <c r="AF714" s="91">
        <v>2.1720000000000002</v>
      </c>
      <c r="AG714" s="100" t="s">
        <v>4854</v>
      </c>
      <c r="AH714" s="100" t="s">
        <v>4854</v>
      </c>
      <c r="AI714" s="100" t="s">
        <v>4854</v>
      </c>
      <c r="AJ714" s="100" t="s">
        <v>4854</v>
      </c>
      <c r="AK714" s="100" t="s">
        <v>4854</v>
      </c>
      <c r="AL714" s="100" t="s">
        <v>4854</v>
      </c>
      <c r="AM714" s="103" t="s">
        <v>4854</v>
      </c>
      <c r="AN714" s="95">
        <v>0.55589999999999995</v>
      </c>
      <c r="AO714" s="103" t="s">
        <v>4854</v>
      </c>
      <c r="AP714" s="103" t="s">
        <v>4854</v>
      </c>
      <c r="AQ714" s="103" t="s">
        <v>4854</v>
      </c>
      <c r="AR714" s="103" t="s">
        <v>4854</v>
      </c>
      <c r="AS714" s="103" t="s">
        <v>4854</v>
      </c>
      <c r="AT714" s="103" t="s">
        <v>4854</v>
      </c>
      <c r="AU714" s="103" t="s">
        <v>4854</v>
      </c>
      <c r="AV714" s="95">
        <v>0.16200000000000001</v>
      </c>
      <c r="AW714" s="103" t="s">
        <v>4854</v>
      </c>
      <c r="AX714" s="103" t="s">
        <v>4854</v>
      </c>
      <c r="AY714" s="103" t="s">
        <v>4854</v>
      </c>
      <c r="AZ714" s="103" t="s">
        <v>4854</v>
      </c>
      <c r="BA714" s="103" t="s">
        <v>4854</v>
      </c>
      <c r="BB714" s="103" t="s">
        <v>4854</v>
      </c>
      <c r="BC714" s="4" t="s">
        <v>4854</v>
      </c>
      <c r="BD714" s="10">
        <v>1</v>
      </c>
      <c r="BE714" s="4" t="s">
        <v>4854</v>
      </c>
      <c r="BF714" s="4" t="s">
        <v>4854</v>
      </c>
      <c r="BG714" s="4" t="s">
        <v>4854</v>
      </c>
      <c r="BH714" s="4" t="s">
        <v>4854</v>
      </c>
      <c r="BI714" s="4" t="s">
        <v>4854</v>
      </c>
      <c r="BJ714" s="4" t="s">
        <v>4854</v>
      </c>
      <c r="BK714" s="100" t="s">
        <v>4854</v>
      </c>
      <c r="BL714" s="91">
        <v>0.995</v>
      </c>
      <c r="BM714" s="100" t="s">
        <v>4854</v>
      </c>
      <c r="BN714" s="100" t="s">
        <v>4854</v>
      </c>
      <c r="BO714" s="100" t="s">
        <v>4854</v>
      </c>
      <c r="BP714" s="100" t="s">
        <v>4854</v>
      </c>
      <c r="BQ714" s="100" t="s">
        <v>4854</v>
      </c>
      <c r="BR714" s="100" t="s">
        <v>4854</v>
      </c>
      <c r="BS714" s="10" t="s">
        <v>4857</v>
      </c>
    </row>
    <row r="715" spans="1:71" s="30" customFormat="1" ht="17.100000000000001" customHeight="1">
      <c r="A715" s="14">
        <v>704</v>
      </c>
      <c r="B715" s="5" t="s">
        <v>2230</v>
      </c>
      <c r="C715" s="3" t="s">
        <v>2220</v>
      </c>
      <c r="D715" s="3" t="s">
        <v>2231</v>
      </c>
      <c r="E715" s="6" t="s">
        <v>2232</v>
      </c>
      <c r="F715" s="5" t="s">
        <v>5052</v>
      </c>
      <c r="G715" s="3" t="s">
        <v>2233</v>
      </c>
      <c r="H715" s="6" t="s">
        <v>2234</v>
      </c>
      <c r="I715" s="3" t="s">
        <v>2235</v>
      </c>
      <c r="J715" s="5" t="s">
        <v>2236</v>
      </c>
      <c r="K715" s="3" t="s">
        <v>5764</v>
      </c>
      <c r="L715" s="3" t="s">
        <v>2237</v>
      </c>
      <c r="M715" s="5">
        <v>2</v>
      </c>
      <c r="N715" s="21">
        <v>836.93629999999996</v>
      </c>
      <c r="O715" s="36" t="str">
        <f>HYPERLINK("http://ms.phosphosite.org:5080/cgi-bin/plot-msms.cgi?MassType=1&amp;NumAxis=1&amp;Mod10=170&amp;Pep=HYGGLTGLNKAETAAK&amp;Dta=/var/www/html/dta/S01/10558.5161.2.dta&amp;Global_Mod=CS57.0215", "5161")</f>
        <v>5161</v>
      </c>
      <c r="P715" s="36" t="str">
        <f>HYPERLINK("http://ms.phosphosite.org:5080/cgi-bin/plot-msms.cgi?MassType=1&amp;NumAxis=1&amp;Mod10=170&amp;Pep=HYGGLTGLNKAETAAK&amp;Dta=/var/www/html/dta/S01/10559.5062.2.dta&amp;Global_Mod=CS57.0215", "5062")</f>
        <v>5062</v>
      </c>
      <c r="Q715" s="36" t="str">
        <f>HYPERLINK("http://ms.phosphosite.org:5080/cgi-bin/plot-msms.cgi?MassType=1&amp;NumAxis=1&amp;Mod10=170&amp;Pep=HYGGLTGLNKAETAAK&amp;Dta=/var/www/html/dta/S01/10560.5065.2.dta&amp;Global_Mod=CS57.0215", "5065")</f>
        <v>5065</v>
      </c>
      <c r="R715" s="36" t="str">
        <f>HYPERLINK("http://ms.phosphosite.org:5080/cgi-bin/plot-msms.cgi?MassType=1&amp;NumAxis=1&amp;Mod10=170&amp;Pep=HYGGLTGLNKAETAAK&amp;Dta=/var/www/html/dta/S01/10561.5098.2.dta&amp;Global_Mod=CS57.0215", "5098")</f>
        <v>5098</v>
      </c>
      <c r="S715" s="36" t="str">
        <f>HYPERLINK("http://ms.phosphosite.org:5080/cgi-bin/plot-msms.cgi?MassType=1&amp;NumAxis=1&amp;Mod10=170&amp;Pep=HYGGLTGLNKAETAAK&amp;Dta=/var/www/html/dta/S01/10562.5203.2.dta&amp;Global_Mod=CS57.0215", "5203")</f>
        <v>5203</v>
      </c>
      <c r="T715" s="36" t="str">
        <f>HYPERLINK("http://ms.phosphosite.org:5080/cgi-bin/plot-msms.cgi?MassType=1&amp;NumAxis=1&amp;Mod10=170&amp;Pep=HYGGLTGLNKAETAAK&amp;Dta=/var/www/html/dta/S01/10563.5138.2.dta&amp;Global_Mod=CS57.0215", "5138")</f>
        <v>5138</v>
      </c>
      <c r="U715" s="36" t="str">
        <f>HYPERLINK("http://ms.phosphosite.org:5080/cgi-bin/plot-msms.cgi?MassType=1&amp;NumAxis=1&amp;Mod10=170&amp;Pep=HYGGLTGLNKAETAAK&amp;Dta=/var/www/html/dta/S01/10564.5466.2.dta&amp;Global_Mod=CS57.0215", "5466")</f>
        <v>5466</v>
      </c>
      <c r="V715" s="36" t="str">
        <f>HYPERLINK("http://ms.phosphosite.org:5080/cgi-bin/plot-msms.cgi?MassType=1&amp;NumAxis=1&amp;Mod10=170&amp;Pep=HYGGLTGLNKAETAAK&amp;Dta=/var/www/html/dta/S01/10565.5566.2.dta&amp;Global_Mod=CS57.0215", "5566")</f>
        <v>5566</v>
      </c>
      <c r="W715" s="5">
        <v>5184</v>
      </c>
      <c r="X715" s="5">
        <v>5086</v>
      </c>
      <c r="Y715" s="5">
        <v>5101</v>
      </c>
      <c r="Z715" s="5">
        <v>5117</v>
      </c>
      <c r="AA715" s="5">
        <v>5218</v>
      </c>
      <c r="AB715" s="5">
        <v>5155</v>
      </c>
      <c r="AC715" s="5">
        <v>5473</v>
      </c>
      <c r="AD715" s="5">
        <v>5581</v>
      </c>
      <c r="AE715" s="90">
        <v>3.895</v>
      </c>
      <c r="AF715" s="90">
        <v>4.3540000000000001</v>
      </c>
      <c r="AG715" s="90">
        <v>4.3250000000000002</v>
      </c>
      <c r="AH715" s="90">
        <v>4.6429999999999998</v>
      </c>
      <c r="AI715" s="90">
        <v>4.4530000000000003</v>
      </c>
      <c r="AJ715" s="90">
        <v>4.0819999999999999</v>
      </c>
      <c r="AK715" s="90">
        <v>4.4790000000000001</v>
      </c>
      <c r="AL715" s="90">
        <v>4.93</v>
      </c>
      <c r="AM715" s="21">
        <v>0.4022</v>
      </c>
      <c r="AN715" s="21">
        <v>0.44819999999999999</v>
      </c>
      <c r="AO715" s="21">
        <v>0.65200000000000002</v>
      </c>
      <c r="AP715" s="21">
        <v>0.60899999999999999</v>
      </c>
      <c r="AQ715" s="21">
        <v>0.29039999999999999</v>
      </c>
      <c r="AR715" s="21">
        <v>0.50260000000000005</v>
      </c>
      <c r="AS715" s="21">
        <v>0.54979999999999996</v>
      </c>
      <c r="AT715" s="21">
        <v>0.11700000000000001</v>
      </c>
      <c r="AU715" s="21">
        <v>0.41099999999999998</v>
      </c>
      <c r="AV715" s="21">
        <v>0.38900000000000001</v>
      </c>
      <c r="AW715" s="21">
        <v>0.38</v>
      </c>
      <c r="AX715" s="21">
        <v>0.45</v>
      </c>
      <c r="AY715" s="21">
        <v>0.437</v>
      </c>
      <c r="AZ715" s="21">
        <v>0.40799999999999997</v>
      </c>
      <c r="BA715" s="21">
        <v>0.47099999999999997</v>
      </c>
      <c r="BB715" s="21">
        <v>0.441</v>
      </c>
      <c r="BC715" s="5">
        <v>1</v>
      </c>
      <c r="BD715" s="5">
        <v>1</v>
      </c>
      <c r="BE715" s="5">
        <v>1</v>
      </c>
      <c r="BF715" s="5">
        <v>1</v>
      </c>
      <c r="BG715" s="5">
        <v>1</v>
      </c>
      <c r="BH715" s="5">
        <v>1</v>
      </c>
      <c r="BI715" s="5">
        <v>1</v>
      </c>
      <c r="BJ715" s="5">
        <v>1</v>
      </c>
      <c r="BK715" s="90">
        <v>1</v>
      </c>
      <c r="BL715" s="90">
        <v>1</v>
      </c>
      <c r="BM715" s="90">
        <v>1</v>
      </c>
      <c r="BN715" s="90">
        <v>1</v>
      </c>
      <c r="BO715" s="90">
        <v>1</v>
      </c>
      <c r="BP715" s="90">
        <v>1</v>
      </c>
      <c r="BQ715" s="90">
        <v>1</v>
      </c>
      <c r="BR715" s="90">
        <v>1</v>
      </c>
      <c r="BS715" s="5" t="s">
        <v>4857</v>
      </c>
    </row>
    <row r="716" spans="1:71" s="30" customFormat="1" ht="17.100000000000001" customHeight="1">
      <c r="A716" s="14">
        <v>705</v>
      </c>
      <c r="B716" s="5" t="s">
        <v>2238</v>
      </c>
      <c r="C716" s="3" t="s">
        <v>2220</v>
      </c>
      <c r="D716" s="3" t="s">
        <v>2231</v>
      </c>
      <c r="E716" s="6" t="s">
        <v>2232</v>
      </c>
      <c r="F716" s="5" t="s">
        <v>5052</v>
      </c>
      <c r="G716" s="3" t="s">
        <v>2233</v>
      </c>
      <c r="H716" s="6" t="s">
        <v>2234</v>
      </c>
      <c r="I716" s="3" t="s">
        <v>2235</v>
      </c>
      <c r="J716" s="5" t="s">
        <v>2236</v>
      </c>
      <c r="K716" s="3" t="s">
        <v>5764</v>
      </c>
      <c r="L716" s="3" t="s">
        <v>2237</v>
      </c>
      <c r="M716" s="5">
        <v>3</v>
      </c>
      <c r="N716" s="21">
        <v>558.29330000000004</v>
      </c>
      <c r="O716" s="35" t="s">
        <v>4854</v>
      </c>
      <c r="P716" s="36" t="str">
        <f>HYPERLINK("http://ms.phosphosite.org:5080/cgi-bin/plot-msms.cgi?MassType=1&amp;NumAxis=1&amp;Mod10=170&amp;Pep=HYGGLTGLNKAETAAK&amp;Dta=/var/www/html/dta/S01/10559.5066.3.dta&amp;Global_Mod=CS57.0215", "5066")</f>
        <v>5066</v>
      </c>
      <c r="Q716" s="36" t="str">
        <f>HYPERLINK("http://ms.phosphosite.org:5080/cgi-bin/plot-msms.cgi?MassType=1&amp;NumAxis=1&amp;Mod10=170&amp;Pep=HYGGLTGLNKAETAAK&amp;Dta=/var/www/html/dta/S01/10560.5104.3.dta&amp;Global_Mod=CS57.0215", "5104")</f>
        <v>5104</v>
      </c>
      <c r="R716" s="36" t="str">
        <f>HYPERLINK("http://ms.phosphosite.org:5080/cgi-bin/plot-msms.cgi?MassType=1&amp;NumAxis=1&amp;Mod10=170&amp;Pep=HYGGLTGLNKAETAAK&amp;Dta=/var/www/html/dta/S01/10561.5142.3.dta&amp;Global_Mod=CS57.0215", "5142")</f>
        <v>5142</v>
      </c>
      <c r="S716" s="35" t="s">
        <v>4854</v>
      </c>
      <c r="T716" s="35" t="s">
        <v>4854</v>
      </c>
      <c r="U716" s="35" t="s">
        <v>4854</v>
      </c>
      <c r="V716" s="35" t="s">
        <v>4854</v>
      </c>
      <c r="W716" s="3" t="s">
        <v>4854</v>
      </c>
      <c r="X716" s="5">
        <v>5086</v>
      </c>
      <c r="Y716" s="5">
        <v>5079</v>
      </c>
      <c r="Z716" s="5">
        <v>5117</v>
      </c>
      <c r="AA716" s="3" t="s">
        <v>4854</v>
      </c>
      <c r="AB716" s="3" t="s">
        <v>4854</v>
      </c>
      <c r="AC716" s="3" t="s">
        <v>4854</v>
      </c>
      <c r="AD716" s="3" t="s">
        <v>4854</v>
      </c>
      <c r="AE716" s="99" t="s">
        <v>4854</v>
      </c>
      <c r="AF716" s="90">
        <v>2.996</v>
      </c>
      <c r="AG716" s="90">
        <v>3.3860000000000001</v>
      </c>
      <c r="AH716" s="90">
        <v>3.2759999999999998</v>
      </c>
      <c r="AI716" s="99" t="s">
        <v>4854</v>
      </c>
      <c r="AJ716" s="99" t="s">
        <v>4854</v>
      </c>
      <c r="AK716" s="99" t="s">
        <v>4854</v>
      </c>
      <c r="AL716" s="99" t="s">
        <v>4854</v>
      </c>
      <c r="AM716" s="102" t="s">
        <v>4854</v>
      </c>
      <c r="AN716" s="21">
        <v>0.215</v>
      </c>
      <c r="AO716" s="21">
        <v>0.21210000000000001</v>
      </c>
      <c r="AP716" s="21">
        <v>0.46250000000000002</v>
      </c>
      <c r="AQ716" s="102" t="s">
        <v>4854</v>
      </c>
      <c r="AR716" s="102" t="s">
        <v>4854</v>
      </c>
      <c r="AS716" s="102" t="s">
        <v>4854</v>
      </c>
      <c r="AT716" s="102" t="s">
        <v>4854</v>
      </c>
      <c r="AU716" s="102" t="s">
        <v>4854</v>
      </c>
      <c r="AV716" s="21">
        <v>0.2</v>
      </c>
      <c r="AW716" s="21">
        <v>0.31</v>
      </c>
      <c r="AX716" s="21">
        <v>0.28599999999999998</v>
      </c>
      <c r="AY716" s="102" t="s">
        <v>4854</v>
      </c>
      <c r="AZ716" s="102" t="s">
        <v>4854</v>
      </c>
      <c r="BA716" s="102" t="s">
        <v>4854</v>
      </c>
      <c r="BB716" s="102" t="s">
        <v>4854</v>
      </c>
      <c r="BC716" s="3" t="s">
        <v>4854</v>
      </c>
      <c r="BD716" s="5">
        <v>1</v>
      </c>
      <c r="BE716" s="5">
        <v>17</v>
      </c>
      <c r="BF716" s="5">
        <v>1</v>
      </c>
      <c r="BG716" s="3" t="s">
        <v>4854</v>
      </c>
      <c r="BH716" s="3" t="s">
        <v>4854</v>
      </c>
      <c r="BI716" s="3" t="s">
        <v>4854</v>
      </c>
      <c r="BJ716" s="3" t="s">
        <v>4854</v>
      </c>
      <c r="BK716" s="99" t="s">
        <v>4854</v>
      </c>
      <c r="BL716" s="90">
        <v>0.999</v>
      </c>
      <c r="BM716" s="90">
        <v>1</v>
      </c>
      <c r="BN716" s="90">
        <v>1</v>
      </c>
      <c r="BO716" s="99" t="s">
        <v>4854</v>
      </c>
      <c r="BP716" s="99" t="s">
        <v>4854</v>
      </c>
      <c r="BQ716" s="99" t="s">
        <v>4854</v>
      </c>
      <c r="BR716" s="99" t="s">
        <v>4854</v>
      </c>
      <c r="BS716" s="5" t="s">
        <v>4857</v>
      </c>
    </row>
    <row r="717" spans="1:71" s="30" customFormat="1" ht="17.100000000000001" customHeight="1">
      <c r="A717" s="10">
        <v>706</v>
      </c>
      <c r="B717" s="10" t="s">
        <v>2239</v>
      </c>
      <c r="C717" s="4" t="s">
        <v>2220</v>
      </c>
      <c r="D717" s="4" t="s">
        <v>2240</v>
      </c>
      <c r="E717" s="7" t="s">
        <v>2241</v>
      </c>
      <c r="F717" s="10" t="s">
        <v>2242</v>
      </c>
      <c r="G717" s="4" t="s">
        <v>2243</v>
      </c>
      <c r="H717" s="7" t="s">
        <v>2244</v>
      </c>
      <c r="I717" s="4" t="s">
        <v>2245</v>
      </c>
      <c r="J717" s="10" t="s">
        <v>2246</v>
      </c>
      <c r="K717" s="4" t="s">
        <v>5765</v>
      </c>
      <c r="L717" s="4" t="s">
        <v>2247</v>
      </c>
      <c r="M717" s="10">
        <v>2</v>
      </c>
      <c r="N717" s="95">
        <v>561.29060000000004</v>
      </c>
      <c r="O717" s="38" t="s">
        <v>4854</v>
      </c>
      <c r="P717" s="38" t="s">
        <v>4854</v>
      </c>
      <c r="Q717" s="38" t="s">
        <v>4854</v>
      </c>
      <c r="R717" s="38" t="s">
        <v>4854</v>
      </c>
      <c r="S717" s="38" t="s">
        <v>4854</v>
      </c>
      <c r="T717" s="38" t="s">
        <v>4854</v>
      </c>
      <c r="U717" s="37" t="str">
        <f>HYPERLINK("http://ms.phosphosite.org:5080/cgi-bin/plot-msms.cgi?MassType=1&amp;NumAxis=1&amp;Mod1=170&amp;Pep=KYGNANVWK&amp;Dta=/var/www/html/dta/S01/10564.4985.2.dta&amp;Global_Mod=CS57.0215", "4985")</f>
        <v>4985</v>
      </c>
      <c r="V717" s="38" t="s">
        <v>4854</v>
      </c>
      <c r="W717" s="4" t="s">
        <v>4854</v>
      </c>
      <c r="X717" s="4" t="s">
        <v>4854</v>
      </c>
      <c r="Y717" s="4" t="s">
        <v>4854</v>
      </c>
      <c r="Z717" s="4" t="s">
        <v>4854</v>
      </c>
      <c r="AA717" s="4" t="s">
        <v>4854</v>
      </c>
      <c r="AB717" s="4" t="s">
        <v>4854</v>
      </c>
      <c r="AC717" s="10">
        <v>4978</v>
      </c>
      <c r="AD717" s="4" t="s">
        <v>4854</v>
      </c>
      <c r="AE717" s="100" t="s">
        <v>4854</v>
      </c>
      <c r="AF717" s="100" t="s">
        <v>4854</v>
      </c>
      <c r="AG717" s="100" t="s">
        <v>4854</v>
      </c>
      <c r="AH717" s="100" t="s">
        <v>4854</v>
      </c>
      <c r="AI717" s="100" t="s">
        <v>4854</v>
      </c>
      <c r="AJ717" s="100" t="s">
        <v>4854</v>
      </c>
      <c r="AK717" s="91">
        <v>2.0379999999999998</v>
      </c>
      <c r="AL717" s="100" t="s">
        <v>4854</v>
      </c>
      <c r="AM717" s="103" t="s">
        <v>4854</v>
      </c>
      <c r="AN717" s="103" t="s">
        <v>4854</v>
      </c>
      <c r="AO717" s="103" t="s">
        <v>4854</v>
      </c>
      <c r="AP717" s="103" t="s">
        <v>4854</v>
      </c>
      <c r="AQ717" s="103" t="s">
        <v>4854</v>
      </c>
      <c r="AR717" s="103" t="s">
        <v>4854</v>
      </c>
      <c r="AS717" s="95">
        <v>0.18490000000000001</v>
      </c>
      <c r="AT717" s="103" t="s">
        <v>4854</v>
      </c>
      <c r="AU717" s="103" t="s">
        <v>4854</v>
      </c>
      <c r="AV717" s="103" t="s">
        <v>4854</v>
      </c>
      <c r="AW717" s="103" t="s">
        <v>4854</v>
      </c>
      <c r="AX717" s="103" t="s">
        <v>4854</v>
      </c>
      <c r="AY717" s="103" t="s">
        <v>4854</v>
      </c>
      <c r="AZ717" s="103" t="s">
        <v>4854</v>
      </c>
      <c r="BA717" s="95">
        <v>0.121</v>
      </c>
      <c r="BB717" s="103" t="s">
        <v>4854</v>
      </c>
      <c r="BC717" s="4" t="s">
        <v>4854</v>
      </c>
      <c r="BD717" s="4" t="s">
        <v>4854</v>
      </c>
      <c r="BE717" s="4" t="s">
        <v>4854</v>
      </c>
      <c r="BF717" s="4" t="s">
        <v>4854</v>
      </c>
      <c r="BG717" s="4" t="s">
        <v>4854</v>
      </c>
      <c r="BH717" s="4" t="s">
        <v>4854</v>
      </c>
      <c r="BI717" s="10">
        <v>1</v>
      </c>
      <c r="BJ717" s="4" t="s">
        <v>4854</v>
      </c>
      <c r="BK717" s="100" t="s">
        <v>4854</v>
      </c>
      <c r="BL717" s="100" t="s">
        <v>4854</v>
      </c>
      <c r="BM717" s="100" t="s">
        <v>4854</v>
      </c>
      <c r="BN717" s="100" t="s">
        <v>4854</v>
      </c>
      <c r="BO717" s="100" t="s">
        <v>4854</v>
      </c>
      <c r="BP717" s="100" t="s">
        <v>4854</v>
      </c>
      <c r="BQ717" s="91">
        <v>0.998</v>
      </c>
      <c r="BR717" s="100" t="s">
        <v>4854</v>
      </c>
      <c r="BS717" s="10" t="s">
        <v>4857</v>
      </c>
    </row>
    <row r="718" spans="1:71" s="30" customFormat="1" ht="17.100000000000001" customHeight="1">
      <c r="A718" s="14">
        <v>707</v>
      </c>
      <c r="B718" s="5" t="s">
        <v>2248</v>
      </c>
      <c r="C718" s="3" t="s">
        <v>2220</v>
      </c>
      <c r="D718" s="3" t="s">
        <v>2249</v>
      </c>
      <c r="E718" s="6" t="s">
        <v>2250</v>
      </c>
      <c r="F718" s="5" t="s">
        <v>4351</v>
      </c>
      <c r="G718" s="3" t="s">
        <v>2251</v>
      </c>
      <c r="H718" s="6" t="s">
        <v>2252</v>
      </c>
      <c r="I718" s="3" t="s">
        <v>2253</v>
      </c>
      <c r="J718" s="5" t="s">
        <v>4624</v>
      </c>
      <c r="K718" s="3" t="s">
        <v>5766</v>
      </c>
      <c r="L718" s="3" t="s">
        <v>2254</v>
      </c>
      <c r="M718" s="5">
        <v>2</v>
      </c>
      <c r="N718" s="21">
        <v>558.24659999999994</v>
      </c>
      <c r="O718" s="36" t="str">
        <f>HYPERLINK("http://ms.phosphosite.org:5080/cgi-bin/plot-msms.cgi?MassType=1&amp;NumAxis=1&amp;Mod2=170&amp;Mod6=160&amp;Pep=MKYQECSK&amp;Dta=/var/www/html/dta/S01/10558.1976.2.dta&amp;Global_Mod=CS57.0215", "1976")</f>
        <v>1976</v>
      </c>
      <c r="P718" s="36" t="str">
        <f>HYPERLINK("http://ms.phosphosite.org:5080/cgi-bin/plot-msms.cgi?MassType=1&amp;NumAxis=1&amp;Mod2=170&amp;Mod6=160&amp;Pep=MKYQECSK&amp;Dta=/var/www/html/dta/S01/10559.1946.2.dta&amp;Global_Mod=CS57.0215", "1946")</f>
        <v>1946</v>
      </c>
      <c r="Q718" s="36" t="str">
        <f>HYPERLINK("http://ms.phosphosite.org:5080/cgi-bin/plot-msms.cgi?MassType=1&amp;NumAxis=1&amp;Mod2=170&amp;Mod6=160&amp;Pep=MKYQECSK&amp;Dta=/var/www/html/dta/S01/10560.1908.2.dta&amp;Global_Mod=CS57.0215", "1908")</f>
        <v>1908</v>
      </c>
      <c r="R718" s="35" t="s">
        <v>4854</v>
      </c>
      <c r="S718" s="35" t="s">
        <v>4854</v>
      </c>
      <c r="T718" s="36" t="str">
        <f>HYPERLINK("http://ms.phosphosite.org:5080/cgi-bin/plot-msms.cgi?MassType=1&amp;NumAxis=1&amp;Mod2=170&amp;Mod6=160&amp;Pep=MKYQECSK&amp;Dta=/var/www/html/dta/S01/10563.1935.2.dta&amp;Global_Mod=CS57.0215", "1935")</f>
        <v>1935</v>
      </c>
      <c r="U718" s="36" t="str">
        <f>HYPERLINK("http://ms.phosphosite.org:5080/cgi-bin/plot-msms.cgi?MassType=1&amp;NumAxis=1&amp;Mod2=170&amp;Mod6=160&amp;Pep=MKYQECSK&amp;Dta=/var/www/html/dta/S01/10564.2211.2.dta&amp;Global_Mod=CS57.0215", "2211")</f>
        <v>2211</v>
      </c>
      <c r="V718" s="36" t="str">
        <f>HYPERLINK("http://ms.phosphosite.org:5080/cgi-bin/plot-msms.cgi?MassType=1&amp;NumAxis=1&amp;Mod2=170&amp;Mod6=160&amp;Pep=MKYQECSK&amp;Dta=/var/www/html/dta/S01/10565.2259.2.dta&amp;Global_Mod=CS57.0215", "2259")</f>
        <v>2259</v>
      </c>
      <c r="W718" s="5">
        <v>1982</v>
      </c>
      <c r="X718" s="5">
        <v>1941</v>
      </c>
      <c r="Y718" s="5">
        <v>1914</v>
      </c>
      <c r="Z718" s="3" t="s">
        <v>4854</v>
      </c>
      <c r="AA718" s="3" t="s">
        <v>4854</v>
      </c>
      <c r="AB718" s="5">
        <v>1930</v>
      </c>
      <c r="AC718" s="5">
        <v>2219</v>
      </c>
      <c r="AD718" s="5">
        <v>2266</v>
      </c>
      <c r="AE718" s="90">
        <v>2.08</v>
      </c>
      <c r="AF718" s="90">
        <v>2.0840000000000001</v>
      </c>
      <c r="AG718" s="90">
        <v>2.306</v>
      </c>
      <c r="AH718" s="99" t="s">
        <v>4854</v>
      </c>
      <c r="AI718" s="99" t="s">
        <v>4854</v>
      </c>
      <c r="AJ718" s="90">
        <v>2.4369999999999998</v>
      </c>
      <c r="AK718" s="90">
        <v>2.161</v>
      </c>
      <c r="AL718" s="90">
        <v>2.3140000000000001</v>
      </c>
      <c r="AM718" s="21">
        <v>0.36199999999999999</v>
      </c>
      <c r="AN718" s="21">
        <v>0.1477</v>
      </c>
      <c r="AO718" s="21">
        <v>9.7000000000000003E-3</v>
      </c>
      <c r="AP718" s="102" t="s">
        <v>4854</v>
      </c>
      <c r="AQ718" s="102" t="s">
        <v>4854</v>
      </c>
      <c r="AR718" s="21">
        <v>0.41310000000000002</v>
      </c>
      <c r="AS718" s="21">
        <v>8.2299999999999998E-2</v>
      </c>
      <c r="AT718" s="21">
        <v>7.5999999999999998E-2</v>
      </c>
      <c r="AU718" s="21">
        <v>0.24099999999999999</v>
      </c>
      <c r="AV718" s="21">
        <v>0.318</v>
      </c>
      <c r="AW718" s="21">
        <v>0.38900000000000001</v>
      </c>
      <c r="AX718" s="102" t="s">
        <v>4854</v>
      </c>
      <c r="AY718" s="102" t="s">
        <v>4854</v>
      </c>
      <c r="AZ718" s="21">
        <v>0.39700000000000002</v>
      </c>
      <c r="BA718" s="21">
        <v>0.36899999999999999</v>
      </c>
      <c r="BB718" s="21">
        <v>0.312</v>
      </c>
      <c r="BC718" s="5">
        <v>2</v>
      </c>
      <c r="BD718" s="5">
        <v>1</v>
      </c>
      <c r="BE718" s="5">
        <v>1</v>
      </c>
      <c r="BF718" s="3" t="s">
        <v>4854</v>
      </c>
      <c r="BG718" s="3" t="s">
        <v>4854</v>
      </c>
      <c r="BH718" s="5">
        <v>1</v>
      </c>
      <c r="BI718" s="5">
        <v>2</v>
      </c>
      <c r="BJ718" s="5">
        <v>1</v>
      </c>
      <c r="BK718" s="90">
        <v>0.997</v>
      </c>
      <c r="BL718" s="90">
        <v>0.999</v>
      </c>
      <c r="BM718" s="90">
        <v>1</v>
      </c>
      <c r="BN718" s="99" t="s">
        <v>4854</v>
      </c>
      <c r="BO718" s="99" t="s">
        <v>4854</v>
      </c>
      <c r="BP718" s="90">
        <v>1</v>
      </c>
      <c r="BQ718" s="90">
        <v>0.999</v>
      </c>
      <c r="BR718" s="90">
        <v>0.999</v>
      </c>
      <c r="BS718" s="5" t="s">
        <v>4857</v>
      </c>
    </row>
    <row r="719" spans="1:71" s="30" customFormat="1" ht="17.100000000000001" customHeight="1">
      <c r="A719" s="10">
        <v>708</v>
      </c>
      <c r="B719" s="10" t="s">
        <v>2255</v>
      </c>
      <c r="C719" s="4" t="s">
        <v>2220</v>
      </c>
      <c r="D719" s="4" t="s">
        <v>2256</v>
      </c>
      <c r="E719" s="4" t="s">
        <v>2257</v>
      </c>
      <c r="F719" s="10" t="s">
        <v>2258</v>
      </c>
      <c r="G719" s="4" t="s">
        <v>2259</v>
      </c>
      <c r="H719" s="7" t="s">
        <v>2260</v>
      </c>
      <c r="I719" s="4" t="s">
        <v>2261</v>
      </c>
      <c r="J719" s="10" t="s">
        <v>3988</v>
      </c>
      <c r="K719" s="4" t="s">
        <v>5767</v>
      </c>
      <c r="L719" s="4" t="s">
        <v>2262</v>
      </c>
      <c r="M719" s="10">
        <v>3</v>
      </c>
      <c r="N719" s="95">
        <v>989.46849999999995</v>
      </c>
      <c r="O719" s="38" t="s">
        <v>4854</v>
      </c>
      <c r="P719" s="38" t="s">
        <v>4854</v>
      </c>
      <c r="Q719" s="37" t="str">
        <f>HYPERLINK("http://ms.phosphosite.org:5080/cgi-bin/plot-msms.cgi?MassType=1&amp;NumAxis=1&amp;Mod2=160&amp;Mod8=170&amp;Mod9=147&amp;Pep=SCTFQLLKMAFDEEVGSDSAELFRK&amp;Dta=/var/www/html/dta/S01/10560.15437.3.dta&amp;Global_Mod=CS57.0215", "15437")</f>
        <v>15437</v>
      </c>
      <c r="R719" s="38" t="s">
        <v>4854</v>
      </c>
      <c r="S719" s="38" t="s">
        <v>4854</v>
      </c>
      <c r="T719" s="38" t="s">
        <v>4854</v>
      </c>
      <c r="U719" s="38" t="s">
        <v>4854</v>
      </c>
      <c r="V719" s="38" t="s">
        <v>4854</v>
      </c>
      <c r="W719" s="4" t="s">
        <v>4854</v>
      </c>
      <c r="X719" s="4" t="s">
        <v>4854</v>
      </c>
      <c r="Y719" s="4" t="s">
        <v>4854</v>
      </c>
      <c r="Z719" s="4" t="s">
        <v>4854</v>
      </c>
      <c r="AA719" s="4" t="s">
        <v>4854</v>
      </c>
      <c r="AB719" s="4" t="s">
        <v>4854</v>
      </c>
      <c r="AC719" s="4" t="s">
        <v>4854</v>
      </c>
      <c r="AD719" s="4" t="s">
        <v>4854</v>
      </c>
      <c r="AE719" s="100" t="s">
        <v>4854</v>
      </c>
      <c r="AF719" s="100" t="s">
        <v>4854</v>
      </c>
      <c r="AG719" s="91">
        <v>2.5009999999999999</v>
      </c>
      <c r="AH719" s="100" t="s">
        <v>4854</v>
      </c>
      <c r="AI719" s="100" t="s">
        <v>4854</v>
      </c>
      <c r="AJ719" s="100" t="s">
        <v>4854</v>
      </c>
      <c r="AK719" s="100" t="s">
        <v>4854</v>
      </c>
      <c r="AL719" s="100" t="s">
        <v>4854</v>
      </c>
      <c r="AM719" s="103" t="s">
        <v>4854</v>
      </c>
      <c r="AN719" s="103" t="s">
        <v>4854</v>
      </c>
      <c r="AO719" s="95">
        <v>-1.6383000000000001</v>
      </c>
      <c r="AP719" s="103" t="s">
        <v>4854</v>
      </c>
      <c r="AQ719" s="103" t="s">
        <v>4854</v>
      </c>
      <c r="AR719" s="103" t="s">
        <v>4854</v>
      </c>
      <c r="AS719" s="103" t="s">
        <v>4854</v>
      </c>
      <c r="AT719" s="103" t="s">
        <v>4854</v>
      </c>
      <c r="AU719" s="103" t="s">
        <v>4854</v>
      </c>
      <c r="AV719" s="103" t="s">
        <v>4854</v>
      </c>
      <c r="AW719" s="95">
        <v>0.115</v>
      </c>
      <c r="AX719" s="103" t="s">
        <v>4854</v>
      </c>
      <c r="AY719" s="103" t="s">
        <v>4854</v>
      </c>
      <c r="AZ719" s="103" t="s">
        <v>4854</v>
      </c>
      <c r="BA719" s="103" t="s">
        <v>4854</v>
      </c>
      <c r="BB719" s="103" t="s">
        <v>4854</v>
      </c>
      <c r="BC719" s="4" t="s">
        <v>4854</v>
      </c>
      <c r="BD719" s="4" t="s">
        <v>4854</v>
      </c>
      <c r="BE719" s="10">
        <v>190</v>
      </c>
      <c r="BF719" s="4" t="s">
        <v>4854</v>
      </c>
      <c r="BG719" s="4" t="s">
        <v>4854</v>
      </c>
      <c r="BH719" s="4" t="s">
        <v>4854</v>
      </c>
      <c r="BI719" s="4" t="s">
        <v>4854</v>
      </c>
      <c r="BJ719" s="4" t="s">
        <v>4854</v>
      </c>
      <c r="BK719" s="100" t="s">
        <v>4854</v>
      </c>
      <c r="BL719" s="100" t="s">
        <v>4854</v>
      </c>
      <c r="BM719" s="91">
        <v>0.224</v>
      </c>
      <c r="BN719" s="100" t="s">
        <v>4854</v>
      </c>
      <c r="BO719" s="100" t="s">
        <v>4854</v>
      </c>
      <c r="BP719" s="100" t="s">
        <v>4854</v>
      </c>
      <c r="BQ719" s="100" t="s">
        <v>4854</v>
      </c>
      <c r="BR719" s="100" t="s">
        <v>4854</v>
      </c>
      <c r="BS719" s="10" t="s">
        <v>4857</v>
      </c>
    </row>
    <row r="720" spans="1:71" s="30" customFormat="1" ht="17.100000000000001" customHeight="1">
      <c r="A720" s="14">
        <v>709</v>
      </c>
      <c r="B720" s="5" t="s">
        <v>2263</v>
      </c>
      <c r="C720" s="3" t="s">
        <v>2220</v>
      </c>
      <c r="D720" s="3" t="s">
        <v>2264</v>
      </c>
      <c r="E720" s="3" t="s">
        <v>2265</v>
      </c>
      <c r="F720" s="5" t="s">
        <v>5156</v>
      </c>
      <c r="G720" s="3" t="s">
        <v>2266</v>
      </c>
      <c r="H720" s="6" t="s">
        <v>2267</v>
      </c>
      <c r="I720" s="3" t="s">
        <v>2268</v>
      </c>
      <c r="J720" s="5" t="s">
        <v>4548</v>
      </c>
      <c r="K720" s="3" t="s">
        <v>5768</v>
      </c>
      <c r="L720" s="3" t="s">
        <v>2269</v>
      </c>
      <c r="M720" s="5">
        <v>2</v>
      </c>
      <c r="N720" s="21">
        <v>697.33010000000002</v>
      </c>
      <c r="O720" s="36" t="str">
        <f>HYPERLINK("http://ms.phosphosite.org:5080/cgi-bin/plot-msms.cgi?MassType=1&amp;NumAxis=1&amp;Mod3=170&amp;Pep=SGKFMNPTDQAR&amp;Dta=/var/www/html/dta/S01/10558.4788.2.dta&amp;Global_Mod=CS57.0215", "4788")</f>
        <v>4788</v>
      </c>
      <c r="P720" s="36" t="str">
        <f>HYPERLINK("http://ms.phosphosite.org:5080/cgi-bin/plot-msms.cgi?MassType=1&amp;NumAxis=1&amp;Mod3=170&amp;Pep=SGKFMNPTDQAR&amp;Dta=/var/www/html/dta/S01/10559.4699.2.dta&amp;Global_Mod=CS57.0215", "4699")</f>
        <v>4699</v>
      </c>
      <c r="Q720" s="35" t="s">
        <v>4854</v>
      </c>
      <c r="R720" s="36" t="str">
        <f>HYPERLINK("http://ms.phosphosite.org:5080/cgi-bin/plot-msms.cgi?MassType=1&amp;NumAxis=1&amp;Mod3=170&amp;Pep=SGKFMNPTDQAR&amp;Dta=/var/www/html/dta/S01/10561.4740.2.dta&amp;Global_Mod=CS57.0215", "4740")</f>
        <v>4740</v>
      </c>
      <c r="S720" s="35" t="s">
        <v>4854</v>
      </c>
      <c r="T720" s="36" t="str">
        <f>HYPERLINK("http://ms.phosphosite.org:5080/cgi-bin/plot-msms.cgi?MassType=1&amp;NumAxis=1&amp;Mod3=170&amp;Pep=SGKFMNPTDQAR&amp;Dta=/var/www/html/dta/S01/10563.4769.2.dta&amp;Global_Mod=CS57.0215", "4769")</f>
        <v>4769</v>
      </c>
      <c r="U720" s="36" t="str">
        <f>HYPERLINK("http://ms.phosphosite.org:5080/cgi-bin/plot-msms.cgi?MassType=1&amp;NumAxis=1&amp;Mod3=170&amp;Pep=SGKFMNPTDQAR&amp;Dta=/var/www/html/dta/S01/10564.5076.2.dta&amp;Global_Mod=CS57.0215", "5076")</f>
        <v>5076</v>
      </c>
      <c r="V720" s="36" t="str">
        <f>HYPERLINK("http://ms.phosphosite.org:5080/cgi-bin/plot-msms.cgi?MassType=1&amp;NumAxis=1&amp;Mod3=170&amp;Pep=SGKFMNPTDQAR&amp;Dta=/var/www/html/dta/S01/10565.5184.2.dta&amp;Global_Mod=CS57.0215", "5184")</f>
        <v>5184</v>
      </c>
      <c r="W720" s="5">
        <v>4779</v>
      </c>
      <c r="X720" s="5">
        <v>4701</v>
      </c>
      <c r="Y720" s="3" t="s">
        <v>4854</v>
      </c>
      <c r="Z720" s="5">
        <v>4732</v>
      </c>
      <c r="AA720" s="3" t="s">
        <v>4854</v>
      </c>
      <c r="AB720" s="5">
        <v>4782</v>
      </c>
      <c r="AC720" s="5">
        <v>5110</v>
      </c>
      <c r="AD720" s="5">
        <v>5207</v>
      </c>
      <c r="AE720" s="90">
        <v>3.3940000000000001</v>
      </c>
      <c r="AF720" s="90">
        <v>3.3849999999999998</v>
      </c>
      <c r="AG720" s="99" t="s">
        <v>4854</v>
      </c>
      <c r="AH720" s="90">
        <v>3.1019999999999999</v>
      </c>
      <c r="AI720" s="99" t="s">
        <v>4854</v>
      </c>
      <c r="AJ720" s="90">
        <v>2.9910000000000001</v>
      </c>
      <c r="AK720" s="90">
        <v>4.0449999999999999</v>
      </c>
      <c r="AL720" s="90">
        <v>3.1059999999999999</v>
      </c>
      <c r="AM720" s="21">
        <v>0.28439999999999999</v>
      </c>
      <c r="AN720" s="21">
        <v>0.55559999999999998</v>
      </c>
      <c r="AO720" s="102" t="s">
        <v>4854</v>
      </c>
      <c r="AP720" s="21">
        <v>1.228</v>
      </c>
      <c r="AQ720" s="102" t="s">
        <v>4854</v>
      </c>
      <c r="AR720" s="21">
        <v>0.6109</v>
      </c>
      <c r="AS720" s="21">
        <v>0.29299999999999998</v>
      </c>
      <c r="AT720" s="21">
        <v>0.26650000000000001</v>
      </c>
      <c r="AU720" s="21">
        <v>0.33200000000000002</v>
      </c>
      <c r="AV720" s="21">
        <v>0.39500000000000002</v>
      </c>
      <c r="AW720" s="102" t="s">
        <v>4854</v>
      </c>
      <c r="AX720" s="21">
        <v>0.39800000000000002</v>
      </c>
      <c r="AY720" s="102" t="s">
        <v>4854</v>
      </c>
      <c r="AZ720" s="21">
        <v>0.30299999999999999</v>
      </c>
      <c r="BA720" s="21">
        <v>0.43</v>
      </c>
      <c r="BB720" s="21">
        <v>0.4</v>
      </c>
      <c r="BC720" s="5">
        <v>1</v>
      </c>
      <c r="BD720" s="5">
        <v>1</v>
      </c>
      <c r="BE720" s="3" t="s">
        <v>4854</v>
      </c>
      <c r="BF720" s="5">
        <v>1</v>
      </c>
      <c r="BG720" s="3" t="s">
        <v>4854</v>
      </c>
      <c r="BH720" s="5">
        <v>1</v>
      </c>
      <c r="BI720" s="5">
        <v>1</v>
      </c>
      <c r="BJ720" s="5">
        <v>1</v>
      </c>
      <c r="BK720" s="90">
        <v>1</v>
      </c>
      <c r="BL720" s="90">
        <v>1</v>
      </c>
      <c r="BM720" s="99" t="s">
        <v>4854</v>
      </c>
      <c r="BN720" s="90">
        <v>1</v>
      </c>
      <c r="BO720" s="99" t="s">
        <v>4854</v>
      </c>
      <c r="BP720" s="90">
        <v>1</v>
      </c>
      <c r="BQ720" s="90">
        <v>1</v>
      </c>
      <c r="BR720" s="90">
        <v>1</v>
      </c>
      <c r="BS720" s="5" t="s">
        <v>4857</v>
      </c>
    </row>
    <row r="721" spans="1:71" s="30" customFormat="1" ht="17.100000000000001" customHeight="1">
      <c r="A721" s="14">
        <v>710</v>
      </c>
      <c r="B721" s="5" t="s">
        <v>2270</v>
      </c>
      <c r="C721" s="3" t="s">
        <v>2220</v>
      </c>
      <c r="D721" s="3" t="s">
        <v>2264</v>
      </c>
      <c r="E721" s="3" t="s">
        <v>2265</v>
      </c>
      <c r="F721" s="5" t="s">
        <v>5156</v>
      </c>
      <c r="G721" s="3" t="s">
        <v>2266</v>
      </c>
      <c r="H721" s="6" t="s">
        <v>2267</v>
      </c>
      <c r="I721" s="3" t="s">
        <v>2268</v>
      </c>
      <c r="J721" s="5" t="s">
        <v>4548</v>
      </c>
      <c r="K721" s="3" t="s">
        <v>5768</v>
      </c>
      <c r="L721" s="3" t="s">
        <v>2271</v>
      </c>
      <c r="M721" s="5">
        <v>2</v>
      </c>
      <c r="N721" s="21">
        <v>705.32749999999999</v>
      </c>
      <c r="O721" s="35" t="s">
        <v>4854</v>
      </c>
      <c r="P721" s="35" t="s">
        <v>4854</v>
      </c>
      <c r="Q721" s="35" t="s">
        <v>4854</v>
      </c>
      <c r="R721" s="35" t="s">
        <v>4854</v>
      </c>
      <c r="S721" s="35" t="s">
        <v>4854</v>
      </c>
      <c r="T721" s="35" t="s">
        <v>4854</v>
      </c>
      <c r="U721" s="35" t="s">
        <v>4854</v>
      </c>
      <c r="V721" s="36" t="str">
        <f>HYPERLINK("http://ms.phosphosite.org:5080/cgi-bin/plot-msms.cgi?MassType=1&amp;NumAxis=1&amp;Mod3=170&amp;Mod5=147&amp;Pep=SGKFMNPTDQAR&amp;Dta=/var/www/html/dta/S01/10565.4003.2.dta&amp;Global_Mod=CS57.0215", "4003")</f>
        <v>4003</v>
      </c>
      <c r="W721" s="3" t="s">
        <v>4854</v>
      </c>
      <c r="X721" s="3" t="s">
        <v>4854</v>
      </c>
      <c r="Y721" s="3" t="s">
        <v>4854</v>
      </c>
      <c r="Z721" s="3" t="s">
        <v>4854</v>
      </c>
      <c r="AA721" s="3" t="s">
        <v>4854</v>
      </c>
      <c r="AB721" s="3" t="s">
        <v>4854</v>
      </c>
      <c r="AC721" s="3" t="s">
        <v>4854</v>
      </c>
      <c r="AD721" s="5">
        <v>4015</v>
      </c>
      <c r="AE721" s="99" t="s">
        <v>4854</v>
      </c>
      <c r="AF721" s="99" t="s">
        <v>4854</v>
      </c>
      <c r="AG721" s="99" t="s">
        <v>4854</v>
      </c>
      <c r="AH721" s="99" t="s">
        <v>4854</v>
      </c>
      <c r="AI721" s="99" t="s">
        <v>4854</v>
      </c>
      <c r="AJ721" s="99" t="s">
        <v>4854</v>
      </c>
      <c r="AK721" s="99" t="s">
        <v>4854</v>
      </c>
      <c r="AL721" s="90">
        <v>3.3479999999999999</v>
      </c>
      <c r="AM721" s="102" t="s">
        <v>4854</v>
      </c>
      <c r="AN721" s="102" t="s">
        <v>4854</v>
      </c>
      <c r="AO721" s="102" t="s">
        <v>4854</v>
      </c>
      <c r="AP721" s="102" t="s">
        <v>4854</v>
      </c>
      <c r="AQ721" s="102" t="s">
        <v>4854</v>
      </c>
      <c r="AR721" s="102" t="s">
        <v>4854</v>
      </c>
      <c r="AS721" s="102" t="s">
        <v>4854</v>
      </c>
      <c r="AT721" s="21">
        <v>-4.4000000000000003E-3</v>
      </c>
      <c r="AU721" s="102" t="s">
        <v>4854</v>
      </c>
      <c r="AV721" s="102" t="s">
        <v>4854</v>
      </c>
      <c r="AW721" s="102" t="s">
        <v>4854</v>
      </c>
      <c r="AX721" s="102" t="s">
        <v>4854</v>
      </c>
      <c r="AY721" s="102" t="s">
        <v>4854</v>
      </c>
      <c r="AZ721" s="102" t="s">
        <v>4854</v>
      </c>
      <c r="BA721" s="102" t="s">
        <v>4854</v>
      </c>
      <c r="BB721" s="21">
        <v>0.35899999999999999</v>
      </c>
      <c r="BC721" s="3" t="s">
        <v>4854</v>
      </c>
      <c r="BD721" s="3" t="s">
        <v>4854</v>
      </c>
      <c r="BE721" s="3" t="s">
        <v>4854</v>
      </c>
      <c r="BF721" s="3" t="s">
        <v>4854</v>
      </c>
      <c r="BG721" s="3" t="s">
        <v>4854</v>
      </c>
      <c r="BH721" s="3" t="s">
        <v>4854</v>
      </c>
      <c r="BI721" s="3" t="s">
        <v>4854</v>
      </c>
      <c r="BJ721" s="5">
        <v>1</v>
      </c>
      <c r="BK721" s="99" t="s">
        <v>4854</v>
      </c>
      <c r="BL721" s="99" t="s">
        <v>4854</v>
      </c>
      <c r="BM721" s="99" t="s">
        <v>4854</v>
      </c>
      <c r="BN721" s="99" t="s">
        <v>4854</v>
      </c>
      <c r="BO721" s="99" t="s">
        <v>4854</v>
      </c>
      <c r="BP721" s="99" t="s">
        <v>4854</v>
      </c>
      <c r="BQ721" s="99" t="s">
        <v>4854</v>
      </c>
      <c r="BR721" s="90">
        <v>1</v>
      </c>
      <c r="BS721" s="5" t="s">
        <v>4857</v>
      </c>
    </row>
    <row r="722" spans="1:71" ht="17.100000000000001" customHeight="1">
      <c r="A722" s="31">
        <v>711</v>
      </c>
      <c r="B722" s="2" t="s">
        <v>4858</v>
      </c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94"/>
      <c r="O722" s="34"/>
      <c r="P722" s="34"/>
      <c r="Q722" s="34"/>
      <c r="R722" s="34"/>
      <c r="S722" s="34"/>
      <c r="T722" s="34"/>
      <c r="U722" s="34"/>
      <c r="V722" s="34"/>
      <c r="W722" s="1"/>
      <c r="X722" s="1"/>
      <c r="Y722" s="1"/>
      <c r="Z722" s="1"/>
      <c r="AA722" s="1"/>
      <c r="AB722" s="1"/>
      <c r="AC722" s="1"/>
      <c r="AD722" s="1"/>
      <c r="AE722" s="89"/>
      <c r="AF722" s="89"/>
      <c r="AG722" s="89"/>
      <c r="AH722" s="89"/>
      <c r="AI722" s="89"/>
      <c r="AJ722" s="89"/>
      <c r="AK722" s="89"/>
      <c r="AL722" s="89"/>
      <c r="AM722" s="94"/>
      <c r="AN722" s="94"/>
      <c r="AO722" s="94"/>
      <c r="AP722" s="94"/>
      <c r="AQ722" s="94"/>
      <c r="AR722" s="94"/>
      <c r="AS722" s="94"/>
      <c r="AT722" s="94"/>
      <c r="AU722" s="94"/>
      <c r="AV722" s="94"/>
      <c r="AW722" s="94"/>
      <c r="AX722" s="94"/>
      <c r="AY722" s="94"/>
      <c r="AZ722" s="94"/>
      <c r="BA722" s="94"/>
      <c r="BB722" s="94"/>
      <c r="BC722" s="1"/>
      <c r="BD722" s="1"/>
      <c r="BE722" s="1"/>
      <c r="BF722" s="1"/>
      <c r="BG722" s="1"/>
      <c r="BH722" s="1"/>
      <c r="BI722" s="1"/>
      <c r="BJ722" s="1"/>
      <c r="BK722" s="89"/>
      <c r="BL722" s="89"/>
      <c r="BM722" s="89"/>
      <c r="BN722" s="89"/>
      <c r="BO722" s="89"/>
      <c r="BP722" s="89"/>
      <c r="BQ722" s="89"/>
      <c r="BR722" s="89"/>
      <c r="BS722" s="1"/>
    </row>
    <row r="723" spans="1:71" s="30" customFormat="1" ht="17.100000000000001" customHeight="1">
      <c r="A723" s="10">
        <v>712</v>
      </c>
      <c r="B723" s="10" t="s">
        <v>2272</v>
      </c>
      <c r="C723" s="4" t="s">
        <v>4858</v>
      </c>
      <c r="D723" s="4" t="s">
        <v>2273</v>
      </c>
      <c r="E723" s="4" t="s">
        <v>2273</v>
      </c>
      <c r="F723" s="10" t="s">
        <v>4286</v>
      </c>
      <c r="G723" s="4" t="s">
        <v>2274</v>
      </c>
      <c r="H723" s="7" t="s">
        <v>2275</v>
      </c>
      <c r="I723" s="4" t="s">
        <v>2142</v>
      </c>
      <c r="J723" s="10" t="s">
        <v>4662</v>
      </c>
      <c r="K723" s="4" t="s">
        <v>5769</v>
      </c>
      <c r="L723" s="4" t="s">
        <v>2143</v>
      </c>
      <c r="M723" s="10">
        <v>3</v>
      </c>
      <c r="N723" s="95">
        <v>424.87990000000002</v>
      </c>
      <c r="O723" s="38" t="s">
        <v>4854</v>
      </c>
      <c r="P723" s="38" t="s">
        <v>4854</v>
      </c>
      <c r="Q723" s="37" t="str">
        <f>HYPERLINK("http://ms.phosphosite.org:5080/cgi-bin/plot-msms.cgi?MassType=1&amp;NumAxis=1&amp;Mod3=170&amp;Mod8=160&amp;Pep=EPKPGSKCLASG&amp;Dta=/var/www/html/dta/S01/10560.6501.3.dta&amp;Global_Mod=CS57.0215", "6501")</f>
        <v>6501</v>
      </c>
      <c r="R723" s="38" t="s">
        <v>4854</v>
      </c>
      <c r="S723" s="38" t="s">
        <v>4854</v>
      </c>
      <c r="T723" s="38" t="s">
        <v>4854</v>
      </c>
      <c r="U723" s="38" t="s">
        <v>4854</v>
      </c>
      <c r="V723" s="38" t="s">
        <v>4854</v>
      </c>
      <c r="W723" s="4" t="s">
        <v>4854</v>
      </c>
      <c r="X723" s="4" t="s">
        <v>4854</v>
      </c>
      <c r="Y723" s="4" t="s">
        <v>4854</v>
      </c>
      <c r="Z723" s="4" t="s">
        <v>4854</v>
      </c>
      <c r="AA723" s="4" t="s">
        <v>4854</v>
      </c>
      <c r="AB723" s="4" t="s">
        <v>4854</v>
      </c>
      <c r="AC723" s="4" t="s">
        <v>4854</v>
      </c>
      <c r="AD723" s="4" t="s">
        <v>4854</v>
      </c>
      <c r="AE723" s="100" t="s">
        <v>4854</v>
      </c>
      <c r="AF723" s="100" t="s">
        <v>4854</v>
      </c>
      <c r="AG723" s="91">
        <v>1.857</v>
      </c>
      <c r="AH723" s="100" t="s">
        <v>4854</v>
      </c>
      <c r="AI723" s="100" t="s">
        <v>4854</v>
      </c>
      <c r="AJ723" s="100" t="s">
        <v>4854</v>
      </c>
      <c r="AK723" s="100" t="s">
        <v>4854</v>
      </c>
      <c r="AL723" s="100" t="s">
        <v>4854</v>
      </c>
      <c r="AM723" s="103" t="s">
        <v>4854</v>
      </c>
      <c r="AN723" s="103" t="s">
        <v>4854</v>
      </c>
      <c r="AO723" s="95">
        <v>-0.28589999999999999</v>
      </c>
      <c r="AP723" s="103" t="s">
        <v>4854</v>
      </c>
      <c r="AQ723" s="103" t="s">
        <v>4854</v>
      </c>
      <c r="AR723" s="103" t="s">
        <v>4854</v>
      </c>
      <c r="AS723" s="103" t="s">
        <v>4854</v>
      </c>
      <c r="AT723" s="103" t="s">
        <v>4854</v>
      </c>
      <c r="AU723" s="103" t="s">
        <v>4854</v>
      </c>
      <c r="AV723" s="103" t="s">
        <v>4854</v>
      </c>
      <c r="AW723" s="95">
        <v>6.5000000000000002E-2</v>
      </c>
      <c r="AX723" s="103" t="s">
        <v>4854</v>
      </c>
      <c r="AY723" s="103" t="s">
        <v>4854</v>
      </c>
      <c r="AZ723" s="103" t="s">
        <v>4854</v>
      </c>
      <c r="BA723" s="103" t="s">
        <v>4854</v>
      </c>
      <c r="BB723" s="103" t="s">
        <v>4854</v>
      </c>
      <c r="BC723" s="4" t="s">
        <v>4854</v>
      </c>
      <c r="BD723" s="4" t="s">
        <v>4854</v>
      </c>
      <c r="BE723" s="10">
        <v>5</v>
      </c>
      <c r="BF723" s="4" t="s">
        <v>4854</v>
      </c>
      <c r="BG723" s="4" t="s">
        <v>4854</v>
      </c>
      <c r="BH723" s="4" t="s">
        <v>4854</v>
      </c>
      <c r="BI723" s="4" t="s">
        <v>4854</v>
      </c>
      <c r="BJ723" s="4" t="s">
        <v>4854</v>
      </c>
      <c r="BK723" s="100" t="s">
        <v>4854</v>
      </c>
      <c r="BL723" s="100" t="s">
        <v>4854</v>
      </c>
      <c r="BM723" s="91">
        <v>5.6000000000000001E-2</v>
      </c>
      <c r="BN723" s="100" t="s">
        <v>4854</v>
      </c>
      <c r="BO723" s="100" t="s">
        <v>4854</v>
      </c>
      <c r="BP723" s="100" t="s">
        <v>4854</v>
      </c>
      <c r="BQ723" s="100" t="s">
        <v>4854</v>
      </c>
      <c r="BR723" s="100" t="s">
        <v>4854</v>
      </c>
      <c r="BS723" s="10" t="s">
        <v>4857</v>
      </c>
    </row>
    <row r="724" spans="1:71" s="30" customFormat="1" ht="17.100000000000001" customHeight="1">
      <c r="A724" s="14">
        <v>713</v>
      </c>
      <c r="B724" s="5" t="s">
        <v>2144</v>
      </c>
      <c r="C724" s="3" t="s">
        <v>4858</v>
      </c>
      <c r="D724" s="3" t="s">
        <v>2145</v>
      </c>
      <c r="E724" s="3" t="s">
        <v>2146</v>
      </c>
      <c r="F724" s="5" t="s">
        <v>5183</v>
      </c>
      <c r="G724" s="3" t="s">
        <v>2147</v>
      </c>
      <c r="H724" s="6" t="s">
        <v>2148</v>
      </c>
      <c r="I724" s="3" t="s">
        <v>2149</v>
      </c>
      <c r="J724" s="5" t="s">
        <v>4653</v>
      </c>
      <c r="K724" s="3" t="s">
        <v>5770</v>
      </c>
      <c r="L724" s="3" t="s">
        <v>2150</v>
      </c>
      <c r="M724" s="5">
        <v>2</v>
      </c>
      <c r="N724" s="21">
        <v>762.85559999999998</v>
      </c>
      <c r="O724" s="36" t="str">
        <f>HYPERLINK("http://ms.phosphosite.org:5080/cgi-bin/plot-msms.cgi?MassType=1&amp;NumAxis=1&amp;Mod5=170&amp;Mod10=147&amp;Pep=ASGYKYLDYMQK&amp;Dta=/var/www/html/dta/S01/10558.6388.2.dta&amp;Global_Mod=CS57.0215", "6388")</f>
        <v>6388</v>
      </c>
      <c r="P724" s="36" t="str">
        <f>HYPERLINK("http://ms.phosphosite.org:5080/cgi-bin/plot-msms.cgi?MassType=1&amp;NumAxis=1&amp;Mod5=170&amp;Mod10=147&amp;Pep=ASGYKYLDYMQK&amp;Dta=/var/www/html/dta/S01/10559.6308.2.dta&amp;Global_Mod=CS57.0215", "6308")</f>
        <v>6308</v>
      </c>
      <c r="Q724" s="36" t="str">
        <f>HYPERLINK("http://ms.phosphosite.org:5080/cgi-bin/plot-msms.cgi?MassType=1&amp;NumAxis=1&amp;Mod5=170&amp;Mod10=147&amp;Pep=ASGYKYLDYMQK&amp;Dta=/var/www/html/dta/S01/10560.6297.2.dta&amp;Global_Mod=CS57.0215", "6297")</f>
        <v>6297</v>
      </c>
      <c r="R724" s="36" t="str">
        <f>HYPERLINK("http://ms.phosphosite.org:5080/cgi-bin/plot-msms.cgi?MassType=1&amp;NumAxis=1&amp;Mod5=170&amp;Mod10=147&amp;Pep=ASGYKYLDYMQK&amp;Dta=/var/www/html/dta/S01/10561.6333.2.dta&amp;Global_Mod=CS57.0215", "6333")</f>
        <v>6333</v>
      </c>
      <c r="S724" s="35" t="s">
        <v>4854</v>
      </c>
      <c r="T724" s="36" t="str">
        <f>HYPERLINK("http://ms.phosphosite.org:5080/cgi-bin/plot-msms.cgi?MassType=1&amp;NumAxis=1&amp;Mod5=170&amp;Mod10=147&amp;Pep=ASGYKYLDYMQK&amp;Dta=/var/www/html/dta/S01/10563.6406.2.dta&amp;Global_Mod=CS57.0215", "6406")</f>
        <v>6406</v>
      </c>
      <c r="U724" s="36" t="str">
        <f>HYPERLINK("http://ms.phosphosite.org:5080/cgi-bin/plot-msms.cgi?MassType=1&amp;NumAxis=1&amp;Mod5=170&amp;Mod10=147&amp;Pep=ASGYKYLDYMQK&amp;Dta=/var/www/html/dta/S01/10564.6767.2.dta&amp;Global_Mod=CS57.0215", "6767")</f>
        <v>6767</v>
      </c>
      <c r="V724" s="36" t="str">
        <f>HYPERLINK("http://ms.phosphosite.org:5080/cgi-bin/plot-msms.cgi?MassType=1&amp;NumAxis=1&amp;Mod5=170&amp;Mod10=147&amp;Pep=ASGYKYLDYMQK&amp;Dta=/var/www/html/dta/S01/10565.6843.2.dta&amp;Global_Mod=CS57.0215", "6843")</f>
        <v>6843</v>
      </c>
      <c r="W724" s="5">
        <v>6402</v>
      </c>
      <c r="X724" s="5">
        <v>6349</v>
      </c>
      <c r="Y724" s="5">
        <v>6322</v>
      </c>
      <c r="Z724" s="5">
        <v>6371</v>
      </c>
      <c r="AA724" s="3" t="s">
        <v>4854</v>
      </c>
      <c r="AB724" s="3" t="s">
        <v>4854</v>
      </c>
      <c r="AC724" s="5">
        <v>6793</v>
      </c>
      <c r="AD724" s="3" t="s">
        <v>4854</v>
      </c>
      <c r="AE724" s="90">
        <v>2.3610000000000002</v>
      </c>
      <c r="AF724" s="90">
        <v>2.8839999999999999</v>
      </c>
      <c r="AG724" s="90">
        <v>3.0630000000000002</v>
      </c>
      <c r="AH724" s="90">
        <v>2.673</v>
      </c>
      <c r="AI724" s="99" t="s">
        <v>4854</v>
      </c>
      <c r="AJ724" s="90">
        <v>2.77</v>
      </c>
      <c r="AK724" s="90">
        <v>3.14</v>
      </c>
      <c r="AL724" s="90">
        <v>2.8460000000000001</v>
      </c>
      <c r="AM724" s="21">
        <v>-0.81210000000000004</v>
      </c>
      <c r="AN724" s="21">
        <v>-1.1269</v>
      </c>
      <c r="AO724" s="21">
        <v>-1.4180999999999999</v>
      </c>
      <c r="AP724" s="21">
        <v>-0.78649999999999998</v>
      </c>
      <c r="AQ724" s="102" t="s">
        <v>4854</v>
      </c>
      <c r="AR724" s="21">
        <v>-1.3734999999999999</v>
      </c>
      <c r="AS724" s="21">
        <v>-1.5683</v>
      </c>
      <c r="AT724" s="21">
        <v>-1.7401</v>
      </c>
      <c r="AU724" s="21">
        <v>3.2000000000000001E-2</v>
      </c>
      <c r="AV724" s="21">
        <v>0.29399999999999998</v>
      </c>
      <c r="AW724" s="21">
        <v>0.27700000000000002</v>
      </c>
      <c r="AX724" s="21">
        <v>0.22900000000000001</v>
      </c>
      <c r="AY724" s="102" t="s">
        <v>4854</v>
      </c>
      <c r="AZ724" s="21">
        <v>0.106</v>
      </c>
      <c r="BA724" s="21">
        <v>0.16700000000000001</v>
      </c>
      <c r="BB724" s="21">
        <v>0.122</v>
      </c>
      <c r="BC724" s="5">
        <v>1</v>
      </c>
      <c r="BD724" s="5">
        <v>1</v>
      </c>
      <c r="BE724" s="5">
        <v>1</v>
      </c>
      <c r="BF724" s="5">
        <v>1</v>
      </c>
      <c r="BG724" s="3" t="s">
        <v>4854</v>
      </c>
      <c r="BH724" s="5">
        <v>1</v>
      </c>
      <c r="BI724" s="5">
        <v>1</v>
      </c>
      <c r="BJ724" s="5">
        <v>1</v>
      </c>
      <c r="BK724" s="90">
        <v>0.95</v>
      </c>
      <c r="BL724" s="90">
        <v>0.99399999999999999</v>
      </c>
      <c r="BM724" s="90">
        <v>0.995</v>
      </c>
      <c r="BN724" s="90">
        <v>0.997</v>
      </c>
      <c r="BO724" s="99" t="s">
        <v>4854</v>
      </c>
      <c r="BP724" s="90">
        <v>0.94599999999999995</v>
      </c>
      <c r="BQ724" s="90">
        <v>0.98399999999999999</v>
      </c>
      <c r="BR724" s="90">
        <v>0.83399999999999996</v>
      </c>
      <c r="BS724" s="5" t="s">
        <v>4857</v>
      </c>
    </row>
    <row r="725" spans="1:71" s="30" customFormat="1" ht="17.100000000000001" customHeight="1">
      <c r="A725" s="10">
        <v>714</v>
      </c>
      <c r="B725" s="10" t="s">
        <v>2151</v>
      </c>
      <c r="C725" s="4" t="s">
        <v>4858</v>
      </c>
      <c r="D725" s="4" t="s">
        <v>2152</v>
      </c>
      <c r="E725" s="4" t="s">
        <v>2153</v>
      </c>
      <c r="F725" s="10" t="s">
        <v>3391</v>
      </c>
      <c r="G725" s="4" t="s">
        <v>2154</v>
      </c>
      <c r="H725" s="7" t="s">
        <v>2155</v>
      </c>
      <c r="I725" s="4" t="s">
        <v>2156</v>
      </c>
      <c r="J725" s="10" t="s">
        <v>4556</v>
      </c>
      <c r="K725" s="4" t="s">
        <v>5771</v>
      </c>
      <c r="L725" s="4" t="s">
        <v>2157</v>
      </c>
      <c r="M725" s="10">
        <v>2</v>
      </c>
      <c r="N725" s="95">
        <v>548.82730000000004</v>
      </c>
      <c r="O725" s="38" t="s">
        <v>4854</v>
      </c>
      <c r="P725" s="38" t="s">
        <v>4854</v>
      </c>
      <c r="Q725" s="38" t="s">
        <v>4854</v>
      </c>
      <c r="R725" s="38" t="s">
        <v>4854</v>
      </c>
      <c r="S725" s="38" t="s">
        <v>4854</v>
      </c>
      <c r="T725" s="38" t="s">
        <v>4854</v>
      </c>
      <c r="U725" s="38" t="s">
        <v>4854</v>
      </c>
      <c r="V725" s="37" t="str">
        <f>HYPERLINK("http://ms.phosphosite.org:5080/cgi-bin/plot-msms.cgi?MassType=1&amp;NumAxis=1&amp;Mod8=170&amp;Pep=HLTVLTSKR&amp;Dta=/var/www/html/dta/S01/10565.6143.2.dta&amp;Global_Mod=CS57.0215", "6143")</f>
        <v>6143</v>
      </c>
      <c r="W725" s="4" t="s">
        <v>4854</v>
      </c>
      <c r="X725" s="4" t="s">
        <v>4854</v>
      </c>
      <c r="Y725" s="4" t="s">
        <v>4854</v>
      </c>
      <c r="Z725" s="4" t="s">
        <v>4854</v>
      </c>
      <c r="AA725" s="4" t="s">
        <v>4854</v>
      </c>
      <c r="AB725" s="4" t="s">
        <v>4854</v>
      </c>
      <c r="AC725" s="4" t="s">
        <v>4854</v>
      </c>
      <c r="AD725" s="4" t="s">
        <v>4854</v>
      </c>
      <c r="AE725" s="100" t="s">
        <v>4854</v>
      </c>
      <c r="AF725" s="100" t="s">
        <v>4854</v>
      </c>
      <c r="AG725" s="100" t="s">
        <v>4854</v>
      </c>
      <c r="AH725" s="100" t="s">
        <v>4854</v>
      </c>
      <c r="AI725" s="100" t="s">
        <v>4854</v>
      </c>
      <c r="AJ725" s="100" t="s">
        <v>4854</v>
      </c>
      <c r="AK725" s="100" t="s">
        <v>4854</v>
      </c>
      <c r="AL725" s="91">
        <v>2.0539999999999998</v>
      </c>
      <c r="AM725" s="103" t="s">
        <v>4854</v>
      </c>
      <c r="AN725" s="103" t="s">
        <v>4854</v>
      </c>
      <c r="AO725" s="103" t="s">
        <v>4854</v>
      </c>
      <c r="AP725" s="103" t="s">
        <v>4854</v>
      </c>
      <c r="AQ725" s="103" t="s">
        <v>4854</v>
      </c>
      <c r="AR725" s="103" t="s">
        <v>4854</v>
      </c>
      <c r="AS725" s="103" t="s">
        <v>4854</v>
      </c>
      <c r="AT725" s="95">
        <v>-0.39660000000000001</v>
      </c>
      <c r="AU725" s="103" t="s">
        <v>4854</v>
      </c>
      <c r="AV725" s="103" t="s">
        <v>4854</v>
      </c>
      <c r="AW725" s="103" t="s">
        <v>4854</v>
      </c>
      <c r="AX725" s="103" t="s">
        <v>4854</v>
      </c>
      <c r="AY725" s="103" t="s">
        <v>4854</v>
      </c>
      <c r="AZ725" s="103" t="s">
        <v>4854</v>
      </c>
      <c r="BA725" s="103" t="s">
        <v>4854</v>
      </c>
      <c r="BB725" s="95">
        <v>0.105</v>
      </c>
      <c r="BC725" s="4" t="s">
        <v>4854</v>
      </c>
      <c r="BD725" s="4" t="s">
        <v>4854</v>
      </c>
      <c r="BE725" s="4" t="s">
        <v>4854</v>
      </c>
      <c r="BF725" s="4" t="s">
        <v>4854</v>
      </c>
      <c r="BG725" s="4" t="s">
        <v>4854</v>
      </c>
      <c r="BH725" s="4" t="s">
        <v>4854</v>
      </c>
      <c r="BI725" s="4" t="s">
        <v>4854</v>
      </c>
      <c r="BJ725" s="10">
        <v>3</v>
      </c>
      <c r="BK725" s="100" t="s">
        <v>4854</v>
      </c>
      <c r="BL725" s="100" t="s">
        <v>4854</v>
      </c>
      <c r="BM725" s="100" t="s">
        <v>4854</v>
      </c>
      <c r="BN725" s="100" t="s">
        <v>4854</v>
      </c>
      <c r="BO725" s="100" t="s">
        <v>4854</v>
      </c>
      <c r="BP725" s="100" t="s">
        <v>4854</v>
      </c>
      <c r="BQ725" s="100" t="s">
        <v>4854</v>
      </c>
      <c r="BR725" s="91">
        <v>0.69699999999999995</v>
      </c>
      <c r="BS725" s="10" t="s">
        <v>4857</v>
      </c>
    </row>
    <row r="726" spans="1:71" s="30" customFormat="1" ht="17.100000000000001" customHeight="1">
      <c r="A726" s="14">
        <v>715</v>
      </c>
      <c r="B726" s="5" t="s">
        <v>2158</v>
      </c>
      <c r="C726" s="3" t="s">
        <v>4858</v>
      </c>
      <c r="D726" s="3" t="s">
        <v>2159</v>
      </c>
      <c r="E726" s="3" t="s">
        <v>2160</v>
      </c>
      <c r="F726" s="5" t="s">
        <v>2161</v>
      </c>
      <c r="G726" s="3" t="s">
        <v>2162</v>
      </c>
      <c r="H726" s="6" t="s">
        <v>2163</v>
      </c>
      <c r="I726" s="3" t="s">
        <v>2164</v>
      </c>
      <c r="J726" s="5" t="s">
        <v>4389</v>
      </c>
      <c r="K726" s="3" t="s">
        <v>5772</v>
      </c>
      <c r="L726" s="3" t="s">
        <v>2165</v>
      </c>
      <c r="M726" s="5">
        <v>2</v>
      </c>
      <c r="N726" s="21">
        <v>684.82360000000006</v>
      </c>
      <c r="O726" s="36" t="str">
        <f>HYPERLINK("http://ms.phosphosite.org:5080/cgi-bin/plot-msms.cgi?MassType=1&amp;NumAxis=1&amp;Mod1=170&amp;Mod6=160&amp;Pep=KYLLNCDNMR&amp;Dta=/var/www/html/dta/S01/10558.6334.2.dta&amp;Global_Mod=CS57.0215", "6334")</f>
        <v>6334</v>
      </c>
      <c r="P726" s="36" t="str">
        <f>HYPERLINK("http://ms.phosphosite.org:5080/cgi-bin/plot-msms.cgi?MassType=1&amp;NumAxis=1&amp;Mod1=170&amp;Mod6=160&amp;Pep=KYLLNCDNMR&amp;Dta=/var/www/html/dta/S01/10559.6291.2.dta&amp;Global_Mod=CS57.0215", "6291")</f>
        <v>6291</v>
      </c>
      <c r="Q726" s="36" t="str">
        <f>HYPERLINK("http://ms.phosphosite.org:5080/cgi-bin/plot-msms.cgi?MassType=1&amp;NumAxis=1&amp;Mod1=170&amp;Mod6=160&amp;Pep=KYLLNCDNMR&amp;Dta=/var/www/html/dta/S01/10560.6272.2.dta&amp;Global_Mod=CS57.0215", "6272")</f>
        <v>6272</v>
      </c>
      <c r="R726" s="36" t="str">
        <f>HYPERLINK("http://ms.phosphosite.org:5080/cgi-bin/plot-msms.cgi?MassType=1&amp;NumAxis=1&amp;Mod1=170&amp;Mod6=160&amp;Pep=KYLLNCDNMR&amp;Dta=/var/www/html/dta/S01/10561.6314.2.dta&amp;Global_Mod=CS57.0215", "6314")</f>
        <v>6314</v>
      </c>
      <c r="S726" s="36" t="str">
        <f>HYPERLINK("http://ms.phosphosite.org:5080/cgi-bin/plot-msms.cgi?MassType=1&amp;NumAxis=1&amp;Mod1=170&amp;Mod6=160&amp;Pep=KYLLNCDNMR&amp;Dta=/var/www/html/dta/S01/10562.6409.2.dta&amp;Global_Mod=CS57.0215", "6409")</f>
        <v>6409</v>
      </c>
      <c r="T726" s="36" t="str">
        <f>HYPERLINK("http://ms.phosphosite.org:5080/cgi-bin/plot-msms.cgi?MassType=1&amp;NumAxis=1&amp;Mod1=170&amp;Mod6=160&amp;Pep=KYLLNCDNMR&amp;Dta=/var/www/html/dta/S01/10563.6373.2.dta&amp;Global_Mod=CS57.0215", "6373")</f>
        <v>6373</v>
      </c>
      <c r="U726" s="36" t="str">
        <f>HYPERLINK("http://ms.phosphosite.org:5080/cgi-bin/plot-msms.cgi?MassType=1&amp;NumAxis=1&amp;Mod1=170&amp;Mod6=160&amp;Pep=KYLLNCDNMR&amp;Dta=/var/www/html/dta/S01/10564.6736.2.dta&amp;Global_Mod=CS57.0215", "6736")</f>
        <v>6736</v>
      </c>
      <c r="V726" s="35" t="s">
        <v>4854</v>
      </c>
      <c r="W726" s="5">
        <v>6347</v>
      </c>
      <c r="X726" s="5">
        <v>6283</v>
      </c>
      <c r="Y726" s="5">
        <v>6278</v>
      </c>
      <c r="Z726" s="5">
        <v>6294</v>
      </c>
      <c r="AA726" s="5">
        <v>6400</v>
      </c>
      <c r="AB726" s="5">
        <v>6354</v>
      </c>
      <c r="AC726" s="5">
        <v>6727</v>
      </c>
      <c r="AD726" s="3" t="s">
        <v>4854</v>
      </c>
      <c r="AE726" s="90">
        <v>2.766</v>
      </c>
      <c r="AF726" s="90">
        <v>2.8340000000000001</v>
      </c>
      <c r="AG726" s="90">
        <v>3.3849999999999998</v>
      </c>
      <c r="AH726" s="90">
        <v>3.0249999999999999</v>
      </c>
      <c r="AI726" s="90">
        <v>2.6749999999999998</v>
      </c>
      <c r="AJ726" s="90">
        <v>3.3</v>
      </c>
      <c r="AK726" s="90">
        <v>2.3639999999999999</v>
      </c>
      <c r="AL726" s="99" t="s">
        <v>4854</v>
      </c>
      <c r="AM726" s="21">
        <v>-0.3004</v>
      </c>
      <c r="AN726" s="21">
        <v>-0.2112</v>
      </c>
      <c r="AO726" s="21">
        <v>0.50990000000000002</v>
      </c>
      <c r="AP726" s="21">
        <v>0.81530000000000002</v>
      </c>
      <c r="AQ726" s="21">
        <v>-0.20319999999999999</v>
      </c>
      <c r="AR726" s="21">
        <v>0.4829</v>
      </c>
      <c r="AS726" s="21">
        <v>0.30680000000000002</v>
      </c>
      <c r="AT726" s="102" t="s">
        <v>4854</v>
      </c>
      <c r="AU726" s="21">
        <v>0.221</v>
      </c>
      <c r="AV726" s="21">
        <v>0.24099999999999999</v>
      </c>
      <c r="AW726" s="21">
        <v>0.317</v>
      </c>
      <c r="AX726" s="21">
        <v>0.28999999999999998</v>
      </c>
      <c r="AY726" s="21">
        <v>0.26</v>
      </c>
      <c r="AZ726" s="21">
        <v>0.36299999999999999</v>
      </c>
      <c r="BA726" s="21">
        <v>0.153</v>
      </c>
      <c r="BB726" s="102" t="s">
        <v>4854</v>
      </c>
      <c r="BC726" s="5">
        <v>1</v>
      </c>
      <c r="BD726" s="5">
        <v>1</v>
      </c>
      <c r="BE726" s="5">
        <v>1</v>
      </c>
      <c r="BF726" s="5">
        <v>1</v>
      </c>
      <c r="BG726" s="5">
        <v>1</v>
      </c>
      <c r="BH726" s="5">
        <v>1</v>
      </c>
      <c r="BI726" s="5">
        <v>1</v>
      </c>
      <c r="BJ726" s="3" t="s">
        <v>4854</v>
      </c>
      <c r="BK726" s="90">
        <v>1</v>
      </c>
      <c r="BL726" s="90">
        <v>1</v>
      </c>
      <c r="BM726" s="90">
        <v>1</v>
      </c>
      <c r="BN726" s="90">
        <v>1</v>
      </c>
      <c r="BO726" s="90">
        <v>1</v>
      </c>
      <c r="BP726" s="90">
        <v>1</v>
      </c>
      <c r="BQ726" s="90">
        <v>0.999</v>
      </c>
      <c r="BR726" s="99" t="s">
        <v>4854</v>
      </c>
      <c r="BS726" s="5" t="s">
        <v>4857</v>
      </c>
    </row>
    <row r="727" spans="1:71" s="30" customFormat="1" ht="17.100000000000001" customHeight="1">
      <c r="A727" s="14">
        <v>716</v>
      </c>
      <c r="B727" s="5" t="s">
        <v>2166</v>
      </c>
      <c r="C727" s="3" t="s">
        <v>4858</v>
      </c>
      <c r="D727" s="3" t="s">
        <v>2159</v>
      </c>
      <c r="E727" s="3" t="s">
        <v>2160</v>
      </c>
      <c r="F727" s="5" t="s">
        <v>2161</v>
      </c>
      <c r="G727" s="3" t="s">
        <v>2162</v>
      </c>
      <c r="H727" s="6" t="s">
        <v>2163</v>
      </c>
      <c r="I727" s="3" t="s">
        <v>2164</v>
      </c>
      <c r="J727" s="5" t="s">
        <v>4389</v>
      </c>
      <c r="K727" s="3" t="s">
        <v>5772</v>
      </c>
      <c r="L727" s="3" t="s">
        <v>2167</v>
      </c>
      <c r="M727" s="5">
        <v>2</v>
      </c>
      <c r="N727" s="21">
        <v>692.82100000000003</v>
      </c>
      <c r="O727" s="36" t="str">
        <f>HYPERLINK("http://ms.phosphosite.org:5080/cgi-bin/plot-msms.cgi?MassType=1&amp;NumAxis=1&amp;Mod1=170&amp;Mod6=160&amp;Mod9=147&amp;Pep=KYLLNCDNMR&amp;Dta=/var/www/html/dta/S01/10558.4886.2.dta&amp;Global_Mod=CS57.0215", "4886")</f>
        <v>4886</v>
      </c>
      <c r="P727" s="35" t="s">
        <v>4854</v>
      </c>
      <c r="Q727" s="35" t="s">
        <v>4854</v>
      </c>
      <c r="R727" s="36" t="str">
        <f>HYPERLINK("http://ms.phosphosite.org:5080/cgi-bin/plot-msms.cgi?MassType=1&amp;NumAxis=1&amp;Mod1=170&amp;Mod6=160&amp;Mod9=147&amp;Pep=KYLLNCDNMR&amp;Dta=/var/www/html/dta/S01/10561.4812.2.dta&amp;Global_Mod=CS57.0215", "4812")</f>
        <v>4812</v>
      </c>
      <c r="S727" s="35" t="s">
        <v>4854</v>
      </c>
      <c r="T727" s="35" t="s">
        <v>4854</v>
      </c>
      <c r="U727" s="35" t="s">
        <v>4854</v>
      </c>
      <c r="V727" s="35" t="s">
        <v>4854</v>
      </c>
      <c r="W727" s="5">
        <v>4878</v>
      </c>
      <c r="X727" s="3" t="s">
        <v>4854</v>
      </c>
      <c r="Y727" s="3" t="s">
        <v>4854</v>
      </c>
      <c r="Z727" s="5">
        <v>4820</v>
      </c>
      <c r="AA727" s="3" t="s">
        <v>4854</v>
      </c>
      <c r="AB727" s="3" t="s">
        <v>4854</v>
      </c>
      <c r="AC727" s="3" t="s">
        <v>4854</v>
      </c>
      <c r="AD727" s="3" t="s">
        <v>4854</v>
      </c>
      <c r="AE727" s="90">
        <v>2.93</v>
      </c>
      <c r="AF727" s="99" t="s">
        <v>4854</v>
      </c>
      <c r="AG727" s="99" t="s">
        <v>4854</v>
      </c>
      <c r="AH727" s="90">
        <v>2.573</v>
      </c>
      <c r="AI727" s="99" t="s">
        <v>4854</v>
      </c>
      <c r="AJ727" s="99" t="s">
        <v>4854</v>
      </c>
      <c r="AK727" s="99" t="s">
        <v>4854</v>
      </c>
      <c r="AL727" s="99" t="s">
        <v>4854</v>
      </c>
      <c r="AM727" s="21">
        <v>1.3694999999999999</v>
      </c>
      <c r="AN727" s="102" t="s">
        <v>4854</v>
      </c>
      <c r="AO727" s="102" t="s">
        <v>4854</v>
      </c>
      <c r="AP727" s="21">
        <v>0.72170000000000001</v>
      </c>
      <c r="AQ727" s="102" t="s">
        <v>4854</v>
      </c>
      <c r="AR727" s="102" t="s">
        <v>4854</v>
      </c>
      <c r="AS727" s="102" t="s">
        <v>4854</v>
      </c>
      <c r="AT727" s="102" t="s">
        <v>4854</v>
      </c>
      <c r="AU727" s="21">
        <v>0.20499999999999999</v>
      </c>
      <c r="AV727" s="102" t="s">
        <v>4854</v>
      </c>
      <c r="AW727" s="102" t="s">
        <v>4854</v>
      </c>
      <c r="AX727" s="21">
        <v>0.214</v>
      </c>
      <c r="AY727" s="102" t="s">
        <v>4854</v>
      </c>
      <c r="AZ727" s="102" t="s">
        <v>4854</v>
      </c>
      <c r="BA727" s="102" t="s">
        <v>4854</v>
      </c>
      <c r="BB727" s="102" t="s">
        <v>4854</v>
      </c>
      <c r="BC727" s="5">
        <v>1</v>
      </c>
      <c r="BD727" s="3" t="s">
        <v>4854</v>
      </c>
      <c r="BE727" s="3" t="s">
        <v>4854</v>
      </c>
      <c r="BF727" s="5">
        <v>2</v>
      </c>
      <c r="BG727" s="3" t="s">
        <v>4854</v>
      </c>
      <c r="BH727" s="3" t="s">
        <v>4854</v>
      </c>
      <c r="BI727" s="3" t="s">
        <v>4854</v>
      </c>
      <c r="BJ727" s="3" t="s">
        <v>4854</v>
      </c>
      <c r="BK727" s="90">
        <v>1</v>
      </c>
      <c r="BL727" s="99" t="s">
        <v>4854</v>
      </c>
      <c r="BM727" s="99" t="s">
        <v>4854</v>
      </c>
      <c r="BN727" s="90">
        <v>1</v>
      </c>
      <c r="BO727" s="99" t="s">
        <v>4854</v>
      </c>
      <c r="BP727" s="99" t="s">
        <v>4854</v>
      </c>
      <c r="BQ727" s="99" t="s">
        <v>4854</v>
      </c>
      <c r="BR727" s="99" t="s">
        <v>4854</v>
      </c>
      <c r="BS727" s="5" t="s">
        <v>4857</v>
      </c>
    </row>
    <row r="728" spans="1:71" s="30" customFormat="1" ht="17.100000000000001" customHeight="1">
      <c r="A728" s="10">
        <v>717</v>
      </c>
      <c r="B728" s="10" t="s">
        <v>2168</v>
      </c>
      <c r="C728" s="4" t="s">
        <v>4858</v>
      </c>
      <c r="D728" s="4" t="s">
        <v>2159</v>
      </c>
      <c r="E728" s="4" t="s">
        <v>2160</v>
      </c>
      <c r="F728" s="10" t="s">
        <v>4988</v>
      </c>
      <c r="G728" s="4" t="s">
        <v>2162</v>
      </c>
      <c r="H728" s="7" t="s">
        <v>2163</v>
      </c>
      <c r="I728" s="4" t="s">
        <v>2164</v>
      </c>
      <c r="J728" s="10" t="s">
        <v>4389</v>
      </c>
      <c r="K728" s="4" t="s">
        <v>5773</v>
      </c>
      <c r="L728" s="4" t="s">
        <v>2169</v>
      </c>
      <c r="M728" s="10">
        <v>2</v>
      </c>
      <c r="N728" s="95">
        <v>754.86500000000001</v>
      </c>
      <c r="O728" s="38" t="s">
        <v>4854</v>
      </c>
      <c r="P728" s="37" t="str">
        <f>HYPERLINK("http://ms.phosphosite.org:5080/cgi-bin/plot-msms.cgi?MassType=1&amp;NumAxis=1&amp;Mod3=170&amp;Pep=SGKFTQQDIDEAK&amp;Dta=/var/www/html/dta/S01/10559.4698.2.dta&amp;Global_Mod=CS57.0215", "4698")</f>
        <v>4698</v>
      </c>
      <c r="Q728" s="37" t="str">
        <f>HYPERLINK("http://ms.phosphosite.org:5080/cgi-bin/plot-msms.cgi?MassType=1&amp;NumAxis=1&amp;Mod3=170&amp;Pep=SGKFTQQDIDEAK&amp;Dta=/var/www/html/dta/S01/10560.4679.2.dta&amp;Global_Mod=CS57.0215", "4679")</f>
        <v>4679</v>
      </c>
      <c r="R728" s="38" t="s">
        <v>4854</v>
      </c>
      <c r="S728" s="38" t="s">
        <v>4854</v>
      </c>
      <c r="T728" s="38" t="s">
        <v>4854</v>
      </c>
      <c r="U728" s="37" t="str">
        <f>HYPERLINK("http://ms.phosphosite.org:5080/cgi-bin/plot-msms.cgi?MassType=1&amp;NumAxis=1&amp;Mod3=170&amp;Pep=SGKFTQQDIDEAK&amp;Dta=/var/www/html/dta/S01/10564.5087.2.dta&amp;Global_Mod=CS57.0215", "5087")</f>
        <v>5087</v>
      </c>
      <c r="V728" s="37" t="str">
        <f>HYPERLINK("http://ms.phosphosite.org:5080/cgi-bin/plot-msms.cgi?MassType=1&amp;NumAxis=1&amp;Mod3=170&amp;Pep=SGKFTQQDIDEAK&amp;Dta=/var/www/html/dta/S01/10565.5183.2.dta&amp;Global_Mod=CS57.0215", "5183")</f>
        <v>5183</v>
      </c>
      <c r="W728" s="4" t="s">
        <v>4854</v>
      </c>
      <c r="X728" s="10">
        <v>4690</v>
      </c>
      <c r="Y728" s="10">
        <v>4672</v>
      </c>
      <c r="Z728" s="4" t="s">
        <v>4854</v>
      </c>
      <c r="AA728" s="4" t="s">
        <v>4854</v>
      </c>
      <c r="AB728" s="4" t="s">
        <v>4854</v>
      </c>
      <c r="AC728" s="10">
        <v>5077</v>
      </c>
      <c r="AD728" s="10">
        <v>5185</v>
      </c>
      <c r="AE728" s="100" t="s">
        <v>4854</v>
      </c>
      <c r="AF728" s="91">
        <v>2.69</v>
      </c>
      <c r="AG728" s="91">
        <v>2.8050000000000002</v>
      </c>
      <c r="AH728" s="100" t="s">
        <v>4854</v>
      </c>
      <c r="AI728" s="100" t="s">
        <v>4854</v>
      </c>
      <c r="AJ728" s="100" t="s">
        <v>4854</v>
      </c>
      <c r="AK728" s="91">
        <v>2.6429999999999998</v>
      </c>
      <c r="AL728" s="91">
        <v>2.399</v>
      </c>
      <c r="AM728" s="103" t="s">
        <v>4854</v>
      </c>
      <c r="AN728" s="95">
        <v>0.35039999999999999</v>
      </c>
      <c r="AO728" s="95">
        <v>1.3247</v>
      </c>
      <c r="AP728" s="103" t="s">
        <v>4854</v>
      </c>
      <c r="AQ728" s="103" t="s">
        <v>4854</v>
      </c>
      <c r="AR728" s="103" t="s">
        <v>4854</v>
      </c>
      <c r="AS728" s="95">
        <v>-0.1646</v>
      </c>
      <c r="AT728" s="95">
        <v>6.2100000000000002E-2</v>
      </c>
      <c r="AU728" s="103" t="s">
        <v>4854</v>
      </c>
      <c r="AV728" s="95">
        <v>0.11799999999999999</v>
      </c>
      <c r="AW728" s="95">
        <v>0.186</v>
      </c>
      <c r="AX728" s="103" t="s">
        <v>4854</v>
      </c>
      <c r="AY728" s="103" t="s">
        <v>4854</v>
      </c>
      <c r="AZ728" s="103" t="s">
        <v>4854</v>
      </c>
      <c r="BA728" s="95">
        <v>0.06</v>
      </c>
      <c r="BB728" s="95">
        <v>0.14499999999999999</v>
      </c>
      <c r="BC728" s="4" t="s">
        <v>4854</v>
      </c>
      <c r="BD728" s="10">
        <v>1</v>
      </c>
      <c r="BE728" s="10">
        <v>1</v>
      </c>
      <c r="BF728" s="4" t="s">
        <v>4854</v>
      </c>
      <c r="BG728" s="4" t="s">
        <v>4854</v>
      </c>
      <c r="BH728" s="4" t="s">
        <v>4854</v>
      </c>
      <c r="BI728" s="10">
        <v>1</v>
      </c>
      <c r="BJ728" s="10">
        <v>1</v>
      </c>
      <c r="BK728" s="100" t="s">
        <v>4854</v>
      </c>
      <c r="BL728" s="91">
        <v>0.995</v>
      </c>
      <c r="BM728" s="91">
        <v>0.998</v>
      </c>
      <c r="BN728" s="100" t="s">
        <v>4854</v>
      </c>
      <c r="BO728" s="100" t="s">
        <v>4854</v>
      </c>
      <c r="BP728" s="100" t="s">
        <v>4854</v>
      </c>
      <c r="BQ728" s="91">
        <v>0.98899999999999999</v>
      </c>
      <c r="BR728" s="91">
        <v>0.99399999999999999</v>
      </c>
      <c r="BS728" s="10" t="s">
        <v>4857</v>
      </c>
    </row>
    <row r="729" spans="1:71" s="30" customFormat="1" ht="17.100000000000001" customHeight="1">
      <c r="A729" s="14">
        <v>718</v>
      </c>
      <c r="B729" s="5" t="s">
        <v>2170</v>
      </c>
      <c r="C729" s="3" t="s">
        <v>4858</v>
      </c>
      <c r="D729" s="3" t="s">
        <v>2171</v>
      </c>
      <c r="E729" s="6" t="s">
        <v>2172</v>
      </c>
      <c r="F729" s="5" t="s">
        <v>4754</v>
      </c>
      <c r="G729" s="3" t="s">
        <v>2173</v>
      </c>
      <c r="H729" s="6" t="s">
        <v>2174</v>
      </c>
      <c r="I729" s="3" t="s">
        <v>2175</v>
      </c>
      <c r="J729" s="5" t="s">
        <v>4666</v>
      </c>
      <c r="K729" s="3" t="s">
        <v>5774</v>
      </c>
      <c r="L729" s="3" t="s">
        <v>2176</v>
      </c>
      <c r="M729" s="5">
        <v>2</v>
      </c>
      <c r="N729" s="21">
        <v>429.75580000000002</v>
      </c>
      <c r="O729" s="35" t="s">
        <v>4854</v>
      </c>
      <c r="P729" s="36" t="str">
        <f>HYPERLINK("http://ms.phosphosite.org:5080/cgi-bin/plot-msms.cgi?MassType=1&amp;NumAxis=1&amp;Mod5=170&amp;Pep=TLIDKAR&amp;Dta=/var/www/html/dta/S01/10559.4010.2.dta&amp;Global_Mod=CS57.0215", "4010")</f>
        <v>4010</v>
      </c>
      <c r="Q729" s="35" t="s">
        <v>4854</v>
      </c>
      <c r="R729" s="35" t="s">
        <v>4854</v>
      </c>
      <c r="S729" s="35" t="s">
        <v>4854</v>
      </c>
      <c r="T729" s="35" t="s">
        <v>4854</v>
      </c>
      <c r="U729" s="35" t="s">
        <v>4854</v>
      </c>
      <c r="V729" s="35" t="s">
        <v>4854</v>
      </c>
      <c r="W729" s="3" t="s">
        <v>4854</v>
      </c>
      <c r="X729" s="3" t="s">
        <v>4854</v>
      </c>
      <c r="Y729" s="3" t="s">
        <v>4854</v>
      </c>
      <c r="Z729" s="3" t="s">
        <v>4854</v>
      </c>
      <c r="AA729" s="3" t="s">
        <v>4854</v>
      </c>
      <c r="AB729" s="3" t="s">
        <v>4854</v>
      </c>
      <c r="AC729" s="3" t="s">
        <v>4854</v>
      </c>
      <c r="AD729" s="3" t="s">
        <v>4854</v>
      </c>
      <c r="AE729" s="99" t="s">
        <v>4854</v>
      </c>
      <c r="AF729" s="90">
        <v>1.6830000000000001</v>
      </c>
      <c r="AG729" s="99" t="s">
        <v>4854</v>
      </c>
      <c r="AH729" s="99" t="s">
        <v>4854</v>
      </c>
      <c r="AI729" s="99" t="s">
        <v>4854</v>
      </c>
      <c r="AJ729" s="99" t="s">
        <v>4854</v>
      </c>
      <c r="AK729" s="99" t="s">
        <v>4854</v>
      </c>
      <c r="AL729" s="99" t="s">
        <v>4854</v>
      </c>
      <c r="AM729" s="102" t="s">
        <v>4854</v>
      </c>
      <c r="AN729" s="21">
        <v>1.8499999999999999E-2</v>
      </c>
      <c r="AO729" s="102" t="s">
        <v>4854</v>
      </c>
      <c r="AP729" s="102" t="s">
        <v>4854</v>
      </c>
      <c r="AQ729" s="102" t="s">
        <v>4854</v>
      </c>
      <c r="AR729" s="102" t="s">
        <v>4854</v>
      </c>
      <c r="AS729" s="102" t="s">
        <v>4854</v>
      </c>
      <c r="AT729" s="102" t="s">
        <v>4854</v>
      </c>
      <c r="AU729" s="102" t="s">
        <v>4854</v>
      </c>
      <c r="AV729" s="21">
        <v>5.2999999999999999E-2</v>
      </c>
      <c r="AW729" s="102" t="s">
        <v>4854</v>
      </c>
      <c r="AX729" s="102" t="s">
        <v>4854</v>
      </c>
      <c r="AY729" s="102" t="s">
        <v>4854</v>
      </c>
      <c r="AZ729" s="102" t="s">
        <v>4854</v>
      </c>
      <c r="BA729" s="102" t="s">
        <v>4854</v>
      </c>
      <c r="BB729" s="102" t="s">
        <v>4854</v>
      </c>
      <c r="BC729" s="3" t="s">
        <v>4854</v>
      </c>
      <c r="BD729" s="5">
        <v>5</v>
      </c>
      <c r="BE729" s="3" t="s">
        <v>4854</v>
      </c>
      <c r="BF729" s="3" t="s">
        <v>4854</v>
      </c>
      <c r="BG729" s="3" t="s">
        <v>4854</v>
      </c>
      <c r="BH729" s="3" t="s">
        <v>4854</v>
      </c>
      <c r="BI729" s="3" t="s">
        <v>4854</v>
      </c>
      <c r="BJ729" s="3" t="s">
        <v>4854</v>
      </c>
      <c r="BK729" s="99" t="s">
        <v>4854</v>
      </c>
      <c r="BL729" s="90">
        <v>0.91</v>
      </c>
      <c r="BM729" s="99" t="s">
        <v>4854</v>
      </c>
      <c r="BN729" s="99" t="s">
        <v>4854</v>
      </c>
      <c r="BO729" s="99" t="s">
        <v>4854</v>
      </c>
      <c r="BP729" s="99" t="s">
        <v>4854</v>
      </c>
      <c r="BQ729" s="99" t="s">
        <v>4854</v>
      </c>
      <c r="BR729" s="99" t="s">
        <v>4854</v>
      </c>
      <c r="BS729" s="5" t="s">
        <v>4857</v>
      </c>
    </row>
    <row r="730" spans="1:71" s="30" customFormat="1" ht="17.100000000000001" customHeight="1">
      <c r="A730" s="10">
        <v>719</v>
      </c>
      <c r="B730" s="10" t="s">
        <v>2177</v>
      </c>
      <c r="C730" s="4" t="s">
        <v>4858</v>
      </c>
      <c r="D730" s="4" t="s">
        <v>2178</v>
      </c>
      <c r="E730" s="7" t="s">
        <v>2179</v>
      </c>
      <c r="F730" s="10" t="s">
        <v>5106</v>
      </c>
      <c r="G730" s="4" t="s">
        <v>2180</v>
      </c>
      <c r="H730" s="7" t="s">
        <v>2181</v>
      </c>
      <c r="I730" s="4" t="s">
        <v>2182</v>
      </c>
      <c r="J730" s="10" t="s">
        <v>4669</v>
      </c>
      <c r="K730" s="4" t="s">
        <v>5775</v>
      </c>
      <c r="L730" s="4" t="s">
        <v>2183</v>
      </c>
      <c r="M730" s="10">
        <v>2</v>
      </c>
      <c r="N730" s="95">
        <v>918.93100000000004</v>
      </c>
      <c r="O730" s="37" t="str">
        <f>HYPERLINK("http://ms.phosphosite.org:5080/cgi-bin/plot-msms.cgi?MassType=1&amp;NumAxis=1&amp;Mod2=170&amp;Mod11=147&amp;Mod13=160&amp;Pep=YKYGYEIPVDMLCK&amp;Dta=/var/www/html/dta/S01/10558.9223.2.dta&amp;Global_Mod=CS57.0215", "9223")</f>
        <v>9223</v>
      </c>
      <c r="P730" s="37" t="str">
        <f>HYPERLINK("http://ms.phosphosite.org:5080/cgi-bin/plot-msms.cgi?MassType=1&amp;NumAxis=1&amp;Mod2=170&amp;Mod11=147&amp;Mod13=160&amp;Pep=YKYGYEIPVDMLCK&amp;Dta=/var/www/html/dta/S01/10559.9185.2.dta&amp;Global_Mod=CS57.0215", "9185")</f>
        <v>9185</v>
      </c>
      <c r="Q730" s="37" t="str">
        <f>HYPERLINK("http://ms.phosphosite.org:5080/cgi-bin/plot-msms.cgi?MassType=1&amp;NumAxis=1&amp;Mod2=170&amp;Mod11=147&amp;Mod13=160&amp;Pep=YKYGYEIPVDMLCK&amp;Dta=/var/www/html/dta/S01/10560.9208.2.dta&amp;Global_Mod=CS57.0215", "9208")</f>
        <v>9208</v>
      </c>
      <c r="R730" s="37" t="str">
        <f>HYPERLINK("http://ms.phosphosite.org:5080/cgi-bin/plot-msms.cgi?MassType=1&amp;NumAxis=1&amp;Mod2=170&amp;Mod11=147&amp;Mod13=160&amp;Pep=YKYGYEIPVDMLCK&amp;Dta=/var/www/html/dta/S01/10561.9224.2.dta&amp;Global_Mod=CS57.0215", "9224")</f>
        <v>9224</v>
      </c>
      <c r="S730" s="37" t="str">
        <f>HYPERLINK("http://ms.phosphosite.org:5080/cgi-bin/plot-msms.cgi?MassType=1&amp;NumAxis=1&amp;Mod2=170&amp;Mod11=147&amp;Mod13=160&amp;Pep=YKYGYEIPVDMLCK&amp;Dta=/var/www/html/dta/S01/10562.9378.2.dta&amp;Global_Mod=CS57.0215", "9378")</f>
        <v>9378</v>
      </c>
      <c r="T730" s="37" t="str">
        <f>HYPERLINK("http://ms.phosphosite.org:5080/cgi-bin/plot-msms.cgi?MassType=1&amp;NumAxis=1&amp;Mod2=170&amp;Mod11=147&amp;Mod13=160&amp;Pep=YKYGYEIPVDMLCK&amp;Dta=/var/www/html/dta/S01/10563.9330.2.dta&amp;Global_Mod=CS57.0215", "9330")</f>
        <v>9330</v>
      </c>
      <c r="U730" s="37" t="str">
        <f>HYPERLINK("http://ms.phosphosite.org:5080/cgi-bin/plot-msms.cgi?MassType=1&amp;NumAxis=1&amp;Mod2=170&amp;Mod11=147&amp;Mod13=160&amp;Pep=YKYGYEIPVDMLCK&amp;Dta=/var/www/html/dta/S01/10564.9814.2.dta&amp;Global_Mod=CS57.0215", "9814")</f>
        <v>9814</v>
      </c>
      <c r="V730" s="37" t="str">
        <f>HYPERLINK("http://ms.phosphosite.org:5080/cgi-bin/plot-msms.cgi?MassType=1&amp;NumAxis=1&amp;Mod2=170&amp;Mod11=147&amp;Mod13=160&amp;Pep=YKYGYEIPVDMLCK&amp;Dta=/var/www/html/dta/S01/10565.9762.2.dta&amp;Global_Mod=CS57.0215", "9762")</f>
        <v>9762</v>
      </c>
      <c r="W730" s="10">
        <v>9261</v>
      </c>
      <c r="X730" s="10">
        <v>9209</v>
      </c>
      <c r="Y730" s="10">
        <v>9237</v>
      </c>
      <c r="Z730" s="10">
        <v>9242</v>
      </c>
      <c r="AA730" s="10">
        <v>9403</v>
      </c>
      <c r="AB730" s="10">
        <v>9357</v>
      </c>
      <c r="AC730" s="10">
        <v>9818</v>
      </c>
      <c r="AD730" s="10">
        <v>9771</v>
      </c>
      <c r="AE730" s="91">
        <v>4.3129999999999997</v>
      </c>
      <c r="AF730" s="91">
        <v>2.8530000000000002</v>
      </c>
      <c r="AG730" s="91">
        <v>3.2879999999999998</v>
      </c>
      <c r="AH730" s="91">
        <v>3.016</v>
      </c>
      <c r="AI730" s="91">
        <v>3.3420000000000001</v>
      </c>
      <c r="AJ730" s="91">
        <v>3.7749999999999999</v>
      </c>
      <c r="AK730" s="91">
        <v>3.915</v>
      </c>
      <c r="AL730" s="91">
        <v>4.1390000000000002</v>
      </c>
      <c r="AM730" s="95">
        <v>0.70909999999999995</v>
      </c>
      <c r="AN730" s="95">
        <v>0.99270000000000003</v>
      </c>
      <c r="AO730" s="95">
        <v>1.0929</v>
      </c>
      <c r="AP730" s="95">
        <v>0.85660000000000003</v>
      </c>
      <c r="AQ730" s="95">
        <v>0.7772</v>
      </c>
      <c r="AR730" s="95">
        <v>0.73089999999999999</v>
      </c>
      <c r="AS730" s="95">
        <v>0.84079999999999999</v>
      </c>
      <c r="AT730" s="95">
        <v>0.58879999999999999</v>
      </c>
      <c r="AU730" s="95">
        <v>0.504</v>
      </c>
      <c r="AV730" s="95">
        <v>0.47299999999999998</v>
      </c>
      <c r="AW730" s="95">
        <v>0.42399999999999999</v>
      </c>
      <c r="AX730" s="95">
        <v>0.43</v>
      </c>
      <c r="AY730" s="95">
        <v>0.55600000000000005</v>
      </c>
      <c r="AZ730" s="95">
        <v>0.46899999999999997</v>
      </c>
      <c r="BA730" s="95">
        <v>0.48199999999999998</v>
      </c>
      <c r="BB730" s="95">
        <v>0.51900000000000002</v>
      </c>
      <c r="BC730" s="10">
        <v>1</v>
      </c>
      <c r="BD730" s="10">
        <v>1</v>
      </c>
      <c r="BE730" s="10">
        <v>1</v>
      </c>
      <c r="BF730" s="10">
        <v>1</v>
      </c>
      <c r="BG730" s="10">
        <v>1</v>
      </c>
      <c r="BH730" s="10">
        <v>1</v>
      </c>
      <c r="BI730" s="10">
        <v>1</v>
      </c>
      <c r="BJ730" s="10">
        <v>1</v>
      </c>
      <c r="BK730" s="91">
        <v>1</v>
      </c>
      <c r="BL730" s="91">
        <v>1</v>
      </c>
      <c r="BM730" s="91">
        <v>1</v>
      </c>
      <c r="BN730" s="91">
        <v>1</v>
      </c>
      <c r="BO730" s="91">
        <v>1</v>
      </c>
      <c r="BP730" s="91">
        <v>1</v>
      </c>
      <c r="BQ730" s="91">
        <v>1</v>
      </c>
      <c r="BR730" s="91">
        <v>1</v>
      </c>
      <c r="BS730" s="10" t="s">
        <v>4857</v>
      </c>
    </row>
    <row r="731" spans="1:71" s="30" customFormat="1" ht="17.100000000000001" customHeight="1">
      <c r="A731" s="10">
        <v>720</v>
      </c>
      <c r="B731" s="10" t="s">
        <v>2184</v>
      </c>
      <c r="C731" s="4" t="s">
        <v>4858</v>
      </c>
      <c r="D731" s="4" t="s">
        <v>2178</v>
      </c>
      <c r="E731" s="7" t="s">
        <v>2179</v>
      </c>
      <c r="F731" s="10" t="s">
        <v>5106</v>
      </c>
      <c r="G731" s="4" t="s">
        <v>2180</v>
      </c>
      <c r="H731" s="7" t="s">
        <v>2181</v>
      </c>
      <c r="I731" s="4" t="s">
        <v>2182</v>
      </c>
      <c r="J731" s="10" t="s">
        <v>4669</v>
      </c>
      <c r="K731" s="4" t="s">
        <v>5775</v>
      </c>
      <c r="L731" s="4" t="s">
        <v>2185</v>
      </c>
      <c r="M731" s="10">
        <v>3</v>
      </c>
      <c r="N731" s="95">
        <v>664.99009999999998</v>
      </c>
      <c r="O731" s="37" t="str">
        <f>HYPERLINK("http://ms.phosphosite.org:5080/cgi-bin/plot-msms.cgi?MassType=1&amp;NumAxis=1&amp;Mod2=170&amp;Mod11=147&amp;Mod13=160&amp;Pep=YKYGYEIPVDMLCKR&amp;Dta=/var/www/html/dta/S01/10558.8119.3.dta&amp;Global_Mod=CS57.0215", "8119")</f>
        <v>8119</v>
      </c>
      <c r="P731" s="37" t="str">
        <f>HYPERLINK("http://ms.phosphosite.org:5080/cgi-bin/plot-msms.cgi?MassType=1&amp;NumAxis=1&amp;Mod2=170&amp;Mod11=147&amp;Mod13=160&amp;Pep=YKYGYEIPVDMLCKR&amp;Dta=/var/www/html/dta/S01/10559.8048.3.dta&amp;Global_Mod=CS57.0215", "8048")</f>
        <v>8048</v>
      </c>
      <c r="Q731" s="37" t="str">
        <f>HYPERLINK("http://ms.phosphosite.org:5080/cgi-bin/plot-msms.cgi?MassType=1&amp;NumAxis=1&amp;Mod2=170&amp;Mod11=147&amp;Mod13=160&amp;Pep=YKYGYEIPVDMLCKR&amp;Dta=/var/www/html/dta/S01/10560.8063.3.dta&amp;Global_Mod=CS57.0215", "8063")</f>
        <v>8063</v>
      </c>
      <c r="R731" s="37" t="str">
        <f>HYPERLINK("http://ms.phosphosite.org:5080/cgi-bin/plot-msms.cgi?MassType=1&amp;NumAxis=1&amp;Mod2=170&amp;Mod11=147&amp;Mod13=160&amp;Pep=YKYGYEIPVDMLCKR&amp;Dta=/var/www/html/dta/S01/10561.8100.3.dta&amp;Global_Mod=CS57.0215", "8100")</f>
        <v>8100</v>
      </c>
      <c r="S731" s="37" t="str">
        <f>HYPERLINK("http://ms.phosphosite.org:5080/cgi-bin/plot-msms.cgi?MassType=1&amp;NumAxis=1&amp;Mod2=170&amp;Mod11=147&amp;Mod13=160&amp;Pep=YKYGYEIPVDMLCKR&amp;Dta=/var/www/html/dta/S01/10562.8217.3.dta&amp;Global_Mod=CS57.0215", "8217")</f>
        <v>8217</v>
      </c>
      <c r="T731" s="37" t="str">
        <f>HYPERLINK("http://ms.phosphosite.org:5080/cgi-bin/plot-msms.cgi?MassType=1&amp;NumAxis=1&amp;Mod2=170&amp;Mod11=147&amp;Mod13=160&amp;Pep=YKYGYEIPVDMLCKR&amp;Dta=/var/www/html/dta/S01/10563.8193.3.dta&amp;Global_Mod=CS57.0215", "8193")</f>
        <v>8193</v>
      </c>
      <c r="U731" s="38" t="s">
        <v>4854</v>
      </c>
      <c r="V731" s="37" t="str">
        <f>HYPERLINK("http://ms.phosphosite.org:5080/cgi-bin/plot-msms.cgi?MassType=1&amp;NumAxis=1&amp;Mod2=170&amp;Mod11=147&amp;Mod13=160&amp;Pep=YKYGYEIPVDMLCKR&amp;Dta=/var/www/html/dta/S01/10565.8545.3.dta&amp;Global_Mod=CS57.0215", "8545")</f>
        <v>8545</v>
      </c>
      <c r="W731" s="10">
        <v>8106</v>
      </c>
      <c r="X731" s="10">
        <v>8087</v>
      </c>
      <c r="Y731" s="10">
        <v>8071</v>
      </c>
      <c r="Z731" s="10">
        <v>8087</v>
      </c>
      <c r="AA731" s="10">
        <v>8215</v>
      </c>
      <c r="AB731" s="10">
        <v>8191</v>
      </c>
      <c r="AC731" s="4" t="s">
        <v>4854</v>
      </c>
      <c r="AD731" s="10">
        <v>8594</v>
      </c>
      <c r="AE731" s="91">
        <v>2.4489999999999998</v>
      </c>
      <c r="AF731" s="91">
        <v>1.962</v>
      </c>
      <c r="AG731" s="91">
        <v>2.4860000000000002</v>
      </c>
      <c r="AH731" s="91">
        <v>2.4140000000000001</v>
      </c>
      <c r="AI731" s="91">
        <v>2.5529999999999999</v>
      </c>
      <c r="AJ731" s="91">
        <v>2.4279999999999999</v>
      </c>
      <c r="AK731" s="100" t="s">
        <v>4854</v>
      </c>
      <c r="AL731" s="91">
        <v>2.798</v>
      </c>
      <c r="AM731" s="95">
        <v>0.35749999999999998</v>
      </c>
      <c r="AN731" s="95">
        <v>0.54120000000000001</v>
      </c>
      <c r="AO731" s="95">
        <v>0.58630000000000004</v>
      </c>
      <c r="AP731" s="95">
        <v>0.66159999999999997</v>
      </c>
      <c r="AQ731" s="95">
        <v>0.31030000000000002</v>
      </c>
      <c r="AR731" s="95">
        <v>0.52659999999999996</v>
      </c>
      <c r="AS731" s="103" t="s">
        <v>4854</v>
      </c>
      <c r="AT731" s="95">
        <v>-0.18590000000000001</v>
      </c>
      <c r="AU731" s="95">
        <v>0.253</v>
      </c>
      <c r="AV731" s="95">
        <v>0.15</v>
      </c>
      <c r="AW731" s="95">
        <v>0.255</v>
      </c>
      <c r="AX731" s="95">
        <v>0.192</v>
      </c>
      <c r="AY731" s="95">
        <v>0.21299999999999999</v>
      </c>
      <c r="AZ731" s="95">
        <v>0.17899999999999999</v>
      </c>
      <c r="BA731" s="103" t="s">
        <v>4854</v>
      </c>
      <c r="BB731" s="95">
        <v>2.3E-2</v>
      </c>
      <c r="BC731" s="10">
        <v>3</v>
      </c>
      <c r="BD731" s="10">
        <v>1</v>
      </c>
      <c r="BE731" s="10">
        <v>1</v>
      </c>
      <c r="BF731" s="10">
        <v>1</v>
      </c>
      <c r="BG731" s="10">
        <v>1</v>
      </c>
      <c r="BH731" s="10">
        <v>1</v>
      </c>
      <c r="BI731" s="4" t="s">
        <v>4854</v>
      </c>
      <c r="BJ731" s="10">
        <v>1</v>
      </c>
      <c r="BK731" s="91">
        <v>0.998</v>
      </c>
      <c r="BL731" s="91">
        <v>0.98699999999999999</v>
      </c>
      <c r="BM731" s="91">
        <v>0.999</v>
      </c>
      <c r="BN731" s="91">
        <v>0.997</v>
      </c>
      <c r="BO731" s="91">
        <v>0.998</v>
      </c>
      <c r="BP731" s="91">
        <v>0.996</v>
      </c>
      <c r="BQ731" s="100" t="s">
        <v>4854</v>
      </c>
      <c r="BR731" s="91">
        <v>0.97699999999999998</v>
      </c>
      <c r="BS731" s="10" t="s">
        <v>4857</v>
      </c>
    </row>
    <row r="732" spans="1:71" s="30" customFormat="1" ht="17.100000000000001" customHeight="1">
      <c r="A732" s="14">
        <v>721</v>
      </c>
      <c r="B732" s="5" t="s">
        <v>2186</v>
      </c>
      <c r="C732" s="3" t="s">
        <v>4858</v>
      </c>
      <c r="D732" s="3" t="s">
        <v>2178</v>
      </c>
      <c r="E732" s="6" t="s">
        <v>2179</v>
      </c>
      <c r="F732" s="5" t="s">
        <v>5009</v>
      </c>
      <c r="G732" s="3" t="s">
        <v>2180</v>
      </c>
      <c r="H732" s="6" t="s">
        <v>2181</v>
      </c>
      <c r="I732" s="3" t="s">
        <v>2182</v>
      </c>
      <c r="J732" s="5" t="s">
        <v>4669</v>
      </c>
      <c r="K732" s="3" t="s">
        <v>5776</v>
      </c>
      <c r="L732" s="3" t="s">
        <v>2187</v>
      </c>
      <c r="M732" s="5">
        <v>2</v>
      </c>
      <c r="N732" s="21">
        <v>670.34059999999999</v>
      </c>
      <c r="O732" s="36" t="str">
        <f>HYPERLINK("http://ms.phosphosite.org:5080/cgi-bin/plot-msms.cgi?MassType=1&amp;NumAxis=1&amp;Mod10=170&amp;Pep=QTESTSFLEKK&amp;Dta=/var/www/html/dta/S01/10558.5403.2.dta&amp;Global_Mod=CS57.0215", "5403")</f>
        <v>5403</v>
      </c>
      <c r="P732" s="35" t="s">
        <v>4854</v>
      </c>
      <c r="Q732" s="35" t="s">
        <v>4854</v>
      </c>
      <c r="R732" s="35" t="s">
        <v>4854</v>
      </c>
      <c r="S732" s="35" t="s">
        <v>4854</v>
      </c>
      <c r="T732" s="35" t="s">
        <v>4854</v>
      </c>
      <c r="U732" s="36" t="str">
        <f>HYPERLINK("http://ms.phosphosite.org:5080/cgi-bin/plot-msms.cgi?MassType=1&amp;NumAxis=1&amp;Mod10=170&amp;Pep=QTESTSFLEKK&amp;Dta=/var/www/html/dta/S01/10564.5744.2.dta&amp;Global_Mod=CS57.0215", "5744")</f>
        <v>5744</v>
      </c>
      <c r="V732" s="35" t="s">
        <v>4854</v>
      </c>
      <c r="W732" s="5">
        <v>5393</v>
      </c>
      <c r="X732" s="3" t="s">
        <v>4854</v>
      </c>
      <c r="Y732" s="3" t="s">
        <v>4854</v>
      </c>
      <c r="Z732" s="3" t="s">
        <v>4854</v>
      </c>
      <c r="AA732" s="3" t="s">
        <v>4854</v>
      </c>
      <c r="AB732" s="3" t="s">
        <v>4854</v>
      </c>
      <c r="AC732" s="5">
        <v>5715</v>
      </c>
      <c r="AD732" s="3" t="s">
        <v>4854</v>
      </c>
      <c r="AE732" s="90">
        <v>2.0270000000000001</v>
      </c>
      <c r="AF732" s="99" t="s">
        <v>4854</v>
      </c>
      <c r="AG732" s="99" t="s">
        <v>4854</v>
      </c>
      <c r="AH732" s="99" t="s">
        <v>4854</v>
      </c>
      <c r="AI732" s="99" t="s">
        <v>4854</v>
      </c>
      <c r="AJ732" s="99" t="s">
        <v>4854</v>
      </c>
      <c r="AK732" s="90">
        <v>2.5590000000000002</v>
      </c>
      <c r="AL732" s="99" t="s">
        <v>4854</v>
      </c>
      <c r="AM732" s="21">
        <v>0.1148</v>
      </c>
      <c r="AN732" s="102" t="s">
        <v>4854</v>
      </c>
      <c r="AO732" s="102" t="s">
        <v>4854</v>
      </c>
      <c r="AP732" s="102" t="s">
        <v>4854</v>
      </c>
      <c r="AQ732" s="102" t="s">
        <v>4854</v>
      </c>
      <c r="AR732" s="102" t="s">
        <v>4854</v>
      </c>
      <c r="AS732" s="21">
        <v>0.28270000000000001</v>
      </c>
      <c r="AT732" s="102" t="s">
        <v>4854</v>
      </c>
      <c r="AU732" s="21">
        <v>4.5999999999999999E-2</v>
      </c>
      <c r="AV732" s="102" t="s">
        <v>4854</v>
      </c>
      <c r="AW732" s="102" t="s">
        <v>4854</v>
      </c>
      <c r="AX732" s="102" t="s">
        <v>4854</v>
      </c>
      <c r="AY732" s="102" t="s">
        <v>4854</v>
      </c>
      <c r="AZ732" s="102" t="s">
        <v>4854</v>
      </c>
      <c r="BA732" s="21">
        <v>0.13900000000000001</v>
      </c>
      <c r="BB732" s="102" t="s">
        <v>4854</v>
      </c>
      <c r="BC732" s="5">
        <v>4</v>
      </c>
      <c r="BD732" s="3" t="s">
        <v>4854</v>
      </c>
      <c r="BE732" s="3" t="s">
        <v>4854</v>
      </c>
      <c r="BF732" s="3" t="s">
        <v>4854</v>
      </c>
      <c r="BG732" s="3" t="s">
        <v>4854</v>
      </c>
      <c r="BH732" s="3" t="s">
        <v>4854</v>
      </c>
      <c r="BI732" s="5">
        <v>1</v>
      </c>
      <c r="BJ732" s="3" t="s">
        <v>4854</v>
      </c>
      <c r="BK732" s="90">
        <v>0.98899999999999999</v>
      </c>
      <c r="BL732" s="99" t="s">
        <v>4854</v>
      </c>
      <c r="BM732" s="99" t="s">
        <v>4854</v>
      </c>
      <c r="BN732" s="99" t="s">
        <v>4854</v>
      </c>
      <c r="BO732" s="99" t="s">
        <v>4854</v>
      </c>
      <c r="BP732" s="99" t="s">
        <v>4854</v>
      </c>
      <c r="BQ732" s="90">
        <v>0.999</v>
      </c>
      <c r="BR732" s="99" t="s">
        <v>4854</v>
      </c>
      <c r="BS732" s="5" t="s">
        <v>4857</v>
      </c>
    </row>
    <row r="733" spans="1:71" s="30" customFormat="1" ht="17.100000000000001" customHeight="1">
      <c r="A733" s="10">
        <v>722</v>
      </c>
      <c r="B733" s="10" t="s">
        <v>2188</v>
      </c>
      <c r="C733" s="4" t="s">
        <v>4858</v>
      </c>
      <c r="D733" s="4" t="s">
        <v>2189</v>
      </c>
      <c r="E733" s="4" t="s">
        <v>2190</v>
      </c>
      <c r="F733" s="10" t="s">
        <v>5240</v>
      </c>
      <c r="G733" s="4" t="s">
        <v>2191</v>
      </c>
      <c r="H733" s="7" t="s">
        <v>2192</v>
      </c>
      <c r="I733" s="4" t="s">
        <v>2193</v>
      </c>
      <c r="J733" s="10" t="s">
        <v>4841</v>
      </c>
      <c r="K733" s="4" t="s">
        <v>5777</v>
      </c>
      <c r="L733" s="4" t="s">
        <v>2194</v>
      </c>
      <c r="M733" s="10">
        <v>2</v>
      </c>
      <c r="N733" s="95">
        <v>876.46230000000003</v>
      </c>
      <c r="O733" s="37" t="str">
        <f>HYPERLINK("http://ms.phosphosite.org:5080/cgi-bin/plot-msms.cgi?MassType=1&amp;NumAxis=1&amp;Mod9=170&amp;Pep=VVSSSIVDKYIGESAR&amp;Dta=/var/www/html/dta/S01/10558.9460.2.dta&amp;Global_Mod=CS57.0215", "9460")</f>
        <v>9460</v>
      </c>
      <c r="P733" s="38" t="s">
        <v>4854</v>
      </c>
      <c r="Q733" s="38" t="s">
        <v>4854</v>
      </c>
      <c r="R733" s="37" t="str">
        <f>HYPERLINK("http://ms.phosphosite.org:5080/cgi-bin/plot-msms.cgi?MassType=1&amp;NumAxis=1&amp;Mod9=170&amp;Pep=VVSSSIVDKYIGESAR&amp;Dta=/var/www/html/dta/S01/10561.9494.2.dta&amp;Global_Mod=CS57.0215", "9494")</f>
        <v>9494</v>
      </c>
      <c r="S733" s="38" t="s">
        <v>4854</v>
      </c>
      <c r="T733" s="37" t="str">
        <f>HYPERLINK("http://ms.phosphosite.org:5080/cgi-bin/plot-msms.cgi?MassType=1&amp;NumAxis=1&amp;Mod9=170&amp;Pep=VVSSSIVDKYIGESAR&amp;Dta=/var/www/html/dta/S01/10563.9582.2.dta&amp;Global_Mod=CS57.0215", "9582")</f>
        <v>9582</v>
      </c>
      <c r="U733" s="37" t="str">
        <f>HYPERLINK("http://ms.phosphosite.org:5080/cgi-bin/plot-msms.cgi?MassType=1&amp;NumAxis=1&amp;Mod9=170&amp;Pep=VVSSSIVDKYIGESAR&amp;Dta=/var/www/html/dta/S01/10564.10055.2.dta&amp;Global_Mod=CS57.0215", "10055")</f>
        <v>10055</v>
      </c>
      <c r="V733" s="37" t="str">
        <f>HYPERLINK("http://ms.phosphosite.org:5080/cgi-bin/plot-msms.cgi?MassType=1&amp;NumAxis=1&amp;Mod9=170&amp;Pep=VVSSSIVDKYIGESAR&amp;Dta=/var/www/html/dta/S01/10565.10004.2.dta&amp;Global_Mod=CS57.0215", "10004")</f>
        <v>10004</v>
      </c>
      <c r="W733" s="10">
        <v>9470</v>
      </c>
      <c r="X733" s="4" t="s">
        <v>4854</v>
      </c>
      <c r="Y733" s="4" t="s">
        <v>4854</v>
      </c>
      <c r="Z733" s="10">
        <v>9451</v>
      </c>
      <c r="AA733" s="4" t="s">
        <v>4854</v>
      </c>
      <c r="AB733" s="10">
        <v>9566</v>
      </c>
      <c r="AC733" s="10">
        <v>10060</v>
      </c>
      <c r="AD733" s="10">
        <v>10035</v>
      </c>
      <c r="AE733" s="91">
        <v>3.0630000000000002</v>
      </c>
      <c r="AF733" s="100" t="s">
        <v>4854</v>
      </c>
      <c r="AG733" s="100" t="s">
        <v>4854</v>
      </c>
      <c r="AH733" s="91">
        <v>2.6960000000000002</v>
      </c>
      <c r="AI733" s="100" t="s">
        <v>4854</v>
      </c>
      <c r="AJ733" s="91">
        <v>2.9980000000000002</v>
      </c>
      <c r="AK733" s="91">
        <v>3.536</v>
      </c>
      <c r="AL733" s="91">
        <v>4.2770000000000001</v>
      </c>
      <c r="AM733" s="95">
        <v>0.87080000000000002</v>
      </c>
      <c r="AN733" s="103" t="s">
        <v>4854</v>
      </c>
      <c r="AO733" s="103" t="s">
        <v>4854</v>
      </c>
      <c r="AP733" s="95">
        <v>1.5129999999999999</v>
      </c>
      <c r="AQ733" s="103" t="s">
        <v>4854</v>
      </c>
      <c r="AR733" s="95">
        <v>1.2458</v>
      </c>
      <c r="AS733" s="95">
        <v>1.0324</v>
      </c>
      <c r="AT733" s="95">
        <v>0.93989999999999996</v>
      </c>
      <c r="AU733" s="95">
        <v>0.16800000000000001</v>
      </c>
      <c r="AV733" s="103" t="s">
        <v>4854</v>
      </c>
      <c r="AW733" s="103" t="s">
        <v>4854</v>
      </c>
      <c r="AX733" s="95">
        <v>0.22800000000000001</v>
      </c>
      <c r="AY733" s="103" t="s">
        <v>4854</v>
      </c>
      <c r="AZ733" s="95">
        <v>0.28499999999999998</v>
      </c>
      <c r="BA733" s="95">
        <v>0.42199999999999999</v>
      </c>
      <c r="BB733" s="95">
        <v>0.38300000000000001</v>
      </c>
      <c r="BC733" s="10">
        <v>1</v>
      </c>
      <c r="BD733" s="4" t="s">
        <v>4854</v>
      </c>
      <c r="BE733" s="4" t="s">
        <v>4854</v>
      </c>
      <c r="BF733" s="10">
        <v>3</v>
      </c>
      <c r="BG733" s="4" t="s">
        <v>4854</v>
      </c>
      <c r="BH733" s="10">
        <v>1</v>
      </c>
      <c r="BI733" s="10">
        <v>1</v>
      </c>
      <c r="BJ733" s="10">
        <v>1</v>
      </c>
      <c r="BK733" s="91">
        <v>0.998</v>
      </c>
      <c r="BL733" s="100" t="s">
        <v>4854</v>
      </c>
      <c r="BM733" s="100" t="s">
        <v>4854</v>
      </c>
      <c r="BN733" s="91">
        <v>0.99299999999999999</v>
      </c>
      <c r="BO733" s="100" t="s">
        <v>4854</v>
      </c>
      <c r="BP733" s="91">
        <v>0.999</v>
      </c>
      <c r="BQ733" s="91">
        <v>1</v>
      </c>
      <c r="BR733" s="91">
        <v>1</v>
      </c>
      <c r="BS733" s="10" t="s">
        <v>4857</v>
      </c>
    </row>
    <row r="734" spans="1:71" s="30" customFormat="1" ht="17.100000000000001" customHeight="1">
      <c r="A734" s="10">
        <v>723</v>
      </c>
      <c r="B734" s="10" t="s">
        <v>2195</v>
      </c>
      <c r="C734" s="4" t="s">
        <v>4858</v>
      </c>
      <c r="D734" s="4" t="s">
        <v>2189</v>
      </c>
      <c r="E734" s="4" t="s">
        <v>2190</v>
      </c>
      <c r="F734" s="10" t="s">
        <v>5240</v>
      </c>
      <c r="G734" s="4" t="s">
        <v>2191</v>
      </c>
      <c r="H734" s="7" t="s">
        <v>2192</v>
      </c>
      <c r="I734" s="4" t="s">
        <v>2193</v>
      </c>
      <c r="J734" s="10" t="s">
        <v>4841</v>
      </c>
      <c r="K734" s="4" t="s">
        <v>5777</v>
      </c>
      <c r="L734" s="4" t="s">
        <v>2194</v>
      </c>
      <c r="M734" s="10">
        <v>3</v>
      </c>
      <c r="N734" s="95">
        <v>584.64400000000001</v>
      </c>
      <c r="O734" s="37" t="str">
        <f>HYPERLINK("http://ms.phosphosite.org:5080/cgi-bin/plot-msms.cgi?MassType=1&amp;NumAxis=1&amp;Mod9=170&amp;Pep=VVSSSIVDKYIGESAR&amp;Dta=/var/www/html/dta/S01/10558.9442.3.dta&amp;Global_Mod=CS57.0215", "9442")</f>
        <v>9442</v>
      </c>
      <c r="P734" s="37" t="str">
        <f>HYPERLINK("http://ms.phosphosite.org:5080/cgi-bin/plot-msms.cgi?MassType=1&amp;NumAxis=1&amp;Mod9=170&amp;Pep=VVSSSIVDKYIGESAR&amp;Dta=/var/www/html/dta/S01/10559.9400.3.dta&amp;Global_Mod=CS57.0215", "9400")</f>
        <v>9400</v>
      </c>
      <c r="Q734" s="38" t="s">
        <v>4854</v>
      </c>
      <c r="R734" s="37" t="str">
        <f>HYPERLINK("http://ms.phosphosite.org:5080/cgi-bin/plot-msms.cgi?MassType=1&amp;NumAxis=1&amp;Mod9=170&amp;Pep=VVSSSIVDKYIGESAR&amp;Dta=/var/www/html/dta/S01/10561.9423.3.dta&amp;Global_Mod=CS57.0215", "9423")</f>
        <v>9423</v>
      </c>
      <c r="S734" s="38" t="s">
        <v>4854</v>
      </c>
      <c r="T734" s="37" t="str">
        <f>HYPERLINK("http://ms.phosphosite.org:5080/cgi-bin/plot-msms.cgi?MassType=1&amp;NumAxis=1&amp;Mod9=170&amp;Pep=VVSSSIVDKYIGESAR&amp;Dta=/var/www/html/dta/S01/10563.9538.3.dta&amp;Global_Mod=CS57.0215", "9538")</f>
        <v>9538</v>
      </c>
      <c r="U734" s="38" t="s">
        <v>4854</v>
      </c>
      <c r="V734" s="37" t="str">
        <f>HYPERLINK("http://ms.phosphosite.org:5080/cgi-bin/plot-msms.cgi?MassType=1&amp;NumAxis=1&amp;Mod9=170&amp;Pep=VVSSSIVDKYIGESAR&amp;Dta=/var/www/html/dta/S01/10565.10026.3.dta&amp;Global_Mod=CS57.0215", "10026")</f>
        <v>10026</v>
      </c>
      <c r="W734" s="10">
        <v>9459</v>
      </c>
      <c r="X734" s="4" t="s">
        <v>4854</v>
      </c>
      <c r="Y734" s="4" t="s">
        <v>4854</v>
      </c>
      <c r="Z734" s="10">
        <v>9451</v>
      </c>
      <c r="AA734" s="4" t="s">
        <v>4854</v>
      </c>
      <c r="AB734" s="10">
        <v>9566</v>
      </c>
      <c r="AC734" s="4" t="s">
        <v>4854</v>
      </c>
      <c r="AD734" s="10">
        <v>10013</v>
      </c>
      <c r="AE734" s="91">
        <v>3.3420000000000001</v>
      </c>
      <c r="AF734" s="91">
        <v>2.3370000000000002</v>
      </c>
      <c r="AG734" s="100" t="s">
        <v>4854</v>
      </c>
      <c r="AH734" s="91">
        <v>2.7879999999999998</v>
      </c>
      <c r="AI734" s="100" t="s">
        <v>4854</v>
      </c>
      <c r="AJ734" s="91">
        <v>3.0910000000000002</v>
      </c>
      <c r="AK734" s="100" t="s">
        <v>4854</v>
      </c>
      <c r="AL734" s="91">
        <v>3.4620000000000002</v>
      </c>
      <c r="AM734" s="95">
        <v>0.43869999999999998</v>
      </c>
      <c r="AN734" s="95">
        <v>0.70130000000000003</v>
      </c>
      <c r="AO734" s="103" t="s">
        <v>4854</v>
      </c>
      <c r="AP734" s="95">
        <v>0.6825</v>
      </c>
      <c r="AQ734" s="103" t="s">
        <v>4854</v>
      </c>
      <c r="AR734" s="95">
        <v>0.5272</v>
      </c>
      <c r="AS734" s="103" t="s">
        <v>4854</v>
      </c>
      <c r="AT734" s="95">
        <v>0.60650000000000004</v>
      </c>
      <c r="AU734" s="95">
        <v>0.25600000000000001</v>
      </c>
      <c r="AV734" s="95">
        <v>1.2999999999999999E-2</v>
      </c>
      <c r="AW734" s="103" t="s">
        <v>4854</v>
      </c>
      <c r="AX734" s="95">
        <v>0.16700000000000001</v>
      </c>
      <c r="AY734" s="103" t="s">
        <v>4854</v>
      </c>
      <c r="AZ734" s="95">
        <v>0.188</v>
      </c>
      <c r="BA734" s="103" t="s">
        <v>4854</v>
      </c>
      <c r="BB734" s="95">
        <v>0.27100000000000002</v>
      </c>
      <c r="BC734" s="10">
        <v>1</v>
      </c>
      <c r="BD734" s="10">
        <v>14</v>
      </c>
      <c r="BE734" s="4" t="s">
        <v>4854</v>
      </c>
      <c r="BF734" s="10">
        <v>197</v>
      </c>
      <c r="BG734" s="4" t="s">
        <v>4854</v>
      </c>
      <c r="BH734" s="10">
        <v>1</v>
      </c>
      <c r="BI734" s="4" t="s">
        <v>4854</v>
      </c>
      <c r="BJ734" s="10">
        <v>1</v>
      </c>
      <c r="BK734" s="91">
        <v>1</v>
      </c>
      <c r="BL734" s="91">
        <v>0.90300000000000002</v>
      </c>
      <c r="BM734" s="100" t="s">
        <v>4854</v>
      </c>
      <c r="BN734" s="91">
        <v>0.98699999999999999</v>
      </c>
      <c r="BO734" s="100" t="s">
        <v>4854</v>
      </c>
      <c r="BP734" s="91">
        <v>0.998</v>
      </c>
      <c r="BQ734" s="100" t="s">
        <v>4854</v>
      </c>
      <c r="BR734" s="91">
        <v>1</v>
      </c>
      <c r="BS734" s="10" t="s">
        <v>4857</v>
      </c>
    </row>
    <row r="735" spans="1:71" s="30" customFormat="1" ht="17.100000000000001" customHeight="1">
      <c r="A735" s="14">
        <v>724</v>
      </c>
      <c r="B735" s="5" t="s">
        <v>2196</v>
      </c>
      <c r="C735" s="3" t="s">
        <v>4858</v>
      </c>
      <c r="D735" s="3" t="s">
        <v>2197</v>
      </c>
      <c r="E735" s="3" t="s">
        <v>2198</v>
      </c>
      <c r="F735" s="5" t="s">
        <v>5312</v>
      </c>
      <c r="G735" s="3" t="s">
        <v>2199</v>
      </c>
      <c r="H735" s="6" t="s">
        <v>2200</v>
      </c>
      <c r="I735" s="3" t="s">
        <v>2201</v>
      </c>
      <c r="J735" s="5" t="s">
        <v>4845</v>
      </c>
      <c r="K735" s="3" t="s">
        <v>5778</v>
      </c>
      <c r="L735" s="3" t="s">
        <v>2202</v>
      </c>
      <c r="M735" s="5">
        <v>2</v>
      </c>
      <c r="N735" s="21">
        <v>544.28390000000002</v>
      </c>
      <c r="O735" s="35" t="s">
        <v>4854</v>
      </c>
      <c r="P735" s="35" t="s">
        <v>4854</v>
      </c>
      <c r="Q735" s="35" t="s">
        <v>4854</v>
      </c>
      <c r="R735" s="35" t="s">
        <v>4854</v>
      </c>
      <c r="S735" s="35" t="s">
        <v>4854</v>
      </c>
      <c r="T735" s="35" t="s">
        <v>4854</v>
      </c>
      <c r="U735" s="36" t="str">
        <f>HYPERLINK("http://ms.phosphosite.org:5080/cgi-bin/plot-msms.cgi?MassType=1&amp;NumAxis=1&amp;Mod4=170&amp;Pep=IMAKYYTR&amp;Dta=/var/www/html/dta/S01/10564.5053.2.dta&amp;Global_Mod=CS57.0215", "5053")</f>
        <v>5053</v>
      </c>
      <c r="V735" s="35" t="s">
        <v>4854</v>
      </c>
      <c r="W735" s="3" t="s">
        <v>4854</v>
      </c>
      <c r="X735" s="3" t="s">
        <v>4854</v>
      </c>
      <c r="Y735" s="3" t="s">
        <v>4854</v>
      </c>
      <c r="Z735" s="3" t="s">
        <v>4854</v>
      </c>
      <c r="AA735" s="3" t="s">
        <v>4854</v>
      </c>
      <c r="AB735" s="3" t="s">
        <v>4854</v>
      </c>
      <c r="AC735" s="3" t="s">
        <v>4854</v>
      </c>
      <c r="AD735" s="3" t="s">
        <v>4854</v>
      </c>
      <c r="AE735" s="99" t="s">
        <v>4854</v>
      </c>
      <c r="AF735" s="99" t="s">
        <v>4854</v>
      </c>
      <c r="AG735" s="99" t="s">
        <v>4854</v>
      </c>
      <c r="AH735" s="99" t="s">
        <v>4854</v>
      </c>
      <c r="AI735" s="99" t="s">
        <v>4854</v>
      </c>
      <c r="AJ735" s="99" t="s">
        <v>4854</v>
      </c>
      <c r="AK735" s="90">
        <v>1.958</v>
      </c>
      <c r="AL735" s="99" t="s">
        <v>4854</v>
      </c>
      <c r="AM735" s="102" t="s">
        <v>4854</v>
      </c>
      <c r="AN735" s="102" t="s">
        <v>4854</v>
      </c>
      <c r="AO735" s="102" t="s">
        <v>4854</v>
      </c>
      <c r="AP735" s="102" t="s">
        <v>4854</v>
      </c>
      <c r="AQ735" s="102" t="s">
        <v>4854</v>
      </c>
      <c r="AR735" s="102" t="s">
        <v>4854</v>
      </c>
      <c r="AS735" s="21">
        <v>-6.7799999999999999E-2</v>
      </c>
      <c r="AT735" s="102" t="s">
        <v>4854</v>
      </c>
      <c r="AU735" s="102" t="s">
        <v>4854</v>
      </c>
      <c r="AV735" s="102" t="s">
        <v>4854</v>
      </c>
      <c r="AW735" s="102" t="s">
        <v>4854</v>
      </c>
      <c r="AX735" s="102" t="s">
        <v>4854</v>
      </c>
      <c r="AY735" s="102" t="s">
        <v>4854</v>
      </c>
      <c r="AZ735" s="102" t="s">
        <v>4854</v>
      </c>
      <c r="BA735" s="21">
        <v>4.1000000000000002E-2</v>
      </c>
      <c r="BB735" s="102" t="s">
        <v>4854</v>
      </c>
      <c r="BC735" s="3" t="s">
        <v>4854</v>
      </c>
      <c r="BD735" s="3" t="s">
        <v>4854</v>
      </c>
      <c r="BE735" s="3" t="s">
        <v>4854</v>
      </c>
      <c r="BF735" s="3" t="s">
        <v>4854</v>
      </c>
      <c r="BG735" s="3" t="s">
        <v>4854</v>
      </c>
      <c r="BH735" s="3" t="s">
        <v>4854</v>
      </c>
      <c r="BI735" s="5">
        <v>8</v>
      </c>
      <c r="BJ735" s="3" t="s">
        <v>4854</v>
      </c>
      <c r="BK735" s="99" t="s">
        <v>4854</v>
      </c>
      <c r="BL735" s="99" t="s">
        <v>4854</v>
      </c>
      <c r="BM735" s="99" t="s">
        <v>4854</v>
      </c>
      <c r="BN735" s="99" t="s">
        <v>4854</v>
      </c>
      <c r="BO735" s="99" t="s">
        <v>4854</v>
      </c>
      <c r="BP735" s="99" t="s">
        <v>4854</v>
      </c>
      <c r="BQ735" s="90">
        <v>0.93700000000000006</v>
      </c>
      <c r="BR735" s="99" t="s">
        <v>4854</v>
      </c>
      <c r="BS735" s="5" t="s">
        <v>4857</v>
      </c>
    </row>
    <row r="736" spans="1:71" s="30" customFormat="1" ht="17.100000000000001" customHeight="1">
      <c r="A736" s="10">
        <v>725</v>
      </c>
      <c r="B736" s="10" t="s">
        <v>2203</v>
      </c>
      <c r="C736" s="4" t="s">
        <v>4858</v>
      </c>
      <c r="D736" s="7" t="s">
        <v>2204</v>
      </c>
      <c r="E736" s="7" t="s">
        <v>2205</v>
      </c>
      <c r="F736" s="10" t="s">
        <v>4351</v>
      </c>
      <c r="G736" s="4" t="s">
        <v>2206</v>
      </c>
      <c r="H736" s="7" t="s">
        <v>2207</v>
      </c>
      <c r="I736" s="4" t="s">
        <v>2208</v>
      </c>
      <c r="J736" s="10" t="s">
        <v>4664</v>
      </c>
      <c r="K736" s="4" t="s">
        <v>5779</v>
      </c>
      <c r="L736" s="4" t="s">
        <v>2088</v>
      </c>
      <c r="M736" s="10">
        <v>3</v>
      </c>
      <c r="N736" s="95">
        <v>864.05179999999996</v>
      </c>
      <c r="O736" s="37" t="str">
        <f>HYPERLINK("http://ms.phosphosite.org:5080/cgi-bin/plot-msms.cgi?MassType=1&amp;NumAxis=1&amp;Mod1=160&amp;Mod4=170&amp;Mod21=160&amp;Pep=CFEKNEAIQAAHDSVAQEGQCR&amp;Dta=/var/www/html/dta/S01/10558.7177.3.dta&amp;Global_Mod=CS57.0215", "7177")</f>
        <v>7177</v>
      </c>
      <c r="P736" s="37" t="str">
        <f>HYPERLINK("http://ms.phosphosite.org:5080/cgi-bin/plot-msms.cgi?MassType=1&amp;NumAxis=1&amp;Mod1=160&amp;Mod4=170&amp;Mod21=160&amp;Pep=CFEKNEAIQAAHDSVAQEGQCR&amp;Dta=/var/www/html/dta/S01/10559.7160.3.dta&amp;Global_Mod=CS57.0215", "7160")</f>
        <v>7160</v>
      </c>
      <c r="Q736" s="37" t="str">
        <f>HYPERLINK("http://ms.phosphosite.org:5080/cgi-bin/plot-msms.cgi?MassType=1&amp;NumAxis=1&amp;Mod1=160&amp;Mod4=170&amp;Mod21=160&amp;Pep=CFEKNEAIQAAHDSVAQEGQCR&amp;Dta=/var/www/html/dta/S01/10560.7140.3.dta&amp;Global_Mod=CS57.0215", "7140")</f>
        <v>7140</v>
      </c>
      <c r="R736" s="37" t="str">
        <f>HYPERLINK("http://ms.phosphosite.org:5080/cgi-bin/plot-msms.cgi?MassType=1&amp;NumAxis=1&amp;Mod1=160&amp;Mod4=170&amp;Mod21=160&amp;Pep=CFEKNEAIQAAHDSVAQEGQCR&amp;Dta=/var/www/html/dta/S01/10561.7125.3.dta&amp;Global_Mod=CS57.0215", "7125")</f>
        <v>7125</v>
      </c>
      <c r="S736" s="37" t="str">
        <f>HYPERLINK("http://ms.phosphosite.org:5080/cgi-bin/plot-msms.cgi?MassType=1&amp;NumAxis=1&amp;Mod1=160&amp;Mod4=170&amp;Mod21=160&amp;Pep=CFEKNEAIQAAHDSVAQEGQCR&amp;Dta=/var/www/html/dta/S01/10562.7250.3.dta&amp;Global_Mod=CS57.0215", "7250")</f>
        <v>7250</v>
      </c>
      <c r="T736" s="37" t="str">
        <f>HYPERLINK("http://ms.phosphosite.org:5080/cgi-bin/plot-msms.cgi?MassType=1&amp;NumAxis=1&amp;Mod1=160&amp;Mod4=170&amp;Mod21=160&amp;Pep=CFEKNEAIQAAHDSVAQEGQCR&amp;Dta=/var/www/html/dta/S01/10563.7209.3.dta&amp;Global_Mod=CS57.0215", "7209")</f>
        <v>7209</v>
      </c>
      <c r="U736" s="37" t="str">
        <f>HYPERLINK("http://ms.phosphosite.org:5080/cgi-bin/plot-msms.cgi?MassType=1&amp;NumAxis=1&amp;Mod1=160&amp;Mod4=170&amp;Mod21=160&amp;Pep=CFEKNEAIQAAHDSVAQEGQCR&amp;Dta=/var/www/html/dta/S01/10564.7558.3.dta&amp;Global_Mod=CS57.0215", "7558")</f>
        <v>7558</v>
      </c>
      <c r="V736" s="37" t="str">
        <f>HYPERLINK("http://ms.phosphosite.org:5080/cgi-bin/plot-msms.cgi?MassType=1&amp;NumAxis=1&amp;Mod1=160&amp;Mod4=170&amp;Mod21=160&amp;Pep=CFEKNEAIQAAHDSVAQEGQCR&amp;Dta=/var/www/html/dta/S01/10565.7617.3.dta&amp;Global_Mod=CS57.0215", "7617")</f>
        <v>7617</v>
      </c>
      <c r="W736" s="10">
        <v>7204</v>
      </c>
      <c r="X736" s="10">
        <v>7119</v>
      </c>
      <c r="Y736" s="10">
        <v>7114</v>
      </c>
      <c r="Z736" s="10">
        <v>7152</v>
      </c>
      <c r="AA736" s="10">
        <v>7269</v>
      </c>
      <c r="AB736" s="10">
        <v>7245</v>
      </c>
      <c r="AC736" s="10">
        <v>7585</v>
      </c>
      <c r="AD736" s="10">
        <v>7670</v>
      </c>
      <c r="AE736" s="91">
        <v>5.5380000000000003</v>
      </c>
      <c r="AF736" s="91">
        <v>5.4480000000000004</v>
      </c>
      <c r="AG736" s="91">
        <v>5.8220000000000001</v>
      </c>
      <c r="AH736" s="91">
        <v>5.1840000000000002</v>
      </c>
      <c r="AI736" s="91">
        <v>5.6029999999999998</v>
      </c>
      <c r="AJ736" s="91">
        <v>5.22</v>
      </c>
      <c r="AK736" s="91">
        <v>5.28</v>
      </c>
      <c r="AL736" s="91">
        <v>5.6310000000000002</v>
      </c>
      <c r="AM736" s="95">
        <v>0.88119999999999998</v>
      </c>
      <c r="AN736" s="95">
        <v>0.77739999999999998</v>
      </c>
      <c r="AO736" s="95">
        <v>0.74380000000000002</v>
      </c>
      <c r="AP736" s="95">
        <v>0.8468</v>
      </c>
      <c r="AQ736" s="95">
        <v>0.30559999999999998</v>
      </c>
      <c r="AR736" s="95">
        <v>0.47199999999999998</v>
      </c>
      <c r="AS736" s="95">
        <v>0.72829999999999995</v>
      </c>
      <c r="AT736" s="95">
        <v>0.4955</v>
      </c>
      <c r="AU736" s="95">
        <v>0.55500000000000005</v>
      </c>
      <c r="AV736" s="95">
        <v>0.53</v>
      </c>
      <c r="AW736" s="95">
        <v>0.60399999999999998</v>
      </c>
      <c r="AX736" s="95">
        <v>0.49299999999999999</v>
      </c>
      <c r="AY736" s="95">
        <v>0.55600000000000005</v>
      </c>
      <c r="AZ736" s="95">
        <v>0.53800000000000003</v>
      </c>
      <c r="BA736" s="95">
        <v>0.59299999999999997</v>
      </c>
      <c r="BB736" s="95">
        <v>0.53200000000000003</v>
      </c>
      <c r="BC736" s="10">
        <v>1</v>
      </c>
      <c r="BD736" s="10">
        <v>1</v>
      </c>
      <c r="BE736" s="10">
        <v>1</v>
      </c>
      <c r="BF736" s="10">
        <v>1</v>
      </c>
      <c r="BG736" s="10">
        <v>1</v>
      </c>
      <c r="BH736" s="10">
        <v>1</v>
      </c>
      <c r="BI736" s="10">
        <v>1</v>
      </c>
      <c r="BJ736" s="10">
        <v>1</v>
      </c>
      <c r="BK736" s="91">
        <v>1</v>
      </c>
      <c r="BL736" s="91">
        <v>1</v>
      </c>
      <c r="BM736" s="91">
        <v>1</v>
      </c>
      <c r="BN736" s="91">
        <v>1</v>
      </c>
      <c r="BO736" s="91">
        <v>1</v>
      </c>
      <c r="BP736" s="91">
        <v>1</v>
      </c>
      <c r="BQ736" s="91">
        <v>1</v>
      </c>
      <c r="BR736" s="91">
        <v>1</v>
      </c>
      <c r="BS736" s="10" t="s">
        <v>4857</v>
      </c>
    </row>
    <row r="737" spans="1:71" s="30" customFormat="1" ht="17.100000000000001" customHeight="1">
      <c r="A737" s="10">
        <v>726</v>
      </c>
      <c r="B737" s="10" t="s">
        <v>2089</v>
      </c>
      <c r="C737" s="4" t="s">
        <v>4858</v>
      </c>
      <c r="D737" s="7" t="s">
        <v>2204</v>
      </c>
      <c r="E737" s="7" t="s">
        <v>2205</v>
      </c>
      <c r="F737" s="10" t="s">
        <v>4351</v>
      </c>
      <c r="G737" s="4" t="s">
        <v>2206</v>
      </c>
      <c r="H737" s="7" t="s">
        <v>2207</v>
      </c>
      <c r="I737" s="4" t="s">
        <v>2208</v>
      </c>
      <c r="J737" s="10" t="s">
        <v>4664</v>
      </c>
      <c r="K737" s="4" t="s">
        <v>5779</v>
      </c>
      <c r="L737" s="4" t="s">
        <v>2088</v>
      </c>
      <c r="M737" s="10">
        <v>3</v>
      </c>
      <c r="N737" s="95">
        <v>864.05179999999996</v>
      </c>
      <c r="O737" s="37" t="str">
        <f>HYPERLINK("http://ms.phosphosite.org:5080/cgi-bin/plot-msms.cgi?MassType=1&amp;NumAxis=1&amp;Mod1=160&amp;Mod4=170&amp;Mod21=160&amp;Pep=CFEKNEAIQAAHDSVAQEGQCR&amp;Dta=/var/www/html/dta/S01/10558.7167.3.dta&amp;Global_Mod=CS57.0215", "7167")</f>
        <v>7167</v>
      </c>
      <c r="P737" s="37" t="str">
        <f>HYPERLINK("http://ms.phosphosite.org:5080/cgi-bin/plot-msms.cgi?MassType=1&amp;NumAxis=1&amp;Mod1=160&amp;Mod4=170&amp;Mod21=160&amp;Pep=CFEKNEAIQAAHDSVAQEGQCR&amp;Dta=/var/www/html/dta/S01/10559.7100.3.dta&amp;Global_Mod=CS57.0215", "7100")</f>
        <v>7100</v>
      </c>
      <c r="Q737" s="37" t="str">
        <f>HYPERLINK("http://ms.phosphosite.org:5080/cgi-bin/plot-msms.cgi?MassType=1&amp;NumAxis=1&amp;Mod1=160&amp;Mod4=170&amp;Mod21=160&amp;Pep=CFEKNEAIQAAHDSVAQEGQCR&amp;Dta=/var/www/html/dta/S01/10560.7085.3.dta&amp;Global_Mod=CS57.0215", "7085")</f>
        <v>7085</v>
      </c>
      <c r="R737" s="37" t="str">
        <f>HYPERLINK("http://ms.phosphosite.org:5080/cgi-bin/plot-msms.cgi?MassType=1&amp;NumAxis=1&amp;Mod1=160&amp;Mod4=170&amp;Mod21=160&amp;Pep=CFEKNEAIQAAHDSVAQEGQCR&amp;Dta=/var/www/html/dta/S01/10561.7205.3.dta&amp;Global_Mod=CS57.0215", "7205")</f>
        <v>7205</v>
      </c>
      <c r="S737" s="38" t="s">
        <v>4854</v>
      </c>
      <c r="T737" s="37" t="str">
        <f>HYPERLINK("http://ms.phosphosite.org:5080/cgi-bin/plot-msms.cgi?MassType=1&amp;NumAxis=1&amp;Mod1=160&amp;Mod4=170&amp;Mod21=160&amp;Pep=CFEKNEAIQAAHDSVAQEGQCR&amp;Dta=/var/www/html/dta/S01/10563.7200.3.dta&amp;Global_Mod=CS57.0215", "7200")</f>
        <v>7200</v>
      </c>
      <c r="U737" s="37" t="str">
        <f>HYPERLINK("http://ms.phosphosite.org:5080/cgi-bin/plot-msms.cgi?MassType=1&amp;NumAxis=1&amp;Mod1=160&amp;Mod4=170&amp;Mod21=160&amp;Pep=CFEKNEAIQAAHDSVAQEGQCR&amp;Dta=/var/www/html/dta/S01/10564.7546.3.dta&amp;Global_Mod=CS57.0215", "7546")</f>
        <v>7546</v>
      </c>
      <c r="V737" s="38" t="s">
        <v>4854</v>
      </c>
      <c r="W737" s="10">
        <v>7204</v>
      </c>
      <c r="X737" s="10">
        <v>7119</v>
      </c>
      <c r="Y737" s="10">
        <v>7114</v>
      </c>
      <c r="Z737" s="10">
        <v>7152</v>
      </c>
      <c r="AA737" s="4" t="s">
        <v>4854</v>
      </c>
      <c r="AB737" s="10">
        <v>7245</v>
      </c>
      <c r="AC737" s="10">
        <v>7585</v>
      </c>
      <c r="AD737" s="4" t="s">
        <v>4854</v>
      </c>
      <c r="AE737" s="91">
        <v>4.8140000000000001</v>
      </c>
      <c r="AF737" s="91">
        <v>4.8460000000000001</v>
      </c>
      <c r="AG737" s="91">
        <v>5.6459999999999999</v>
      </c>
      <c r="AH737" s="91">
        <v>4.5880000000000001</v>
      </c>
      <c r="AI737" s="100" t="s">
        <v>4854</v>
      </c>
      <c r="AJ737" s="91">
        <v>4.1829999999999998</v>
      </c>
      <c r="AK737" s="91">
        <v>4.0880000000000001</v>
      </c>
      <c r="AL737" s="100" t="s">
        <v>4854</v>
      </c>
      <c r="AM737" s="95">
        <v>0.88119999999999998</v>
      </c>
      <c r="AN737" s="95">
        <v>0.77739999999999998</v>
      </c>
      <c r="AO737" s="95">
        <v>0.71250000000000002</v>
      </c>
      <c r="AP737" s="95">
        <v>0.8468</v>
      </c>
      <c r="AQ737" s="103" t="s">
        <v>4854</v>
      </c>
      <c r="AR737" s="95">
        <v>0.47199999999999998</v>
      </c>
      <c r="AS737" s="95">
        <v>0.72829999999999995</v>
      </c>
      <c r="AT737" s="103" t="s">
        <v>4854</v>
      </c>
      <c r="AU737" s="95">
        <v>0.46700000000000003</v>
      </c>
      <c r="AV737" s="95">
        <v>0.47099999999999997</v>
      </c>
      <c r="AW737" s="95">
        <v>0.497</v>
      </c>
      <c r="AX737" s="95">
        <v>0.503</v>
      </c>
      <c r="AY737" s="103" t="s">
        <v>4854</v>
      </c>
      <c r="AZ737" s="95">
        <v>0.48499999999999999</v>
      </c>
      <c r="BA737" s="95">
        <v>0.33300000000000002</v>
      </c>
      <c r="BB737" s="103" t="s">
        <v>4854</v>
      </c>
      <c r="BC737" s="10">
        <v>1</v>
      </c>
      <c r="BD737" s="10">
        <v>1</v>
      </c>
      <c r="BE737" s="10">
        <v>1</v>
      </c>
      <c r="BF737" s="10">
        <v>1</v>
      </c>
      <c r="BG737" s="4" t="s">
        <v>4854</v>
      </c>
      <c r="BH737" s="10">
        <v>1</v>
      </c>
      <c r="BI737" s="10">
        <v>1</v>
      </c>
      <c r="BJ737" s="4" t="s">
        <v>4854</v>
      </c>
      <c r="BK737" s="91">
        <v>1</v>
      </c>
      <c r="BL737" s="91">
        <v>1</v>
      </c>
      <c r="BM737" s="91">
        <v>1</v>
      </c>
      <c r="BN737" s="91">
        <v>1</v>
      </c>
      <c r="BO737" s="100" t="s">
        <v>4854</v>
      </c>
      <c r="BP737" s="91">
        <v>1</v>
      </c>
      <c r="BQ737" s="91">
        <v>1</v>
      </c>
      <c r="BR737" s="100" t="s">
        <v>4854</v>
      </c>
      <c r="BS737" s="10" t="s">
        <v>4857</v>
      </c>
    </row>
    <row r="738" spans="1:71" s="30" customFormat="1" ht="17.100000000000001" customHeight="1">
      <c r="A738" s="14">
        <v>727</v>
      </c>
      <c r="B738" s="5" t="s">
        <v>2090</v>
      </c>
      <c r="C738" s="3" t="s">
        <v>4858</v>
      </c>
      <c r="D738" s="6" t="s">
        <v>2204</v>
      </c>
      <c r="E738" s="6" t="s">
        <v>2205</v>
      </c>
      <c r="F738" s="5" t="s">
        <v>4556</v>
      </c>
      <c r="G738" s="3" t="s">
        <v>2206</v>
      </c>
      <c r="H738" s="6" t="s">
        <v>2207</v>
      </c>
      <c r="I738" s="3" t="s">
        <v>2208</v>
      </c>
      <c r="J738" s="5" t="s">
        <v>4664</v>
      </c>
      <c r="K738" s="3" t="s">
        <v>5780</v>
      </c>
      <c r="L738" s="3" t="s">
        <v>2091</v>
      </c>
      <c r="M738" s="5">
        <v>2</v>
      </c>
      <c r="N738" s="21">
        <v>763.9067</v>
      </c>
      <c r="O738" s="36" t="str">
        <f>HYPERLINK("http://ms.phosphosite.org:5080/cgi-bin/plot-msms.cgi?MassType=1&amp;NumAxis=1&amp;Mod6=170&amp;Pep=QIEELKGQEVSPK&amp;Dta=/var/www/html/dta/S01/10558.4937.2.dta&amp;Global_Mod=CS57.0215", "4937")</f>
        <v>4937</v>
      </c>
      <c r="P738" s="36" t="str">
        <f>HYPERLINK("http://ms.phosphosite.org:5080/cgi-bin/plot-msms.cgi?MassType=1&amp;NumAxis=1&amp;Mod6=170&amp;Pep=QIEELKGQEVSPK&amp;Dta=/var/www/html/dta/S01/10559.4865.2.dta&amp;Global_Mod=CS57.0215", "4865")</f>
        <v>4865</v>
      </c>
      <c r="Q738" s="36" t="str">
        <f>HYPERLINK("http://ms.phosphosite.org:5080/cgi-bin/plot-msms.cgi?MassType=1&amp;NumAxis=1&amp;Mod6=170&amp;Pep=QIEELKGQEVSPK&amp;Dta=/var/www/html/dta/S01/10560.4871.2.dta&amp;Global_Mod=CS57.0215", "4871")</f>
        <v>4871</v>
      </c>
      <c r="R738" s="36" t="str">
        <f>HYPERLINK("http://ms.phosphosite.org:5080/cgi-bin/plot-msms.cgi?MassType=1&amp;NumAxis=1&amp;Mod6=170&amp;Pep=QIEELKGQEVSPK&amp;Dta=/var/www/html/dta/S01/10561.4892.2.dta&amp;Global_Mod=CS57.0215", "4892")</f>
        <v>4892</v>
      </c>
      <c r="S738" s="36" t="str">
        <f>HYPERLINK("http://ms.phosphosite.org:5080/cgi-bin/plot-msms.cgi?MassType=1&amp;NumAxis=1&amp;Mod6=170&amp;Pep=QIEELKGQEVSPK&amp;Dta=/var/www/html/dta/S01/10562.4987.2.dta&amp;Global_Mod=CS57.0215", "4987")</f>
        <v>4987</v>
      </c>
      <c r="T738" s="36" t="str">
        <f>HYPERLINK("http://ms.phosphosite.org:5080/cgi-bin/plot-msms.cgi?MassType=1&amp;NumAxis=1&amp;Mod6=170&amp;Pep=QIEELKGQEVSPK&amp;Dta=/var/www/html/dta/S01/10563.4938.2.dta&amp;Global_Mod=CS57.0215", "4938")</f>
        <v>4938</v>
      </c>
      <c r="U738" s="36" t="str">
        <f>HYPERLINK("http://ms.phosphosite.org:5080/cgi-bin/plot-msms.cgi?MassType=1&amp;NumAxis=1&amp;Mod6=170&amp;Pep=QIEELKGQEVSPK&amp;Dta=/var/www/html/dta/S01/10564.5254.2.dta&amp;Global_Mod=CS57.0215", "5254")</f>
        <v>5254</v>
      </c>
      <c r="V738" s="36" t="str">
        <f>HYPERLINK("http://ms.phosphosite.org:5080/cgi-bin/plot-msms.cgi?MassType=1&amp;NumAxis=1&amp;Mod6=170&amp;Pep=QIEELKGQEVSPK&amp;Dta=/var/www/html/dta/S01/10565.5341.2.dta&amp;Global_Mod=CS57.0215", "5341")</f>
        <v>5341</v>
      </c>
      <c r="W738" s="5">
        <v>4966</v>
      </c>
      <c r="X738" s="5">
        <v>4899</v>
      </c>
      <c r="Y738" s="5">
        <v>4903</v>
      </c>
      <c r="Z738" s="5">
        <v>4930</v>
      </c>
      <c r="AA738" s="5">
        <v>5032</v>
      </c>
      <c r="AB738" s="5">
        <v>4958</v>
      </c>
      <c r="AC738" s="5">
        <v>5275</v>
      </c>
      <c r="AD738" s="5">
        <v>5372</v>
      </c>
      <c r="AE738" s="90">
        <v>3.6320000000000001</v>
      </c>
      <c r="AF738" s="90">
        <v>3.5470000000000002</v>
      </c>
      <c r="AG738" s="90">
        <v>3.4889999999999999</v>
      </c>
      <c r="AH738" s="90">
        <v>3.637</v>
      </c>
      <c r="AI738" s="90">
        <v>3.2549999999999999</v>
      </c>
      <c r="AJ738" s="90">
        <v>3.7149999999999999</v>
      </c>
      <c r="AK738" s="90">
        <v>2.8969999999999998</v>
      </c>
      <c r="AL738" s="90">
        <v>2.9620000000000002</v>
      </c>
      <c r="AM738" s="21">
        <v>0.58420000000000005</v>
      </c>
      <c r="AN738" s="21">
        <v>0.34189999999999998</v>
      </c>
      <c r="AO738" s="21">
        <v>0.60980000000000001</v>
      </c>
      <c r="AP738" s="21">
        <v>0.71519999999999995</v>
      </c>
      <c r="AQ738" s="21">
        <v>0.5534</v>
      </c>
      <c r="AR738" s="21">
        <v>0.66410000000000002</v>
      </c>
      <c r="AS738" s="21">
        <v>0.1067</v>
      </c>
      <c r="AT738" s="21">
        <v>-4.3200000000000002E-2</v>
      </c>
      <c r="AU738" s="21">
        <v>0.39500000000000002</v>
      </c>
      <c r="AV738" s="21">
        <v>0.373</v>
      </c>
      <c r="AW738" s="21">
        <v>0.41699999999999998</v>
      </c>
      <c r="AX738" s="21">
        <v>0.43</v>
      </c>
      <c r="AY738" s="21">
        <v>0.39900000000000002</v>
      </c>
      <c r="AZ738" s="21">
        <v>0.41899999999999998</v>
      </c>
      <c r="BA738" s="21">
        <v>0.373</v>
      </c>
      <c r="BB738" s="21">
        <v>0.34599999999999997</v>
      </c>
      <c r="BC738" s="5">
        <v>1</v>
      </c>
      <c r="BD738" s="5">
        <v>1</v>
      </c>
      <c r="BE738" s="5">
        <v>1</v>
      </c>
      <c r="BF738" s="5">
        <v>1</v>
      </c>
      <c r="BG738" s="5">
        <v>1</v>
      </c>
      <c r="BH738" s="5">
        <v>1</v>
      </c>
      <c r="BI738" s="5">
        <v>1</v>
      </c>
      <c r="BJ738" s="5">
        <v>1</v>
      </c>
      <c r="BK738" s="90">
        <v>1</v>
      </c>
      <c r="BL738" s="90">
        <v>1</v>
      </c>
      <c r="BM738" s="90">
        <v>1</v>
      </c>
      <c r="BN738" s="90">
        <v>1</v>
      </c>
      <c r="BO738" s="90">
        <v>1</v>
      </c>
      <c r="BP738" s="90">
        <v>1</v>
      </c>
      <c r="BQ738" s="90">
        <v>1</v>
      </c>
      <c r="BR738" s="90">
        <v>1</v>
      </c>
      <c r="BS738" s="5" t="s">
        <v>4857</v>
      </c>
    </row>
    <row r="739" spans="1:71" s="30" customFormat="1" ht="17.100000000000001" customHeight="1">
      <c r="A739" s="14">
        <v>728</v>
      </c>
      <c r="B739" s="5" t="s">
        <v>2092</v>
      </c>
      <c r="C739" s="3" t="s">
        <v>4858</v>
      </c>
      <c r="D739" s="6" t="s">
        <v>2204</v>
      </c>
      <c r="E739" s="6" t="s">
        <v>2205</v>
      </c>
      <c r="F739" s="5" t="s">
        <v>4556</v>
      </c>
      <c r="G739" s="3" t="s">
        <v>2206</v>
      </c>
      <c r="H739" s="6" t="s">
        <v>2207</v>
      </c>
      <c r="I739" s="3" t="s">
        <v>2208</v>
      </c>
      <c r="J739" s="5" t="s">
        <v>4664</v>
      </c>
      <c r="K739" s="3" t="s">
        <v>5780</v>
      </c>
      <c r="L739" s="3" t="s">
        <v>2091</v>
      </c>
      <c r="M739" s="5">
        <v>2</v>
      </c>
      <c r="N739" s="21">
        <v>763.9067</v>
      </c>
      <c r="O739" s="35" t="s">
        <v>4854</v>
      </c>
      <c r="P739" s="35" t="s">
        <v>4854</v>
      </c>
      <c r="Q739" s="35" t="s">
        <v>4854</v>
      </c>
      <c r="R739" s="36" t="str">
        <f>HYPERLINK("http://ms.phosphosite.org:5080/cgi-bin/plot-msms.cgi?MassType=1&amp;NumAxis=1&amp;Mod6=170&amp;Pep=QIEELKGQEVSPK&amp;Dta=/var/www/html/dta/S01/10561.4976.2.dta&amp;Global_Mod=CS57.0215", "4976")</f>
        <v>4976</v>
      </c>
      <c r="S739" s="35" t="s">
        <v>4854</v>
      </c>
      <c r="T739" s="35" t="s">
        <v>4854</v>
      </c>
      <c r="U739" s="35" t="s">
        <v>4854</v>
      </c>
      <c r="V739" s="35" t="s">
        <v>4854</v>
      </c>
      <c r="W739" s="3" t="s">
        <v>4854</v>
      </c>
      <c r="X739" s="3" t="s">
        <v>4854</v>
      </c>
      <c r="Y739" s="3" t="s">
        <v>4854</v>
      </c>
      <c r="Z739" s="5">
        <v>4930</v>
      </c>
      <c r="AA739" s="3" t="s">
        <v>4854</v>
      </c>
      <c r="AB739" s="3" t="s">
        <v>4854</v>
      </c>
      <c r="AC739" s="3" t="s">
        <v>4854</v>
      </c>
      <c r="AD739" s="3" t="s">
        <v>4854</v>
      </c>
      <c r="AE739" s="99" t="s">
        <v>4854</v>
      </c>
      <c r="AF739" s="99" t="s">
        <v>4854</v>
      </c>
      <c r="AG739" s="99" t="s">
        <v>4854</v>
      </c>
      <c r="AH739" s="90">
        <v>2.9809999999999999</v>
      </c>
      <c r="AI739" s="99" t="s">
        <v>4854</v>
      </c>
      <c r="AJ739" s="99" t="s">
        <v>4854</v>
      </c>
      <c r="AK739" s="99" t="s">
        <v>4854</v>
      </c>
      <c r="AL739" s="99" t="s">
        <v>4854</v>
      </c>
      <c r="AM739" s="102" t="s">
        <v>4854</v>
      </c>
      <c r="AN739" s="102" t="s">
        <v>4854</v>
      </c>
      <c r="AO739" s="102" t="s">
        <v>4854</v>
      </c>
      <c r="AP739" s="21">
        <v>0.71519999999999995</v>
      </c>
      <c r="AQ739" s="102" t="s">
        <v>4854</v>
      </c>
      <c r="AR739" s="102" t="s">
        <v>4854</v>
      </c>
      <c r="AS739" s="102" t="s">
        <v>4854</v>
      </c>
      <c r="AT739" s="102" t="s">
        <v>4854</v>
      </c>
      <c r="AU739" s="102" t="s">
        <v>4854</v>
      </c>
      <c r="AV739" s="102" t="s">
        <v>4854</v>
      </c>
      <c r="AW739" s="102" t="s">
        <v>4854</v>
      </c>
      <c r="AX739" s="21">
        <v>0.34499999999999997</v>
      </c>
      <c r="AY739" s="102" t="s">
        <v>4854</v>
      </c>
      <c r="AZ739" s="102" t="s">
        <v>4854</v>
      </c>
      <c r="BA739" s="102" t="s">
        <v>4854</v>
      </c>
      <c r="BB739" s="102" t="s">
        <v>4854</v>
      </c>
      <c r="BC739" s="3" t="s">
        <v>4854</v>
      </c>
      <c r="BD739" s="3" t="s">
        <v>4854</v>
      </c>
      <c r="BE739" s="3" t="s">
        <v>4854</v>
      </c>
      <c r="BF739" s="5">
        <v>1</v>
      </c>
      <c r="BG739" s="3" t="s">
        <v>4854</v>
      </c>
      <c r="BH739" s="3" t="s">
        <v>4854</v>
      </c>
      <c r="BI739" s="3" t="s">
        <v>4854</v>
      </c>
      <c r="BJ739" s="3" t="s">
        <v>4854</v>
      </c>
      <c r="BK739" s="99" t="s">
        <v>4854</v>
      </c>
      <c r="BL739" s="99" t="s">
        <v>4854</v>
      </c>
      <c r="BM739" s="99" t="s">
        <v>4854</v>
      </c>
      <c r="BN739" s="90">
        <v>1</v>
      </c>
      <c r="BO739" s="99" t="s">
        <v>4854</v>
      </c>
      <c r="BP739" s="99" t="s">
        <v>4854</v>
      </c>
      <c r="BQ739" s="99" t="s">
        <v>4854</v>
      </c>
      <c r="BR739" s="99" t="s">
        <v>4854</v>
      </c>
      <c r="BS739" s="5" t="s">
        <v>4857</v>
      </c>
    </row>
    <row r="740" spans="1:71" s="30" customFormat="1" ht="17.100000000000001" customHeight="1">
      <c r="A740" s="14">
        <v>729</v>
      </c>
      <c r="B740" s="5" t="s">
        <v>2093</v>
      </c>
      <c r="C740" s="3" t="s">
        <v>4858</v>
      </c>
      <c r="D740" s="6" t="s">
        <v>2204</v>
      </c>
      <c r="E740" s="6" t="s">
        <v>2205</v>
      </c>
      <c r="F740" s="5" t="s">
        <v>4556</v>
      </c>
      <c r="G740" s="3" t="s">
        <v>2206</v>
      </c>
      <c r="H740" s="6" t="s">
        <v>2207</v>
      </c>
      <c r="I740" s="3" t="s">
        <v>2208</v>
      </c>
      <c r="J740" s="5" t="s">
        <v>4664</v>
      </c>
      <c r="K740" s="3" t="s">
        <v>5780</v>
      </c>
      <c r="L740" s="3" t="s">
        <v>2091</v>
      </c>
      <c r="M740" s="5">
        <v>3</v>
      </c>
      <c r="N740" s="21">
        <v>509.6069</v>
      </c>
      <c r="O740" s="36" t="str">
        <f>HYPERLINK("http://ms.phosphosite.org:5080/cgi-bin/plot-msms.cgi?MassType=1&amp;NumAxis=1&amp;Mod6=170&amp;Pep=QIEELKGQEVSPK&amp;Dta=/var/www/html/dta/S01/10558.4951.3.dta&amp;Global_Mod=CS57.0215", "4951")</f>
        <v>4951</v>
      </c>
      <c r="P740" s="36" t="str">
        <f>HYPERLINK("http://ms.phosphosite.org:5080/cgi-bin/plot-msms.cgi?MassType=1&amp;NumAxis=1&amp;Mod6=170&amp;Pep=QIEELKGQEVSPK&amp;Dta=/var/www/html/dta/S01/10559.4882.3.dta&amp;Global_Mod=CS57.0215", "4882")</f>
        <v>4882</v>
      </c>
      <c r="Q740" s="36" t="str">
        <f>HYPERLINK("http://ms.phosphosite.org:5080/cgi-bin/plot-msms.cgi?MassType=1&amp;NumAxis=1&amp;Mod6=170&amp;Pep=QIEELKGQEVSPK&amp;Dta=/var/www/html/dta/S01/10560.4868.3.dta&amp;Global_Mod=CS57.0215", "4868")</f>
        <v>4868</v>
      </c>
      <c r="R740" s="36" t="str">
        <f>HYPERLINK("http://ms.phosphosite.org:5080/cgi-bin/plot-msms.cgi?MassType=1&amp;NumAxis=1&amp;Mod6=170&amp;Pep=QIEELKGQEVSPK&amp;Dta=/var/www/html/dta/S01/10561.4906.3.dta&amp;Global_Mod=CS57.0215", "4906")</f>
        <v>4906</v>
      </c>
      <c r="S740" s="36" t="str">
        <f>HYPERLINK("http://ms.phosphosite.org:5080/cgi-bin/plot-msms.cgi?MassType=1&amp;NumAxis=1&amp;Mod6=170&amp;Pep=QIEELKGQEVSPK&amp;Dta=/var/www/html/dta/S01/10562.5009.3.dta&amp;Global_Mod=CS57.0215", "5009")</f>
        <v>5009</v>
      </c>
      <c r="T740" s="36" t="str">
        <f>HYPERLINK("http://ms.phosphosite.org:5080/cgi-bin/plot-msms.cgi?MassType=1&amp;NumAxis=1&amp;Mod6=170&amp;Pep=QIEELKGQEVSPK&amp;Dta=/var/www/html/dta/S01/10563.4932.3.dta&amp;Global_Mod=CS57.0215", "4932")</f>
        <v>4932</v>
      </c>
      <c r="U740" s="36" t="str">
        <f>HYPERLINK("http://ms.phosphosite.org:5080/cgi-bin/plot-msms.cgi?MassType=1&amp;NumAxis=1&amp;Mod6=170&amp;Pep=QIEELKGQEVSPK&amp;Dta=/var/www/html/dta/S01/10564.5269.3.dta&amp;Global_Mod=CS57.0215", "5269")</f>
        <v>5269</v>
      </c>
      <c r="V740" s="36" t="str">
        <f>HYPERLINK("http://ms.phosphosite.org:5080/cgi-bin/plot-msms.cgi?MassType=1&amp;NumAxis=1&amp;Mod6=170&amp;Pep=QIEELKGQEVSPK&amp;Dta=/var/www/html/dta/S01/10565.5357.3.dta&amp;Global_Mod=CS57.0215", "5357")</f>
        <v>5357</v>
      </c>
      <c r="W740" s="5">
        <v>4955</v>
      </c>
      <c r="X740" s="5">
        <v>4910</v>
      </c>
      <c r="Y740" s="5">
        <v>4881</v>
      </c>
      <c r="Z740" s="5">
        <v>4930</v>
      </c>
      <c r="AA740" s="5">
        <v>5021</v>
      </c>
      <c r="AB740" s="5">
        <v>4947</v>
      </c>
      <c r="AC740" s="5">
        <v>5275</v>
      </c>
      <c r="AD740" s="5">
        <v>5383</v>
      </c>
      <c r="AE740" s="90">
        <v>3.8740000000000001</v>
      </c>
      <c r="AF740" s="90">
        <v>3.2770000000000001</v>
      </c>
      <c r="AG740" s="90">
        <v>3.99</v>
      </c>
      <c r="AH740" s="90">
        <v>3.9169999999999998</v>
      </c>
      <c r="AI740" s="90">
        <v>3.5409999999999999</v>
      </c>
      <c r="AJ740" s="90">
        <v>3.9129999999999998</v>
      </c>
      <c r="AK740" s="90">
        <v>4.1360000000000001</v>
      </c>
      <c r="AL740" s="90">
        <v>4.2140000000000004</v>
      </c>
      <c r="AM740" s="21">
        <v>0.26129999999999998</v>
      </c>
      <c r="AN740" s="21">
        <v>9.0399999999999994E-2</v>
      </c>
      <c r="AO740" s="21">
        <v>0.10150000000000001</v>
      </c>
      <c r="AP740" s="21">
        <v>0.39029999999999998</v>
      </c>
      <c r="AQ740" s="21">
        <v>0.20039999999999999</v>
      </c>
      <c r="AR740" s="21">
        <v>0.38640000000000002</v>
      </c>
      <c r="AS740" s="21">
        <v>-0.14610000000000001</v>
      </c>
      <c r="AT740" s="21">
        <v>-6.88E-2</v>
      </c>
      <c r="AU740" s="21">
        <v>0.218</v>
      </c>
      <c r="AV740" s="21">
        <v>0.25600000000000001</v>
      </c>
      <c r="AW740" s="21">
        <v>0.247</v>
      </c>
      <c r="AX740" s="21">
        <v>0.30099999999999999</v>
      </c>
      <c r="AY740" s="21">
        <v>0.29099999999999998</v>
      </c>
      <c r="AZ740" s="21">
        <v>0.22900000000000001</v>
      </c>
      <c r="BA740" s="21">
        <v>0.32500000000000001</v>
      </c>
      <c r="BB740" s="21">
        <v>0.25700000000000001</v>
      </c>
      <c r="BC740" s="5">
        <v>1</v>
      </c>
      <c r="BD740" s="5">
        <v>3</v>
      </c>
      <c r="BE740" s="5">
        <v>1</v>
      </c>
      <c r="BF740" s="5">
        <v>1</v>
      </c>
      <c r="BG740" s="5">
        <v>1</v>
      </c>
      <c r="BH740" s="5">
        <v>2</v>
      </c>
      <c r="BI740" s="5">
        <v>1</v>
      </c>
      <c r="BJ740" s="5">
        <v>1</v>
      </c>
      <c r="BK740" s="90">
        <v>1</v>
      </c>
      <c r="BL740" s="90">
        <v>1</v>
      </c>
      <c r="BM740" s="90">
        <v>1</v>
      </c>
      <c r="BN740" s="90">
        <v>1</v>
      </c>
      <c r="BO740" s="90">
        <v>1</v>
      </c>
      <c r="BP740" s="90">
        <v>1</v>
      </c>
      <c r="BQ740" s="90">
        <v>1</v>
      </c>
      <c r="BR740" s="90">
        <v>1</v>
      </c>
      <c r="BS740" s="5" t="s">
        <v>4857</v>
      </c>
    </row>
    <row r="741" spans="1:71" s="30" customFormat="1" ht="17.100000000000001" customHeight="1">
      <c r="A741" s="10">
        <v>730</v>
      </c>
      <c r="B741" s="10" t="s">
        <v>2094</v>
      </c>
      <c r="C741" s="4" t="s">
        <v>4858</v>
      </c>
      <c r="D741" s="4" t="s">
        <v>2095</v>
      </c>
      <c r="E741" s="4" t="s">
        <v>2096</v>
      </c>
      <c r="F741" s="10" t="s">
        <v>5155</v>
      </c>
      <c r="G741" s="4" t="s">
        <v>2097</v>
      </c>
      <c r="H741" s="7" t="s">
        <v>2098</v>
      </c>
      <c r="I741" s="4" t="s">
        <v>2099</v>
      </c>
      <c r="J741" s="10" t="s">
        <v>4796</v>
      </c>
      <c r="K741" s="4" t="s">
        <v>5781</v>
      </c>
      <c r="L741" s="4" t="s">
        <v>2100</v>
      </c>
      <c r="M741" s="10">
        <v>3</v>
      </c>
      <c r="N741" s="95">
        <v>769.04639999999995</v>
      </c>
      <c r="O741" s="37" t="str">
        <f>HYPERLINK("http://ms.phosphosite.org:5080/cgi-bin/plot-msms.cgi?MassType=1&amp;NumAxis=1&amp;Mod4=170&amp;Pep=TPAKEEDAFHFVSYVPVNGR&amp;Dta=/var/www/html/dta/S01/10558.9939.3.dta&amp;Global_Mod=CS57.0215", "9939")</f>
        <v>9939</v>
      </c>
      <c r="P741" s="37" t="str">
        <f>HYPERLINK("http://ms.phosphosite.org:5080/cgi-bin/plot-msms.cgi?MassType=1&amp;NumAxis=1&amp;Mod4=170&amp;Pep=TPAKEEDAFHFVSYVPVNGR&amp;Dta=/var/www/html/dta/S01/10559.9925.3.dta&amp;Global_Mod=CS57.0215", "9925")</f>
        <v>9925</v>
      </c>
      <c r="Q741" s="37" t="str">
        <f>HYPERLINK("http://ms.phosphosite.org:5080/cgi-bin/plot-msms.cgi?MassType=1&amp;NumAxis=1&amp;Mod4=170&amp;Pep=TPAKEEDAFHFVSYVPVNGR&amp;Dta=/var/www/html/dta/S01/10560.9940.3.dta&amp;Global_Mod=CS57.0215", "9940")</f>
        <v>9940</v>
      </c>
      <c r="R741" s="37" t="str">
        <f>HYPERLINK("http://ms.phosphosite.org:5080/cgi-bin/plot-msms.cgi?MassType=1&amp;NumAxis=1&amp;Mod4=170&amp;Pep=TPAKEEDAFHFVSYVPVNGR&amp;Dta=/var/www/html/dta/S01/10561.9951.3.dta&amp;Global_Mod=CS57.0215", "9951")</f>
        <v>9951</v>
      </c>
      <c r="S741" s="37" t="str">
        <f>HYPERLINK("http://ms.phosphosite.org:5080/cgi-bin/plot-msms.cgi?MassType=1&amp;NumAxis=1&amp;Mod4=170&amp;Pep=TPAKEEDAFHFVSYVPVNGR&amp;Dta=/var/www/html/dta/S01/10562.10111.3.dta&amp;Global_Mod=CS57.0215", "10111")</f>
        <v>10111</v>
      </c>
      <c r="T741" s="37" t="str">
        <f>HYPERLINK("http://ms.phosphosite.org:5080/cgi-bin/plot-msms.cgi?MassType=1&amp;NumAxis=1&amp;Mod4=170&amp;Pep=TPAKEEDAFHFVSYVPVNGR&amp;Dta=/var/www/html/dta/S01/10563.10058.3.dta&amp;Global_Mod=CS57.0215", "10058")</f>
        <v>10058</v>
      </c>
      <c r="U741" s="37" t="str">
        <f>HYPERLINK("http://ms.phosphosite.org:5080/cgi-bin/plot-msms.cgi?MassType=1&amp;NumAxis=1&amp;Mod4=170&amp;Pep=TPAKEEDAFHFVSYVPVNGR&amp;Dta=/var/www/html/dta/S01/10564.10527.3.dta&amp;Global_Mod=CS57.0215", "10527")</f>
        <v>10527</v>
      </c>
      <c r="V741" s="37" t="str">
        <f>HYPERLINK("http://ms.phosphosite.org:5080/cgi-bin/plot-msms.cgi?MassType=1&amp;NumAxis=1&amp;Mod4=170&amp;Pep=TPAKEEDAFHFVSYVPVNGR&amp;Dta=/var/www/html/dta/S01/10565.10501.3.dta&amp;Global_Mod=CS57.0215", "10501")</f>
        <v>10501</v>
      </c>
      <c r="W741" s="10">
        <v>9954</v>
      </c>
      <c r="X741" s="10">
        <v>9970</v>
      </c>
      <c r="Y741" s="10">
        <v>9985</v>
      </c>
      <c r="Z741" s="10">
        <v>10000</v>
      </c>
      <c r="AA741" s="10">
        <v>10147</v>
      </c>
      <c r="AB741" s="10">
        <v>10094</v>
      </c>
      <c r="AC741" s="10">
        <v>10566</v>
      </c>
      <c r="AD741" s="10">
        <v>10530</v>
      </c>
      <c r="AE741" s="91">
        <v>4.9409999999999998</v>
      </c>
      <c r="AF741" s="91">
        <v>4.4370000000000003</v>
      </c>
      <c r="AG741" s="91">
        <v>4.633</v>
      </c>
      <c r="AH741" s="91">
        <v>4.0209999999999999</v>
      </c>
      <c r="AI741" s="91">
        <v>4.3460000000000001</v>
      </c>
      <c r="AJ741" s="91">
        <v>4.516</v>
      </c>
      <c r="AK741" s="91">
        <v>3.411</v>
      </c>
      <c r="AL741" s="91">
        <v>4.3499999999999996</v>
      </c>
      <c r="AM741" s="95">
        <v>0.625</v>
      </c>
      <c r="AN741" s="95">
        <v>0.89129999999999998</v>
      </c>
      <c r="AO741" s="95">
        <v>0.65839999999999999</v>
      </c>
      <c r="AP741" s="95">
        <v>0.63190000000000002</v>
      </c>
      <c r="AQ741" s="95">
        <v>0.92079999999999995</v>
      </c>
      <c r="AR741" s="95">
        <v>0.45319999999999999</v>
      </c>
      <c r="AS741" s="95">
        <v>1.0392999999999999</v>
      </c>
      <c r="AT741" s="95">
        <v>0.3261</v>
      </c>
      <c r="AU741" s="95">
        <v>0.375</v>
      </c>
      <c r="AV741" s="95">
        <v>0.38800000000000001</v>
      </c>
      <c r="AW741" s="95">
        <v>0.46300000000000002</v>
      </c>
      <c r="AX741" s="95">
        <v>0.30499999999999999</v>
      </c>
      <c r="AY741" s="95">
        <v>0.40699999999999997</v>
      </c>
      <c r="AZ741" s="95">
        <v>0.40600000000000003</v>
      </c>
      <c r="BA741" s="95">
        <v>0.307</v>
      </c>
      <c r="BB741" s="95">
        <v>0.371</v>
      </c>
      <c r="BC741" s="10">
        <v>1</v>
      </c>
      <c r="BD741" s="10">
        <v>1</v>
      </c>
      <c r="BE741" s="10">
        <v>1</v>
      </c>
      <c r="BF741" s="10">
        <v>1</v>
      </c>
      <c r="BG741" s="10">
        <v>1</v>
      </c>
      <c r="BH741" s="10">
        <v>1</v>
      </c>
      <c r="BI741" s="10">
        <v>1</v>
      </c>
      <c r="BJ741" s="10">
        <v>1</v>
      </c>
      <c r="BK741" s="91">
        <v>1</v>
      </c>
      <c r="BL741" s="91">
        <v>1</v>
      </c>
      <c r="BM741" s="91">
        <v>1</v>
      </c>
      <c r="BN741" s="91">
        <v>1</v>
      </c>
      <c r="BO741" s="91">
        <v>1</v>
      </c>
      <c r="BP741" s="91">
        <v>1</v>
      </c>
      <c r="BQ741" s="91">
        <v>1</v>
      </c>
      <c r="BR741" s="91">
        <v>1</v>
      </c>
      <c r="BS741" s="10" t="s">
        <v>4857</v>
      </c>
    </row>
    <row r="742" spans="1:71" s="30" customFormat="1" ht="17.100000000000001" customHeight="1">
      <c r="A742" s="10">
        <v>731</v>
      </c>
      <c r="B742" s="10" t="s">
        <v>2101</v>
      </c>
      <c r="C742" s="4" t="s">
        <v>4858</v>
      </c>
      <c r="D742" s="4" t="s">
        <v>2095</v>
      </c>
      <c r="E742" s="4" t="s">
        <v>2096</v>
      </c>
      <c r="F742" s="10" t="s">
        <v>5155</v>
      </c>
      <c r="G742" s="4" t="s">
        <v>2097</v>
      </c>
      <c r="H742" s="7" t="s">
        <v>2098</v>
      </c>
      <c r="I742" s="4" t="s">
        <v>2099</v>
      </c>
      <c r="J742" s="10" t="s">
        <v>4796</v>
      </c>
      <c r="K742" s="4" t="s">
        <v>5781</v>
      </c>
      <c r="L742" s="4" t="s">
        <v>2100</v>
      </c>
      <c r="M742" s="10">
        <v>3</v>
      </c>
      <c r="N742" s="95">
        <v>769.04639999999995</v>
      </c>
      <c r="O742" s="38" t="s">
        <v>4854</v>
      </c>
      <c r="P742" s="38" t="s">
        <v>4854</v>
      </c>
      <c r="Q742" s="37" t="str">
        <f>HYPERLINK("http://ms.phosphosite.org:5080/cgi-bin/plot-msms.cgi?MassType=1&amp;NumAxis=1&amp;Mod4=170&amp;Pep=TPAKEEDAFHFVSYVPVNGR&amp;Dta=/var/www/html/dta/S01/10560.10024.3.dta&amp;Global_Mod=CS57.0215", "10024")</f>
        <v>10024</v>
      </c>
      <c r="R742" s="38" t="s">
        <v>4854</v>
      </c>
      <c r="S742" s="38" t="s">
        <v>4854</v>
      </c>
      <c r="T742" s="38" t="s">
        <v>4854</v>
      </c>
      <c r="U742" s="38" t="s">
        <v>4854</v>
      </c>
      <c r="V742" s="38" t="s">
        <v>4854</v>
      </c>
      <c r="W742" s="4" t="s">
        <v>4854</v>
      </c>
      <c r="X742" s="4" t="s">
        <v>4854</v>
      </c>
      <c r="Y742" s="10">
        <v>9985</v>
      </c>
      <c r="Z742" s="4" t="s">
        <v>4854</v>
      </c>
      <c r="AA742" s="4" t="s">
        <v>4854</v>
      </c>
      <c r="AB742" s="4" t="s">
        <v>4854</v>
      </c>
      <c r="AC742" s="4" t="s">
        <v>4854</v>
      </c>
      <c r="AD742" s="4" t="s">
        <v>4854</v>
      </c>
      <c r="AE742" s="100" t="s">
        <v>4854</v>
      </c>
      <c r="AF742" s="100" t="s">
        <v>4854</v>
      </c>
      <c r="AG742" s="91">
        <v>3.742</v>
      </c>
      <c r="AH742" s="100" t="s">
        <v>4854</v>
      </c>
      <c r="AI742" s="100" t="s">
        <v>4854</v>
      </c>
      <c r="AJ742" s="100" t="s">
        <v>4854</v>
      </c>
      <c r="AK742" s="100" t="s">
        <v>4854</v>
      </c>
      <c r="AL742" s="100" t="s">
        <v>4854</v>
      </c>
      <c r="AM742" s="103" t="s">
        <v>4854</v>
      </c>
      <c r="AN742" s="103" t="s">
        <v>4854</v>
      </c>
      <c r="AO742" s="95">
        <v>0.64319999999999999</v>
      </c>
      <c r="AP742" s="103" t="s">
        <v>4854</v>
      </c>
      <c r="AQ742" s="103" t="s">
        <v>4854</v>
      </c>
      <c r="AR742" s="103" t="s">
        <v>4854</v>
      </c>
      <c r="AS742" s="103" t="s">
        <v>4854</v>
      </c>
      <c r="AT742" s="103" t="s">
        <v>4854</v>
      </c>
      <c r="AU742" s="103" t="s">
        <v>4854</v>
      </c>
      <c r="AV742" s="103" t="s">
        <v>4854</v>
      </c>
      <c r="AW742" s="95">
        <v>0.28799999999999998</v>
      </c>
      <c r="AX742" s="103" t="s">
        <v>4854</v>
      </c>
      <c r="AY742" s="103" t="s">
        <v>4854</v>
      </c>
      <c r="AZ742" s="103" t="s">
        <v>4854</v>
      </c>
      <c r="BA742" s="103" t="s">
        <v>4854</v>
      </c>
      <c r="BB742" s="103" t="s">
        <v>4854</v>
      </c>
      <c r="BC742" s="4" t="s">
        <v>4854</v>
      </c>
      <c r="BD742" s="4" t="s">
        <v>4854</v>
      </c>
      <c r="BE742" s="10">
        <v>1</v>
      </c>
      <c r="BF742" s="4" t="s">
        <v>4854</v>
      </c>
      <c r="BG742" s="4" t="s">
        <v>4854</v>
      </c>
      <c r="BH742" s="4" t="s">
        <v>4854</v>
      </c>
      <c r="BI742" s="4" t="s">
        <v>4854</v>
      </c>
      <c r="BJ742" s="4" t="s">
        <v>4854</v>
      </c>
      <c r="BK742" s="100" t="s">
        <v>4854</v>
      </c>
      <c r="BL742" s="100" t="s">
        <v>4854</v>
      </c>
      <c r="BM742" s="91">
        <v>1</v>
      </c>
      <c r="BN742" s="100" t="s">
        <v>4854</v>
      </c>
      <c r="BO742" s="100" t="s">
        <v>4854</v>
      </c>
      <c r="BP742" s="100" t="s">
        <v>4854</v>
      </c>
      <c r="BQ742" s="100" t="s">
        <v>4854</v>
      </c>
      <c r="BR742" s="100" t="s">
        <v>4854</v>
      </c>
      <c r="BS742" s="10" t="s">
        <v>4857</v>
      </c>
    </row>
    <row r="743" spans="1:71" s="30" customFormat="1" ht="17.100000000000001" customHeight="1">
      <c r="A743" s="14">
        <v>732</v>
      </c>
      <c r="B743" s="5" t="s">
        <v>2102</v>
      </c>
      <c r="C743" s="3" t="s">
        <v>4858</v>
      </c>
      <c r="D743" s="3" t="s">
        <v>2103</v>
      </c>
      <c r="E743" s="3" t="s">
        <v>2104</v>
      </c>
      <c r="F743" s="5" t="s">
        <v>3555</v>
      </c>
      <c r="G743" s="3" t="s">
        <v>2105</v>
      </c>
      <c r="H743" s="6" t="s">
        <v>2106</v>
      </c>
      <c r="I743" s="3" t="s">
        <v>2107</v>
      </c>
      <c r="J743" s="5" t="s">
        <v>4413</v>
      </c>
      <c r="K743" s="3" t="s">
        <v>5782</v>
      </c>
      <c r="L743" s="3" t="s">
        <v>2108</v>
      </c>
      <c r="M743" s="5">
        <v>2</v>
      </c>
      <c r="N743" s="21">
        <v>532.803</v>
      </c>
      <c r="O743" s="35" t="s">
        <v>4854</v>
      </c>
      <c r="P743" s="35" t="s">
        <v>4854</v>
      </c>
      <c r="Q743" s="36" t="str">
        <f>HYPERLINK("http://ms.phosphosite.org:5080/cgi-bin/plot-msms.cgi?MassType=1&amp;NumAxis=1&amp;Mod1=170&amp;Pep=KYVDKLEK&amp;Dta=/var/www/html/dta/S01/10560.2561.2.dta&amp;Global_Mod=CS57.0215", "2561")</f>
        <v>2561</v>
      </c>
      <c r="R743" s="35" t="s">
        <v>4854</v>
      </c>
      <c r="S743" s="35" t="s">
        <v>4854</v>
      </c>
      <c r="T743" s="35" t="s">
        <v>4854</v>
      </c>
      <c r="U743" s="35" t="s">
        <v>4854</v>
      </c>
      <c r="V743" s="35" t="s">
        <v>4854</v>
      </c>
      <c r="W743" s="3" t="s">
        <v>4854</v>
      </c>
      <c r="X743" s="3" t="s">
        <v>4854</v>
      </c>
      <c r="Y743" s="5">
        <v>2570</v>
      </c>
      <c r="Z743" s="3" t="s">
        <v>4854</v>
      </c>
      <c r="AA743" s="3" t="s">
        <v>4854</v>
      </c>
      <c r="AB743" s="3" t="s">
        <v>4854</v>
      </c>
      <c r="AC743" s="3" t="s">
        <v>4854</v>
      </c>
      <c r="AD743" s="3" t="s">
        <v>4854</v>
      </c>
      <c r="AE743" s="99" t="s">
        <v>4854</v>
      </c>
      <c r="AF743" s="99" t="s">
        <v>4854</v>
      </c>
      <c r="AG743" s="90">
        <v>2.1120000000000001</v>
      </c>
      <c r="AH743" s="99" t="s">
        <v>4854</v>
      </c>
      <c r="AI743" s="99" t="s">
        <v>4854</v>
      </c>
      <c r="AJ743" s="99" t="s">
        <v>4854</v>
      </c>
      <c r="AK743" s="99" t="s">
        <v>4854</v>
      </c>
      <c r="AL743" s="99" t="s">
        <v>4854</v>
      </c>
      <c r="AM743" s="102" t="s">
        <v>4854</v>
      </c>
      <c r="AN743" s="102" t="s">
        <v>4854</v>
      </c>
      <c r="AO743" s="21">
        <v>-0.49830000000000002</v>
      </c>
      <c r="AP743" s="102" t="s">
        <v>4854</v>
      </c>
      <c r="AQ743" s="102" t="s">
        <v>4854</v>
      </c>
      <c r="AR743" s="102" t="s">
        <v>4854</v>
      </c>
      <c r="AS743" s="102" t="s">
        <v>4854</v>
      </c>
      <c r="AT743" s="102" t="s">
        <v>4854</v>
      </c>
      <c r="AU743" s="102" t="s">
        <v>4854</v>
      </c>
      <c r="AV743" s="102" t="s">
        <v>4854</v>
      </c>
      <c r="AW743" s="21">
        <v>0.122</v>
      </c>
      <c r="AX743" s="102" t="s">
        <v>4854</v>
      </c>
      <c r="AY743" s="102" t="s">
        <v>4854</v>
      </c>
      <c r="AZ743" s="102" t="s">
        <v>4854</v>
      </c>
      <c r="BA743" s="102" t="s">
        <v>4854</v>
      </c>
      <c r="BB743" s="102" t="s">
        <v>4854</v>
      </c>
      <c r="BC743" s="3" t="s">
        <v>4854</v>
      </c>
      <c r="BD743" s="3" t="s">
        <v>4854</v>
      </c>
      <c r="BE743" s="5">
        <v>2</v>
      </c>
      <c r="BF743" s="3" t="s">
        <v>4854</v>
      </c>
      <c r="BG743" s="3" t="s">
        <v>4854</v>
      </c>
      <c r="BH743" s="3" t="s">
        <v>4854</v>
      </c>
      <c r="BI743" s="3" t="s">
        <v>4854</v>
      </c>
      <c r="BJ743" s="3" t="s">
        <v>4854</v>
      </c>
      <c r="BK743" s="99" t="s">
        <v>4854</v>
      </c>
      <c r="BL743" s="99" t="s">
        <v>4854</v>
      </c>
      <c r="BM743" s="90">
        <v>0.97799999999999998</v>
      </c>
      <c r="BN743" s="99" t="s">
        <v>4854</v>
      </c>
      <c r="BO743" s="99" t="s">
        <v>4854</v>
      </c>
      <c r="BP743" s="99" t="s">
        <v>4854</v>
      </c>
      <c r="BQ743" s="99" t="s">
        <v>4854</v>
      </c>
      <c r="BR743" s="99" t="s">
        <v>4854</v>
      </c>
      <c r="BS743" s="5" t="s">
        <v>4857</v>
      </c>
    </row>
    <row r="744" spans="1:71" ht="17.100000000000001" customHeight="1">
      <c r="A744" s="31">
        <v>733</v>
      </c>
      <c r="B744" s="2" t="s">
        <v>2109</v>
      </c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94"/>
      <c r="O744" s="34"/>
      <c r="P744" s="34"/>
      <c r="Q744" s="34"/>
      <c r="R744" s="34"/>
      <c r="S744" s="34"/>
      <c r="T744" s="34"/>
      <c r="U744" s="34"/>
      <c r="V744" s="34"/>
      <c r="W744" s="1"/>
      <c r="X744" s="1"/>
      <c r="Y744" s="1"/>
      <c r="Z744" s="1"/>
      <c r="AA744" s="1"/>
      <c r="AB744" s="1"/>
      <c r="AC744" s="1"/>
      <c r="AD744" s="1"/>
      <c r="AE744" s="89"/>
      <c r="AF744" s="89"/>
      <c r="AG744" s="89"/>
      <c r="AH744" s="89"/>
      <c r="AI744" s="89"/>
      <c r="AJ744" s="89"/>
      <c r="AK744" s="89"/>
      <c r="AL744" s="89"/>
      <c r="AM744" s="94"/>
      <c r="AN744" s="94"/>
      <c r="AO744" s="94"/>
      <c r="AP744" s="94"/>
      <c r="AQ744" s="94"/>
      <c r="AR744" s="94"/>
      <c r="AS744" s="94"/>
      <c r="AT744" s="94"/>
      <c r="AU744" s="94"/>
      <c r="AV744" s="94"/>
      <c r="AW744" s="94"/>
      <c r="AX744" s="94"/>
      <c r="AY744" s="94"/>
      <c r="AZ744" s="94"/>
      <c r="BA744" s="94"/>
      <c r="BB744" s="94"/>
      <c r="BC744" s="1"/>
      <c r="BD744" s="1"/>
      <c r="BE744" s="1"/>
      <c r="BF744" s="1"/>
      <c r="BG744" s="1"/>
      <c r="BH744" s="1"/>
      <c r="BI744" s="1"/>
      <c r="BJ744" s="1"/>
      <c r="BK744" s="89"/>
      <c r="BL744" s="89"/>
      <c r="BM744" s="89"/>
      <c r="BN744" s="89"/>
      <c r="BO744" s="89"/>
      <c r="BP744" s="89"/>
      <c r="BQ744" s="89"/>
      <c r="BR744" s="89"/>
      <c r="BS744" s="1"/>
    </row>
    <row r="745" spans="1:71" s="30" customFormat="1" ht="17.100000000000001" customHeight="1">
      <c r="A745" s="10">
        <v>734</v>
      </c>
      <c r="B745" s="10" t="s">
        <v>2110</v>
      </c>
      <c r="C745" s="4" t="s">
        <v>2109</v>
      </c>
      <c r="D745" s="4" t="s">
        <v>2111</v>
      </c>
      <c r="E745" s="4" t="s">
        <v>2112</v>
      </c>
      <c r="F745" s="10" t="s">
        <v>3538</v>
      </c>
      <c r="G745" s="4" t="s">
        <v>2113</v>
      </c>
      <c r="H745" s="7" t="s">
        <v>2114</v>
      </c>
      <c r="I745" s="4" t="s">
        <v>2115</v>
      </c>
      <c r="J745" s="10" t="s">
        <v>4623</v>
      </c>
      <c r="K745" s="4" t="s">
        <v>5783</v>
      </c>
      <c r="L745" s="4" t="s">
        <v>2116</v>
      </c>
      <c r="M745" s="10">
        <v>4</v>
      </c>
      <c r="N745" s="95">
        <v>888.43280000000004</v>
      </c>
      <c r="O745" s="38" t="s">
        <v>4854</v>
      </c>
      <c r="P745" s="38" t="s">
        <v>4854</v>
      </c>
      <c r="Q745" s="38" t="s">
        <v>4854</v>
      </c>
      <c r="R745" s="38" t="s">
        <v>4854</v>
      </c>
      <c r="S745" s="38" t="s">
        <v>4854</v>
      </c>
      <c r="T745" s="38" t="s">
        <v>4854</v>
      </c>
      <c r="U745" s="37" t="str">
        <f>HYPERLINK("http://ms.phosphosite.org:5080/cgi-bin/plot-msms.cgi?MassType=1&amp;NumAxis=1&amp;Mod8=170&amp;Mod10=147&amp;Mod14=147&amp;Pep=DGNYVQTKLMNPGMPPFPSVTDSGAFSLPPRR&amp;Dta=/var/www/html/dta/S01/10564.13673.4.dta&amp;Global_Mod=CS57.0215", "13673")</f>
        <v>13673</v>
      </c>
      <c r="V745" s="38" t="s">
        <v>4854</v>
      </c>
      <c r="W745" s="4" t="s">
        <v>4854</v>
      </c>
      <c r="X745" s="4" t="s">
        <v>4854</v>
      </c>
      <c r="Y745" s="4" t="s">
        <v>4854</v>
      </c>
      <c r="Z745" s="4" t="s">
        <v>4854</v>
      </c>
      <c r="AA745" s="4" t="s">
        <v>4854</v>
      </c>
      <c r="AB745" s="4" t="s">
        <v>4854</v>
      </c>
      <c r="AC745" s="4" t="s">
        <v>4854</v>
      </c>
      <c r="AD745" s="4" t="s">
        <v>4854</v>
      </c>
      <c r="AE745" s="100" t="s">
        <v>4854</v>
      </c>
      <c r="AF745" s="100" t="s">
        <v>4854</v>
      </c>
      <c r="AG745" s="100" t="s">
        <v>4854</v>
      </c>
      <c r="AH745" s="100" t="s">
        <v>4854</v>
      </c>
      <c r="AI745" s="100" t="s">
        <v>4854</v>
      </c>
      <c r="AJ745" s="100" t="s">
        <v>4854</v>
      </c>
      <c r="AK745" s="91">
        <v>2.8849999999999998</v>
      </c>
      <c r="AL745" s="100" t="s">
        <v>4854</v>
      </c>
      <c r="AM745" s="103" t="s">
        <v>4854</v>
      </c>
      <c r="AN745" s="103" t="s">
        <v>4854</v>
      </c>
      <c r="AO745" s="103" t="s">
        <v>4854</v>
      </c>
      <c r="AP745" s="103" t="s">
        <v>4854</v>
      </c>
      <c r="AQ745" s="103" t="s">
        <v>4854</v>
      </c>
      <c r="AR745" s="103" t="s">
        <v>4854</v>
      </c>
      <c r="AS745" s="95">
        <v>1.1101000000000001</v>
      </c>
      <c r="AT745" s="103" t="s">
        <v>4854</v>
      </c>
      <c r="AU745" s="103" t="s">
        <v>4854</v>
      </c>
      <c r="AV745" s="103" t="s">
        <v>4854</v>
      </c>
      <c r="AW745" s="103" t="s">
        <v>4854</v>
      </c>
      <c r="AX745" s="103" t="s">
        <v>4854</v>
      </c>
      <c r="AY745" s="103" t="s">
        <v>4854</v>
      </c>
      <c r="AZ745" s="103" t="s">
        <v>4854</v>
      </c>
      <c r="BA745" s="95">
        <v>0.13900000000000001</v>
      </c>
      <c r="BB745" s="103" t="s">
        <v>4854</v>
      </c>
      <c r="BC745" s="4" t="s">
        <v>4854</v>
      </c>
      <c r="BD745" s="4" t="s">
        <v>4854</v>
      </c>
      <c r="BE745" s="4" t="s">
        <v>4854</v>
      </c>
      <c r="BF745" s="4" t="s">
        <v>4854</v>
      </c>
      <c r="BG745" s="4" t="s">
        <v>4854</v>
      </c>
      <c r="BH745" s="4" t="s">
        <v>4854</v>
      </c>
      <c r="BI745" s="10">
        <v>2</v>
      </c>
      <c r="BJ745" s="4" t="s">
        <v>4854</v>
      </c>
      <c r="BK745" s="100" t="s">
        <v>4854</v>
      </c>
      <c r="BL745" s="100" t="s">
        <v>4854</v>
      </c>
      <c r="BM745" s="100" t="s">
        <v>4854</v>
      </c>
      <c r="BN745" s="100" t="s">
        <v>4854</v>
      </c>
      <c r="BO745" s="100" t="s">
        <v>4854</v>
      </c>
      <c r="BP745" s="100" t="s">
        <v>4854</v>
      </c>
      <c r="BQ745" s="91">
        <v>0.49299999999999999</v>
      </c>
      <c r="BR745" s="100" t="s">
        <v>4854</v>
      </c>
      <c r="BS745" s="10" t="s">
        <v>4857</v>
      </c>
    </row>
    <row r="746" spans="1:71" ht="17.100000000000001" customHeight="1">
      <c r="A746" s="31">
        <v>735</v>
      </c>
      <c r="B746" s="2" t="s">
        <v>2117</v>
      </c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94"/>
      <c r="O746" s="34"/>
      <c r="P746" s="34"/>
      <c r="Q746" s="34"/>
      <c r="R746" s="34"/>
      <c r="S746" s="34"/>
      <c r="T746" s="34"/>
      <c r="U746" s="34"/>
      <c r="V746" s="34"/>
      <c r="W746" s="1"/>
      <c r="X746" s="1"/>
      <c r="Y746" s="1"/>
      <c r="Z746" s="1"/>
      <c r="AA746" s="1"/>
      <c r="AB746" s="1"/>
      <c r="AC746" s="1"/>
      <c r="AD746" s="1"/>
      <c r="AE746" s="89"/>
      <c r="AF746" s="89"/>
      <c r="AG746" s="89"/>
      <c r="AH746" s="89"/>
      <c r="AI746" s="89"/>
      <c r="AJ746" s="89"/>
      <c r="AK746" s="89"/>
      <c r="AL746" s="89"/>
      <c r="AM746" s="94"/>
      <c r="AN746" s="94"/>
      <c r="AO746" s="94"/>
      <c r="AP746" s="94"/>
      <c r="AQ746" s="94"/>
      <c r="AR746" s="94"/>
      <c r="AS746" s="94"/>
      <c r="AT746" s="94"/>
      <c r="AU746" s="94"/>
      <c r="AV746" s="94"/>
      <c r="AW746" s="94"/>
      <c r="AX746" s="94"/>
      <c r="AY746" s="94"/>
      <c r="AZ746" s="94"/>
      <c r="BA746" s="94"/>
      <c r="BB746" s="94"/>
      <c r="BC746" s="1"/>
      <c r="BD746" s="1"/>
      <c r="BE746" s="1"/>
      <c r="BF746" s="1"/>
      <c r="BG746" s="1"/>
      <c r="BH746" s="1"/>
      <c r="BI746" s="1"/>
      <c r="BJ746" s="1"/>
      <c r="BK746" s="89"/>
      <c r="BL746" s="89"/>
      <c r="BM746" s="89"/>
      <c r="BN746" s="89"/>
      <c r="BO746" s="89"/>
      <c r="BP746" s="89"/>
      <c r="BQ746" s="89"/>
      <c r="BR746" s="89"/>
      <c r="BS746" s="1"/>
    </row>
    <row r="747" spans="1:71" s="30" customFormat="1" ht="17.100000000000001" customHeight="1">
      <c r="A747" s="14">
        <v>736</v>
      </c>
      <c r="B747" s="5" t="s">
        <v>2118</v>
      </c>
      <c r="C747" s="3" t="s">
        <v>2117</v>
      </c>
      <c r="D747" s="3" t="s">
        <v>2119</v>
      </c>
      <c r="E747" s="6" t="s">
        <v>2120</v>
      </c>
      <c r="F747" s="5" t="s">
        <v>2121</v>
      </c>
      <c r="G747" s="3" t="s">
        <v>2122</v>
      </c>
      <c r="H747" s="6" t="s">
        <v>2123</v>
      </c>
      <c r="I747" s="3" t="s">
        <v>2124</v>
      </c>
      <c r="J747" s="5" t="s">
        <v>2125</v>
      </c>
      <c r="K747" s="3" t="s">
        <v>5784</v>
      </c>
      <c r="L747" s="3" t="s">
        <v>2126</v>
      </c>
      <c r="M747" s="5">
        <v>2</v>
      </c>
      <c r="N747" s="21">
        <v>484.25139999999999</v>
      </c>
      <c r="O747" s="35" t="s">
        <v>4854</v>
      </c>
      <c r="P747" s="35" t="s">
        <v>4854</v>
      </c>
      <c r="Q747" s="36" t="str">
        <f>HYPERLINK("http://ms.phosphosite.org:5080/cgi-bin/plot-msms.cgi?MassType=1&amp;NumAxis=1&amp;Mod4=170&amp;Pep=DHQKLER&amp;Dta=/var/www/html/dta/S01/10560.1493.2.dta&amp;Global_Mod=CS57.0215", "1493")</f>
        <v>1493</v>
      </c>
      <c r="R747" s="35" t="s">
        <v>4854</v>
      </c>
      <c r="S747" s="35" t="s">
        <v>4854</v>
      </c>
      <c r="T747" s="35" t="s">
        <v>4854</v>
      </c>
      <c r="U747" s="35" t="s">
        <v>4854</v>
      </c>
      <c r="V747" s="35" t="s">
        <v>4854</v>
      </c>
      <c r="W747" s="3" t="s">
        <v>4854</v>
      </c>
      <c r="X747" s="3" t="s">
        <v>4854</v>
      </c>
      <c r="Y747" s="3" t="s">
        <v>4854</v>
      </c>
      <c r="Z747" s="3" t="s">
        <v>4854</v>
      </c>
      <c r="AA747" s="3" t="s">
        <v>4854</v>
      </c>
      <c r="AB747" s="3" t="s">
        <v>4854</v>
      </c>
      <c r="AC747" s="3" t="s">
        <v>4854</v>
      </c>
      <c r="AD747" s="3" t="s">
        <v>4854</v>
      </c>
      <c r="AE747" s="99" t="s">
        <v>4854</v>
      </c>
      <c r="AF747" s="99" t="s">
        <v>4854</v>
      </c>
      <c r="AG747" s="90">
        <v>1.6850000000000001</v>
      </c>
      <c r="AH747" s="99" t="s">
        <v>4854</v>
      </c>
      <c r="AI747" s="99" t="s">
        <v>4854</v>
      </c>
      <c r="AJ747" s="99" t="s">
        <v>4854</v>
      </c>
      <c r="AK747" s="99" t="s">
        <v>4854</v>
      </c>
      <c r="AL747" s="99" t="s">
        <v>4854</v>
      </c>
      <c r="AM747" s="102" t="s">
        <v>4854</v>
      </c>
      <c r="AN747" s="102" t="s">
        <v>4854</v>
      </c>
      <c r="AO747" s="21">
        <v>-0.32590000000000002</v>
      </c>
      <c r="AP747" s="102" t="s">
        <v>4854</v>
      </c>
      <c r="AQ747" s="102" t="s">
        <v>4854</v>
      </c>
      <c r="AR747" s="102" t="s">
        <v>4854</v>
      </c>
      <c r="AS747" s="102" t="s">
        <v>4854</v>
      </c>
      <c r="AT747" s="102" t="s">
        <v>4854</v>
      </c>
      <c r="AU747" s="102" t="s">
        <v>4854</v>
      </c>
      <c r="AV747" s="102" t="s">
        <v>4854</v>
      </c>
      <c r="AW747" s="21">
        <v>3.1E-2</v>
      </c>
      <c r="AX747" s="102" t="s">
        <v>4854</v>
      </c>
      <c r="AY747" s="102" t="s">
        <v>4854</v>
      </c>
      <c r="AZ747" s="102" t="s">
        <v>4854</v>
      </c>
      <c r="BA747" s="102" t="s">
        <v>4854</v>
      </c>
      <c r="BB747" s="102" t="s">
        <v>4854</v>
      </c>
      <c r="BC747" s="3" t="s">
        <v>4854</v>
      </c>
      <c r="BD747" s="3" t="s">
        <v>4854</v>
      </c>
      <c r="BE747" s="5">
        <v>23</v>
      </c>
      <c r="BF747" s="3" t="s">
        <v>4854</v>
      </c>
      <c r="BG747" s="3" t="s">
        <v>4854</v>
      </c>
      <c r="BH747" s="3" t="s">
        <v>4854</v>
      </c>
      <c r="BI747" s="3" t="s">
        <v>4854</v>
      </c>
      <c r="BJ747" s="3" t="s">
        <v>4854</v>
      </c>
      <c r="BK747" s="99" t="s">
        <v>4854</v>
      </c>
      <c r="BL747" s="99" t="s">
        <v>4854</v>
      </c>
      <c r="BM747" s="90">
        <v>0.82799999999999996</v>
      </c>
      <c r="BN747" s="99" t="s">
        <v>4854</v>
      </c>
      <c r="BO747" s="99" t="s">
        <v>4854</v>
      </c>
      <c r="BP747" s="99" t="s">
        <v>4854</v>
      </c>
      <c r="BQ747" s="99" t="s">
        <v>4854</v>
      </c>
      <c r="BR747" s="99" t="s">
        <v>4854</v>
      </c>
      <c r="BS747" s="5" t="s">
        <v>4857</v>
      </c>
    </row>
    <row r="748" spans="1:71" s="30" customFormat="1" ht="17.100000000000001" customHeight="1">
      <c r="A748" s="10">
        <v>737</v>
      </c>
      <c r="B748" s="10" t="s">
        <v>2127</v>
      </c>
      <c r="C748" s="4" t="s">
        <v>2117</v>
      </c>
      <c r="D748" s="4" t="s">
        <v>2128</v>
      </c>
      <c r="E748" s="7" t="s">
        <v>2129</v>
      </c>
      <c r="F748" s="10" t="s">
        <v>2130</v>
      </c>
      <c r="G748" s="4" t="s">
        <v>2131</v>
      </c>
      <c r="H748" s="7" t="s">
        <v>2132</v>
      </c>
      <c r="I748" s="4" t="s">
        <v>2133</v>
      </c>
      <c r="J748" s="10" t="s">
        <v>2134</v>
      </c>
      <c r="K748" s="4" t="s">
        <v>5785</v>
      </c>
      <c r="L748" s="4" t="s">
        <v>2135</v>
      </c>
      <c r="M748" s="10">
        <v>3</v>
      </c>
      <c r="N748" s="95">
        <v>629.99310000000003</v>
      </c>
      <c r="O748" s="38" t="s">
        <v>4854</v>
      </c>
      <c r="P748" s="38" t="s">
        <v>4854</v>
      </c>
      <c r="Q748" s="38" t="s">
        <v>4854</v>
      </c>
      <c r="R748" s="38" t="s">
        <v>4854</v>
      </c>
      <c r="S748" s="38" t="s">
        <v>4854</v>
      </c>
      <c r="T748" s="38" t="s">
        <v>4854</v>
      </c>
      <c r="U748" s="38" t="s">
        <v>4854</v>
      </c>
      <c r="V748" s="37" t="str">
        <f>HYPERLINK("http://ms.phosphosite.org:5080/cgi-bin/plot-msms.cgi?MassType=1&amp;NumAxis=1&amp;Mod8=170&amp;Mod13=160&amp;Pep=ITAHEALKHPWVCQR&amp;Dta=/var/www/html/dta/S01/10565.5720.3.dta&amp;Global_Mod=CS57.0215", "5720")</f>
        <v>5720</v>
      </c>
      <c r="W748" s="4" t="s">
        <v>4854</v>
      </c>
      <c r="X748" s="4" t="s">
        <v>4854</v>
      </c>
      <c r="Y748" s="4" t="s">
        <v>4854</v>
      </c>
      <c r="Z748" s="4" t="s">
        <v>4854</v>
      </c>
      <c r="AA748" s="4" t="s">
        <v>4854</v>
      </c>
      <c r="AB748" s="4" t="s">
        <v>4854</v>
      </c>
      <c r="AC748" s="4" t="s">
        <v>4854</v>
      </c>
      <c r="AD748" s="10">
        <v>5757</v>
      </c>
      <c r="AE748" s="100" t="s">
        <v>4854</v>
      </c>
      <c r="AF748" s="100" t="s">
        <v>4854</v>
      </c>
      <c r="AG748" s="100" t="s">
        <v>4854</v>
      </c>
      <c r="AH748" s="100" t="s">
        <v>4854</v>
      </c>
      <c r="AI748" s="100" t="s">
        <v>4854</v>
      </c>
      <c r="AJ748" s="100" t="s">
        <v>4854</v>
      </c>
      <c r="AK748" s="100" t="s">
        <v>4854</v>
      </c>
      <c r="AL748" s="91">
        <v>2.2599999999999998</v>
      </c>
      <c r="AM748" s="103" t="s">
        <v>4854</v>
      </c>
      <c r="AN748" s="103" t="s">
        <v>4854</v>
      </c>
      <c r="AO748" s="103" t="s">
        <v>4854</v>
      </c>
      <c r="AP748" s="103" t="s">
        <v>4854</v>
      </c>
      <c r="AQ748" s="103" t="s">
        <v>4854</v>
      </c>
      <c r="AR748" s="103" t="s">
        <v>4854</v>
      </c>
      <c r="AS748" s="103" t="s">
        <v>4854</v>
      </c>
      <c r="AT748" s="95">
        <v>1.0189999999999999</v>
      </c>
      <c r="AU748" s="103" t="s">
        <v>4854</v>
      </c>
      <c r="AV748" s="103" t="s">
        <v>4854</v>
      </c>
      <c r="AW748" s="103" t="s">
        <v>4854</v>
      </c>
      <c r="AX748" s="103" t="s">
        <v>4854</v>
      </c>
      <c r="AY748" s="103" t="s">
        <v>4854</v>
      </c>
      <c r="AZ748" s="103" t="s">
        <v>4854</v>
      </c>
      <c r="BA748" s="103" t="s">
        <v>4854</v>
      </c>
      <c r="BB748" s="95">
        <v>5.1999999999999998E-2</v>
      </c>
      <c r="BC748" s="4" t="s">
        <v>4854</v>
      </c>
      <c r="BD748" s="4" t="s">
        <v>4854</v>
      </c>
      <c r="BE748" s="4" t="s">
        <v>4854</v>
      </c>
      <c r="BF748" s="4" t="s">
        <v>4854</v>
      </c>
      <c r="BG748" s="4" t="s">
        <v>4854</v>
      </c>
      <c r="BH748" s="4" t="s">
        <v>4854</v>
      </c>
      <c r="BI748" s="4" t="s">
        <v>4854</v>
      </c>
      <c r="BJ748" s="10">
        <v>1</v>
      </c>
      <c r="BK748" s="100" t="s">
        <v>4854</v>
      </c>
      <c r="BL748" s="100" t="s">
        <v>4854</v>
      </c>
      <c r="BM748" s="100" t="s">
        <v>4854</v>
      </c>
      <c r="BN748" s="100" t="s">
        <v>4854</v>
      </c>
      <c r="BO748" s="100" t="s">
        <v>4854</v>
      </c>
      <c r="BP748" s="100" t="s">
        <v>4854</v>
      </c>
      <c r="BQ748" s="100" t="s">
        <v>4854</v>
      </c>
      <c r="BR748" s="91">
        <v>0.96699999999999997</v>
      </c>
      <c r="BS748" s="10" t="s">
        <v>4857</v>
      </c>
    </row>
    <row r="749" spans="1:71" s="30" customFormat="1" ht="17.100000000000001" customHeight="1">
      <c r="A749" s="14">
        <v>738</v>
      </c>
      <c r="B749" s="5" t="s">
        <v>2136</v>
      </c>
      <c r="C749" s="3" t="s">
        <v>2117</v>
      </c>
      <c r="D749" s="3" t="s">
        <v>2137</v>
      </c>
      <c r="E749" s="6" t="s">
        <v>2138</v>
      </c>
      <c r="F749" s="5" t="s">
        <v>2139</v>
      </c>
      <c r="G749" s="3" t="s">
        <v>2131</v>
      </c>
      <c r="H749" s="6" t="s">
        <v>2140</v>
      </c>
      <c r="I749" s="3" t="s">
        <v>2133</v>
      </c>
      <c r="J749" s="5" t="s">
        <v>2141</v>
      </c>
      <c r="K749" s="3" t="s">
        <v>5786</v>
      </c>
      <c r="L749" s="3" t="s">
        <v>2022</v>
      </c>
      <c r="M749" s="5">
        <v>3</v>
      </c>
      <c r="N749" s="21">
        <v>526.91830000000004</v>
      </c>
      <c r="O749" s="35" t="s">
        <v>4854</v>
      </c>
      <c r="P749" s="35" t="s">
        <v>4854</v>
      </c>
      <c r="Q749" s="36" t="str">
        <f>HYPERLINK("http://ms.phosphosite.org:5080/cgi-bin/plot-msms.cgi?MassType=1&amp;NumAxis=1&amp;Mod1=160&amp;Mod3=170&amp;Mod5=160&amp;Pep=CVKLCTGHEYAAK&amp;Dta=/var/www/html/dta/S01/10560.3205.3.dta&amp;Global_Mod=CS57.0215", "3205")</f>
        <v>3205</v>
      </c>
      <c r="R749" s="36" t="str">
        <f>HYPERLINK("http://ms.phosphosite.org:5080/cgi-bin/plot-msms.cgi?MassType=1&amp;NumAxis=1&amp;Mod1=160&amp;Mod3=170&amp;Mod5=160&amp;Pep=CVKLCTGHEYAAK&amp;Dta=/var/www/html/dta/S01/10561.3220.3.dta&amp;Global_Mod=CS57.0215", "3220")</f>
        <v>3220</v>
      </c>
      <c r="S749" s="35" t="s">
        <v>4854</v>
      </c>
      <c r="T749" s="35" t="s">
        <v>4854</v>
      </c>
      <c r="U749" s="35" t="s">
        <v>4854</v>
      </c>
      <c r="V749" s="35" t="s">
        <v>4854</v>
      </c>
      <c r="W749" s="3" t="s">
        <v>4854</v>
      </c>
      <c r="X749" s="3" t="s">
        <v>4854</v>
      </c>
      <c r="Y749" s="5">
        <v>3212</v>
      </c>
      <c r="Z749" s="5">
        <v>3207</v>
      </c>
      <c r="AA749" s="3" t="s">
        <v>4854</v>
      </c>
      <c r="AB749" s="3" t="s">
        <v>4854</v>
      </c>
      <c r="AC749" s="3" t="s">
        <v>4854</v>
      </c>
      <c r="AD749" s="3" t="s">
        <v>4854</v>
      </c>
      <c r="AE749" s="99" t="s">
        <v>4854</v>
      </c>
      <c r="AF749" s="99" t="s">
        <v>4854</v>
      </c>
      <c r="AG749" s="90">
        <v>2.1869999999999998</v>
      </c>
      <c r="AH749" s="90">
        <v>1.93</v>
      </c>
      <c r="AI749" s="99" t="s">
        <v>4854</v>
      </c>
      <c r="AJ749" s="99" t="s">
        <v>4854</v>
      </c>
      <c r="AK749" s="99" t="s">
        <v>4854</v>
      </c>
      <c r="AL749" s="99" t="s">
        <v>4854</v>
      </c>
      <c r="AM749" s="102" t="s">
        <v>4854</v>
      </c>
      <c r="AN749" s="102" t="s">
        <v>4854</v>
      </c>
      <c r="AO749" s="21">
        <v>0.12770000000000001</v>
      </c>
      <c r="AP749" s="21">
        <v>0.12640000000000001</v>
      </c>
      <c r="AQ749" s="102" t="s">
        <v>4854</v>
      </c>
      <c r="AR749" s="102" t="s">
        <v>4854</v>
      </c>
      <c r="AS749" s="102" t="s">
        <v>4854</v>
      </c>
      <c r="AT749" s="102" t="s">
        <v>4854</v>
      </c>
      <c r="AU749" s="102" t="s">
        <v>4854</v>
      </c>
      <c r="AV749" s="102" t="s">
        <v>4854</v>
      </c>
      <c r="AW749" s="21">
        <v>0.15</v>
      </c>
      <c r="AX749" s="21">
        <v>7.5999999999999998E-2</v>
      </c>
      <c r="AY749" s="102" t="s">
        <v>4854</v>
      </c>
      <c r="AZ749" s="102" t="s">
        <v>4854</v>
      </c>
      <c r="BA749" s="102" t="s">
        <v>4854</v>
      </c>
      <c r="BB749" s="102" t="s">
        <v>4854</v>
      </c>
      <c r="BC749" s="3" t="s">
        <v>4854</v>
      </c>
      <c r="BD749" s="3" t="s">
        <v>4854</v>
      </c>
      <c r="BE749" s="5">
        <v>1</v>
      </c>
      <c r="BF749" s="5">
        <v>3</v>
      </c>
      <c r="BG749" s="3" t="s">
        <v>4854</v>
      </c>
      <c r="BH749" s="3" t="s">
        <v>4854</v>
      </c>
      <c r="BI749" s="3" t="s">
        <v>4854</v>
      </c>
      <c r="BJ749" s="3" t="s">
        <v>4854</v>
      </c>
      <c r="BK749" s="99" t="s">
        <v>4854</v>
      </c>
      <c r="BL749" s="99" t="s">
        <v>4854</v>
      </c>
      <c r="BM749" s="90">
        <v>0.99199999999999999</v>
      </c>
      <c r="BN749" s="90">
        <v>0.95099999999999996</v>
      </c>
      <c r="BO749" s="99" t="s">
        <v>4854</v>
      </c>
      <c r="BP749" s="99" t="s">
        <v>4854</v>
      </c>
      <c r="BQ749" s="99" t="s">
        <v>4854</v>
      </c>
      <c r="BR749" s="99" t="s">
        <v>4854</v>
      </c>
      <c r="BS749" s="5" t="s">
        <v>4857</v>
      </c>
    </row>
    <row r="750" spans="1:71" s="30" customFormat="1" ht="17.100000000000001" customHeight="1">
      <c r="A750" s="14">
        <v>739</v>
      </c>
      <c r="B750" s="5" t="s">
        <v>2023</v>
      </c>
      <c r="C750" s="3" t="s">
        <v>2117</v>
      </c>
      <c r="D750" s="3" t="s">
        <v>2137</v>
      </c>
      <c r="E750" s="6" t="s">
        <v>2138</v>
      </c>
      <c r="F750" s="5" t="s">
        <v>2139</v>
      </c>
      <c r="G750" s="3" t="s">
        <v>2131</v>
      </c>
      <c r="H750" s="6" t="s">
        <v>2140</v>
      </c>
      <c r="I750" s="3" t="s">
        <v>2133</v>
      </c>
      <c r="J750" s="5" t="s">
        <v>2141</v>
      </c>
      <c r="K750" s="3" t="s">
        <v>5786</v>
      </c>
      <c r="L750" s="3" t="s">
        <v>2024</v>
      </c>
      <c r="M750" s="5">
        <v>3</v>
      </c>
      <c r="N750" s="21">
        <v>578.952</v>
      </c>
      <c r="O750" s="35" t="s">
        <v>4854</v>
      </c>
      <c r="P750" s="35" t="s">
        <v>4854</v>
      </c>
      <c r="Q750" s="35" t="s">
        <v>4854</v>
      </c>
      <c r="R750" s="35" t="s">
        <v>4854</v>
      </c>
      <c r="S750" s="35" t="s">
        <v>4854</v>
      </c>
      <c r="T750" s="35" t="s">
        <v>4854</v>
      </c>
      <c r="U750" s="35" t="s">
        <v>4854</v>
      </c>
      <c r="V750" s="36" t="str">
        <f>HYPERLINK("http://ms.phosphosite.org:5080/cgi-bin/plot-msms.cgi?MassType=1&amp;NumAxis=1&amp;Mod2=160&amp;Mod4=170&amp;Mod6=160&amp;Pep=RCVKLCTGHEYAAK&amp;Dta=/var/www/html/dta/S01/10565.2794.3.dta&amp;Global_Mod=CS57.0215", "2794")</f>
        <v>2794</v>
      </c>
      <c r="W750" s="3" t="s">
        <v>4854</v>
      </c>
      <c r="X750" s="3" t="s">
        <v>4854</v>
      </c>
      <c r="Y750" s="3" t="s">
        <v>4854</v>
      </c>
      <c r="Z750" s="3" t="s">
        <v>4854</v>
      </c>
      <c r="AA750" s="3" t="s">
        <v>4854</v>
      </c>
      <c r="AB750" s="3" t="s">
        <v>4854</v>
      </c>
      <c r="AC750" s="3" t="s">
        <v>4854</v>
      </c>
      <c r="AD750" s="5">
        <v>2797</v>
      </c>
      <c r="AE750" s="99" t="s">
        <v>4854</v>
      </c>
      <c r="AF750" s="99" t="s">
        <v>4854</v>
      </c>
      <c r="AG750" s="99" t="s">
        <v>4854</v>
      </c>
      <c r="AH750" s="99" t="s">
        <v>4854</v>
      </c>
      <c r="AI750" s="99" t="s">
        <v>4854</v>
      </c>
      <c r="AJ750" s="99" t="s">
        <v>4854</v>
      </c>
      <c r="AK750" s="99" t="s">
        <v>4854</v>
      </c>
      <c r="AL750" s="90">
        <v>2.7</v>
      </c>
      <c r="AM750" s="102" t="s">
        <v>4854</v>
      </c>
      <c r="AN750" s="102" t="s">
        <v>4854</v>
      </c>
      <c r="AO750" s="102" t="s">
        <v>4854</v>
      </c>
      <c r="AP750" s="102" t="s">
        <v>4854</v>
      </c>
      <c r="AQ750" s="102" t="s">
        <v>4854</v>
      </c>
      <c r="AR750" s="102" t="s">
        <v>4854</v>
      </c>
      <c r="AS750" s="102" t="s">
        <v>4854</v>
      </c>
      <c r="AT750" s="21">
        <v>0.1479</v>
      </c>
      <c r="AU750" s="102" t="s">
        <v>4854</v>
      </c>
      <c r="AV750" s="102" t="s">
        <v>4854</v>
      </c>
      <c r="AW750" s="102" t="s">
        <v>4854</v>
      </c>
      <c r="AX750" s="102" t="s">
        <v>4854</v>
      </c>
      <c r="AY750" s="102" t="s">
        <v>4854</v>
      </c>
      <c r="AZ750" s="102" t="s">
        <v>4854</v>
      </c>
      <c r="BA750" s="102" t="s">
        <v>4854</v>
      </c>
      <c r="BB750" s="21">
        <v>0.20399999999999999</v>
      </c>
      <c r="BC750" s="3" t="s">
        <v>4854</v>
      </c>
      <c r="BD750" s="3" t="s">
        <v>4854</v>
      </c>
      <c r="BE750" s="3" t="s">
        <v>4854</v>
      </c>
      <c r="BF750" s="3" t="s">
        <v>4854</v>
      </c>
      <c r="BG750" s="3" t="s">
        <v>4854</v>
      </c>
      <c r="BH750" s="3" t="s">
        <v>4854</v>
      </c>
      <c r="BI750" s="3" t="s">
        <v>4854</v>
      </c>
      <c r="BJ750" s="5">
        <v>24</v>
      </c>
      <c r="BK750" s="99" t="s">
        <v>4854</v>
      </c>
      <c r="BL750" s="99" t="s">
        <v>4854</v>
      </c>
      <c r="BM750" s="99" t="s">
        <v>4854</v>
      </c>
      <c r="BN750" s="99" t="s">
        <v>4854</v>
      </c>
      <c r="BO750" s="99" t="s">
        <v>4854</v>
      </c>
      <c r="BP750" s="99" t="s">
        <v>4854</v>
      </c>
      <c r="BQ750" s="99" t="s">
        <v>4854</v>
      </c>
      <c r="BR750" s="90">
        <v>0.996</v>
      </c>
      <c r="BS750" s="5" t="s">
        <v>4857</v>
      </c>
    </row>
    <row r="751" spans="1:71" s="30" customFormat="1" ht="17.100000000000001" customHeight="1">
      <c r="A751" s="10">
        <v>740</v>
      </c>
      <c r="B751" s="10" t="s">
        <v>2025</v>
      </c>
      <c r="C751" s="4" t="s">
        <v>2117</v>
      </c>
      <c r="D751" s="7" t="s">
        <v>2026</v>
      </c>
      <c r="E751" s="7" t="s">
        <v>2027</v>
      </c>
      <c r="F751" s="10" t="s">
        <v>5175</v>
      </c>
      <c r="G751" s="4" t="s">
        <v>2028</v>
      </c>
      <c r="H751" s="7" t="s">
        <v>2029</v>
      </c>
      <c r="I751" s="4" t="s">
        <v>2030</v>
      </c>
      <c r="J751" s="10" t="s">
        <v>4685</v>
      </c>
      <c r="K751" s="4" t="s">
        <v>5787</v>
      </c>
      <c r="L751" s="4" t="s">
        <v>2031</v>
      </c>
      <c r="M751" s="10">
        <v>2</v>
      </c>
      <c r="N751" s="95">
        <v>594.33879999999999</v>
      </c>
      <c r="O751" s="37" t="str">
        <f>HYPERLINK("http://ms.phosphosite.org:5080/cgi-bin/plot-msms.cgi?MassType=1&amp;NumAxis=1&amp;Mod3=160&amp;Mod6=170&amp;Pep=EICLLKELK&amp;Dta=/var/www/html/dta/S01/10558.10047.2.dta&amp;Global_Mod=CS57.0215", "10047")</f>
        <v>10047</v>
      </c>
      <c r="P751" s="38" t="s">
        <v>4854</v>
      </c>
      <c r="Q751" s="38" t="s">
        <v>4854</v>
      </c>
      <c r="R751" s="38" t="s">
        <v>4854</v>
      </c>
      <c r="S751" s="38" t="s">
        <v>4854</v>
      </c>
      <c r="T751" s="38" t="s">
        <v>4854</v>
      </c>
      <c r="U751" s="38" t="s">
        <v>4854</v>
      </c>
      <c r="V751" s="38" t="s">
        <v>4854</v>
      </c>
      <c r="W751" s="10">
        <v>10075</v>
      </c>
      <c r="X751" s="4" t="s">
        <v>4854</v>
      </c>
      <c r="Y751" s="4" t="s">
        <v>4854</v>
      </c>
      <c r="Z751" s="4" t="s">
        <v>4854</v>
      </c>
      <c r="AA751" s="4" t="s">
        <v>4854</v>
      </c>
      <c r="AB751" s="4" t="s">
        <v>4854</v>
      </c>
      <c r="AC751" s="4" t="s">
        <v>4854</v>
      </c>
      <c r="AD751" s="4" t="s">
        <v>4854</v>
      </c>
      <c r="AE751" s="91">
        <v>2.2360000000000002</v>
      </c>
      <c r="AF751" s="100" t="s">
        <v>4854</v>
      </c>
      <c r="AG751" s="100" t="s">
        <v>4854</v>
      </c>
      <c r="AH751" s="100" t="s">
        <v>4854</v>
      </c>
      <c r="AI751" s="100" t="s">
        <v>4854</v>
      </c>
      <c r="AJ751" s="100" t="s">
        <v>4854</v>
      </c>
      <c r="AK751" s="100" t="s">
        <v>4854</v>
      </c>
      <c r="AL751" s="100" t="s">
        <v>4854</v>
      </c>
      <c r="AM751" s="95">
        <v>7.7299999999999994E-2</v>
      </c>
      <c r="AN751" s="103" t="s">
        <v>4854</v>
      </c>
      <c r="AO751" s="103" t="s">
        <v>4854</v>
      </c>
      <c r="AP751" s="103" t="s">
        <v>4854</v>
      </c>
      <c r="AQ751" s="103" t="s">
        <v>4854</v>
      </c>
      <c r="AR751" s="103" t="s">
        <v>4854</v>
      </c>
      <c r="AS751" s="103" t="s">
        <v>4854</v>
      </c>
      <c r="AT751" s="103" t="s">
        <v>4854</v>
      </c>
      <c r="AU751" s="95">
        <v>3.2000000000000001E-2</v>
      </c>
      <c r="AV751" s="103" t="s">
        <v>4854</v>
      </c>
      <c r="AW751" s="103" t="s">
        <v>4854</v>
      </c>
      <c r="AX751" s="103" t="s">
        <v>4854</v>
      </c>
      <c r="AY751" s="103" t="s">
        <v>4854</v>
      </c>
      <c r="AZ751" s="103" t="s">
        <v>4854</v>
      </c>
      <c r="BA751" s="103" t="s">
        <v>4854</v>
      </c>
      <c r="BB751" s="103" t="s">
        <v>4854</v>
      </c>
      <c r="BC751" s="10">
        <v>8</v>
      </c>
      <c r="BD751" s="4" t="s">
        <v>4854</v>
      </c>
      <c r="BE751" s="4" t="s">
        <v>4854</v>
      </c>
      <c r="BF751" s="4" t="s">
        <v>4854</v>
      </c>
      <c r="BG751" s="4" t="s">
        <v>4854</v>
      </c>
      <c r="BH751" s="4" t="s">
        <v>4854</v>
      </c>
      <c r="BI751" s="4" t="s">
        <v>4854</v>
      </c>
      <c r="BJ751" s="4" t="s">
        <v>4854</v>
      </c>
      <c r="BK751" s="91">
        <v>0.95899999999999996</v>
      </c>
      <c r="BL751" s="100" t="s">
        <v>4854</v>
      </c>
      <c r="BM751" s="100" t="s">
        <v>4854</v>
      </c>
      <c r="BN751" s="100" t="s">
        <v>4854</v>
      </c>
      <c r="BO751" s="100" t="s">
        <v>4854</v>
      </c>
      <c r="BP751" s="100" t="s">
        <v>4854</v>
      </c>
      <c r="BQ751" s="100" t="s">
        <v>4854</v>
      </c>
      <c r="BR751" s="100" t="s">
        <v>4854</v>
      </c>
      <c r="BS751" s="10" t="s">
        <v>4857</v>
      </c>
    </row>
    <row r="752" spans="1:71" s="30" customFormat="1" ht="17.100000000000001" customHeight="1">
      <c r="A752" s="14">
        <v>741</v>
      </c>
      <c r="B752" s="5" t="s">
        <v>2032</v>
      </c>
      <c r="C752" s="3" t="s">
        <v>2117</v>
      </c>
      <c r="D752" s="3" t="s">
        <v>2033</v>
      </c>
      <c r="E752" s="6" t="s">
        <v>2034</v>
      </c>
      <c r="F752" s="5" t="s">
        <v>5000</v>
      </c>
      <c r="G752" s="3" t="s">
        <v>2035</v>
      </c>
      <c r="H752" s="6" t="s">
        <v>2036</v>
      </c>
      <c r="I752" s="3" t="s">
        <v>2037</v>
      </c>
      <c r="J752" s="5" t="s">
        <v>4029</v>
      </c>
      <c r="K752" s="3" t="s">
        <v>5788</v>
      </c>
      <c r="L752" s="3" t="s">
        <v>2038</v>
      </c>
      <c r="M752" s="5">
        <v>2</v>
      </c>
      <c r="N752" s="21">
        <v>555.81330000000003</v>
      </c>
      <c r="O752" s="35" t="s">
        <v>4854</v>
      </c>
      <c r="P752" s="35" t="s">
        <v>4854</v>
      </c>
      <c r="Q752" s="35" t="s">
        <v>4854</v>
      </c>
      <c r="R752" s="36" t="str">
        <f>HYPERLINK("http://ms.phosphosite.org:5080/cgi-bin/plot-msms.cgi?MassType=1&amp;NumAxis=1&amp;Mod3=170&amp;Pep=LYKFIEQK&amp;Dta=/var/www/html/dta/S01/10561.6798.2.dta&amp;Global_Mod=CS57.0215", "6798")</f>
        <v>6798</v>
      </c>
      <c r="S752" s="35" t="s">
        <v>4854</v>
      </c>
      <c r="T752" s="35" t="s">
        <v>4854</v>
      </c>
      <c r="U752" s="35" t="s">
        <v>4854</v>
      </c>
      <c r="V752" s="35" t="s">
        <v>4854</v>
      </c>
      <c r="W752" s="3" t="s">
        <v>4854</v>
      </c>
      <c r="X752" s="3" t="s">
        <v>4854</v>
      </c>
      <c r="Y752" s="3" t="s">
        <v>4854</v>
      </c>
      <c r="Z752" s="5">
        <v>6789</v>
      </c>
      <c r="AA752" s="3" t="s">
        <v>4854</v>
      </c>
      <c r="AB752" s="3" t="s">
        <v>4854</v>
      </c>
      <c r="AC752" s="3" t="s">
        <v>4854</v>
      </c>
      <c r="AD752" s="3" t="s">
        <v>4854</v>
      </c>
      <c r="AE752" s="99" t="s">
        <v>4854</v>
      </c>
      <c r="AF752" s="99" t="s">
        <v>4854</v>
      </c>
      <c r="AG752" s="99" t="s">
        <v>4854</v>
      </c>
      <c r="AH752" s="90">
        <v>1.8640000000000001</v>
      </c>
      <c r="AI752" s="99" t="s">
        <v>4854</v>
      </c>
      <c r="AJ752" s="99" t="s">
        <v>4854</v>
      </c>
      <c r="AK752" s="99" t="s">
        <v>4854</v>
      </c>
      <c r="AL752" s="99" t="s">
        <v>4854</v>
      </c>
      <c r="AM752" s="102" t="s">
        <v>4854</v>
      </c>
      <c r="AN752" s="102" t="s">
        <v>4854</v>
      </c>
      <c r="AO752" s="102" t="s">
        <v>4854</v>
      </c>
      <c r="AP752" s="21">
        <v>0.38279999999999997</v>
      </c>
      <c r="AQ752" s="102" t="s">
        <v>4854</v>
      </c>
      <c r="AR752" s="102" t="s">
        <v>4854</v>
      </c>
      <c r="AS752" s="102" t="s">
        <v>4854</v>
      </c>
      <c r="AT752" s="102" t="s">
        <v>4854</v>
      </c>
      <c r="AU752" s="102" t="s">
        <v>4854</v>
      </c>
      <c r="AV752" s="102" t="s">
        <v>4854</v>
      </c>
      <c r="AW752" s="102" t="s">
        <v>4854</v>
      </c>
      <c r="AX752" s="21">
        <v>7.4999999999999997E-2</v>
      </c>
      <c r="AY752" s="102" t="s">
        <v>4854</v>
      </c>
      <c r="AZ752" s="102" t="s">
        <v>4854</v>
      </c>
      <c r="BA752" s="102" t="s">
        <v>4854</v>
      </c>
      <c r="BB752" s="102" t="s">
        <v>4854</v>
      </c>
      <c r="BC752" s="3" t="s">
        <v>4854</v>
      </c>
      <c r="BD752" s="3" t="s">
        <v>4854</v>
      </c>
      <c r="BE752" s="3" t="s">
        <v>4854</v>
      </c>
      <c r="BF752" s="5">
        <v>2</v>
      </c>
      <c r="BG752" s="3" t="s">
        <v>4854</v>
      </c>
      <c r="BH752" s="3" t="s">
        <v>4854</v>
      </c>
      <c r="BI752" s="3" t="s">
        <v>4854</v>
      </c>
      <c r="BJ752" s="3" t="s">
        <v>4854</v>
      </c>
      <c r="BK752" s="99" t="s">
        <v>4854</v>
      </c>
      <c r="BL752" s="99" t="s">
        <v>4854</v>
      </c>
      <c r="BM752" s="99" t="s">
        <v>4854</v>
      </c>
      <c r="BN752" s="90">
        <v>0.96499999999999997</v>
      </c>
      <c r="BO752" s="99" t="s">
        <v>4854</v>
      </c>
      <c r="BP752" s="99" t="s">
        <v>4854</v>
      </c>
      <c r="BQ752" s="99" t="s">
        <v>4854</v>
      </c>
      <c r="BR752" s="99" t="s">
        <v>4854</v>
      </c>
      <c r="BS752" s="5" t="s">
        <v>4857</v>
      </c>
    </row>
    <row r="753" spans="1:71" s="30" customFormat="1" ht="17.100000000000001" customHeight="1">
      <c r="A753" s="10">
        <v>742</v>
      </c>
      <c r="B753" s="10" t="s">
        <v>2039</v>
      </c>
      <c r="C753" s="4" t="s">
        <v>2117</v>
      </c>
      <c r="D753" s="4" t="s">
        <v>2040</v>
      </c>
      <c r="E753" s="7" t="s">
        <v>2041</v>
      </c>
      <c r="F753" s="10" t="s">
        <v>3783</v>
      </c>
      <c r="G753" s="4" t="s">
        <v>2042</v>
      </c>
      <c r="H753" s="7" t="s">
        <v>2043</v>
      </c>
      <c r="I753" s="4" t="s">
        <v>2044</v>
      </c>
      <c r="J753" s="10" t="s">
        <v>4708</v>
      </c>
      <c r="K753" s="4" t="s">
        <v>5789</v>
      </c>
      <c r="L753" s="4" t="s">
        <v>2045</v>
      </c>
      <c r="M753" s="10">
        <v>3</v>
      </c>
      <c r="N753" s="95">
        <v>523.25599999999997</v>
      </c>
      <c r="O753" s="37" t="str">
        <f>HYPERLINK("http://ms.phosphosite.org:5080/cgi-bin/plot-msms.cgi?MassType=1&amp;NumAxis=1&amp;Mod12=147&amp;Mod13=170&amp;Pep=YSNTGQAISPGMKR&amp;Dta=/var/www/html/dta/S01/10558.6304.3.dta&amp;Global_Mod=CS57.0215", "6304")</f>
        <v>6304</v>
      </c>
      <c r="P753" s="38" t="s">
        <v>4854</v>
      </c>
      <c r="Q753" s="38" t="s">
        <v>4854</v>
      </c>
      <c r="R753" s="38" t="s">
        <v>4854</v>
      </c>
      <c r="S753" s="38" t="s">
        <v>4854</v>
      </c>
      <c r="T753" s="38" t="s">
        <v>4854</v>
      </c>
      <c r="U753" s="38" t="s">
        <v>4854</v>
      </c>
      <c r="V753" s="38" t="s">
        <v>4854</v>
      </c>
      <c r="W753" s="4" t="s">
        <v>4854</v>
      </c>
      <c r="X753" s="4" t="s">
        <v>4854</v>
      </c>
      <c r="Y753" s="4" t="s">
        <v>4854</v>
      </c>
      <c r="Z753" s="4" t="s">
        <v>4854</v>
      </c>
      <c r="AA753" s="4" t="s">
        <v>4854</v>
      </c>
      <c r="AB753" s="4" t="s">
        <v>4854</v>
      </c>
      <c r="AC753" s="4" t="s">
        <v>4854</v>
      </c>
      <c r="AD753" s="4" t="s">
        <v>4854</v>
      </c>
      <c r="AE753" s="91">
        <v>1.9419999999999999</v>
      </c>
      <c r="AF753" s="100" t="s">
        <v>4854</v>
      </c>
      <c r="AG753" s="100" t="s">
        <v>4854</v>
      </c>
      <c r="AH753" s="100" t="s">
        <v>4854</v>
      </c>
      <c r="AI753" s="100" t="s">
        <v>4854</v>
      </c>
      <c r="AJ753" s="100" t="s">
        <v>4854</v>
      </c>
      <c r="AK753" s="100" t="s">
        <v>4854</v>
      </c>
      <c r="AL753" s="100" t="s">
        <v>4854</v>
      </c>
      <c r="AM753" s="95">
        <v>-0.93569999999999998</v>
      </c>
      <c r="AN753" s="103" t="s">
        <v>4854</v>
      </c>
      <c r="AO753" s="103" t="s">
        <v>4854</v>
      </c>
      <c r="AP753" s="103" t="s">
        <v>4854</v>
      </c>
      <c r="AQ753" s="103" t="s">
        <v>4854</v>
      </c>
      <c r="AR753" s="103" t="s">
        <v>4854</v>
      </c>
      <c r="AS753" s="103" t="s">
        <v>4854</v>
      </c>
      <c r="AT753" s="103" t="s">
        <v>4854</v>
      </c>
      <c r="AU753" s="95">
        <v>2.3E-2</v>
      </c>
      <c r="AV753" s="103" t="s">
        <v>4854</v>
      </c>
      <c r="AW753" s="103" t="s">
        <v>4854</v>
      </c>
      <c r="AX753" s="103" t="s">
        <v>4854</v>
      </c>
      <c r="AY753" s="103" t="s">
        <v>4854</v>
      </c>
      <c r="AZ753" s="103" t="s">
        <v>4854</v>
      </c>
      <c r="BA753" s="103" t="s">
        <v>4854</v>
      </c>
      <c r="BB753" s="103" t="s">
        <v>4854</v>
      </c>
      <c r="BC753" s="10">
        <v>27</v>
      </c>
      <c r="BD753" s="4" t="s">
        <v>4854</v>
      </c>
      <c r="BE753" s="4" t="s">
        <v>4854</v>
      </c>
      <c r="BF753" s="4" t="s">
        <v>4854</v>
      </c>
      <c r="BG753" s="4" t="s">
        <v>4854</v>
      </c>
      <c r="BH753" s="4" t="s">
        <v>4854</v>
      </c>
      <c r="BI753" s="4" t="s">
        <v>4854</v>
      </c>
      <c r="BJ753" s="4" t="s">
        <v>4854</v>
      </c>
      <c r="BK753" s="91">
        <v>5.8999999999999997E-2</v>
      </c>
      <c r="BL753" s="100" t="s">
        <v>4854</v>
      </c>
      <c r="BM753" s="100" t="s">
        <v>4854</v>
      </c>
      <c r="BN753" s="100" t="s">
        <v>4854</v>
      </c>
      <c r="BO753" s="100" t="s">
        <v>4854</v>
      </c>
      <c r="BP753" s="100" t="s">
        <v>4854</v>
      </c>
      <c r="BQ753" s="100" t="s">
        <v>4854</v>
      </c>
      <c r="BR753" s="100" t="s">
        <v>4854</v>
      </c>
      <c r="BS753" s="10" t="s">
        <v>4857</v>
      </c>
    </row>
    <row r="754" spans="1:71" s="30" customFormat="1" ht="17.100000000000001" customHeight="1">
      <c r="A754" s="14">
        <v>743</v>
      </c>
      <c r="B754" s="5" t="s">
        <v>2046</v>
      </c>
      <c r="C754" s="3" t="s">
        <v>2117</v>
      </c>
      <c r="D754" s="3" t="s">
        <v>2047</v>
      </c>
      <c r="E754" s="6" t="s">
        <v>2048</v>
      </c>
      <c r="F754" s="5" t="s">
        <v>5123</v>
      </c>
      <c r="G754" s="3" t="s">
        <v>2049</v>
      </c>
      <c r="H754" s="6" t="s">
        <v>2050</v>
      </c>
      <c r="I754" s="3" t="s">
        <v>2051</v>
      </c>
      <c r="J754" s="5" t="s">
        <v>3361</v>
      </c>
      <c r="K754" s="3" t="s">
        <v>5790</v>
      </c>
      <c r="L754" s="3" t="s">
        <v>2052</v>
      </c>
      <c r="M754" s="5">
        <v>2</v>
      </c>
      <c r="N754" s="21">
        <v>772.40940000000001</v>
      </c>
      <c r="O754" s="36" t="str">
        <f>HYPERLINK("http://ms.phosphosite.org:5080/cgi-bin/plot-msms.cgi?MassType=1&amp;NumAxis=1&amp;Mod3=170&amp;Pep=QLKEFIQQPENK&amp;Dta=/var/www/html/dta/S01/10558.6477.2.dta&amp;Global_Mod=CS57.0215", "6477")</f>
        <v>6477</v>
      </c>
      <c r="P754" s="36" t="str">
        <f>HYPERLINK("http://ms.phosphosite.org:5080/cgi-bin/plot-msms.cgi?MassType=1&amp;NumAxis=1&amp;Mod3=170&amp;Pep=QLKEFIQQPENK&amp;Dta=/var/www/html/dta/S01/10559.6412.2.dta&amp;Global_Mod=CS57.0215", "6412")</f>
        <v>6412</v>
      </c>
      <c r="Q754" s="36" t="str">
        <f>HYPERLINK("http://ms.phosphosite.org:5080/cgi-bin/plot-msms.cgi?MassType=1&amp;NumAxis=1&amp;Mod3=170&amp;Pep=QLKEFIQQPENK&amp;Dta=/var/www/html/dta/S01/10560.6392.2.dta&amp;Global_Mod=CS57.0215", "6392")</f>
        <v>6392</v>
      </c>
      <c r="R754" s="36" t="str">
        <f>HYPERLINK("http://ms.phosphosite.org:5080/cgi-bin/plot-msms.cgi?MassType=1&amp;NumAxis=1&amp;Mod3=170&amp;Pep=QLKEFIQQPENK&amp;Dta=/var/www/html/dta/S01/10561.6430.2.dta&amp;Global_Mod=CS57.0215", "6430")</f>
        <v>6430</v>
      </c>
      <c r="S754" s="35" t="s">
        <v>4854</v>
      </c>
      <c r="T754" s="36" t="str">
        <f>HYPERLINK("http://ms.phosphosite.org:5080/cgi-bin/plot-msms.cgi?MassType=1&amp;NumAxis=1&amp;Mod3=170&amp;Pep=QLKEFIQQPENK&amp;Dta=/var/www/html/dta/S01/10563.6505.2.dta&amp;Global_Mod=CS57.0215", "6505")</f>
        <v>6505</v>
      </c>
      <c r="U754" s="36" t="str">
        <f>HYPERLINK("http://ms.phosphosite.org:5080/cgi-bin/plot-msms.cgi?MassType=1&amp;NumAxis=1&amp;Mod3=170&amp;Pep=QLKEFIQQPENK&amp;Dta=/var/www/html/dta/S01/10564.6856.2.dta&amp;Global_Mod=CS57.0215", "6856")</f>
        <v>6856</v>
      </c>
      <c r="V754" s="36" t="str">
        <f>HYPERLINK("http://ms.phosphosite.org:5080/cgi-bin/plot-msms.cgi?MassType=1&amp;NumAxis=1&amp;Mod3=170&amp;Pep=QLKEFIQQPENK&amp;Dta=/var/www/html/dta/S01/10565.6940.2.dta&amp;Global_Mod=CS57.0215", "6940")</f>
        <v>6940</v>
      </c>
      <c r="W754" s="5">
        <v>6435</v>
      </c>
      <c r="X754" s="5">
        <v>6404</v>
      </c>
      <c r="Y754" s="5">
        <v>6388</v>
      </c>
      <c r="Z754" s="5">
        <v>6426</v>
      </c>
      <c r="AA754" s="3" t="s">
        <v>4854</v>
      </c>
      <c r="AB754" s="5">
        <v>6486</v>
      </c>
      <c r="AC754" s="5">
        <v>6859</v>
      </c>
      <c r="AD754" s="5">
        <v>6922</v>
      </c>
      <c r="AE754" s="90">
        <v>2.431</v>
      </c>
      <c r="AF754" s="90">
        <v>3.0329999999999999</v>
      </c>
      <c r="AG754" s="90">
        <v>3.2440000000000002</v>
      </c>
      <c r="AH754" s="90">
        <v>2.4500000000000002</v>
      </c>
      <c r="AI754" s="99" t="s">
        <v>4854</v>
      </c>
      <c r="AJ754" s="90">
        <v>3.4550000000000001</v>
      </c>
      <c r="AK754" s="90">
        <v>2.794</v>
      </c>
      <c r="AL754" s="90">
        <v>2.8849999999999998</v>
      </c>
      <c r="AM754" s="21">
        <v>1.0113000000000001</v>
      </c>
      <c r="AN754" s="21">
        <v>0.999</v>
      </c>
      <c r="AO754" s="21">
        <v>0.94650000000000001</v>
      </c>
      <c r="AP754" s="21">
        <v>0.70230000000000004</v>
      </c>
      <c r="AQ754" s="102" t="s">
        <v>4854</v>
      </c>
      <c r="AR754" s="21">
        <v>0.8468</v>
      </c>
      <c r="AS754" s="21">
        <v>7.9799999999999996E-2</v>
      </c>
      <c r="AT754" s="21">
        <v>-8.9899999999999994E-2</v>
      </c>
      <c r="AU754" s="21">
        <v>0.111</v>
      </c>
      <c r="AV754" s="21">
        <v>0.188</v>
      </c>
      <c r="AW754" s="21">
        <v>0.20300000000000001</v>
      </c>
      <c r="AX754" s="21">
        <v>0.16800000000000001</v>
      </c>
      <c r="AY754" s="102" t="s">
        <v>4854</v>
      </c>
      <c r="AZ754" s="21">
        <v>0.221</v>
      </c>
      <c r="BA754" s="21">
        <v>0.253</v>
      </c>
      <c r="BB754" s="21">
        <v>0.185</v>
      </c>
      <c r="BC754" s="5">
        <v>15</v>
      </c>
      <c r="BD754" s="5">
        <v>6</v>
      </c>
      <c r="BE754" s="5">
        <v>1</v>
      </c>
      <c r="BF754" s="5">
        <v>6</v>
      </c>
      <c r="BG754" s="3" t="s">
        <v>4854</v>
      </c>
      <c r="BH754" s="5">
        <v>3</v>
      </c>
      <c r="BI754" s="5">
        <v>1</v>
      </c>
      <c r="BJ754" s="5">
        <v>3</v>
      </c>
      <c r="BK754" s="90">
        <v>0.98099999999999998</v>
      </c>
      <c r="BL754" s="90">
        <v>0.998</v>
      </c>
      <c r="BM754" s="90">
        <v>0.999</v>
      </c>
      <c r="BN754" s="90">
        <v>0.99299999999999999</v>
      </c>
      <c r="BO754" s="99" t="s">
        <v>4854</v>
      </c>
      <c r="BP754" s="90">
        <v>0.999</v>
      </c>
      <c r="BQ754" s="90">
        <v>0.999</v>
      </c>
      <c r="BR754" s="90">
        <v>0.998</v>
      </c>
      <c r="BS754" s="5" t="s">
        <v>4857</v>
      </c>
    </row>
    <row r="755" spans="1:71" s="30" customFormat="1" ht="17.100000000000001" customHeight="1">
      <c r="A755" s="10">
        <v>744</v>
      </c>
      <c r="B755" s="10" t="s">
        <v>2053</v>
      </c>
      <c r="C755" s="4" t="s">
        <v>2117</v>
      </c>
      <c r="D755" s="4" t="s">
        <v>2054</v>
      </c>
      <c r="E755" s="7" t="s">
        <v>2055</v>
      </c>
      <c r="F755" s="10" t="s">
        <v>5296</v>
      </c>
      <c r="G755" s="4" t="s">
        <v>2056</v>
      </c>
      <c r="H755" s="7" t="s">
        <v>2057</v>
      </c>
      <c r="I755" s="4" t="s">
        <v>2058</v>
      </c>
      <c r="J755" s="10" t="s">
        <v>3192</v>
      </c>
      <c r="K755" s="4" t="s">
        <v>5791</v>
      </c>
      <c r="L755" s="4" t="s">
        <v>2059</v>
      </c>
      <c r="M755" s="10">
        <v>3</v>
      </c>
      <c r="N755" s="95">
        <v>542.95219999999995</v>
      </c>
      <c r="O755" s="38" t="s">
        <v>4854</v>
      </c>
      <c r="P755" s="38" t="s">
        <v>4854</v>
      </c>
      <c r="Q755" s="37" t="str">
        <f>HYPERLINK("http://ms.phosphosite.org:5080/cgi-bin/plot-msms.cgi?MassType=1&amp;NumAxis=1&amp;Mod10=170&amp;Pep=AAFAMVTHVKQEPR&amp;Dta=/var/www/html/dta/S01/10560.6039.3.dta&amp;Global_Mod=CS57.0215", "6039")</f>
        <v>6039</v>
      </c>
      <c r="R755" s="37" t="str">
        <f>HYPERLINK("http://ms.phosphosite.org:5080/cgi-bin/plot-msms.cgi?MassType=1&amp;NumAxis=1&amp;Mod10=170&amp;Pep=AAFAMVTHVKQEPR&amp;Dta=/var/www/html/dta/S01/10561.6094.3.dta&amp;Global_Mod=CS57.0215", "6094")</f>
        <v>6094</v>
      </c>
      <c r="S755" s="38" t="s">
        <v>4854</v>
      </c>
      <c r="T755" s="38" t="s">
        <v>4854</v>
      </c>
      <c r="U755" s="38" t="s">
        <v>4854</v>
      </c>
      <c r="V755" s="38" t="s">
        <v>4854</v>
      </c>
      <c r="W755" s="4" t="s">
        <v>4854</v>
      </c>
      <c r="X755" s="4" t="s">
        <v>4854</v>
      </c>
      <c r="Y755" s="4" t="s">
        <v>4854</v>
      </c>
      <c r="Z755" s="10">
        <v>6096</v>
      </c>
      <c r="AA755" s="4" t="s">
        <v>4854</v>
      </c>
      <c r="AB755" s="4" t="s">
        <v>4854</v>
      </c>
      <c r="AC755" s="4" t="s">
        <v>4854</v>
      </c>
      <c r="AD755" s="4" t="s">
        <v>4854</v>
      </c>
      <c r="AE755" s="100" t="s">
        <v>4854</v>
      </c>
      <c r="AF755" s="100" t="s">
        <v>4854</v>
      </c>
      <c r="AG755" s="91">
        <v>2.0139999999999998</v>
      </c>
      <c r="AH755" s="91">
        <v>2.5430000000000001</v>
      </c>
      <c r="AI755" s="100" t="s">
        <v>4854</v>
      </c>
      <c r="AJ755" s="100" t="s">
        <v>4854</v>
      </c>
      <c r="AK755" s="100" t="s">
        <v>4854</v>
      </c>
      <c r="AL755" s="100" t="s">
        <v>4854</v>
      </c>
      <c r="AM755" s="103" t="s">
        <v>4854</v>
      </c>
      <c r="AN755" s="103" t="s">
        <v>4854</v>
      </c>
      <c r="AO755" s="95">
        <v>1.1012999999999999</v>
      </c>
      <c r="AP755" s="95">
        <v>0.9335</v>
      </c>
      <c r="AQ755" s="103" t="s">
        <v>4854</v>
      </c>
      <c r="AR755" s="103" t="s">
        <v>4854</v>
      </c>
      <c r="AS755" s="103" t="s">
        <v>4854</v>
      </c>
      <c r="AT755" s="103" t="s">
        <v>4854</v>
      </c>
      <c r="AU755" s="103" t="s">
        <v>4854</v>
      </c>
      <c r="AV755" s="103" t="s">
        <v>4854</v>
      </c>
      <c r="AW755" s="95">
        <v>5.3999999999999999E-2</v>
      </c>
      <c r="AX755" s="95">
        <v>0.188</v>
      </c>
      <c r="AY755" s="103" t="s">
        <v>4854</v>
      </c>
      <c r="AZ755" s="103" t="s">
        <v>4854</v>
      </c>
      <c r="BA755" s="103" t="s">
        <v>4854</v>
      </c>
      <c r="BB755" s="103" t="s">
        <v>4854</v>
      </c>
      <c r="BC755" s="4" t="s">
        <v>4854</v>
      </c>
      <c r="BD755" s="4" t="s">
        <v>4854</v>
      </c>
      <c r="BE755" s="10">
        <v>173</v>
      </c>
      <c r="BF755" s="10">
        <v>3</v>
      </c>
      <c r="BG755" s="4" t="s">
        <v>4854</v>
      </c>
      <c r="BH755" s="4" t="s">
        <v>4854</v>
      </c>
      <c r="BI755" s="4" t="s">
        <v>4854</v>
      </c>
      <c r="BJ755" s="4" t="s">
        <v>4854</v>
      </c>
      <c r="BK755" s="100" t="s">
        <v>4854</v>
      </c>
      <c r="BL755" s="100" t="s">
        <v>4854</v>
      </c>
      <c r="BM755" s="91">
        <v>0.85499999999999998</v>
      </c>
      <c r="BN755" s="91">
        <v>0.996</v>
      </c>
      <c r="BO755" s="100" t="s">
        <v>4854</v>
      </c>
      <c r="BP755" s="100" t="s">
        <v>4854</v>
      </c>
      <c r="BQ755" s="100" t="s">
        <v>4854</v>
      </c>
      <c r="BR755" s="100" t="s">
        <v>4854</v>
      </c>
      <c r="BS755" s="10" t="s">
        <v>4857</v>
      </c>
    </row>
    <row r="756" spans="1:71" ht="17.100000000000001" customHeight="1">
      <c r="A756" s="31">
        <v>745</v>
      </c>
      <c r="B756" s="2" t="s">
        <v>2060</v>
      </c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94"/>
      <c r="O756" s="34"/>
      <c r="P756" s="34"/>
      <c r="Q756" s="34"/>
      <c r="R756" s="34"/>
      <c r="S756" s="34"/>
      <c r="T756" s="34"/>
      <c r="U756" s="34"/>
      <c r="V756" s="34"/>
      <c r="W756" s="1"/>
      <c r="X756" s="1"/>
      <c r="Y756" s="1"/>
      <c r="Z756" s="1"/>
      <c r="AA756" s="1"/>
      <c r="AB756" s="1"/>
      <c r="AC756" s="1"/>
      <c r="AD756" s="1"/>
      <c r="AE756" s="89"/>
      <c r="AF756" s="89"/>
      <c r="AG756" s="89"/>
      <c r="AH756" s="89"/>
      <c r="AI756" s="89"/>
      <c r="AJ756" s="89"/>
      <c r="AK756" s="89"/>
      <c r="AL756" s="89"/>
      <c r="AM756" s="94"/>
      <c r="AN756" s="94"/>
      <c r="AO756" s="94"/>
      <c r="AP756" s="94"/>
      <c r="AQ756" s="94"/>
      <c r="AR756" s="94"/>
      <c r="AS756" s="94"/>
      <c r="AT756" s="94"/>
      <c r="AU756" s="94"/>
      <c r="AV756" s="94"/>
      <c r="AW756" s="94"/>
      <c r="AX756" s="94"/>
      <c r="AY756" s="94"/>
      <c r="AZ756" s="94"/>
      <c r="BA756" s="94"/>
      <c r="BB756" s="94"/>
      <c r="BC756" s="1"/>
      <c r="BD756" s="1"/>
      <c r="BE756" s="1"/>
      <c r="BF756" s="1"/>
      <c r="BG756" s="1"/>
      <c r="BH756" s="1"/>
      <c r="BI756" s="1"/>
      <c r="BJ756" s="1"/>
      <c r="BK756" s="89"/>
      <c r="BL756" s="89"/>
      <c r="BM756" s="89"/>
      <c r="BN756" s="89"/>
      <c r="BO756" s="89"/>
      <c r="BP756" s="89"/>
      <c r="BQ756" s="89"/>
      <c r="BR756" s="89"/>
      <c r="BS756" s="1"/>
    </row>
    <row r="757" spans="1:71" s="30" customFormat="1" ht="17.100000000000001" customHeight="1">
      <c r="A757" s="14">
        <v>746</v>
      </c>
      <c r="B757" s="5" t="s">
        <v>2061</v>
      </c>
      <c r="C757" s="3" t="s">
        <v>2060</v>
      </c>
      <c r="D757" s="6" t="s">
        <v>2062</v>
      </c>
      <c r="E757" s="6" t="s">
        <v>2063</v>
      </c>
      <c r="F757" s="5" t="s">
        <v>2064</v>
      </c>
      <c r="G757" s="3" t="s">
        <v>2065</v>
      </c>
      <c r="H757" s="6" t="s">
        <v>2066</v>
      </c>
      <c r="I757" s="3" t="s">
        <v>2067</v>
      </c>
      <c r="J757" s="5" t="s">
        <v>4320</v>
      </c>
      <c r="K757" s="3" t="s">
        <v>5792</v>
      </c>
      <c r="L757" s="3" t="s">
        <v>2068</v>
      </c>
      <c r="M757" s="5">
        <v>3</v>
      </c>
      <c r="N757" s="21">
        <v>561.66989999999998</v>
      </c>
      <c r="O757" s="35" t="s">
        <v>4854</v>
      </c>
      <c r="P757" s="35" t="s">
        <v>4854</v>
      </c>
      <c r="Q757" s="35" t="s">
        <v>4854</v>
      </c>
      <c r="R757" s="36" t="str">
        <f>HYPERLINK("http://ms.phosphosite.org:5080/cgi-bin/plot-msms.cgi?MassType=1&amp;NumAxis=1&amp;Mod3=170&amp;Mod5=170&amp;Pep=LKKNKNSINILWK&amp;Dta=/var/www/html/dta/S01/10561.12783.3.dta&amp;Global_Mod=CS57.0215", "12783")</f>
        <v>12783</v>
      </c>
      <c r="S757" s="35" t="s">
        <v>4854</v>
      </c>
      <c r="T757" s="35" t="s">
        <v>4854</v>
      </c>
      <c r="U757" s="35" t="s">
        <v>4854</v>
      </c>
      <c r="V757" s="35" t="s">
        <v>4854</v>
      </c>
      <c r="W757" s="3" t="s">
        <v>4854</v>
      </c>
      <c r="X757" s="3" t="s">
        <v>4854</v>
      </c>
      <c r="Y757" s="3" t="s">
        <v>4854</v>
      </c>
      <c r="Z757" s="3" t="s">
        <v>4854</v>
      </c>
      <c r="AA757" s="3" t="s">
        <v>4854</v>
      </c>
      <c r="AB757" s="3" t="s">
        <v>4854</v>
      </c>
      <c r="AC757" s="3" t="s">
        <v>4854</v>
      </c>
      <c r="AD757" s="3" t="s">
        <v>4854</v>
      </c>
      <c r="AE757" s="99" t="s">
        <v>4854</v>
      </c>
      <c r="AF757" s="99" t="s">
        <v>4854</v>
      </c>
      <c r="AG757" s="99" t="s">
        <v>4854</v>
      </c>
      <c r="AH757" s="90">
        <v>2.6389999999999998</v>
      </c>
      <c r="AI757" s="99" t="s">
        <v>4854</v>
      </c>
      <c r="AJ757" s="99" t="s">
        <v>4854</v>
      </c>
      <c r="AK757" s="99" t="s">
        <v>4854</v>
      </c>
      <c r="AL757" s="99" t="s">
        <v>4854</v>
      </c>
      <c r="AM757" s="102" t="s">
        <v>4854</v>
      </c>
      <c r="AN757" s="102" t="s">
        <v>4854</v>
      </c>
      <c r="AO757" s="102" t="s">
        <v>4854</v>
      </c>
      <c r="AP757" s="21">
        <v>0.81869999999999998</v>
      </c>
      <c r="AQ757" s="102" t="s">
        <v>4854</v>
      </c>
      <c r="AR757" s="102" t="s">
        <v>4854</v>
      </c>
      <c r="AS757" s="102" t="s">
        <v>4854</v>
      </c>
      <c r="AT757" s="102" t="s">
        <v>4854</v>
      </c>
      <c r="AU757" s="102" t="s">
        <v>4854</v>
      </c>
      <c r="AV757" s="102" t="s">
        <v>4854</v>
      </c>
      <c r="AW757" s="102" t="s">
        <v>4854</v>
      </c>
      <c r="AX757" s="21">
        <v>2.4E-2</v>
      </c>
      <c r="AY757" s="102" t="s">
        <v>4854</v>
      </c>
      <c r="AZ757" s="102" t="s">
        <v>4854</v>
      </c>
      <c r="BA757" s="102" t="s">
        <v>4854</v>
      </c>
      <c r="BB757" s="102" t="s">
        <v>4854</v>
      </c>
      <c r="BC757" s="3" t="s">
        <v>4854</v>
      </c>
      <c r="BD757" s="3" t="s">
        <v>4854</v>
      </c>
      <c r="BE757" s="3" t="s">
        <v>4854</v>
      </c>
      <c r="BF757" s="5">
        <v>59</v>
      </c>
      <c r="BG757" s="3" t="s">
        <v>4854</v>
      </c>
      <c r="BH757" s="3" t="s">
        <v>4854</v>
      </c>
      <c r="BI757" s="3" t="s">
        <v>4854</v>
      </c>
      <c r="BJ757" s="3" t="s">
        <v>4854</v>
      </c>
      <c r="BK757" s="99" t="s">
        <v>4854</v>
      </c>
      <c r="BL757" s="99" t="s">
        <v>4854</v>
      </c>
      <c r="BM757" s="99" t="s">
        <v>4854</v>
      </c>
      <c r="BN757" s="90">
        <v>5.7000000000000002E-2</v>
      </c>
      <c r="BO757" s="99" t="s">
        <v>4854</v>
      </c>
      <c r="BP757" s="99" t="s">
        <v>4854</v>
      </c>
      <c r="BQ757" s="99" t="s">
        <v>4854</v>
      </c>
      <c r="BR757" s="99" t="s">
        <v>4854</v>
      </c>
      <c r="BS757" s="5" t="s">
        <v>4857</v>
      </c>
    </row>
    <row r="758" spans="1:71" ht="17.100000000000001" customHeight="1">
      <c r="A758" s="31">
        <v>747</v>
      </c>
      <c r="B758" s="2" t="s">
        <v>2069</v>
      </c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94"/>
      <c r="O758" s="34"/>
      <c r="P758" s="34"/>
      <c r="Q758" s="34"/>
      <c r="R758" s="34"/>
      <c r="S758" s="34"/>
      <c r="T758" s="34"/>
      <c r="U758" s="34"/>
      <c r="V758" s="34"/>
      <c r="W758" s="1"/>
      <c r="X758" s="1"/>
      <c r="Y758" s="1"/>
      <c r="Z758" s="1"/>
      <c r="AA758" s="1"/>
      <c r="AB758" s="1"/>
      <c r="AC758" s="1"/>
      <c r="AD758" s="1"/>
      <c r="AE758" s="89"/>
      <c r="AF758" s="89"/>
      <c r="AG758" s="89"/>
      <c r="AH758" s="89"/>
      <c r="AI758" s="89"/>
      <c r="AJ758" s="89"/>
      <c r="AK758" s="89"/>
      <c r="AL758" s="89"/>
      <c r="AM758" s="94"/>
      <c r="AN758" s="94"/>
      <c r="AO758" s="94"/>
      <c r="AP758" s="94"/>
      <c r="AQ758" s="94"/>
      <c r="AR758" s="94"/>
      <c r="AS758" s="94"/>
      <c r="AT758" s="94"/>
      <c r="AU758" s="94"/>
      <c r="AV758" s="94"/>
      <c r="AW758" s="94"/>
      <c r="AX758" s="94"/>
      <c r="AY758" s="94"/>
      <c r="AZ758" s="94"/>
      <c r="BA758" s="94"/>
      <c r="BB758" s="94"/>
      <c r="BC758" s="1"/>
      <c r="BD758" s="1"/>
      <c r="BE758" s="1"/>
      <c r="BF758" s="1"/>
      <c r="BG758" s="1"/>
      <c r="BH758" s="1"/>
      <c r="BI758" s="1"/>
      <c r="BJ758" s="1"/>
      <c r="BK758" s="89"/>
      <c r="BL758" s="89"/>
      <c r="BM758" s="89"/>
      <c r="BN758" s="89"/>
      <c r="BO758" s="89"/>
      <c r="BP758" s="89"/>
      <c r="BQ758" s="89"/>
      <c r="BR758" s="89"/>
      <c r="BS758" s="1"/>
    </row>
    <row r="759" spans="1:71" s="30" customFormat="1" ht="17.100000000000001" customHeight="1">
      <c r="A759" s="10">
        <v>748</v>
      </c>
      <c r="B759" s="10" t="s">
        <v>2070</v>
      </c>
      <c r="C759" s="4" t="s">
        <v>2069</v>
      </c>
      <c r="D759" s="4" t="s">
        <v>2071</v>
      </c>
      <c r="E759" s="4" t="s">
        <v>2072</v>
      </c>
      <c r="F759" s="10" t="s">
        <v>3452</v>
      </c>
      <c r="G759" s="4" t="s">
        <v>2073</v>
      </c>
      <c r="H759" s="7" t="s">
        <v>2074</v>
      </c>
      <c r="I759" s="4" t="s">
        <v>2075</v>
      </c>
      <c r="J759" s="10" t="s">
        <v>4624</v>
      </c>
      <c r="K759" s="4" t="s">
        <v>5793</v>
      </c>
      <c r="L759" s="4" t="s">
        <v>2076</v>
      </c>
      <c r="M759" s="10">
        <v>3</v>
      </c>
      <c r="N759" s="95">
        <v>786.41449999999998</v>
      </c>
      <c r="O759" s="38" t="s">
        <v>4854</v>
      </c>
      <c r="P759" s="38" t="s">
        <v>4854</v>
      </c>
      <c r="Q759" s="38" t="s">
        <v>4854</v>
      </c>
      <c r="R759" s="38" t="s">
        <v>4854</v>
      </c>
      <c r="S759" s="38" t="s">
        <v>4854</v>
      </c>
      <c r="T759" s="38" t="s">
        <v>4854</v>
      </c>
      <c r="U759" s="37" t="str">
        <f>HYPERLINK("http://ms.phosphosite.org:5080/cgi-bin/plot-msms.cgi?MassType=1&amp;NumAxis=1&amp;Mod20=170&amp;Pep=EHLAMMERILGPIPAHMIQK&amp;Dta=/var/www/html/dta/S01/10564.4993.3.dta&amp;Global_Mod=CS57.0215", "4993")</f>
        <v>4993</v>
      </c>
      <c r="V759" s="38" t="s">
        <v>4854</v>
      </c>
      <c r="W759" s="4" t="s">
        <v>4854</v>
      </c>
      <c r="X759" s="4" t="s">
        <v>4854</v>
      </c>
      <c r="Y759" s="4" t="s">
        <v>4854</v>
      </c>
      <c r="Z759" s="4" t="s">
        <v>4854</v>
      </c>
      <c r="AA759" s="4" t="s">
        <v>4854</v>
      </c>
      <c r="AB759" s="4" t="s">
        <v>4854</v>
      </c>
      <c r="AC759" s="4" t="s">
        <v>4854</v>
      </c>
      <c r="AD759" s="4" t="s">
        <v>4854</v>
      </c>
      <c r="AE759" s="100" t="s">
        <v>4854</v>
      </c>
      <c r="AF759" s="100" t="s">
        <v>4854</v>
      </c>
      <c r="AG759" s="100" t="s">
        <v>4854</v>
      </c>
      <c r="AH759" s="100" t="s">
        <v>4854</v>
      </c>
      <c r="AI759" s="100" t="s">
        <v>4854</v>
      </c>
      <c r="AJ759" s="100" t="s">
        <v>4854</v>
      </c>
      <c r="AK759" s="91">
        <v>2.0379999999999998</v>
      </c>
      <c r="AL759" s="100" t="s">
        <v>4854</v>
      </c>
      <c r="AM759" s="103" t="s">
        <v>4854</v>
      </c>
      <c r="AN759" s="103" t="s">
        <v>4854</v>
      </c>
      <c r="AO759" s="103" t="s">
        <v>4854</v>
      </c>
      <c r="AP759" s="103" t="s">
        <v>4854</v>
      </c>
      <c r="AQ759" s="103" t="s">
        <v>4854</v>
      </c>
      <c r="AR759" s="103" t="s">
        <v>4854</v>
      </c>
      <c r="AS759" s="95">
        <v>-0.67789999999999995</v>
      </c>
      <c r="AT759" s="103" t="s">
        <v>4854</v>
      </c>
      <c r="AU759" s="103" t="s">
        <v>4854</v>
      </c>
      <c r="AV759" s="103" t="s">
        <v>4854</v>
      </c>
      <c r="AW759" s="103" t="s">
        <v>4854</v>
      </c>
      <c r="AX759" s="103" t="s">
        <v>4854</v>
      </c>
      <c r="AY759" s="103" t="s">
        <v>4854</v>
      </c>
      <c r="AZ759" s="103" t="s">
        <v>4854</v>
      </c>
      <c r="BA759" s="95">
        <v>4.0000000000000001E-3</v>
      </c>
      <c r="BB759" s="103" t="s">
        <v>4854</v>
      </c>
      <c r="BC759" s="4" t="s">
        <v>4854</v>
      </c>
      <c r="BD759" s="4" t="s">
        <v>4854</v>
      </c>
      <c r="BE759" s="4" t="s">
        <v>4854</v>
      </c>
      <c r="BF759" s="4" t="s">
        <v>4854</v>
      </c>
      <c r="BG759" s="4" t="s">
        <v>4854</v>
      </c>
      <c r="BH759" s="4" t="s">
        <v>4854</v>
      </c>
      <c r="BI759" s="10">
        <v>42</v>
      </c>
      <c r="BJ759" s="4" t="s">
        <v>4854</v>
      </c>
      <c r="BK759" s="100" t="s">
        <v>4854</v>
      </c>
      <c r="BL759" s="100" t="s">
        <v>4854</v>
      </c>
      <c r="BM759" s="100" t="s">
        <v>4854</v>
      </c>
      <c r="BN759" s="100" t="s">
        <v>4854</v>
      </c>
      <c r="BO759" s="100" t="s">
        <v>4854</v>
      </c>
      <c r="BP759" s="100" t="s">
        <v>4854</v>
      </c>
      <c r="BQ759" s="91">
        <v>0.247</v>
      </c>
      <c r="BR759" s="100" t="s">
        <v>4854</v>
      </c>
      <c r="BS759" s="10" t="s">
        <v>4857</v>
      </c>
    </row>
    <row r="760" spans="1:71" ht="17.100000000000001" customHeight="1">
      <c r="A760" s="31">
        <v>749</v>
      </c>
      <c r="B760" s="2" t="s">
        <v>2077</v>
      </c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94"/>
      <c r="O760" s="34"/>
      <c r="P760" s="34"/>
      <c r="Q760" s="34"/>
      <c r="R760" s="34"/>
      <c r="S760" s="34"/>
      <c r="T760" s="34"/>
      <c r="U760" s="34"/>
      <c r="V760" s="34"/>
      <c r="W760" s="1"/>
      <c r="X760" s="1"/>
      <c r="Y760" s="1"/>
      <c r="Z760" s="1"/>
      <c r="AA760" s="1"/>
      <c r="AB760" s="1"/>
      <c r="AC760" s="1"/>
      <c r="AD760" s="1"/>
      <c r="AE760" s="89"/>
      <c r="AF760" s="89"/>
      <c r="AG760" s="89"/>
      <c r="AH760" s="89"/>
      <c r="AI760" s="89"/>
      <c r="AJ760" s="89"/>
      <c r="AK760" s="89"/>
      <c r="AL760" s="89"/>
      <c r="AM760" s="94"/>
      <c r="AN760" s="94"/>
      <c r="AO760" s="94"/>
      <c r="AP760" s="94"/>
      <c r="AQ760" s="94"/>
      <c r="AR760" s="94"/>
      <c r="AS760" s="94"/>
      <c r="AT760" s="94"/>
      <c r="AU760" s="94"/>
      <c r="AV760" s="94"/>
      <c r="AW760" s="94"/>
      <c r="AX760" s="94"/>
      <c r="AY760" s="94"/>
      <c r="AZ760" s="94"/>
      <c r="BA760" s="94"/>
      <c r="BB760" s="94"/>
      <c r="BC760" s="1"/>
      <c r="BD760" s="1"/>
      <c r="BE760" s="1"/>
      <c r="BF760" s="1"/>
      <c r="BG760" s="1"/>
      <c r="BH760" s="1"/>
      <c r="BI760" s="1"/>
      <c r="BJ760" s="1"/>
      <c r="BK760" s="89"/>
      <c r="BL760" s="89"/>
      <c r="BM760" s="89"/>
      <c r="BN760" s="89"/>
      <c r="BO760" s="89"/>
      <c r="BP760" s="89"/>
      <c r="BQ760" s="89"/>
      <c r="BR760" s="89"/>
      <c r="BS760" s="1"/>
    </row>
    <row r="761" spans="1:71" s="30" customFormat="1" ht="17.100000000000001" customHeight="1">
      <c r="A761" s="14">
        <v>750</v>
      </c>
      <c r="B761" s="5" t="s">
        <v>2078</v>
      </c>
      <c r="C761" s="3" t="s">
        <v>2077</v>
      </c>
      <c r="D761" s="3" t="s">
        <v>2079</v>
      </c>
      <c r="E761" s="6" t="s">
        <v>2080</v>
      </c>
      <c r="F761" s="5" t="s">
        <v>4389</v>
      </c>
      <c r="G761" s="3" t="s">
        <v>2081</v>
      </c>
      <c r="H761" s="6" t="s">
        <v>2082</v>
      </c>
      <c r="I761" s="3" t="s">
        <v>2083</v>
      </c>
      <c r="J761" s="5" t="s">
        <v>4624</v>
      </c>
      <c r="K761" s="3" t="s">
        <v>5794</v>
      </c>
      <c r="L761" s="3" t="s">
        <v>2084</v>
      </c>
      <c r="M761" s="5">
        <v>2</v>
      </c>
      <c r="N761" s="21">
        <v>489.80840000000001</v>
      </c>
      <c r="O761" s="35" t="s">
        <v>4854</v>
      </c>
      <c r="P761" s="36" t="str">
        <f>HYPERLINK("http://ms.phosphosite.org:5080/cgi-bin/plot-msms.cgi?MassType=1&amp;NumAxis=1&amp;Mod5=170&amp;Pep=HLLLKQGK&amp;Dta=/var/www/html/dta/S01/10559.3815.2.dta&amp;Global_Mod=CS57.0215", "3815")</f>
        <v>3815</v>
      </c>
      <c r="Q761" s="35" t="s">
        <v>4854</v>
      </c>
      <c r="R761" s="35" t="s">
        <v>4854</v>
      </c>
      <c r="S761" s="36" t="str">
        <f>HYPERLINK("http://ms.phosphosite.org:5080/cgi-bin/plot-msms.cgi?MassType=1&amp;NumAxis=1&amp;Mod5=170&amp;Pep=HLLLKQGK&amp;Dta=/var/www/html/dta/S01/10562.3932.2.dta&amp;Global_Mod=CS57.0215", "3932")</f>
        <v>3932</v>
      </c>
      <c r="T761" s="35" t="s">
        <v>4854</v>
      </c>
      <c r="U761" s="35" t="s">
        <v>4854</v>
      </c>
      <c r="V761" s="35" t="s">
        <v>4854</v>
      </c>
      <c r="W761" s="3" t="s">
        <v>4854</v>
      </c>
      <c r="X761" s="3" t="s">
        <v>4854</v>
      </c>
      <c r="Y761" s="3" t="s">
        <v>4854</v>
      </c>
      <c r="Z761" s="3" t="s">
        <v>4854</v>
      </c>
      <c r="AA761" s="3" t="s">
        <v>4854</v>
      </c>
      <c r="AB761" s="3" t="s">
        <v>4854</v>
      </c>
      <c r="AC761" s="3" t="s">
        <v>4854</v>
      </c>
      <c r="AD761" s="3" t="s">
        <v>4854</v>
      </c>
      <c r="AE761" s="99" t="s">
        <v>4854</v>
      </c>
      <c r="AF761" s="90">
        <v>2.5179999999999998</v>
      </c>
      <c r="AG761" s="99" t="s">
        <v>4854</v>
      </c>
      <c r="AH761" s="99" t="s">
        <v>4854</v>
      </c>
      <c r="AI761" s="90">
        <v>2.411</v>
      </c>
      <c r="AJ761" s="99" t="s">
        <v>4854</v>
      </c>
      <c r="AK761" s="99" t="s">
        <v>4854</v>
      </c>
      <c r="AL761" s="99" t="s">
        <v>4854</v>
      </c>
      <c r="AM761" s="102" t="s">
        <v>4854</v>
      </c>
      <c r="AN761" s="21">
        <v>-4.8899999999999999E-2</v>
      </c>
      <c r="AO761" s="102" t="s">
        <v>4854</v>
      </c>
      <c r="AP761" s="102" t="s">
        <v>4854</v>
      </c>
      <c r="AQ761" s="21">
        <v>0.1013</v>
      </c>
      <c r="AR761" s="102" t="s">
        <v>4854</v>
      </c>
      <c r="AS761" s="102" t="s">
        <v>4854</v>
      </c>
      <c r="AT761" s="102" t="s">
        <v>4854</v>
      </c>
      <c r="AU761" s="102" t="s">
        <v>4854</v>
      </c>
      <c r="AV761" s="21">
        <v>0.16800000000000001</v>
      </c>
      <c r="AW761" s="102" t="s">
        <v>4854</v>
      </c>
      <c r="AX761" s="102" t="s">
        <v>4854</v>
      </c>
      <c r="AY761" s="21">
        <v>0.11799999999999999</v>
      </c>
      <c r="AZ761" s="102" t="s">
        <v>4854</v>
      </c>
      <c r="BA761" s="102" t="s">
        <v>4854</v>
      </c>
      <c r="BB761" s="102" t="s">
        <v>4854</v>
      </c>
      <c r="BC761" s="3" t="s">
        <v>4854</v>
      </c>
      <c r="BD761" s="5">
        <v>1</v>
      </c>
      <c r="BE761" s="3" t="s">
        <v>4854</v>
      </c>
      <c r="BF761" s="3" t="s">
        <v>4854</v>
      </c>
      <c r="BG761" s="5">
        <v>1</v>
      </c>
      <c r="BH761" s="3" t="s">
        <v>4854</v>
      </c>
      <c r="BI761" s="3" t="s">
        <v>4854</v>
      </c>
      <c r="BJ761" s="3" t="s">
        <v>4854</v>
      </c>
      <c r="BK761" s="99" t="s">
        <v>4854</v>
      </c>
      <c r="BL761" s="90">
        <v>0.81</v>
      </c>
      <c r="BM761" s="99" t="s">
        <v>4854</v>
      </c>
      <c r="BN761" s="99" t="s">
        <v>4854</v>
      </c>
      <c r="BO761" s="90">
        <v>0.65600000000000003</v>
      </c>
      <c r="BP761" s="99" t="s">
        <v>4854</v>
      </c>
      <c r="BQ761" s="99" t="s">
        <v>4854</v>
      </c>
      <c r="BR761" s="99" t="s">
        <v>4854</v>
      </c>
      <c r="BS761" s="5" t="s">
        <v>4857</v>
      </c>
    </row>
    <row r="762" spans="1:71" ht="17.100000000000001" customHeight="1">
      <c r="A762" s="31">
        <v>751</v>
      </c>
      <c r="B762" s="2" t="s">
        <v>2085</v>
      </c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94"/>
      <c r="O762" s="34"/>
      <c r="P762" s="34"/>
      <c r="Q762" s="34"/>
      <c r="R762" s="34"/>
      <c r="S762" s="34"/>
      <c r="T762" s="34"/>
      <c r="U762" s="34"/>
      <c r="V762" s="34"/>
      <c r="W762" s="1"/>
      <c r="X762" s="1"/>
      <c r="Y762" s="1"/>
      <c r="Z762" s="1"/>
      <c r="AA762" s="1"/>
      <c r="AB762" s="1"/>
      <c r="AC762" s="1"/>
      <c r="AD762" s="1"/>
      <c r="AE762" s="89"/>
      <c r="AF762" s="89"/>
      <c r="AG762" s="89"/>
      <c r="AH762" s="89"/>
      <c r="AI762" s="89"/>
      <c r="AJ762" s="89"/>
      <c r="AK762" s="89"/>
      <c r="AL762" s="89"/>
      <c r="AM762" s="94"/>
      <c r="AN762" s="94"/>
      <c r="AO762" s="94"/>
      <c r="AP762" s="94"/>
      <c r="AQ762" s="94"/>
      <c r="AR762" s="94"/>
      <c r="AS762" s="94"/>
      <c r="AT762" s="94"/>
      <c r="AU762" s="94"/>
      <c r="AV762" s="94"/>
      <c r="AW762" s="94"/>
      <c r="AX762" s="94"/>
      <c r="AY762" s="94"/>
      <c r="AZ762" s="94"/>
      <c r="BA762" s="94"/>
      <c r="BB762" s="94"/>
      <c r="BC762" s="1"/>
      <c r="BD762" s="1"/>
      <c r="BE762" s="1"/>
      <c r="BF762" s="1"/>
      <c r="BG762" s="1"/>
      <c r="BH762" s="1"/>
      <c r="BI762" s="1"/>
      <c r="BJ762" s="1"/>
      <c r="BK762" s="89"/>
      <c r="BL762" s="89"/>
      <c r="BM762" s="89"/>
      <c r="BN762" s="89"/>
      <c r="BO762" s="89"/>
      <c r="BP762" s="89"/>
      <c r="BQ762" s="89"/>
      <c r="BR762" s="89"/>
      <c r="BS762" s="1"/>
    </row>
    <row r="763" spans="1:71" s="30" customFormat="1" ht="17.100000000000001" customHeight="1">
      <c r="A763" s="10">
        <v>752</v>
      </c>
      <c r="B763" s="10" t="s">
        <v>2086</v>
      </c>
      <c r="C763" s="4" t="s">
        <v>2085</v>
      </c>
      <c r="D763" s="4" t="s">
        <v>2087</v>
      </c>
      <c r="E763" s="4" t="s">
        <v>1961</v>
      </c>
      <c r="F763" s="10" t="s">
        <v>2957</v>
      </c>
      <c r="G763" s="4" t="s">
        <v>1962</v>
      </c>
      <c r="H763" s="7" t="s">
        <v>1963</v>
      </c>
      <c r="I763" s="4" t="s">
        <v>1964</v>
      </c>
      <c r="J763" s="10" t="s">
        <v>4533</v>
      </c>
      <c r="K763" s="4" t="s">
        <v>5795</v>
      </c>
      <c r="L763" s="4" t="s">
        <v>1965</v>
      </c>
      <c r="M763" s="10">
        <v>2</v>
      </c>
      <c r="N763" s="95">
        <v>597.31169999999997</v>
      </c>
      <c r="O763" s="38" t="s">
        <v>4854</v>
      </c>
      <c r="P763" s="38" t="s">
        <v>4854</v>
      </c>
      <c r="Q763" s="38" t="s">
        <v>4854</v>
      </c>
      <c r="R763" s="38" t="s">
        <v>4854</v>
      </c>
      <c r="S763" s="38" t="s">
        <v>4854</v>
      </c>
      <c r="T763" s="38" t="s">
        <v>4854</v>
      </c>
      <c r="U763" s="38" t="s">
        <v>4854</v>
      </c>
      <c r="V763" s="37" t="str">
        <f>HYPERLINK("http://ms.phosphosite.org:5080/cgi-bin/plot-msms.cgi?MassType=1&amp;NumAxis=1&amp;Mod9=170&amp;Pep=LSAYVDEAKR&amp;Dta=/var/www/html/dta/S01/10565.9767.2.dta&amp;Global_Mod=CS57.0215", "9767")</f>
        <v>9767</v>
      </c>
      <c r="W763" s="4" t="s">
        <v>4854</v>
      </c>
      <c r="X763" s="4" t="s">
        <v>4854</v>
      </c>
      <c r="Y763" s="4" t="s">
        <v>4854</v>
      </c>
      <c r="Z763" s="4" t="s">
        <v>4854</v>
      </c>
      <c r="AA763" s="4" t="s">
        <v>4854</v>
      </c>
      <c r="AB763" s="4" t="s">
        <v>4854</v>
      </c>
      <c r="AC763" s="4" t="s">
        <v>4854</v>
      </c>
      <c r="AD763" s="4" t="s">
        <v>4854</v>
      </c>
      <c r="AE763" s="100" t="s">
        <v>4854</v>
      </c>
      <c r="AF763" s="100" t="s">
        <v>4854</v>
      </c>
      <c r="AG763" s="100" t="s">
        <v>4854</v>
      </c>
      <c r="AH763" s="100" t="s">
        <v>4854</v>
      </c>
      <c r="AI763" s="100" t="s">
        <v>4854</v>
      </c>
      <c r="AJ763" s="100" t="s">
        <v>4854</v>
      </c>
      <c r="AK763" s="100" t="s">
        <v>4854</v>
      </c>
      <c r="AL763" s="91">
        <v>1.1859999999999999</v>
      </c>
      <c r="AM763" s="103" t="s">
        <v>4854</v>
      </c>
      <c r="AN763" s="103" t="s">
        <v>4854</v>
      </c>
      <c r="AO763" s="103" t="s">
        <v>4854</v>
      </c>
      <c r="AP763" s="103" t="s">
        <v>4854</v>
      </c>
      <c r="AQ763" s="103" t="s">
        <v>4854</v>
      </c>
      <c r="AR763" s="103" t="s">
        <v>4854</v>
      </c>
      <c r="AS763" s="103" t="s">
        <v>4854</v>
      </c>
      <c r="AT763" s="95">
        <v>-1.841</v>
      </c>
      <c r="AU763" s="103" t="s">
        <v>4854</v>
      </c>
      <c r="AV763" s="103" t="s">
        <v>4854</v>
      </c>
      <c r="AW763" s="103" t="s">
        <v>4854</v>
      </c>
      <c r="AX763" s="103" t="s">
        <v>4854</v>
      </c>
      <c r="AY763" s="103" t="s">
        <v>4854</v>
      </c>
      <c r="AZ763" s="103" t="s">
        <v>4854</v>
      </c>
      <c r="BA763" s="103" t="s">
        <v>4854</v>
      </c>
      <c r="BB763" s="95">
        <v>3.5999999999999997E-2</v>
      </c>
      <c r="BC763" s="4" t="s">
        <v>4854</v>
      </c>
      <c r="BD763" s="4" t="s">
        <v>4854</v>
      </c>
      <c r="BE763" s="4" t="s">
        <v>4854</v>
      </c>
      <c r="BF763" s="4" t="s">
        <v>4854</v>
      </c>
      <c r="BG763" s="4" t="s">
        <v>4854</v>
      </c>
      <c r="BH763" s="4" t="s">
        <v>4854</v>
      </c>
      <c r="BI763" s="4" t="s">
        <v>4854</v>
      </c>
      <c r="BJ763" s="10">
        <v>43</v>
      </c>
      <c r="BK763" s="100" t="s">
        <v>4854</v>
      </c>
      <c r="BL763" s="100" t="s">
        <v>4854</v>
      </c>
      <c r="BM763" s="100" t="s">
        <v>4854</v>
      </c>
      <c r="BN763" s="100" t="s">
        <v>4854</v>
      </c>
      <c r="BO763" s="100" t="s">
        <v>4854</v>
      </c>
      <c r="BP763" s="100" t="s">
        <v>4854</v>
      </c>
      <c r="BQ763" s="100" t="s">
        <v>4854</v>
      </c>
      <c r="BR763" s="91">
        <v>0.247</v>
      </c>
      <c r="BS763" s="10" t="s">
        <v>4857</v>
      </c>
    </row>
    <row r="764" spans="1:71" s="30" customFormat="1" ht="17.100000000000001" customHeight="1">
      <c r="A764" s="14">
        <v>753</v>
      </c>
      <c r="B764" s="5" t="s">
        <v>1966</v>
      </c>
      <c r="C764" s="3" t="s">
        <v>2085</v>
      </c>
      <c r="D764" s="3" t="s">
        <v>1967</v>
      </c>
      <c r="E764" s="3" t="s">
        <v>1968</v>
      </c>
      <c r="F764" s="5" t="s">
        <v>4028</v>
      </c>
      <c r="G764" s="3" t="s">
        <v>1969</v>
      </c>
      <c r="H764" s="6" t="s">
        <v>1970</v>
      </c>
      <c r="I764" s="3" t="s">
        <v>1971</v>
      </c>
      <c r="J764" s="5" t="s">
        <v>4638</v>
      </c>
      <c r="K764" s="3" t="s">
        <v>5796</v>
      </c>
      <c r="L764" s="3" t="s">
        <v>1972</v>
      </c>
      <c r="M764" s="5">
        <v>3</v>
      </c>
      <c r="N764" s="21">
        <v>706.33950000000004</v>
      </c>
      <c r="O764" s="36" t="str">
        <f>HYPERLINK("http://ms.phosphosite.org:5080/cgi-bin/plot-msms.cgi?MassType=1&amp;NumAxis=1&amp;Mod13=170&amp;Pep=KTTQSGQMSGEGKAGPPGGGSR&amp;Dta=/var/www/html/dta/S01/10558.1890.3.dta&amp;Global_Mod=CS57.0215", "1890")</f>
        <v>1890</v>
      </c>
      <c r="P764" s="35" t="s">
        <v>4854</v>
      </c>
      <c r="Q764" s="35" t="s">
        <v>4854</v>
      </c>
      <c r="R764" s="36" t="str">
        <f>HYPERLINK("http://ms.phosphosite.org:5080/cgi-bin/plot-msms.cgi?MassType=1&amp;NumAxis=1&amp;Mod13=170&amp;Pep=KTTQSGQMSGEGKAGPPGGGSR&amp;Dta=/var/www/html/dta/S01/10561.1873.3.dta&amp;Global_Mod=CS57.0215", "1873")</f>
        <v>1873</v>
      </c>
      <c r="S764" s="35" t="s">
        <v>4854</v>
      </c>
      <c r="T764" s="36" t="str">
        <f>HYPERLINK("http://ms.phosphosite.org:5080/cgi-bin/plot-msms.cgi?MassType=1&amp;NumAxis=1&amp;Mod13=170&amp;Pep=KTTQSGQMSGEGKAGPPGGGSR&amp;Dta=/var/www/html/dta/S01/10563.1852.3.dta&amp;Global_Mod=CS57.0215", "1852")</f>
        <v>1852</v>
      </c>
      <c r="U764" s="36" t="str">
        <f>HYPERLINK("http://ms.phosphosite.org:5080/cgi-bin/plot-msms.cgi?MassType=1&amp;NumAxis=1&amp;Mod13=170&amp;Pep=KTTQSGQMSGEGKAGPPGGGSR&amp;Dta=/var/www/html/dta/S01/10564.2107.3.dta&amp;Global_Mod=CS57.0215", "2107")</f>
        <v>2107</v>
      </c>
      <c r="V764" s="36" t="str">
        <f>HYPERLINK("http://ms.phosphosite.org:5080/cgi-bin/plot-msms.cgi?MassType=1&amp;NumAxis=1&amp;Mod13=170&amp;Pep=KTTQSGQMSGEGKAGPPGGGSR&amp;Dta=/var/www/html/dta/S01/10565.2157.3.dta&amp;Global_Mod=CS57.0215", "2157")</f>
        <v>2157</v>
      </c>
      <c r="W764" s="5">
        <v>1884</v>
      </c>
      <c r="X764" s="3" t="s">
        <v>4854</v>
      </c>
      <c r="Y764" s="3" t="s">
        <v>4854</v>
      </c>
      <c r="Z764" s="5">
        <v>1863</v>
      </c>
      <c r="AA764" s="3" t="s">
        <v>4854</v>
      </c>
      <c r="AB764" s="5">
        <v>1834</v>
      </c>
      <c r="AC764" s="5">
        <v>2100</v>
      </c>
      <c r="AD764" s="5">
        <v>2147</v>
      </c>
      <c r="AE764" s="90">
        <v>3.944</v>
      </c>
      <c r="AF764" s="99" t="s">
        <v>4854</v>
      </c>
      <c r="AG764" s="99" t="s">
        <v>4854</v>
      </c>
      <c r="AH764" s="90">
        <v>2.8580000000000001</v>
      </c>
      <c r="AI764" s="99" t="s">
        <v>4854</v>
      </c>
      <c r="AJ764" s="90">
        <v>2.8610000000000002</v>
      </c>
      <c r="AK764" s="90">
        <v>3.8530000000000002</v>
      </c>
      <c r="AL764" s="90">
        <v>2.5379999999999998</v>
      </c>
      <c r="AM764" s="21">
        <v>-0.29920000000000002</v>
      </c>
      <c r="AN764" s="102" t="s">
        <v>4854</v>
      </c>
      <c r="AO764" s="102" t="s">
        <v>4854</v>
      </c>
      <c r="AP764" s="21">
        <v>-0.61799999999999999</v>
      </c>
      <c r="AQ764" s="102" t="s">
        <v>4854</v>
      </c>
      <c r="AR764" s="21">
        <v>-0.54430000000000001</v>
      </c>
      <c r="AS764" s="21">
        <v>0.40510000000000002</v>
      </c>
      <c r="AT764" s="21">
        <v>-0.16880000000000001</v>
      </c>
      <c r="AU764" s="21">
        <v>0.35199999999999998</v>
      </c>
      <c r="AV764" s="102" t="s">
        <v>4854</v>
      </c>
      <c r="AW764" s="102" t="s">
        <v>4854</v>
      </c>
      <c r="AX764" s="21">
        <v>0.26800000000000002</v>
      </c>
      <c r="AY764" s="102" t="s">
        <v>4854</v>
      </c>
      <c r="AZ764" s="21">
        <v>0.311</v>
      </c>
      <c r="BA764" s="21">
        <v>0.185</v>
      </c>
      <c r="BB764" s="21">
        <v>6.5000000000000002E-2</v>
      </c>
      <c r="BC764" s="5">
        <v>1</v>
      </c>
      <c r="BD764" s="3" t="s">
        <v>4854</v>
      </c>
      <c r="BE764" s="3" t="s">
        <v>4854</v>
      </c>
      <c r="BF764" s="5">
        <v>2</v>
      </c>
      <c r="BG764" s="3" t="s">
        <v>4854</v>
      </c>
      <c r="BH764" s="5">
        <v>1</v>
      </c>
      <c r="BI764" s="5">
        <v>1</v>
      </c>
      <c r="BJ764" s="5">
        <v>4</v>
      </c>
      <c r="BK764" s="90">
        <v>1</v>
      </c>
      <c r="BL764" s="99" t="s">
        <v>4854</v>
      </c>
      <c r="BM764" s="99" t="s">
        <v>4854</v>
      </c>
      <c r="BN764" s="90">
        <v>0.998</v>
      </c>
      <c r="BO764" s="99" t="s">
        <v>4854</v>
      </c>
      <c r="BP764" s="90">
        <v>0.999</v>
      </c>
      <c r="BQ764" s="90">
        <v>0.999</v>
      </c>
      <c r="BR764" s="90">
        <v>0.96499999999999997</v>
      </c>
      <c r="BS764" s="5" t="s">
        <v>4857</v>
      </c>
    </row>
    <row r="765" spans="1:71" s="30" customFormat="1" ht="17.100000000000001" customHeight="1">
      <c r="A765" s="10">
        <v>754</v>
      </c>
      <c r="B765" s="10" t="s">
        <v>1973</v>
      </c>
      <c r="C765" s="4" t="s">
        <v>2085</v>
      </c>
      <c r="D765" s="4" t="s">
        <v>1974</v>
      </c>
      <c r="E765" s="4" t="s">
        <v>1975</v>
      </c>
      <c r="F765" s="10" t="s">
        <v>5029</v>
      </c>
      <c r="G765" s="4" t="s">
        <v>1976</v>
      </c>
      <c r="H765" s="7" t="s">
        <v>1977</v>
      </c>
      <c r="I765" s="4" t="s">
        <v>1978</v>
      </c>
      <c r="J765" s="10" t="s">
        <v>4463</v>
      </c>
      <c r="K765" s="4" t="s">
        <v>5797</v>
      </c>
      <c r="L765" s="4" t="s">
        <v>1979</v>
      </c>
      <c r="M765" s="10">
        <v>3</v>
      </c>
      <c r="N765" s="95">
        <v>732.37829999999997</v>
      </c>
      <c r="O765" s="38" t="s">
        <v>4854</v>
      </c>
      <c r="P765" s="37" t="str">
        <f>HYPERLINK("http://ms.phosphosite.org:5080/cgi-bin/plot-msms.cgi?MassType=1&amp;NumAxis=1&amp;Mod13=170&amp;Pep=SQHTGNAQVSQTKFLPNAPK&amp;Dta=/var/www/html/dta/S01/10559.5283.3.dta&amp;Global_Mod=CS57.0215", "5283")</f>
        <v>5283</v>
      </c>
      <c r="Q765" s="37" t="str">
        <f>HYPERLINK("http://ms.phosphosite.org:5080/cgi-bin/plot-msms.cgi?MassType=1&amp;NumAxis=1&amp;Mod13=170&amp;Pep=SQHTGNAQVSQTKFLPNAPK&amp;Dta=/var/www/html/dta/S01/10560.5290.3.dta&amp;Global_Mod=CS57.0215", "5290")</f>
        <v>5290</v>
      </c>
      <c r="R765" s="37" t="str">
        <f>HYPERLINK("http://ms.phosphosite.org:5080/cgi-bin/plot-msms.cgi?MassType=1&amp;NumAxis=1&amp;Mod13=170&amp;Pep=SQHTGNAQVSQTKFLPNAPK&amp;Dta=/var/www/html/dta/S01/10561.5301.3.dta&amp;Global_Mod=CS57.0215", "5301")</f>
        <v>5301</v>
      </c>
      <c r="S765" s="37" t="str">
        <f>HYPERLINK("http://ms.phosphosite.org:5080/cgi-bin/plot-msms.cgi?MassType=1&amp;NumAxis=1&amp;Mod13=170&amp;Pep=SQHTGNAQVSQTKFLPNAPK&amp;Dta=/var/www/html/dta/S01/10562.5429.3.dta&amp;Global_Mod=CS57.0215", "5429")</f>
        <v>5429</v>
      </c>
      <c r="T765" s="37" t="str">
        <f>HYPERLINK("http://ms.phosphosite.org:5080/cgi-bin/plot-msms.cgi?MassType=1&amp;NumAxis=1&amp;Mod13=170&amp;Pep=SQHTGNAQVSQTKFLPNAPK&amp;Dta=/var/www/html/dta/S01/10563.5360.3.dta&amp;Global_Mod=CS57.0215", "5360")</f>
        <v>5360</v>
      </c>
      <c r="U765" s="37" t="str">
        <f>HYPERLINK("http://ms.phosphosite.org:5080/cgi-bin/plot-msms.cgi?MassType=1&amp;NumAxis=1&amp;Mod13=170&amp;Pep=SQHTGNAQVSQTKFLPNAPK&amp;Dta=/var/www/html/dta/S01/10564.5668.3.dta&amp;Global_Mod=CS57.0215", "5668")</f>
        <v>5668</v>
      </c>
      <c r="V765" s="37" t="str">
        <f>HYPERLINK("http://ms.phosphosite.org:5080/cgi-bin/plot-msms.cgi?MassType=1&amp;NumAxis=1&amp;Mod13=170&amp;Pep=SQHTGNAQVSQTKFLPNAPK&amp;Dta=/var/www/html/dta/S01/10565.5786.3.dta&amp;Global_Mod=CS57.0215", "5786")</f>
        <v>5786</v>
      </c>
      <c r="W765" s="4" t="s">
        <v>4854</v>
      </c>
      <c r="X765" s="10">
        <v>5284</v>
      </c>
      <c r="Y765" s="10">
        <v>5299</v>
      </c>
      <c r="Z765" s="10">
        <v>5337</v>
      </c>
      <c r="AA765" s="10">
        <v>5402</v>
      </c>
      <c r="AB765" s="10">
        <v>5375</v>
      </c>
      <c r="AC765" s="10">
        <v>5660</v>
      </c>
      <c r="AD765" s="10">
        <v>5757</v>
      </c>
      <c r="AE765" s="100" t="s">
        <v>4854</v>
      </c>
      <c r="AF765" s="91">
        <v>3.8260000000000001</v>
      </c>
      <c r="AG765" s="91">
        <v>3.5059999999999998</v>
      </c>
      <c r="AH765" s="91">
        <v>2.4700000000000002</v>
      </c>
      <c r="AI765" s="91">
        <v>3.0009999999999999</v>
      </c>
      <c r="AJ765" s="91">
        <v>3.07</v>
      </c>
      <c r="AK765" s="91">
        <v>3.5350000000000001</v>
      </c>
      <c r="AL765" s="91">
        <v>3.7080000000000002</v>
      </c>
      <c r="AM765" s="103" t="s">
        <v>4854</v>
      </c>
      <c r="AN765" s="95">
        <v>0.56459999999999999</v>
      </c>
      <c r="AO765" s="95">
        <v>0.1236</v>
      </c>
      <c r="AP765" s="95">
        <v>0.86980000000000002</v>
      </c>
      <c r="AQ765" s="95">
        <v>0.41239999999999999</v>
      </c>
      <c r="AR765" s="95">
        <v>0.37319999999999998</v>
      </c>
      <c r="AS765" s="95">
        <v>0.30120000000000002</v>
      </c>
      <c r="AT765" s="95">
        <v>1.4200000000000001E-2</v>
      </c>
      <c r="AU765" s="103" t="s">
        <v>4854</v>
      </c>
      <c r="AV765" s="95">
        <v>0.312</v>
      </c>
      <c r="AW765" s="95">
        <v>0.40200000000000002</v>
      </c>
      <c r="AX765" s="95">
        <v>0.127</v>
      </c>
      <c r="AY765" s="95">
        <v>0.23200000000000001</v>
      </c>
      <c r="AZ765" s="95">
        <v>0.30099999999999999</v>
      </c>
      <c r="BA765" s="95">
        <v>0.373</v>
      </c>
      <c r="BB765" s="95">
        <v>0.32</v>
      </c>
      <c r="BC765" s="4" t="s">
        <v>4854</v>
      </c>
      <c r="BD765" s="10">
        <v>1</v>
      </c>
      <c r="BE765" s="10">
        <v>1</v>
      </c>
      <c r="BF765" s="10">
        <v>1</v>
      </c>
      <c r="BG765" s="10">
        <v>1</v>
      </c>
      <c r="BH765" s="10">
        <v>2</v>
      </c>
      <c r="BI765" s="10">
        <v>1</v>
      </c>
      <c r="BJ765" s="10">
        <v>1</v>
      </c>
      <c r="BK765" s="100" t="s">
        <v>4854</v>
      </c>
      <c r="BL765" s="91">
        <v>1</v>
      </c>
      <c r="BM765" s="91">
        <v>1</v>
      </c>
      <c r="BN765" s="91">
        <v>0.99</v>
      </c>
      <c r="BO765" s="91">
        <v>0.999</v>
      </c>
      <c r="BP765" s="91">
        <v>1</v>
      </c>
      <c r="BQ765" s="91">
        <v>1</v>
      </c>
      <c r="BR765" s="91">
        <v>1</v>
      </c>
      <c r="BS765" s="10" t="s">
        <v>4857</v>
      </c>
    </row>
    <row r="766" spans="1:71" s="30" customFormat="1" ht="17.100000000000001" customHeight="1">
      <c r="A766" s="14">
        <v>755</v>
      </c>
      <c r="B766" s="5" t="s">
        <v>1980</v>
      </c>
      <c r="C766" s="3" t="s">
        <v>2085</v>
      </c>
      <c r="D766" s="3" t="s">
        <v>1981</v>
      </c>
      <c r="E766" s="6" t="s">
        <v>1982</v>
      </c>
      <c r="F766" s="5" t="s">
        <v>5200</v>
      </c>
      <c r="G766" s="3" t="s">
        <v>1983</v>
      </c>
      <c r="H766" s="6" t="s">
        <v>1984</v>
      </c>
      <c r="I766" s="3" t="s">
        <v>1985</v>
      </c>
      <c r="J766" s="5" t="s">
        <v>4713</v>
      </c>
      <c r="K766" s="3" t="s">
        <v>5798</v>
      </c>
      <c r="L766" s="3" t="s">
        <v>1986</v>
      </c>
      <c r="M766" s="5">
        <v>2</v>
      </c>
      <c r="N766" s="21">
        <v>527.30259999999998</v>
      </c>
      <c r="O766" s="36" t="str">
        <f>HYPERLINK("http://ms.phosphosite.org:5080/cgi-bin/plot-msms.cgi?MassType=1&amp;NumAxis=1&amp;Mod5=170&amp;Pep=YLSPKYIK&amp;Dta=/var/www/html/dta/S01/10558.5715.2.dta&amp;Global_Mod=CS57.0215", "5715")</f>
        <v>5715</v>
      </c>
      <c r="P766" s="35" t="s">
        <v>4854</v>
      </c>
      <c r="Q766" s="35" t="s">
        <v>4854</v>
      </c>
      <c r="R766" s="35" t="s">
        <v>4854</v>
      </c>
      <c r="S766" s="35" t="s">
        <v>4854</v>
      </c>
      <c r="T766" s="35" t="s">
        <v>4854</v>
      </c>
      <c r="U766" s="35" t="s">
        <v>4854</v>
      </c>
      <c r="V766" s="35" t="s">
        <v>4854</v>
      </c>
      <c r="W766" s="3" t="s">
        <v>4854</v>
      </c>
      <c r="X766" s="3" t="s">
        <v>4854</v>
      </c>
      <c r="Y766" s="3" t="s">
        <v>4854</v>
      </c>
      <c r="Z766" s="3" t="s">
        <v>4854</v>
      </c>
      <c r="AA766" s="3" t="s">
        <v>4854</v>
      </c>
      <c r="AB766" s="3" t="s">
        <v>4854</v>
      </c>
      <c r="AC766" s="3" t="s">
        <v>4854</v>
      </c>
      <c r="AD766" s="3" t="s">
        <v>4854</v>
      </c>
      <c r="AE766" s="90">
        <v>1.9910000000000001</v>
      </c>
      <c r="AF766" s="99" t="s">
        <v>4854</v>
      </c>
      <c r="AG766" s="99" t="s">
        <v>4854</v>
      </c>
      <c r="AH766" s="99" t="s">
        <v>4854</v>
      </c>
      <c r="AI766" s="99" t="s">
        <v>4854</v>
      </c>
      <c r="AJ766" s="99" t="s">
        <v>4854</v>
      </c>
      <c r="AK766" s="99" t="s">
        <v>4854</v>
      </c>
      <c r="AL766" s="99" t="s">
        <v>4854</v>
      </c>
      <c r="AM766" s="21">
        <v>0.34720000000000001</v>
      </c>
      <c r="AN766" s="102" t="s">
        <v>4854</v>
      </c>
      <c r="AO766" s="102" t="s">
        <v>4854</v>
      </c>
      <c r="AP766" s="102" t="s">
        <v>4854</v>
      </c>
      <c r="AQ766" s="102" t="s">
        <v>4854</v>
      </c>
      <c r="AR766" s="102" t="s">
        <v>4854</v>
      </c>
      <c r="AS766" s="102" t="s">
        <v>4854</v>
      </c>
      <c r="AT766" s="102" t="s">
        <v>4854</v>
      </c>
      <c r="AU766" s="21">
        <v>2.1000000000000001E-2</v>
      </c>
      <c r="AV766" s="102" t="s">
        <v>4854</v>
      </c>
      <c r="AW766" s="102" t="s">
        <v>4854</v>
      </c>
      <c r="AX766" s="102" t="s">
        <v>4854</v>
      </c>
      <c r="AY766" s="102" t="s">
        <v>4854</v>
      </c>
      <c r="AZ766" s="102" t="s">
        <v>4854</v>
      </c>
      <c r="BA766" s="102" t="s">
        <v>4854</v>
      </c>
      <c r="BB766" s="102" t="s">
        <v>4854</v>
      </c>
      <c r="BC766" s="5">
        <v>47</v>
      </c>
      <c r="BD766" s="3" t="s">
        <v>4854</v>
      </c>
      <c r="BE766" s="3" t="s">
        <v>4854</v>
      </c>
      <c r="BF766" s="3" t="s">
        <v>4854</v>
      </c>
      <c r="BG766" s="3" t="s">
        <v>4854</v>
      </c>
      <c r="BH766" s="3" t="s">
        <v>4854</v>
      </c>
      <c r="BI766" s="3" t="s">
        <v>4854</v>
      </c>
      <c r="BJ766" s="3" t="s">
        <v>4854</v>
      </c>
      <c r="BK766" s="90">
        <v>0.879</v>
      </c>
      <c r="BL766" s="99" t="s">
        <v>4854</v>
      </c>
      <c r="BM766" s="99" t="s">
        <v>4854</v>
      </c>
      <c r="BN766" s="99" t="s">
        <v>4854</v>
      </c>
      <c r="BO766" s="99" t="s">
        <v>4854</v>
      </c>
      <c r="BP766" s="99" t="s">
        <v>4854</v>
      </c>
      <c r="BQ766" s="99" t="s">
        <v>4854</v>
      </c>
      <c r="BR766" s="99" t="s">
        <v>4854</v>
      </c>
      <c r="BS766" s="5" t="s">
        <v>4857</v>
      </c>
    </row>
    <row r="767" spans="1:71" s="30" customFormat="1" ht="17.100000000000001" customHeight="1">
      <c r="A767" s="10">
        <v>756</v>
      </c>
      <c r="B767" s="10" t="s">
        <v>1987</v>
      </c>
      <c r="C767" s="4" t="s">
        <v>2085</v>
      </c>
      <c r="D767" s="4" t="s">
        <v>1988</v>
      </c>
      <c r="E767" s="7" t="s">
        <v>1989</v>
      </c>
      <c r="F767" s="10" t="s">
        <v>5139</v>
      </c>
      <c r="G767" s="4" t="s">
        <v>1990</v>
      </c>
      <c r="H767" s="7" t="s">
        <v>1991</v>
      </c>
      <c r="I767" s="4" t="s">
        <v>1992</v>
      </c>
      <c r="J767" s="10" t="s">
        <v>4713</v>
      </c>
      <c r="K767" s="4" t="s">
        <v>5799</v>
      </c>
      <c r="L767" s="4" t="s">
        <v>1993</v>
      </c>
      <c r="M767" s="10">
        <v>2</v>
      </c>
      <c r="N767" s="95">
        <v>418.22469999999998</v>
      </c>
      <c r="O767" s="37" t="str">
        <f>HYPERLINK("http://ms.phosphosite.org:5080/cgi-bin/plot-msms.cgi?MassType=1&amp;NumAxis=1&amp;Mod6=170&amp;Pep=TGGAGKFR&amp;Dta=/var/www/html/dta/S01/10558.2335.2.dta&amp;Global_Mod=CS57.0215", "2335")</f>
        <v>2335</v>
      </c>
      <c r="P767" s="38" t="s">
        <v>4854</v>
      </c>
      <c r="Q767" s="37" t="str">
        <f>HYPERLINK("http://ms.phosphosite.org:5080/cgi-bin/plot-msms.cgi?MassType=1&amp;NumAxis=1&amp;Mod6=170&amp;Pep=TGGAGKFR&amp;Dta=/var/www/html/dta/S01/10560.2243.2.dta&amp;Global_Mod=CS57.0215", "2243")</f>
        <v>2243</v>
      </c>
      <c r="R767" s="37" t="str">
        <f>HYPERLINK("http://ms.phosphosite.org:5080/cgi-bin/plot-msms.cgi?MassType=1&amp;NumAxis=1&amp;Mod6=170&amp;Pep=TGGAGKFR&amp;Dta=/var/www/html/dta/S01/10561.2302.2.dta&amp;Global_Mod=CS57.0215", "2302")</f>
        <v>2302</v>
      </c>
      <c r="S767" s="37" t="str">
        <f>HYPERLINK("http://ms.phosphosite.org:5080/cgi-bin/plot-msms.cgi?MassType=1&amp;NumAxis=1&amp;Mod6=170&amp;Pep=TGGAGKFR&amp;Dta=/var/www/html/dta/S01/10562.2343.2.dta&amp;Global_Mod=CS57.0215", "2343")</f>
        <v>2343</v>
      </c>
      <c r="T767" s="37" t="str">
        <f>HYPERLINK("http://ms.phosphosite.org:5080/cgi-bin/plot-msms.cgi?MassType=1&amp;NumAxis=1&amp;Mod6=170&amp;Pep=TGGAGKFR&amp;Dta=/var/www/html/dta/S01/10563.2272.2.dta&amp;Global_Mod=CS57.0215", "2272")</f>
        <v>2272</v>
      </c>
      <c r="U767" s="37" t="str">
        <f>HYPERLINK("http://ms.phosphosite.org:5080/cgi-bin/plot-msms.cgi?MassType=1&amp;NumAxis=1&amp;Mod6=170&amp;Pep=TGGAGKFR&amp;Dta=/var/www/html/dta/S01/10564.2602.2.dta&amp;Global_Mod=CS57.0215", "2602")</f>
        <v>2602</v>
      </c>
      <c r="V767" s="37" t="str">
        <f>HYPERLINK("http://ms.phosphosite.org:5080/cgi-bin/plot-msms.cgi?MassType=1&amp;NumAxis=1&amp;Mod6=170&amp;Pep=TGGAGKFR&amp;Dta=/var/www/html/dta/S01/10565.2689.2.dta&amp;Global_Mod=CS57.0215", "2689")</f>
        <v>2689</v>
      </c>
      <c r="W767" s="10">
        <v>2334</v>
      </c>
      <c r="X767" s="4" t="s">
        <v>4854</v>
      </c>
      <c r="Y767" s="10">
        <v>2263</v>
      </c>
      <c r="Z767" s="10">
        <v>2300</v>
      </c>
      <c r="AA767" s="10">
        <v>2360</v>
      </c>
      <c r="AB767" s="10">
        <v>2291</v>
      </c>
      <c r="AC767" s="10">
        <v>2610</v>
      </c>
      <c r="AD767" s="10">
        <v>2687</v>
      </c>
      <c r="AE767" s="91">
        <v>2.6970000000000001</v>
      </c>
      <c r="AF767" s="100" t="s">
        <v>4854</v>
      </c>
      <c r="AG767" s="91">
        <v>2.5179999999999998</v>
      </c>
      <c r="AH767" s="91">
        <v>2.48</v>
      </c>
      <c r="AI767" s="91">
        <v>2.657</v>
      </c>
      <c r="AJ767" s="91">
        <v>2.2669999999999999</v>
      </c>
      <c r="AK767" s="91">
        <v>2.5259999999999998</v>
      </c>
      <c r="AL767" s="91">
        <v>2.6560000000000001</v>
      </c>
      <c r="AM767" s="95">
        <v>-1.8280000000000001</v>
      </c>
      <c r="AN767" s="103" t="s">
        <v>4854</v>
      </c>
      <c r="AO767" s="95">
        <v>-1.1157999999999999</v>
      </c>
      <c r="AP767" s="95">
        <v>0.76939999999999997</v>
      </c>
      <c r="AQ767" s="95">
        <v>-1.4724999999999999</v>
      </c>
      <c r="AR767" s="95">
        <v>-0.91590000000000005</v>
      </c>
      <c r="AS767" s="95">
        <v>0.80169999999999997</v>
      </c>
      <c r="AT767" s="95">
        <v>-0.1152</v>
      </c>
      <c r="AU767" s="95">
        <v>0.20200000000000001</v>
      </c>
      <c r="AV767" s="103" t="s">
        <v>4854</v>
      </c>
      <c r="AW767" s="95">
        <v>0.13100000000000001</v>
      </c>
      <c r="AX767" s="95">
        <v>0.19800000000000001</v>
      </c>
      <c r="AY767" s="95">
        <v>0.129</v>
      </c>
      <c r="AZ767" s="95">
        <v>0.124</v>
      </c>
      <c r="BA767" s="95">
        <v>0.214</v>
      </c>
      <c r="BB767" s="95">
        <v>0.14599999999999999</v>
      </c>
      <c r="BC767" s="10">
        <v>2</v>
      </c>
      <c r="BD767" s="4" t="s">
        <v>4854</v>
      </c>
      <c r="BE767" s="10">
        <v>1</v>
      </c>
      <c r="BF767" s="10">
        <v>1</v>
      </c>
      <c r="BG767" s="10">
        <v>1</v>
      </c>
      <c r="BH767" s="10">
        <v>1</v>
      </c>
      <c r="BI767" s="10">
        <v>1</v>
      </c>
      <c r="BJ767" s="10">
        <v>1</v>
      </c>
      <c r="BK767" s="91">
        <v>0.98599999999999999</v>
      </c>
      <c r="BL767" s="100" t="s">
        <v>4854</v>
      </c>
      <c r="BM767" s="91">
        <v>0.99399999999999999</v>
      </c>
      <c r="BN767" s="91">
        <v>0.999</v>
      </c>
      <c r="BO767" s="91">
        <v>0.995</v>
      </c>
      <c r="BP767" s="91">
        <v>0.98799999999999999</v>
      </c>
      <c r="BQ767" s="91">
        <v>0.999</v>
      </c>
      <c r="BR767" s="91">
        <v>0.998</v>
      </c>
      <c r="BS767" s="10" t="s">
        <v>4857</v>
      </c>
    </row>
    <row r="768" spans="1:71" s="30" customFormat="1" ht="17.100000000000001" customHeight="1">
      <c r="A768" s="14">
        <v>757</v>
      </c>
      <c r="B768" s="5" t="s">
        <v>1994</v>
      </c>
      <c r="C768" s="3" t="s">
        <v>2085</v>
      </c>
      <c r="D768" s="3" t="s">
        <v>1995</v>
      </c>
      <c r="E768" s="3" t="s">
        <v>1996</v>
      </c>
      <c r="F768" s="5" t="s">
        <v>5069</v>
      </c>
      <c r="G768" s="3" t="s">
        <v>1997</v>
      </c>
      <c r="H768" s="6" t="s">
        <v>1998</v>
      </c>
      <c r="I768" s="3" t="s">
        <v>1999</v>
      </c>
      <c r="J768" s="5" t="s">
        <v>4413</v>
      </c>
      <c r="K768" s="3" t="s">
        <v>5800</v>
      </c>
      <c r="L768" s="3" t="s">
        <v>2000</v>
      </c>
      <c r="M768" s="5">
        <v>2</v>
      </c>
      <c r="N768" s="21">
        <v>661.82039999999995</v>
      </c>
      <c r="O768" s="36" t="str">
        <f>HYPERLINK("http://ms.phosphosite.org:5080/cgi-bin/plot-msms.cgi?MassType=1&amp;NumAxis=1&amp;Mod7=170&amp;Pep=EGEGLGKYSQGR&amp;Dta=/var/www/html/dta/S01/10558.3931.2.dta&amp;Global_Mod=CS57.0215", "3931")</f>
        <v>3931</v>
      </c>
      <c r="P768" s="36" t="str">
        <f>HYPERLINK("http://ms.phosphosite.org:5080/cgi-bin/plot-msms.cgi?MassType=1&amp;NumAxis=1&amp;Mod7=170&amp;Pep=EGEGLGKYSQGR&amp;Dta=/var/www/html/dta/S01/10559.3836.2.dta&amp;Global_Mod=CS57.0215", "3836")</f>
        <v>3836</v>
      </c>
      <c r="Q768" s="35" t="s">
        <v>4854</v>
      </c>
      <c r="R768" s="36" t="str">
        <f>HYPERLINK("http://ms.phosphosite.org:5080/cgi-bin/plot-msms.cgi?MassType=1&amp;NumAxis=1&amp;Mod7=170&amp;Pep=EGEGLGKYSQGR&amp;Dta=/var/www/html/dta/S01/10561.3850.2.dta&amp;Global_Mod=CS57.0215", "3850")</f>
        <v>3850</v>
      </c>
      <c r="S768" s="36" t="str">
        <f>HYPERLINK("http://ms.phosphosite.org:5080/cgi-bin/plot-msms.cgi?MassType=1&amp;NumAxis=1&amp;Mod7=170&amp;Pep=EGEGLGKYSQGR&amp;Dta=/var/www/html/dta/S01/10562.3964.2.dta&amp;Global_Mod=CS57.0215", "3964")</f>
        <v>3964</v>
      </c>
      <c r="T768" s="35" t="s">
        <v>4854</v>
      </c>
      <c r="U768" s="36" t="str">
        <f>HYPERLINK("http://ms.phosphosite.org:5080/cgi-bin/plot-msms.cgi?MassType=1&amp;NumAxis=1&amp;Mod7=170&amp;Pep=EGEGLGKYSQGR&amp;Dta=/var/www/html/dta/S01/10564.4228.2.dta&amp;Global_Mod=CS57.0215", "4228")</f>
        <v>4228</v>
      </c>
      <c r="V768" s="36" t="str">
        <f>HYPERLINK("http://ms.phosphosite.org:5080/cgi-bin/plot-msms.cgi?MassType=1&amp;NumAxis=1&amp;Mod7=170&amp;Pep=EGEGLGKYSQGR&amp;Dta=/var/www/html/dta/S01/10565.4354.2.dta&amp;Global_Mod=CS57.0215", "4354")</f>
        <v>4354</v>
      </c>
      <c r="W768" s="5">
        <v>3948</v>
      </c>
      <c r="X768" s="5">
        <v>3832</v>
      </c>
      <c r="Y768" s="3" t="s">
        <v>4854</v>
      </c>
      <c r="Z768" s="5">
        <v>3841</v>
      </c>
      <c r="AA768" s="5">
        <v>3959</v>
      </c>
      <c r="AB768" s="3" t="s">
        <v>4854</v>
      </c>
      <c r="AC768" s="5">
        <v>4219</v>
      </c>
      <c r="AD768" s="5">
        <v>4342</v>
      </c>
      <c r="AE768" s="90">
        <v>2.4380000000000002</v>
      </c>
      <c r="AF768" s="90">
        <v>2.665</v>
      </c>
      <c r="AG768" s="99" t="s">
        <v>4854</v>
      </c>
      <c r="AH768" s="90">
        <v>2.6179999999999999</v>
      </c>
      <c r="AI768" s="90">
        <v>2.8559999999999999</v>
      </c>
      <c r="AJ768" s="99" t="s">
        <v>4854</v>
      </c>
      <c r="AK768" s="90">
        <v>2.7789999999999999</v>
      </c>
      <c r="AL768" s="90">
        <v>2.5</v>
      </c>
      <c r="AM768" s="21">
        <v>4.7300000000000002E-2</v>
      </c>
      <c r="AN768" s="21">
        <v>0.26729999999999998</v>
      </c>
      <c r="AO768" s="102" t="s">
        <v>4854</v>
      </c>
      <c r="AP768" s="21">
        <v>0.60609999999999997</v>
      </c>
      <c r="AQ768" s="21">
        <v>6.93E-2</v>
      </c>
      <c r="AR768" s="102" t="s">
        <v>4854</v>
      </c>
      <c r="AS768" s="21">
        <v>-0.1424</v>
      </c>
      <c r="AT768" s="21">
        <v>-7.3599999999999999E-2</v>
      </c>
      <c r="AU768" s="21">
        <v>0.37</v>
      </c>
      <c r="AV768" s="21">
        <v>0.33500000000000002</v>
      </c>
      <c r="AW768" s="102" t="s">
        <v>4854</v>
      </c>
      <c r="AX768" s="21">
        <v>0.33500000000000002</v>
      </c>
      <c r="AY768" s="21">
        <v>0.374</v>
      </c>
      <c r="AZ768" s="102" t="s">
        <v>4854</v>
      </c>
      <c r="BA768" s="21">
        <v>0.377</v>
      </c>
      <c r="BB768" s="21">
        <v>0.39400000000000002</v>
      </c>
      <c r="BC768" s="5">
        <v>1</v>
      </c>
      <c r="BD768" s="5">
        <v>1</v>
      </c>
      <c r="BE768" s="3" t="s">
        <v>4854</v>
      </c>
      <c r="BF768" s="5">
        <v>1</v>
      </c>
      <c r="BG768" s="5">
        <v>1</v>
      </c>
      <c r="BH768" s="3" t="s">
        <v>4854</v>
      </c>
      <c r="BI768" s="5">
        <v>1</v>
      </c>
      <c r="BJ768" s="5">
        <v>1</v>
      </c>
      <c r="BK768" s="90">
        <v>1</v>
      </c>
      <c r="BL768" s="90">
        <v>1</v>
      </c>
      <c r="BM768" s="99" t="s">
        <v>4854</v>
      </c>
      <c r="BN768" s="90">
        <v>1</v>
      </c>
      <c r="BO768" s="90">
        <v>1</v>
      </c>
      <c r="BP768" s="99" t="s">
        <v>4854</v>
      </c>
      <c r="BQ768" s="90">
        <v>1</v>
      </c>
      <c r="BR768" s="90">
        <v>1</v>
      </c>
      <c r="BS768" s="5" t="s">
        <v>4857</v>
      </c>
    </row>
    <row r="769" spans="1:71" s="30" customFormat="1" ht="17.100000000000001" customHeight="1">
      <c r="A769" s="10">
        <v>758</v>
      </c>
      <c r="B769" s="10" t="s">
        <v>2001</v>
      </c>
      <c r="C769" s="4" t="s">
        <v>2085</v>
      </c>
      <c r="D769" s="7" t="s">
        <v>2002</v>
      </c>
      <c r="E769" s="7" t="s">
        <v>2003</v>
      </c>
      <c r="F769" s="10" t="s">
        <v>5118</v>
      </c>
      <c r="G769" s="4" t="s">
        <v>2004</v>
      </c>
      <c r="H769" s="7" t="s">
        <v>2005</v>
      </c>
      <c r="I769" s="4" t="s">
        <v>2006</v>
      </c>
      <c r="J769" s="10" t="s">
        <v>2007</v>
      </c>
      <c r="K769" s="4" t="s">
        <v>5801</v>
      </c>
      <c r="L769" s="4" t="s">
        <v>2008</v>
      </c>
      <c r="M769" s="10">
        <v>2</v>
      </c>
      <c r="N769" s="95">
        <v>835.89970000000005</v>
      </c>
      <c r="O769" s="37" t="str">
        <f>HYPERLINK("http://ms.phosphosite.org:5080/cgi-bin/plot-msms.cgi?MassType=1&amp;NumAxis=1&amp;Mod14=170&amp;Pep=SSGPYGGGGQYFAKPR&amp;Dta=/var/www/html/dta/S01/10558.6365.2.dta&amp;Global_Mod=CS57.0215", "6365")</f>
        <v>6365</v>
      </c>
      <c r="P769" s="37" t="str">
        <f>HYPERLINK("http://ms.phosphosite.org:5080/cgi-bin/plot-msms.cgi?MassType=1&amp;NumAxis=1&amp;Mod14=170&amp;Pep=SSGPYGGGGQYFAKPR&amp;Dta=/var/www/html/dta/S01/10559.6302.2.dta&amp;Global_Mod=CS57.0215", "6302")</f>
        <v>6302</v>
      </c>
      <c r="Q769" s="37" t="str">
        <f>HYPERLINK("http://ms.phosphosite.org:5080/cgi-bin/plot-msms.cgi?MassType=1&amp;NumAxis=1&amp;Mod14=170&amp;Pep=SSGPYGGGGQYFAKPR&amp;Dta=/var/www/html/dta/S01/10560.6291.2.dta&amp;Global_Mod=CS57.0215", "6291")</f>
        <v>6291</v>
      </c>
      <c r="R769" s="37" t="str">
        <f>HYPERLINK("http://ms.phosphosite.org:5080/cgi-bin/plot-msms.cgi?MassType=1&amp;NumAxis=1&amp;Mod14=170&amp;Pep=SSGPYGGGGQYFAKPR&amp;Dta=/var/www/html/dta/S01/10561.6418.2.dta&amp;Global_Mod=CS57.0215", "6418")</f>
        <v>6418</v>
      </c>
      <c r="S769" s="37" t="str">
        <f>HYPERLINK("http://ms.phosphosite.org:5080/cgi-bin/plot-msms.cgi?MassType=1&amp;NumAxis=1&amp;Mod14=170&amp;Pep=SSGPYGGGGQYFAKPR&amp;Dta=/var/www/html/dta/S01/10562.6439.2.dta&amp;Global_Mod=CS57.0215", "6439")</f>
        <v>6439</v>
      </c>
      <c r="T769" s="37" t="str">
        <f>HYPERLINK("http://ms.phosphosite.org:5080/cgi-bin/plot-msms.cgi?MassType=1&amp;NumAxis=1&amp;Mod14=170&amp;Pep=SSGPYGGGGQYFAKPR&amp;Dta=/var/www/html/dta/S01/10563.6489.2.dta&amp;Global_Mod=CS57.0215", "6489")</f>
        <v>6489</v>
      </c>
      <c r="U769" s="37" t="str">
        <f>HYPERLINK("http://ms.phosphosite.org:5080/cgi-bin/plot-msms.cgi?MassType=1&amp;NumAxis=1&amp;Mod14=170&amp;Pep=SSGPYGGGGQYFAKPR&amp;Dta=/var/www/html/dta/S01/10564.6748.2.dta&amp;Global_Mod=CS57.0215", "6748")</f>
        <v>6748</v>
      </c>
      <c r="V769" s="37" t="str">
        <f>HYPERLINK("http://ms.phosphosite.org:5080/cgi-bin/plot-msms.cgi?MassType=1&amp;NumAxis=1&amp;Mod14=170&amp;Pep=SSGPYGGGGQYFAKPR&amp;Dta=/var/www/html/dta/S01/10565.6827.2.dta&amp;Global_Mod=CS57.0215", "6827")</f>
        <v>6827</v>
      </c>
      <c r="W769" s="10">
        <v>6413</v>
      </c>
      <c r="X769" s="10">
        <v>6371</v>
      </c>
      <c r="Y769" s="10">
        <v>6333</v>
      </c>
      <c r="Z769" s="10">
        <v>6371</v>
      </c>
      <c r="AA769" s="10">
        <v>6488</v>
      </c>
      <c r="AB769" s="10">
        <v>6453</v>
      </c>
      <c r="AC769" s="10">
        <v>6793</v>
      </c>
      <c r="AD769" s="10">
        <v>6878</v>
      </c>
      <c r="AE769" s="91">
        <v>4.0259999999999998</v>
      </c>
      <c r="AF769" s="91">
        <v>4.07</v>
      </c>
      <c r="AG769" s="91">
        <v>4.3540000000000001</v>
      </c>
      <c r="AH769" s="91">
        <v>4.1369999999999996</v>
      </c>
      <c r="AI769" s="91">
        <v>4.2869999999999999</v>
      </c>
      <c r="AJ769" s="91">
        <v>4.2409999999999997</v>
      </c>
      <c r="AK769" s="91">
        <v>4.1310000000000002</v>
      </c>
      <c r="AL769" s="91">
        <v>3.8260000000000001</v>
      </c>
      <c r="AM769" s="95">
        <v>0.57679999999999998</v>
      </c>
      <c r="AN769" s="95">
        <v>0.49540000000000001</v>
      </c>
      <c r="AO769" s="95">
        <v>0.59179999999999999</v>
      </c>
      <c r="AP769" s="95">
        <v>0.65759999999999996</v>
      </c>
      <c r="AQ769" s="95">
        <v>0.499</v>
      </c>
      <c r="AR769" s="95">
        <v>0.4355</v>
      </c>
      <c r="AS769" s="95">
        <v>0.29010000000000002</v>
      </c>
      <c r="AT769" s="95">
        <v>3.39E-2</v>
      </c>
      <c r="AU769" s="95">
        <v>0.55200000000000005</v>
      </c>
      <c r="AV769" s="95">
        <v>0.45700000000000002</v>
      </c>
      <c r="AW769" s="95">
        <v>0.52700000000000002</v>
      </c>
      <c r="AX769" s="95">
        <v>0.5</v>
      </c>
      <c r="AY769" s="95">
        <v>0.53700000000000003</v>
      </c>
      <c r="AZ769" s="95">
        <v>0.52600000000000002</v>
      </c>
      <c r="BA769" s="95">
        <v>0.53300000000000003</v>
      </c>
      <c r="BB769" s="95">
        <v>0.502</v>
      </c>
      <c r="BC769" s="10">
        <v>1</v>
      </c>
      <c r="BD769" s="10">
        <v>1</v>
      </c>
      <c r="BE769" s="10">
        <v>1</v>
      </c>
      <c r="BF769" s="10">
        <v>1</v>
      </c>
      <c r="BG769" s="10">
        <v>1</v>
      </c>
      <c r="BH769" s="10">
        <v>1</v>
      </c>
      <c r="BI769" s="10">
        <v>1</v>
      </c>
      <c r="BJ769" s="10">
        <v>1</v>
      </c>
      <c r="BK769" s="91">
        <v>1</v>
      </c>
      <c r="BL769" s="91">
        <v>1</v>
      </c>
      <c r="BM769" s="91">
        <v>1</v>
      </c>
      <c r="BN769" s="91">
        <v>1</v>
      </c>
      <c r="BO769" s="91">
        <v>1</v>
      </c>
      <c r="BP769" s="91">
        <v>1</v>
      </c>
      <c r="BQ769" s="91">
        <v>1</v>
      </c>
      <c r="BR769" s="91">
        <v>1</v>
      </c>
      <c r="BS769" s="10" t="s">
        <v>4857</v>
      </c>
    </row>
    <row r="770" spans="1:71" s="30" customFormat="1" ht="17.100000000000001" customHeight="1">
      <c r="A770" s="10">
        <v>759</v>
      </c>
      <c r="B770" s="10" t="s">
        <v>2009</v>
      </c>
      <c r="C770" s="4" t="s">
        <v>2085</v>
      </c>
      <c r="D770" s="7" t="s">
        <v>2002</v>
      </c>
      <c r="E770" s="7" t="s">
        <v>2003</v>
      </c>
      <c r="F770" s="10" t="s">
        <v>5118</v>
      </c>
      <c r="G770" s="4" t="s">
        <v>2004</v>
      </c>
      <c r="H770" s="7" t="s">
        <v>2005</v>
      </c>
      <c r="I770" s="4" t="s">
        <v>2006</v>
      </c>
      <c r="J770" s="10" t="s">
        <v>2007</v>
      </c>
      <c r="K770" s="4" t="s">
        <v>5801</v>
      </c>
      <c r="L770" s="4" t="s">
        <v>2008</v>
      </c>
      <c r="M770" s="10">
        <v>2</v>
      </c>
      <c r="N770" s="95">
        <v>835.89970000000005</v>
      </c>
      <c r="O770" s="37" t="str">
        <f>HYPERLINK("http://ms.phosphosite.org:5080/cgi-bin/plot-msms.cgi?MassType=1&amp;NumAxis=1&amp;Mod14=170&amp;Pep=SSGPYGGGGQYFAKPR&amp;Dta=/var/www/html/dta/S01/10558.6462.2.dta&amp;Global_Mod=CS57.0215", "6462")</f>
        <v>6462</v>
      </c>
      <c r="P770" s="37" t="str">
        <f>HYPERLINK("http://ms.phosphosite.org:5080/cgi-bin/plot-msms.cgi?MassType=1&amp;NumAxis=1&amp;Mod14=170&amp;Pep=SSGPYGGGGQYFAKPR&amp;Dta=/var/www/html/dta/S01/10559.6395.2.dta&amp;Global_Mod=CS57.0215", "6395")</f>
        <v>6395</v>
      </c>
      <c r="Q770" s="37" t="str">
        <f>HYPERLINK("http://ms.phosphosite.org:5080/cgi-bin/plot-msms.cgi?MassType=1&amp;NumAxis=1&amp;Mod14=170&amp;Pep=SSGPYGGGGQYFAKPR&amp;Dta=/var/www/html/dta/S01/10560.6393.2.dta&amp;Global_Mod=CS57.0215", "6393")</f>
        <v>6393</v>
      </c>
      <c r="R770" s="37" t="str">
        <f>HYPERLINK("http://ms.phosphosite.org:5080/cgi-bin/plot-msms.cgi?MassType=1&amp;NumAxis=1&amp;Mod14=170&amp;Pep=SSGPYGGGGQYFAKPR&amp;Dta=/var/www/html/dta/S01/10561.6322.2.dta&amp;Global_Mod=CS57.0215", "6322")</f>
        <v>6322</v>
      </c>
      <c r="S770" s="37" t="str">
        <f>HYPERLINK("http://ms.phosphosite.org:5080/cgi-bin/plot-msms.cgi?MassType=1&amp;NumAxis=1&amp;Mod14=170&amp;Pep=SSGPYGGGGQYFAKPR&amp;Dta=/var/www/html/dta/S01/10562.6534.2.dta&amp;Global_Mod=CS57.0215", "6534")</f>
        <v>6534</v>
      </c>
      <c r="T770" s="37" t="str">
        <f>HYPERLINK("http://ms.phosphosite.org:5080/cgi-bin/plot-msms.cgi?MassType=1&amp;NumAxis=1&amp;Mod14=170&amp;Pep=SSGPYGGGGQYFAKPR&amp;Dta=/var/www/html/dta/S01/10563.6393.2.dta&amp;Global_Mod=CS57.0215", "6393")</f>
        <v>6393</v>
      </c>
      <c r="U770" s="37" t="str">
        <f>HYPERLINK("http://ms.phosphosite.org:5080/cgi-bin/plot-msms.cgi?MassType=1&amp;NumAxis=1&amp;Mod14=170&amp;Pep=SSGPYGGGGQYFAKPR&amp;Dta=/var/www/html/dta/S01/10564.6841.2.dta&amp;Global_Mod=CS57.0215", "6841")</f>
        <v>6841</v>
      </c>
      <c r="V770" s="37" t="str">
        <f>HYPERLINK("http://ms.phosphosite.org:5080/cgi-bin/plot-msms.cgi?MassType=1&amp;NumAxis=1&amp;Mod14=170&amp;Pep=SSGPYGGGGQYFAKPR&amp;Dta=/var/www/html/dta/S01/10565.6925.2.dta&amp;Global_Mod=CS57.0215", "6925")</f>
        <v>6925</v>
      </c>
      <c r="W770" s="10">
        <v>6413</v>
      </c>
      <c r="X770" s="10">
        <v>6371</v>
      </c>
      <c r="Y770" s="10">
        <v>6333</v>
      </c>
      <c r="Z770" s="10">
        <v>6371</v>
      </c>
      <c r="AA770" s="10">
        <v>6488</v>
      </c>
      <c r="AB770" s="10">
        <v>6453</v>
      </c>
      <c r="AC770" s="10">
        <v>6793</v>
      </c>
      <c r="AD770" s="10">
        <v>6878</v>
      </c>
      <c r="AE770" s="91">
        <v>3.9260000000000002</v>
      </c>
      <c r="AF770" s="91">
        <v>3.9020000000000001</v>
      </c>
      <c r="AG770" s="91">
        <v>3.8809999999999998</v>
      </c>
      <c r="AH770" s="91">
        <v>3.9079999999999999</v>
      </c>
      <c r="AI770" s="91">
        <v>3.9910000000000001</v>
      </c>
      <c r="AJ770" s="91">
        <v>3.9489999999999998</v>
      </c>
      <c r="AK770" s="91">
        <v>3.794</v>
      </c>
      <c r="AL770" s="91">
        <v>3.3860000000000001</v>
      </c>
      <c r="AM770" s="95">
        <v>0.5756</v>
      </c>
      <c r="AN770" s="95">
        <v>0.49059999999999998</v>
      </c>
      <c r="AO770" s="95">
        <v>0.60609999999999997</v>
      </c>
      <c r="AP770" s="95">
        <v>0.68689999999999996</v>
      </c>
      <c r="AQ770" s="95">
        <v>0.48459999999999998</v>
      </c>
      <c r="AR770" s="95">
        <v>0.46189999999999998</v>
      </c>
      <c r="AS770" s="95">
        <v>0.27929999999999999</v>
      </c>
      <c r="AT770" s="95">
        <v>3.7499999999999999E-2</v>
      </c>
      <c r="AU770" s="95">
        <v>0.47499999999999998</v>
      </c>
      <c r="AV770" s="95">
        <v>0.54900000000000004</v>
      </c>
      <c r="AW770" s="95">
        <v>0.45700000000000002</v>
      </c>
      <c r="AX770" s="95">
        <v>0.51300000000000001</v>
      </c>
      <c r="AY770" s="95">
        <v>0.51500000000000001</v>
      </c>
      <c r="AZ770" s="95">
        <v>0.42199999999999999</v>
      </c>
      <c r="BA770" s="95">
        <v>0.51800000000000002</v>
      </c>
      <c r="BB770" s="95">
        <v>0.434</v>
      </c>
      <c r="BC770" s="10">
        <v>1</v>
      </c>
      <c r="BD770" s="10">
        <v>1</v>
      </c>
      <c r="BE770" s="10">
        <v>1</v>
      </c>
      <c r="BF770" s="10">
        <v>1</v>
      </c>
      <c r="BG770" s="10">
        <v>1</v>
      </c>
      <c r="BH770" s="10">
        <v>1</v>
      </c>
      <c r="BI770" s="10">
        <v>1</v>
      </c>
      <c r="BJ770" s="10">
        <v>1</v>
      </c>
      <c r="BK770" s="91">
        <v>1</v>
      </c>
      <c r="BL770" s="91">
        <v>1</v>
      </c>
      <c r="BM770" s="91">
        <v>1</v>
      </c>
      <c r="BN770" s="91">
        <v>1</v>
      </c>
      <c r="BO770" s="91">
        <v>1</v>
      </c>
      <c r="BP770" s="91">
        <v>1</v>
      </c>
      <c r="BQ770" s="91">
        <v>1</v>
      </c>
      <c r="BR770" s="91">
        <v>1</v>
      </c>
      <c r="BS770" s="10" t="s">
        <v>4857</v>
      </c>
    </row>
    <row r="771" spans="1:71" s="30" customFormat="1" ht="17.100000000000001" customHeight="1">
      <c r="A771" s="10">
        <v>760</v>
      </c>
      <c r="B771" s="10" t="s">
        <v>2010</v>
      </c>
      <c r="C771" s="4" t="s">
        <v>2085</v>
      </c>
      <c r="D771" s="7" t="s">
        <v>2002</v>
      </c>
      <c r="E771" s="7" t="s">
        <v>2003</v>
      </c>
      <c r="F771" s="10" t="s">
        <v>5118</v>
      </c>
      <c r="G771" s="4" t="s">
        <v>2004</v>
      </c>
      <c r="H771" s="7" t="s">
        <v>2005</v>
      </c>
      <c r="I771" s="4" t="s">
        <v>2006</v>
      </c>
      <c r="J771" s="10" t="s">
        <v>2007</v>
      </c>
      <c r="K771" s="4" t="s">
        <v>5801</v>
      </c>
      <c r="L771" s="4" t="s">
        <v>2008</v>
      </c>
      <c r="M771" s="10">
        <v>3</v>
      </c>
      <c r="N771" s="95">
        <v>557.60220000000004</v>
      </c>
      <c r="O771" s="37" t="str">
        <f>HYPERLINK("http://ms.phosphosite.org:5080/cgi-bin/plot-msms.cgi?MassType=1&amp;NumAxis=1&amp;Mod14=170&amp;Pep=SSGPYGGGGQYFAKPR&amp;Dta=/var/www/html/dta/S01/10558.6394.3.dta&amp;Global_Mod=CS57.0215", "6394")</f>
        <v>6394</v>
      </c>
      <c r="P771" s="38" t="s">
        <v>4854</v>
      </c>
      <c r="Q771" s="37" t="str">
        <f>HYPERLINK("http://ms.phosphosite.org:5080/cgi-bin/plot-msms.cgi?MassType=1&amp;NumAxis=1&amp;Mod14=170&amp;Pep=SSGPYGGGGQYFAKPR&amp;Dta=/var/www/html/dta/S01/10560.6314.3.dta&amp;Global_Mod=CS57.0215", "6314")</f>
        <v>6314</v>
      </c>
      <c r="R771" s="37" t="str">
        <f>HYPERLINK("http://ms.phosphosite.org:5080/cgi-bin/plot-msms.cgi?MassType=1&amp;NumAxis=1&amp;Mod14=170&amp;Pep=SSGPYGGGGQYFAKPR&amp;Dta=/var/www/html/dta/S01/10561.6385.3.dta&amp;Global_Mod=CS57.0215", "6385")</f>
        <v>6385</v>
      </c>
      <c r="S771" s="37" t="str">
        <f>HYPERLINK("http://ms.phosphosite.org:5080/cgi-bin/plot-msms.cgi?MassType=1&amp;NumAxis=1&amp;Mod14=170&amp;Pep=SSGPYGGGGQYFAKPR&amp;Dta=/var/www/html/dta/S01/10562.6456.3.dta&amp;Global_Mod=CS57.0215", "6456")</f>
        <v>6456</v>
      </c>
      <c r="T771" s="37" t="str">
        <f>HYPERLINK("http://ms.phosphosite.org:5080/cgi-bin/plot-msms.cgi?MassType=1&amp;NumAxis=1&amp;Mod14=170&amp;Pep=SSGPYGGGGQYFAKPR&amp;Dta=/var/www/html/dta/S01/10563.6443.3.dta&amp;Global_Mod=CS57.0215", "6443")</f>
        <v>6443</v>
      </c>
      <c r="U771" s="37" t="str">
        <f>HYPERLINK("http://ms.phosphosite.org:5080/cgi-bin/plot-msms.cgi?MassType=1&amp;NumAxis=1&amp;Mod14=170&amp;Pep=SSGPYGGGGQYFAKPR&amp;Dta=/var/www/html/dta/S01/10564.6795.3.dta&amp;Global_Mod=CS57.0215", "6795")</f>
        <v>6795</v>
      </c>
      <c r="V771" s="38" t="s">
        <v>4854</v>
      </c>
      <c r="W771" s="10">
        <v>6413</v>
      </c>
      <c r="X771" s="4" t="s">
        <v>4854</v>
      </c>
      <c r="Y771" s="10">
        <v>6333</v>
      </c>
      <c r="Z771" s="10">
        <v>6371</v>
      </c>
      <c r="AA771" s="10">
        <v>6488</v>
      </c>
      <c r="AB771" s="10">
        <v>6453</v>
      </c>
      <c r="AC771" s="10">
        <v>6782</v>
      </c>
      <c r="AD771" s="4" t="s">
        <v>4854</v>
      </c>
      <c r="AE771" s="91">
        <v>2.8809999999999998</v>
      </c>
      <c r="AF771" s="100" t="s">
        <v>4854</v>
      </c>
      <c r="AG771" s="91">
        <v>4.1920000000000002</v>
      </c>
      <c r="AH771" s="91">
        <v>4.0529999999999999</v>
      </c>
      <c r="AI771" s="91">
        <v>3.9740000000000002</v>
      </c>
      <c r="AJ771" s="91">
        <v>3.7890000000000001</v>
      </c>
      <c r="AK771" s="91">
        <v>3.7120000000000002</v>
      </c>
      <c r="AL771" s="100" t="s">
        <v>4854</v>
      </c>
      <c r="AM771" s="95">
        <v>0.2787</v>
      </c>
      <c r="AN771" s="103" t="s">
        <v>4854</v>
      </c>
      <c r="AO771" s="95">
        <v>0.48039999999999999</v>
      </c>
      <c r="AP771" s="95">
        <v>0.54690000000000005</v>
      </c>
      <c r="AQ771" s="95">
        <v>0.41399999999999998</v>
      </c>
      <c r="AR771" s="95">
        <v>0.4637</v>
      </c>
      <c r="AS771" s="95">
        <v>0.37390000000000001</v>
      </c>
      <c r="AT771" s="103" t="s">
        <v>4854</v>
      </c>
      <c r="AU771" s="95">
        <v>0.14799999999999999</v>
      </c>
      <c r="AV771" s="103" t="s">
        <v>4854</v>
      </c>
      <c r="AW771" s="95">
        <v>0.33100000000000002</v>
      </c>
      <c r="AX771" s="95">
        <v>0.25700000000000001</v>
      </c>
      <c r="AY771" s="95">
        <v>0.28000000000000003</v>
      </c>
      <c r="AZ771" s="95">
        <v>0.35599999999999998</v>
      </c>
      <c r="BA771" s="95">
        <v>0.28599999999999998</v>
      </c>
      <c r="BB771" s="103" t="s">
        <v>4854</v>
      </c>
      <c r="BC771" s="10">
        <v>5</v>
      </c>
      <c r="BD771" s="4" t="s">
        <v>4854</v>
      </c>
      <c r="BE771" s="10">
        <v>1</v>
      </c>
      <c r="BF771" s="10">
        <v>1</v>
      </c>
      <c r="BG771" s="10">
        <v>2</v>
      </c>
      <c r="BH771" s="10">
        <v>1</v>
      </c>
      <c r="BI771" s="10">
        <v>1</v>
      </c>
      <c r="BJ771" s="4" t="s">
        <v>4854</v>
      </c>
      <c r="BK771" s="91">
        <v>0.999</v>
      </c>
      <c r="BL771" s="100" t="s">
        <v>4854</v>
      </c>
      <c r="BM771" s="91">
        <v>1</v>
      </c>
      <c r="BN771" s="91">
        <v>1</v>
      </c>
      <c r="BO771" s="91">
        <v>1</v>
      </c>
      <c r="BP771" s="91">
        <v>1</v>
      </c>
      <c r="BQ771" s="91">
        <v>1</v>
      </c>
      <c r="BR771" s="100" t="s">
        <v>4854</v>
      </c>
      <c r="BS771" s="10" t="s">
        <v>4857</v>
      </c>
    </row>
    <row r="772" spans="1:71" s="30" customFormat="1" ht="17.100000000000001" customHeight="1">
      <c r="A772" s="14">
        <v>761</v>
      </c>
      <c r="B772" s="5" t="s">
        <v>2011</v>
      </c>
      <c r="C772" s="3" t="s">
        <v>2085</v>
      </c>
      <c r="D772" s="6" t="s">
        <v>2012</v>
      </c>
      <c r="E772" s="3" t="s">
        <v>2013</v>
      </c>
      <c r="F772" s="5" t="s">
        <v>5031</v>
      </c>
      <c r="G772" s="3" t="s">
        <v>2014</v>
      </c>
      <c r="H772" s="6" t="s">
        <v>2015</v>
      </c>
      <c r="I772" s="3" t="s">
        <v>2016</v>
      </c>
      <c r="J772" s="5" t="s">
        <v>2017</v>
      </c>
      <c r="K772" s="3" t="s">
        <v>5802</v>
      </c>
      <c r="L772" s="3" t="s">
        <v>2018</v>
      </c>
      <c r="M772" s="5">
        <v>2</v>
      </c>
      <c r="N772" s="21">
        <v>900.48050000000001</v>
      </c>
      <c r="O772" s="35" t="s">
        <v>4854</v>
      </c>
      <c r="P772" s="36" t="str">
        <f>HYPERLINK("http://ms.phosphosite.org:5080/cgi-bin/plot-msms.cgi?MassType=1&amp;NumAxis=1&amp;Mod14=170&amp;Pep=IFVGGLSPDTPEEKIR&amp;Dta=/var/www/html/dta/S01/10559.9175.2.dta&amp;Global_Mod=CS57.0215", "9175")</f>
        <v>9175</v>
      </c>
      <c r="Q772" s="36" t="str">
        <f>HYPERLINK("http://ms.phosphosite.org:5080/cgi-bin/plot-msms.cgi?MassType=1&amp;NumAxis=1&amp;Mod14=170&amp;Pep=IFVGGLSPDTPEEKIR&amp;Dta=/var/www/html/dta/S01/10560.9189.2.dta&amp;Global_Mod=CS57.0215", "9189")</f>
        <v>9189</v>
      </c>
      <c r="R772" s="35" t="s">
        <v>4854</v>
      </c>
      <c r="S772" s="35" t="s">
        <v>4854</v>
      </c>
      <c r="T772" s="35" t="s">
        <v>4854</v>
      </c>
      <c r="U772" s="35" t="s">
        <v>4854</v>
      </c>
      <c r="V772" s="35" t="s">
        <v>4854</v>
      </c>
      <c r="W772" s="3" t="s">
        <v>4854</v>
      </c>
      <c r="X772" s="5">
        <v>9176</v>
      </c>
      <c r="Y772" s="5">
        <v>9160</v>
      </c>
      <c r="Z772" s="3" t="s">
        <v>4854</v>
      </c>
      <c r="AA772" s="3" t="s">
        <v>4854</v>
      </c>
      <c r="AB772" s="3" t="s">
        <v>4854</v>
      </c>
      <c r="AC772" s="3" t="s">
        <v>4854</v>
      </c>
      <c r="AD772" s="3" t="s">
        <v>4854</v>
      </c>
      <c r="AE772" s="99" t="s">
        <v>4854</v>
      </c>
      <c r="AF772" s="90">
        <v>2.7719999999999998</v>
      </c>
      <c r="AG772" s="90">
        <v>3.8319999999999999</v>
      </c>
      <c r="AH772" s="99" t="s">
        <v>4854</v>
      </c>
      <c r="AI772" s="99" t="s">
        <v>4854</v>
      </c>
      <c r="AJ772" s="99" t="s">
        <v>4854</v>
      </c>
      <c r="AK772" s="99" t="s">
        <v>4854</v>
      </c>
      <c r="AL772" s="99" t="s">
        <v>4854</v>
      </c>
      <c r="AM772" s="102" t="s">
        <v>4854</v>
      </c>
      <c r="AN772" s="21">
        <v>0.87680000000000002</v>
      </c>
      <c r="AO772" s="21">
        <v>0.98899999999999999</v>
      </c>
      <c r="AP772" s="102" t="s">
        <v>4854</v>
      </c>
      <c r="AQ772" s="102" t="s">
        <v>4854</v>
      </c>
      <c r="AR772" s="102" t="s">
        <v>4854</v>
      </c>
      <c r="AS772" s="102" t="s">
        <v>4854</v>
      </c>
      <c r="AT772" s="102" t="s">
        <v>4854</v>
      </c>
      <c r="AU772" s="102" t="s">
        <v>4854</v>
      </c>
      <c r="AV772" s="21">
        <v>0.2</v>
      </c>
      <c r="AW772" s="21">
        <v>0.34699999999999998</v>
      </c>
      <c r="AX772" s="102" t="s">
        <v>4854</v>
      </c>
      <c r="AY772" s="102" t="s">
        <v>4854</v>
      </c>
      <c r="AZ772" s="102" t="s">
        <v>4854</v>
      </c>
      <c r="BA772" s="102" t="s">
        <v>4854</v>
      </c>
      <c r="BB772" s="102" t="s">
        <v>4854</v>
      </c>
      <c r="BC772" s="3" t="s">
        <v>4854</v>
      </c>
      <c r="BD772" s="5">
        <v>1</v>
      </c>
      <c r="BE772" s="5">
        <v>1</v>
      </c>
      <c r="BF772" s="3" t="s">
        <v>4854</v>
      </c>
      <c r="BG772" s="3" t="s">
        <v>4854</v>
      </c>
      <c r="BH772" s="3" t="s">
        <v>4854</v>
      </c>
      <c r="BI772" s="3" t="s">
        <v>4854</v>
      </c>
      <c r="BJ772" s="3" t="s">
        <v>4854</v>
      </c>
      <c r="BK772" s="99" t="s">
        <v>4854</v>
      </c>
      <c r="BL772" s="90">
        <v>0.998</v>
      </c>
      <c r="BM772" s="90">
        <v>1</v>
      </c>
      <c r="BN772" s="99" t="s">
        <v>4854</v>
      </c>
      <c r="BO772" s="99" t="s">
        <v>4854</v>
      </c>
      <c r="BP772" s="99" t="s">
        <v>4854</v>
      </c>
      <c r="BQ772" s="99" t="s">
        <v>4854</v>
      </c>
      <c r="BR772" s="99" t="s">
        <v>4854</v>
      </c>
      <c r="BS772" s="5" t="s">
        <v>4857</v>
      </c>
    </row>
    <row r="773" spans="1:71" s="30" customFormat="1" ht="17.100000000000001" customHeight="1">
      <c r="A773" s="10">
        <v>762</v>
      </c>
      <c r="B773" s="10" t="s">
        <v>2019</v>
      </c>
      <c r="C773" s="4" t="s">
        <v>2085</v>
      </c>
      <c r="D773" s="4" t="s">
        <v>2020</v>
      </c>
      <c r="E773" s="4" t="s">
        <v>2021</v>
      </c>
      <c r="F773" s="10" t="s">
        <v>4997</v>
      </c>
      <c r="G773" s="4" t="s">
        <v>1893</v>
      </c>
      <c r="H773" s="7" t="s">
        <v>1894</v>
      </c>
      <c r="I773" s="4" t="s">
        <v>1895</v>
      </c>
      <c r="J773" s="10" t="s">
        <v>1896</v>
      </c>
      <c r="K773" s="4" t="s">
        <v>5803</v>
      </c>
      <c r="L773" s="4" t="s">
        <v>1897</v>
      </c>
      <c r="M773" s="10">
        <v>3</v>
      </c>
      <c r="N773" s="95">
        <v>989.76390000000004</v>
      </c>
      <c r="O773" s="37" t="str">
        <f>HYPERLINK("http://ms.phosphosite.org:5080/cgi-bin/plot-msms.cgi?MassType=1&amp;NumAxis=1&amp;Mod5=147&amp;Mod17=160&amp;Mod20=170&amp;Pep=QPAIMPGQSYGLEDGSCSYKDFSESR&amp;Dta=/var/www/html/dta/S01/10558.8670.3.dta&amp;Global_Mod=CS57.0215", "8670")</f>
        <v>8670</v>
      </c>
      <c r="P773" s="37" t="str">
        <f>HYPERLINK("http://ms.phosphosite.org:5080/cgi-bin/plot-msms.cgi?MassType=1&amp;NumAxis=1&amp;Mod5=147&amp;Mod17=160&amp;Mod20=170&amp;Pep=QPAIMPGQSYGLEDGSCSYKDFSESR&amp;Dta=/var/www/html/dta/S01/10559.8620.3.dta&amp;Global_Mod=CS57.0215", "8620")</f>
        <v>8620</v>
      </c>
      <c r="Q773" s="37" t="str">
        <f>HYPERLINK("http://ms.phosphosite.org:5080/cgi-bin/plot-msms.cgi?MassType=1&amp;NumAxis=1&amp;Mod5=147&amp;Mod17=160&amp;Mod20=170&amp;Pep=QPAIMPGQSYGLEDGSCSYKDFSESR&amp;Dta=/var/www/html/dta/S01/10560.8625.3.dta&amp;Global_Mod=CS57.0215", "8625")</f>
        <v>8625</v>
      </c>
      <c r="R773" s="37" t="str">
        <f>HYPERLINK("http://ms.phosphosite.org:5080/cgi-bin/plot-msms.cgi?MassType=1&amp;NumAxis=1&amp;Mod5=147&amp;Mod17=160&amp;Mod20=170&amp;Pep=QPAIMPGQSYGLEDGSCSYKDFSESR&amp;Dta=/var/www/html/dta/S01/10561.8655.3.dta&amp;Global_Mod=CS57.0215", "8655")</f>
        <v>8655</v>
      </c>
      <c r="S773" s="37" t="str">
        <f>HYPERLINK("http://ms.phosphosite.org:5080/cgi-bin/plot-msms.cgi?MassType=1&amp;NumAxis=1&amp;Mod5=147&amp;Mod17=160&amp;Mod20=170&amp;Pep=QPAIMPGQSYGLEDGSCSYKDFSESR&amp;Dta=/var/www/html/dta/S01/10562.8772.3.dta&amp;Global_Mod=CS57.0215", "8772")</f>
        <v>8772</v>
      </c>
      <c r="T773" s="37" t="str">
        <f>HYPERLINK("http://ms.phosphosite.org:5080/cgi-bin/plot-msms.cgi?MassType=1&amp;NumAxis=1&amp;Mod5=147&amp;Mod17=160&amp;Mod20=170&amp;Pep=QPAIMPGQSYGLEDGSCSYKDFSESR&amp;Dta=/var/www/html/dta/S01/10563.8759.3.dta&amp;Global_Mod=CS57.0215", "8759")</f>
        <v>8759</v>
      </c>
      <c r="U773" s="37" t="str">
        <f>HYPERLINK("http://ms.phosphosite.org:5080/cgi-bin/plot-msms.cgi?MassType=1&amp;NumAxis=1&amp;Mod5=147&amp;Mod17=160&amp;Mod20=170&amp;Pep=QPAIMPGQSYGLEDGSCSYKDFSESR&amp;Dta=/var/www/html/dta/S01/10564.9164.3.dta&amp;Global_Mod=CS57.0215", "9164")</f>
        <v>9164</v>
      </c>
      <c r="V773" s="37" t="str">
        <f>HYPERLINK("http://ms.phosphosite.org:5080/cgi-bin/plot-msms.cgi?MassType=1&amp;NumAxis=1&amp;Mod5=147&amp;Mod17=160&amp;Mod20=170&amp;Pep=QPAIMPGQSYGLEDGSCSYKDFSESR&amp;Dta=/var/www/html/dta/S01/10565.9159.3.dta&amp;Global_Mod=CS57.0215", "9159")</f>
        <v>9159</v>
      </c>
      <c r="W773" s="10">
        <v>8689</v>
      </c>
      <c r="X773" s="10">
        <v>8626</v>
      </c>
      <c r="Y773" s="10">
        <v>8643</v>
      </c>
      <c r="Z773" s="10">
        <v>8703</v>
      </c>
      <c r="AA773" s="10">
        <v>8798</v>
      </c>
      <c r="AB773" s="10">
        <v>8796</v>
      </c>
      <c r="AC773" s="10">
        <v>9202</v>
      </c>
      <c r="AD773" s="10">
        <v>9188</v>
      </c>
      <c r="AE773" s="91">
        <v>5.19</v>
      </c>
      <c r="AF773" s="91">
        <v>5.859</v>
      </c>
      <c r="AG773" s="91">
        <v>5.7210000000000001</v>
      </c>
      <c r="AH773" s="91">
        <v>4.1479999999999997</v>
      </c>
      <c r="AI773" s="91">
        <v>5.05</v>
      </c>
      <c r="AJ773" s="91">
        <v>4.43</v>
      </c>
      <c r="AK773" s="91">
        <v>6.17</v>
      </c>
      <c r="AL773" s="91">
        <v>4.524</v>
      </c>
      <c r="AM773" s="95">
        <v>1.2677</v>
      </c>
      <c r="AN773" s="95">
        <v>1.1788000000000001</v>
      </c>
      <c r="AO773" s="95">
        <v>1.5518000000000001</v>
      </c>
      <c r="AP773" s="95">
        <v>1.2828999999999999</v>
      </c>
      <c r="AQ773" s="95">
        <v>0.87680000000000002</v>
      </c>
      <c r="AR773" s="95">
        <v>1.1275999999999999</v>
      </c>
      <c r="AS773" s="95">
        <v>1.0169999999999999</v>
      </c>
      <c r="AT773" s="95">
        <v>1.0881000000000001</v>
      </c>
      <c r="AU773" s="95">
        <v>0.61899999999999999</v>
      </c>
      <c r="AV773" s="95">
        <v>0.63900000000000001</v>
      </c>
      <c r="AW773" s="95">
        <v>0.63200000000000001</v>
      </c>
      <c r="AX773" s="95">
        <v>0.48399999999999999</v>
      </c>
      <c r="AY773" s="95">
        <v>0.59099999999999997</v>
      </c>
      <c r="AZ773" s="95">
        <v>0.56699999999999995</v>
      </c>
      <c r="BA773" s="95">
        <v>0.65300000000000002</v>
      </c>
      <c r="BB773" s="95">
        <v>0.627</v>
      </c>
      <c r="BC773" s="10">
        <v>1</v>
      </c>
      <c r="BD773" s="10">
        <v>1</v>
      </c>
      <c r="BE773" s="10">
        <v>1</v>
      </c>
      <c r="BF773" s="10">
        <v>1</v>
      </c>
      <c r="BG773" s="10">
        <v>1</v>
      </c>
      <c r="BH773" s="10">
        <v>1</v>
      </c>
      <c r="BI773" s="10">
        <v>1</v>
      </c>
      <c r="BJ773" s="10">
        <v>1</v>
      </c>
      <c r="BK773" s="91">
        <v>1</v>
      </c>
      <c r="BL773" s="91">
        <v>1</v>
      </c>
      <c r="BM773" s="91">
        <v>1</v>
      </c>
      <c r="BN773" s="91">
        <v>1</v>
      </c>
      <c r="BO773" s="91">
        <v>1</v>
      </c>
      <c r="BP773" s="91">
        <v>1</v>
      </c>
      <c r="BQ773" s="91">
        <v>1</v>
      </c>
      <c r="BR773" s="91">
        <v>1</v>
      </c>
      <c r="BS773" s="10" t="s">
        <v>4857</v>
      </c>
    </row>
    <row r="774" spans="1:71" s="30" customFormat="1" ht="17.100000000000001" customHeight="1">
      <c r="A774" s="10">
        <v>763</v>
      </c>
      <c r="B774" s="10" t="s">
        <v>1898</v>
      </c>
      <c r="C774" s="4" t="s">
        <v>2085</v>
      </c>
      <c r="D774" s="4" t="s">
        <v>2020</v>
      </c>
      <c r="E774" s="4" t="s">
        <v>2021</v>
      </c>
      <c r="F774" s="10" t="s">
        <v>4997</v>
      </c>
      <c r="G774" s="4" t="s">
        <v>1893</v>
      </c>
      <c r="H774" s="7" t="s">
        <v>1894</v>
      </c>
      <c r="I774" s="4" t="s">
        <v>1895</v>
      </c>
      <c r="J774" s="10" t="s">
        <v>1896</v>
      </c>
      <c r="K774" s="4" t="s">
        <v>5803</v>
      </c>
      <c r="L774" s="4" t="s">
        <v>1897</v>
      </c>
      <c r="M774" s="10">
        <v>3</v>
      </c>
      <c r="N774" s="95">
        <v>989.76390000000004</v>
      </c>
      <c r="O774" s="38" t="s">
        <v>4854</v>
      </c>
      <c r="P774" s="38" t="s">
        <v>4854</v>
      </c>
      <c r="Q774" s="37" t="str">
        <f>HYPERLINK("http://ms.phosphosite.org:5080/cgi-bin/plot-msms.cgi?MassType=1&amp;NumAxis=1&amp;Mod5=147&amp;Mod17=160&amp;Mod20=170&amp;Pep=QPAIMPGQSYGLEDGSCSYKDFSESR&amp;Dta=/var/www/html/dta/S01/10560.8629.3.dta&amp;Global_Mod=CS57.0215", "8629")</f>
        <v>8629</v>
      </c>
      <c r="R774" s="38" t="s">
        <v>4854</v>
      </c>
      <c r="S774" s="38" t="s">
        <v>4854</v>
      </c>
      <c r="T774" s="38" t="s">
        <v>4854</v>
      </c>
      <c r="U774" s="38" t="s">
        <v>4854</v>
      </c>
      <c r="V774" s="38" t="s">
        <v>4854</v>
      </c>
      <c r="W774" s="4" t="s">
        <v>4854</v>
      </c>
      <c r="X774" s="4" t="s">
        <v>4854</v>
      </c>
      <c r="Y774" s="10">
        <v>8643</v>
      </c>
      <c r="Z774" s="4" t="s">
        <v>4854</v>
      </c>
      <c r="AA774" s="4" t="s">
        <v>4854</v>
      </c>
      <c r="AB774" s="4" t="s">
        <v>4854</v>
      </c>
      <c r="AC774" s="4" t="s">
        <v>4854</v>
      </c>
      <c r="AD774" s="4" t="s">
        <v>4854</v>
      </c>
      <c r="AE774" s="100" t="s">
        <v>4854</v>
      </c>
      <c r="AF774" s="100" t="s">
        <v>4854</v>
      </c>
      <c r="AG774" s="91">
        <v>4.4489999999999998</v>
      </c>
      <c r="AH774" s="100" t="s">
        <v>4854</v>
      </c>
      <c r="AI774" s="100" t="s">
        <v>4854</v>
      </c>
      <c r="AJ774" s="100" t="s">
        <v>4854</v>
      </c>
      <c r="AK774" s="100" t="s">
        <v>4854</v>
      </c>
      <c r="AL774" s="100" t="s">
        <v>4854</v>
      </c>
      <c r="AM774" s="103" t="s">
        <v>4854</v>
      </c>
      <c r="AN774" s="103" t="s">
        <v>4854</v>
      </c>
      <c r="AO774" s="95">
        <v>1.5518000000000001</v>
      </c>
      <c r="AP774" s="103" t="s">
        <v>4854</v>
      </c>
      <c r="AQ774" s="103" t="s">
        <v>4854</v>
      </c>
      <c r="AR774" s="103" t="s">
        <v>4854</v>
      </c>
      <c r="AS774" s="103" t="s">
        <v>4854</v>
      </c>
      <c r="AT774" s="103" t="s">
        <v>4854</v>
      </c>
      <c r="AU774" s="103" t="s">
        <v>4854</v>
      </c>
      <c r="AV774" s="103" t="s">
        <v>4854</v>
      </c>
      <c r="AW774" s="95">
        <v>0.438</v>
      </c>
      <c r="AX774" s="103" t="s">
        <v>4854</v>
      </c>
      <c r="AY774" s="103" t="s">
        <v>4854</v>
      </c>
      <c r="AZ774" s="103" t="s">
        <v>4854</v>
      </c>
      <c r="BA774" s="103" t="s">
        <v>4854</v>
      </c>
      <c r="BB774" s="103" t="s">
        <v>4854</v>
      </c>
      <c r="BC774" s="4" t="s">
        <v>4854</v>
      </c>
      <c r="BD774" s="4" t="s">
        <v>4854</v>
      </c>
      <c r="BE774" s="10">
        <v>3</v>
      </c>
      <c r="BF774" s="4" t="s">
        <v>4854</v>
      </c>
      <c r="BG774" s="4" t="s">
        <v>4854</v>
      </c>
      <c r="BH774" s="4" t="s">
        <v>4854</v>
      </c>
      <c r="BI774" s="4" t="s">
        <v>4854</v>
      </c>
      <c r="BJ774" s="4" t="s">
        <v>4854</v>
      </c>
      <c r="BK774" s="100" t="s">
        <v>4854</v>
      </c>
      <c r="BL774" s="100" t="s">
        <v>4854</v>
      </c>
      <c r="BM774" s="91">
        <v>1</v>
      </c>
      <c r="BN774" s="100" t="s">
        <v>4854</v>
      </c>
      <c r="BO774" s="100" t="s">
        <v>4854</v>
      </c>
      <c r="BP774" s="100" t="s">
        <v>4854</v>
      </c>
      <c r="BQ774" s="100" t="s">
        <v>4854</v>
      </c>
      <c r="BR774" s="100" t="s">
        <v>4854</v>
      </c>
      <c r="BS774" s="10" t="s">
        <v>4857</v>
      </c>
    </row>
    <row r="775" spans="1:71" s="30" customFormat="1" ht="17.100000000000001" customHeight="1">
      <c r="A775" s="14">
        <v>764</v>
      </c>
      <c r="B775" s="5" t="s">
        <v>1899</v>
      </c>
      <c r="C775" s="3" t="s">
        <v>2085</v>
      </c>
      <c r="D775" s="3" t="s">
        <v>1900</v>
      </c>
      <c r="E775" s="3" t="s">
        <v>1901</v>
      </c>
      <c r="F775" s="5" t="s">
        <v>3869</v>
      </c>
      <c r="G775" s="3" t="s">
        <v>1902</v>
      </c>
      <c r="H775" s="6" t="s">
        <v>1903</v>
      </c>
      <c r="I775" s="3" t="s">
        <v>1904</v>
      </c>
      <c r="J775" s="5" t="s">
        <v>4724</v>
      </c>
      <c r="K775" s="3" t="s">
        <v>5804</v>
      </c>
      <c r="L775" s="3" t="s">
        <v>1905</v>
      </c>
      <c r="M775" s="5">
        <v>2</v>
      </c>
      <c r="N775" s="21">
        <v>438.72840000000002</v>
      </c>
      <c r="O775" s="35" t="s">
        <v>4854</v>
      </c>
      <c r="P775" s="35" t="s">
        <v>4854</v>
      </c>
      <c r="Q775" s="35" t="s">
        <v>4854</v>
      </c>
      <c r="R775" s="35" t="s">
        <v>4854</v>
      </c>
      <c r="S775" s="35" t="s">
        <v>4854</v>
      </c>
      <c r="T775" s="36" t="str">
        <f>HYPERLINK("http://ms.phosphosite.org:5080/cgi-bin/plot-msms.cgi?MassType=1&amp;NumAxis=1&amp;Mod6=170&amp;Pep=AMEEVKK&amp;Dta=/var/www/html/dta/S01/10563.1921.2.dta&amp;Global_Mod=CS57.0215", "1921")</f>
        <v>1921</v>
      </c>
      <c r="U775" s="35" t="s">
        <v>4854</v>
      </c>
      <c r="V775" s="35" t="s">
        <v>4854</v>
      </c>
      <c r="W775" s="3" t="s">
        <v>4854</v>
      </c>
      <c r="X775" s="3" t="s">
        <v>4854</v>
      </c>
      <c r="Y775" s="3" t="s">
        <v>4854</v>
      </c>
      <c r="Z775" s="3" t="s">
        <v>4854</v>
      </c>
      <c r="AA775" s="3" t="s">
        <v>4854</v>
      </c>
      <c r="AB775" s="3" t="s">
        <v>4854</v>
      </c>
      <c r="AC775" s="3" t="s">
        <v>4854</v>
      </c>
      <c r="AD775" s="3" t="s">
        <v>4854</v>
      </c>
      <c r="AE775" s="99" t="s">
        <v>4854</v>
      </c>
      <c r="AF775" s="99" t="s">
        <v>4854</v>
      </c>
      <c r="AG775" s="99" t="s">
        <v>4854</v>
      </c>
      <c r="AH775" s="99" t="s">
        <v>4854</v>
      </c>
      <c r="AI775" s="99" t="s">
        <v>4854</v>
      </c>
      <c r="AJ775" s="90">
        <v>1.956</v>
      </c>
      <c r="AK775" s="99" t="s">
        <v>4854</v>
      </c>
      <c r="AL775" s="99" t="s">
        <v>4854</v>
      </c>
      <c r="AM775" s="102" t="s">
        <v>4854</v>
      </c>
      <c r="AN775" s="102" t="s">
        <v>4854</v>
      </c>
      <c r="AO775" s="102" t="s">
        <v>4854</v>
      </c>
      <c r="AP775" s="102" t="s">
        <v>4854</v>
      </c>
      <c r="AQ775" s="102" t="s">
        <v>4854</v>
      </c>
      <c r="AR775" s="21">
        <v>-3.9199999999999999E-2</v>
      </c>
      <c r="AS775" s="102" t="s">
        <v>4854</v>
      </c>
      <c r="AT775" s="102" t="s">
        <v>4854</v>
      </c>
      <c r="AU775" s="102" t="s">
        <v>4854</v>
      </c>
      <c r="AV775" s="102" t="s">
        <v>4854</v>
      </c>
      <c r="AW775" s="102" t="s">
        <v>4854</v>
      </c>
      <c r="AX775" s="102" t="s">
        <v>4854</v>
      </c>
      <c r="AY775" s="102" t="s">
        <v>4854</v>
      </c>
      <c r="AZ775" s="21">
        <v>0.11</v>
      </c>
      <c r="BA775" s="102" t="s">
        <v>4854</v>
      </c>
      <c r="BB775" s="102" t="s">
        <v>4854</v>
      </c>
      <c r="BC775" s="3" t="s">
        <v>4854</v>
      </c>
      <c r="BD775" s="3" t="s">
        <v>4854</v>
      </c>
      <c r="BE775" s="3" t="s">
        <v>4854</v>
      </c>
      <c r="BF775" s="3" t="s">
        <v>4854</v>
      </c>
      <c r="BG775" s="3" t="s">
        <v>4854</v>
      </c>
      <c r="BH775" s="5">
        <v>124</v>
      </c>
      <c r="BI775" s="3" t="s">
        <v>4854</v>
      </c>
      <c r="BJ775" s="3" t="s">
        <v>4854</v>
      </c>
      <c r="BK775" s="99" t="s">
        <v>4854</v>
      </c>
      <c r="BL775" s="99" t="s">
        <v>4854</v>
      </c>
      <c r="BM775" s="99" t="s">
        <v>4854</v>
      </c>
      <c r="BN775" s="99" t="s">
        <v>4854</v>
      </c>
      <c r="BO775" s="99" t="s">
        <v>4854</v>
      </c>
      <c r="BP775" s="90">
        <v>0.436</v>
      </c>
      <c r="BQ775" s="99" t="s">
        <v>4854</v>
      </c>
      <c r="BR775" s="99" t="s">
        <v>4854</v>
      </c>
      <c r="BS775" s="5" t="s">
        <v>4857</v>
      </c>
    </row>
    <row r="776" spans="1:71" s="30" customFormat="1" ht="17.100000000000001" customHeight="1">
      <c r="A776" s="10">
        <v>765</v>
      </c>
      <c r="B776" s="10" t="s">
        <v>1906</v>
      </c>
      <c r="C776" s="4" t="s">
        <v>2085</v>
      </c>
      <c r="D776" s="4" t="s">
        <v>1907</v>
      </c>
      <c r="E776" s="4" t="s">
        <v>1908</v>
      </c>
      <c r="F776" s="10" t="s">
        <v>5287</v>
      </c>
      <c r="G776" s="4" t="s">
        <v>1909</v>
      </c>
      <c r="H776" s="7" t="s">
        <v>1910</v>
      </c>
      <c r="I776" s="4" t="s">
        <v>1911</v>
      </c>
      <c r="J776" s="10" t="s">
        <v>4709</v>
      </c>
      <c r="K776" s="4" t="s">
        <v>5805</v>
      </c>
      <c r="L776" s="4" t="s">
        <v>1912</v>
      </c>
      <c r="M776" s="10">
        <v>3</v>
      </c>
      <c r="N776" s="95">
        <v>552.98329999999999</v>
      </c>
      <c r="O776" s="37" t="str">
        <f>HYPERLINK("http://ms.phosphosite.org:5080/cgi-bin/plot-msms.cgi?MassType=1&amp;NumAxis=1&amp;Mod10=170&amp;Mod12=147&amp;Pep=NVQGIIDILKIMNK&amp;Dta=/var/www/html/dta/S01/10558.12464.3.dta&amp;Global_Mod=CS57.0215", "12464")</f>
        <v>12464</v>
      </c>
      <c r="P776" s="38" t="s">
        <v>4854</v>
      </c>
      <c r="Q776" s="37" t="str">
        <f>HYPERLINK("http://ms.phosphosite.org:5080/cgi-bin/plot-msms.cgi?MassType=1&amp;NumAxis=1&amp;Mod10=170&amp;Mod12=147&amp;Pep=NVQGIIDILKIMNK&amp;Dta=/var/www/html/dta/S01/10560.12538.3.dta&amp;Global_Mod=CS57.0215", "12538")</f>
        <v>12538</v>
      </c>
      <c r="R776" s="37" t="str">
        <f>HYPERLINK("http://ms.phosphosite.org:5080/cgi-bin/plot-msms.cgi?MassType=1&amp;NumAxis=1&amp;Mod10=170&amp;Mod12=147&amp;Pep=NVQGIIDILKIMNK&amp;Dta=/var/www/html/dta/S01/10561.12551.3.dta&amp;Global_Mod=CS57.0215", "12551")</f>
        <v>12551</v>
      </c>
      <c r="S776" s="37" t="str">
        <f>HYPERLINK("http://ms.phosphosite.org:5080/cgi-bin/plot-msms.cgi?MassType=1&amp;NumAxis=1&amp;Mod10=170&amp;Mod12=147&amp;Pep=NVQGIIDILKIMNK&amp;Dta=/var/www/html/dta/S01/10562.12745.3.dta&amp;Global_Mod=CS57.0215", "12745")</f>
        <v>12745</v>
      </c>
      <c r="T776" s="37" t="str">
        <f>HYPERLINK("http://ms.phosphosite.org:5080/cgi-bin/plot-msms.cgi?MassType=1&amp;NumAxis=1&amp;Mod10=170&amp;Mod12=147&amp;Pep=NVQGIIDILKIMNK&amp;Dta=/var/www/html/dta/S01/10563.12662.3.dta&amp;Global_Mod=CS57.0215", "12662")</f>
        <v>12662</v>
      </c>
      <c r="U776" s="37" t="str">
        <f>HYPERLINK("http://ms.phosphosite.org:5080/cgi-bin/plot-msms.cgi?MassType=1&amp;NumAxis=1&amp;Mod10=170&amp;Mod12=147&amp;Pep=NVQGIIDILKIMNK&amp;Dta=/var/www/html/dta/S01/10564.13269.3.dta&amp;Global_Mod=CS57.0215", "13269")</f>
        <v>13269</v>
      </c>
      <c r="V776" s="37" t="str">
        <f>HYPERLINK("http://ms.phosphosite.org:5080/cgi-bin/plot-msms.cgi?MassType=1&amp;NumAxis=1&amp;Mod10=170&amp;Mod12=147&amp;Pep=NVQGIIDILKIMNK&amp;Dta=/var/www/html/dta/S01/10565.13206.3.dta&amp;Global_Mod=CS57.0215", "13206")</f>
        <v>13206</v>
      </c>
      <c r="W776" s="10">
        <v>12461</v>
      </c>
      <c r="X776" s="4" t="s">
        <v>4854</v>
      </c>
      <c r="Y776" s="10">
        <v>12528</v>
      </c>
      <c r="Z776" s="10">
        <v>12556</v>
      </c>
      <c r="AA776" s="10">
        <v>12743</v>
      </c>
      <c r="AB776" s="10">
        <v>12642</v>
      </c>
      <c r="AC776" s="4" t="s">
        <v>4854</v>
      </c>
      <c r="AD776" s="10">
        <v>13207</v>
      </c>
      <c r="AE776" s="91">
        <v>2.4950000000000001</v>
      </c>
      <c r="AF776" s="100" t="s">
        <v>4854</v>
      </c>
      <c r="AG776" s="91">
        <v>3.2770000000000001</v>
      </c>
      <c r="AH776" s="91">
        <v>3.6030000000000002</v>
      </c>
      <c r="AI776" s="91">
        <v>3.63</v>
      </c>
      <c r="AJ776" s="91">
        <v>3.8029999999999999</v>
      </c>
      <c r="AK776" s="91">
        <v>2.3580000000000001</v>
      </c>
      <c r="AL776" s="91">
        <v>2.843</v>
      </c>
      <c r="AM776" s="95">
        <v>0.43509999999999999</v>
      </c>
      <c r="AN776" s="103" t="s">
        <v>4854</v>
      </c>
      <c r="AO776" s="95">
        <v>0.5655</v>
      </c>
      <c r="AP776" s="95">
        <v>0.315</v>
      </c>
      <c r="AQ776" s="95">
        <v>0.9698</v>
      </c>
      <c r="AR776" s="95">
        <v>0.60709999999999997</v>
      </c>
      <c r="AS776" s="95">
        <v>0.1961</v>
      </c>
      <c r="AT776" s="95">
        <v>1.1999999999999999E-3</v>
      </c>
      <c r="AU776" s="95">
        <v>0.20399999999999999</v>
      </c>
      <c r="AV776" s="103" t="s">
        <v>4854</v>
      </c>
      <c r="AW776" s="95">
        <v>0.187</v>
      </c>
      <c r="AX776" s="95">
        <v>0.21099999999999999</v>
      </c>
      <c r="AY776" s="95">
        <v>0.28199999999999997</v>
      </c>
      <c r="AZ776" s="95">
        <v>0.33</v>
      </c>
      <c r="BA776" s="95">
        <v>5.2999999999999999E-2</v>
      </c>
      <c r="BB776" s="95">
        <v>0.23100000000000001</v>
      </c>
      <c r="BC776" s="10">
        <v>1</v>
      </c>
      <c r="BD776" s="4" t="s">
        <v>4854</v>
      </c>
      <c r="BE776" s="10">
        <v>1</v>
      </c>
      <c r="BF776" s="10">
        <v>1</v>
      </c>
      <c r="BG776" s="10">
        <v>1</v>
      </c>
      <c r="BH776" s="10">
        <v>1</v>
      </c>
      <c r="BI776" s="10">
        <v>35</v>
      </c>
      <c r="BJ776" s="10">
        <v>1</v>
      </c>
      <c r="BK776" s="91">
        <v>0.998</v>
      </c>
      <c r="BL776" s="100" t="s">
        <v>4854</v>
      </c>
      <c r="BM776" s="91">
        <v>0.999</v>
      </c>
      <c r="BN776" s="91">
        <v>0.999</v>
      </c>
      <c r="BO776" s="91">
        <v>1</v>
      </c>
      <c r="BP776" s="91">
        <v>1</v>
      </c>
      <c r="BQ776" s="91">
        <v>0.93600000000000005</v>
      </c>
      <c r="BR776" s="91">
        <v>0.999</v>
      </c>
      <c r="BS776" s="10" t="s">
        <v>4857</v>
      </c>
    </row>
    <row r="777" spans="1:71" s="30" customFormat="1" ht="17.100000000000001" customHeight="1">
      <c r="A777" s="14">
        <v>766</v>
      </c>
      <c r="B777" s="5" t="s">
        <v>1913</v>
      </c>
      <c r="C777" s="3" t="s">
        <v>2085</v>
      </c>
      <c r="D777" s="3" t="s">
        <v>1914</v>
      </c>
      <c r="E777" s="3" t="s">
        <v>1915</v>
      </c>
      <c r="F777" s="5" t="s">
        <v>5268</v>
      </c>
      <c r="G777" s="3" t="s">
        <v>1916</v>
      </c>
      <c r="H777" s="6" t="s">
        <v>1917</v>
      </c>
      <c r="I777" s="3" t="s">
        <v>1918</v>
      </c>
      <c r="J777" s="5" t="s">
        <v>4405</v>
      </c>
      <c r="K777" s="3" t="s">
        <v>5806</v>
      </c>
      <c r="L777" s="3" t="s">
        <v>1919</v>
      </c>
      <c r="M777" s="5">
        <v>2</v>
      </c>
      <c r="N777" s="21">
        <v>522.79549999999995</v>
      </c>
      <c r="O777" s="35" t="s">
        <v>4854</v>
      </c>
      <c r="P777" s="35" t="s">
        <v>4854</v>
      </c>
      <c r="Q777" s="35" t="s">
        <v>4854</v>
      </c>
      <c r="R777" s="35" t="s">
        <v>4854</v>
      </c>
      <c r="S777" s="35" t="s">
        <v>4854</v>
      </c>
      <c r="T777" s="35" t="s">
        <v>4854</v>
      </c>
      <c r="U777" s="36" t="str">
        <f>HYPERLINK("http://ms.phosphosite.org:5080/cgi-bin/plot-msms.cgi?MassType=1&amp;NumAxis=1&amp;Mod6=170&amp;Pep=VHLSQKYK&amp;Dta=/var/www/html/dta/S01/10564.2593.2.dta&amp;Global_Mod=CS57.0215", "2593")</f>
        <v>2593</v>
      </c>
      <c r="V777" s="35" t="s">
        <v>4854</v>
      </c>
      <c r="W777" s="3" t="s">
        <v>4854</v>
      </c>
      <c r="X777" s="3" t="s">
        <v>4854</v>
      </c>
      <c r="Y777" s="3" t="s">
        <v>4854</v>
      </c>
      <c r="Z777" s="3" t="s">
        <v>4854</v>
      </c>
      <c r="AA777" s="3" t="s">
        <v>4854</v>
      </c>
      <c r="AB777" s="3" t="s">
        <v>4854</v>
      </c>
      <c r="AC777" s="3" t="s">
        <v>4854</v>
      </c>
      <c r="AD777" s="3" t="s">
        <v>4854</v>
      </c>
      <c r="AE777" s="99" t="s">
        <v>4854</v>
      </c>
      <c r="AF777" s="99" t="s">
        <v>4854</v>
      </c>
      <c r="AG777" s="99" t="s">
        <v>4854</v>
      </c>
      <c r="AH777" s="99" t="s">
        <v>4854</v>
      </c>
      <c r="AI777" s="99" t="s">
        <v>4854</v>
      </c>
      <c r="AJ777" s="99" t="s">
        <v>4854</v>
      </c>
      <c r="AK777" s="90">
        <v>1.534</v>
      </c>
      <c r="AL777" s="99" t="s">
        <v>4854</v>
      </c>
      <c r="AM777" s="102" t="s">
        <v>4854</v>
      </c>
      <c r="AN777" s="102" t="s">
        <v>4854</v>
      </c>
      <c r="AO777" s="102" t="s">
        <v>4854</v>
      </c>
      <c r="AP777" s="102" t="s">
        <v>4854</v>
      </c>
      <c r="AQ777" s="102" t="s">
        <v>4854</v>
      </c>
      <c r="AR777" s="102" t="s">
        <v>4854</v>
      </c>
      <c r="AS777" s="21">
        <v>-7.5700000000000003E-2</v>
      </c>
      <c r="AT777" s="102" t="s">
        <v>4854</v>
      </c>
      <c r="AU777" s="102" t="s">
        <v>4854</v>
      </c>
      <c r="AV777" s="102" t="s">
        <v>4854</v>
      </c>
      <c r="AW777" s="102" t="s">
        <v>4854</v>
      </c>
      <c r="AX777" s="102" t="s">
        <v>4854</v>
      </c>
      <c r="AY777" s="102" t="s">
        <v>4854</v>
      </c>
      <c r="AZ777" s="102" t="s">
        <v>4854</v>
      </c>
      <c r="BA777" s="21">
        <v>0.04</v>
      </c>
      <c r="BB777" s="102" t="s">
        <v>4854</v>
      </c>
      <c r="BC777" s="3" t="s">
        <v>4854</v>
      </c>
      <c r="BD777" s="3" t="s">
        <v>4854</v>
      </c>
      <c r="BE777" s="3" t="s">
        <v>4854</v>
      </c>
      <c r="BF777" s="3" t="s">
        <v>4854</v>
      </c>
      <c r="BG777" s="3" t="s">
        <v>4854</v>
      </c>
      <c r="BH777" s="3" t="s">
        <v>4854</v>
      </c>
      <c r="BI777" s="5">
        <v>190</v>
      </c>
      <c r="BJ777" s="3" t="s">
        <v>4854</v>
      </c>
      <c r="BK777" s="99" t="s">
        <v>4854</v>
      </c>
      <c r="BL777" s="99" t="s">
        <v>4854</v>
      </c>
      <c r="BM777" s="99" t="s">
        <v>4854</v>
      </c>
      <c r="BN777" s="99" t="s">
        <v>4854</v>
      </c>
      <c r="BO777" s="99" t="s">
        <v>4854</v>
      </c>
      <c r="BP777" s="99" t="s">
        <v>4854</v>
      </c>
      <c r="BQ777" s="90">
        <v>0.60899999999999999</v>
      </c>
      <c r="BR777" s="99" t="s">
        <v>4854</v>
      </c>
      <c r="BS777" s="5" t="s">
        <v>4857</v>
      </c>
    </row>
    <row r="778" spans="1:71" s="30" customFormat="1" ht="17.100000000000001" customHeight="1">
      <c r="A778" s="10">
        <v>767</v>
      </c>
      <c r="B778" s="10" t="s">
        <v>1920</v>
      </c>
      <c r="C778" s="4" t="s">
        <v>2085</v>
      </c>
      <c r="D778" s="4" t="s">
        <v>1914</v>
      </c>
      <c r="E778" s="4" t="s">
        <v>1915</v>
      </c>
      <c r="F778" s="10" t="s">
        <v>5073</v>
      </c>
      <c r="G778" s="4" t="s">
        <v>1916</v>
      </c>
      <c r="H778" s="7" t="s">
        <v>1917</v>
      </c>
      <c r="I778" s="4" t="s">
        <v>1918</v>
      </c>
      <c r="J778" s="10" t="s">
        <v>4405</v>
      </c>
      <c r="K778" s="4" t="s">
        <v>5807</v>
      </c>
      <c r="L778" s="4" t="s">
        <v>1921</v>
      </c>
      <c r="M778" s="10">
        <v>2</v>
      </c>
      <c r="N778" s="95">
        <v>530.80550000000005</v>
      </c>
      <c r="O778" s="38" t="s">
        <v>4854</v>
      </c>
      <c r="P778" s="38" t="s">
        <v>4854</v>
      </c>
      <c r="Q778" s="38" t="s">
        <v>4854</v>
      </c>
      <c r="R778" s="38" t="s">
        <v>4854</v>
      </c>
      <c r="S778" s="37" t="str">
        <f>HYPERLINK("http://ms.phosphosite.org:5080/cgi-bin/plot-msms.cgi?MassType=1&amp;NumAxis=1&amp;Mod7=170&amp;Pep=LAEPYGKIK&amp;Dta=/var/www/html/dta/S01/10562.5040.2.dta&amp;Global_Mod=CS57.0215", "5040")</f>
        <v>5040</v>
      </c>
      <c r="T778" s="38" t="s">
        <v>4854</v>
      </c>
      <c r="U778" s="38" t="s">
        <v>4854</v>
      </c>
      <c r="V778" s="38" t="s">
        <v>4854</v>
      </c>
      <c r="W778" s="4" t="s">
        <v>4854</v>
      </c>
      <c r="X778" s="4" t="s">
        <v>4854</v>
      </c>
      <c r="Y778" s="4" t="s">
        <v>4854</v>
      </c>
      <c r="Z778" s="4" t="s">
        <v>4854</v>
      </c>
      <c r="AA778" s="4" t="s">
        <v>4854</v>
      </c>
      <c r="AB778" s="4" t="s">
        <v>4854</v>
      </c>
      <c r="AC778" s="4" t="s">
        <v>4854</v>
      </c>
      <c r="AD778" s="4" t="s">
        <v>4854</v>
      </c>
      <c r="AE778" s="100" t="s">
        <v>4854</v>
      </c>
      <c r="AF778" s="100" t="s">
        <v>4854</v>
      </c>
      <c r="AG778" s="100" t="s">
        <v>4854</v>
      </c>
      <c r="AH778" s="100" t="s">
        <v>4854</v>
      </c>
      <c r="AI778" s="91">
        <v>1.7949999999999999</v>
      </c>
      <c r="AJ778" s="100" t="s">
        <v>4854</v>
      </c>
      <c r="AK778" s="100" t="s">
        <v>4854</v>
      </c>
      <c r="AL778" s="100" t="s">
        <v>4854</v>
      </c>
      <c r="AM778" s="103" t="s">
        <v>4854</v>
      </c>
      <c r="AN778" s="103" t="s">
        <v>4854</v>
      </c>
      <c r="AO778" s="103" t="s">
        <v>4854</v>
      </c>
      <c r="AP778" s="103" t="s">
        <v>4854</v>
      </c>
      <c r="AQ778" s="95">
        <v>-9.3200000000000005E-2</v>
      </c>
      <c r="AR778" s="103" t="s">
        <v>4854</v>
      </c>
      <c r="AS778" s="103" t="s">
        <v>4854</v>
      </c>
      <c r="AT778" s="103" t="s">
        <v>4854</v>
      </c>
      <c r="AU778" s="103" t="s">
        <v>4854</v>
      </c>
      <c r="AV778" s="103" t="s">
        <v>4854</v>
      </c>
      <c r="AW778" s="103" t="s">
        <v>4854</v>
      </c>
      <c r="AX778" s="103" t="s">
        <v>4854</v>
      </c>
      <c r="AY778" s="95">
        <v>5.1999999999999998E-2</v>
      </c>
      <c r="AZ778" s="103" t="s">
        <v>4854</v>
      </c>
      <c r="BA778" s="103" t="s">
        <v>4854</v>
      </c>
      <c r="BB778" s="103" t="s">
        <v>4854</v>
      </c>
      <c r="BC778" s="4" t="s">
        <v>4854</v>
      </c>
      <c r="BD778" s="4" t="s">
        <v>4854</v>
      </c>
      <c r="BE778" s="4" t="s">
        <v>4854</v>
      </c>
      <c r="BF778" s="4" t="s">
        <v>4854</v>
      </c>
      <c r="BG778" s="10">
        <v>29</v>
      </c>
      <c r="BH778" s="4" t="s">
        <v>4854</v>
      </c>
      <c r="BI778" s="4" t="s">
        <v>4854</v>
      </c>
      <c r="BJ778" s="4" t="s">
        <v>4854</v>
      </c>
      <c r="BK778" s="100" t="s">
        <v>4854</v>
      </c>
      <c r="BL778" s="100" t="s">
        <v>4854</v>
      </c>
      <c r="BM778" s="100" t="s">
        <v>4854</v>
      </c>
      <c r="BN778" s="100" t="s">
        <v>4854</v>
      </c>
      <c r="BO778" s="91">
        <v>0.86</v>
      </c>
      <c r="BP778" s="100" t="s">
        <v>4854</v>
      </c>
      <c r="BQ778" s="100" t="s">
        <v>4854</v>
      </c>
      <c r="BR778" s="100" t="s">
        <v>4854</v>
      </c>
      <c r="BS778" s="10" t="s">
        <v>4857</v>
      </c>
    </row>
    <row r="779" spans="1:71" s="30" customFormat="1" ht="17.100000000000001" customHeight="1">
      <c r="A779" s="14">
        <v>768</v>
      </c>
      <c r="B779" s="5" t="s">
        <v>1922</v>
      </c>
      <c r="C779" s="3" t="s">
        <v>2085</v>
      </c>
      <c r="D779" s="3" t="s">
        <v>1914</v>
      </c>
      <c r="E779" s="3" t="s">
        <v>1915</v>
      </c>
      <c r="F779" s="5" t="s">
        <v>2535</v>
      </c>
      <c r="G779" s="3" t="s">
        <v>1916</v>
      </c>
      <c r="H779" s="6" t="s">
        <v>1917</v>
      </c>
      <c r="I779" s="3" t="s">
        <v>1918</v>
      </c>
      <c r="J779" s="5" t="s">
        <v>4405</v>
      </c>
      <c r="K779" s="3" t="s">
        <v>5808</v>
      </c>
      <c r="L779" s="3" t="s">
        <v>1923</v>
      </c>
      <c r="M779" s="5">
        <v>2</v>
      </c>
      <c r="N779" s="21">
        <v>752.34410000000003</v>
      </c>
      <c r="O779" s="35" t="s">
        <v>4854</v>
      </c>
      <c r="P779" s="35" t="s">
        <v>4854</v>
      </c>
      <c r="Q779" s="36" t="str">
        <f>HYPERLINK("http://ms.phosphosite.org:5080/cgi-bin/plot-msms.cgi?MassType=1&amp;NumAxis=1&amp;Mod8=170&amp;Pep=TESPAEGKEQEEK&amp;Dta=/var/www/html/dta/S01/10560.1902.2.dta&amp;Global_Mod=CS57.0215", "1902")</f>
        <v>1902</v>
      </c>
      <c r="R779" s="36" t="str">
        <f>HYPERLINK("http://ms.phosphosite.org:5080/cgi-bin/plot-msms.cgi?MassType=1&amp;NumAxis=1&amp;Mod8=170&amp;Pep=TESPAEGKEQEEK&amp;Dta=/var/www/html/dta/S01/10561.1955.2.dta&amp;Global_Mod=CS57.0215", "1955")</f>
        <v>1955</v>
      </c>
      <c r="S779" s="35" t="s">
        <v>4854</v>
      </c>
      <c r="T779" s="35" t="s">
        <v>4854</v>
      </c>
      <c r="U779" s="35" t="s">
        <v>4854</v>
      </c>
      <c r="V779" s="35" t="s">
        <v>4854</v>
      </c>
      <c r="W779" s="3" t="s">
        <v>4854</v>
      </c>
      <c r="X779" s="3" t="s">
        <v>4854</v>
      </c>
      <c r="Y779" s="3" t="s">
        <v>4854</v>
      </c>
      <c r="Z779" s="5">
        <v>1949</v>
      </c>
      <c r="AA779" s="3" t="s">
        <v>4854</v>
      </c>
      <c r="AB779" s="3" t="s">
        <v>4854</v>
      </c>
      <c r="AC779" s="3" t="s">
        <v>4854</v>
      </c>
      <c r="AD779" s="3" t="s">
        <v>4854</v>
      </c>
      <c r="AE779" s="99" t="s">
        <v>4854</v>
      </c>
      <c r="AF779" s="99" t="s">
        <v>4854</v>
      </c>
      <c r="AG779" s="90">
        <v>1.5009999999999999</v>
      </c>
      <c r="AH779" s="90">
        <v>2.669</v>
      </c>
      <c r="AI779" s="99" t="s">
        <v>4854</v>
      </c>
      <c r="AJ779" s="99" t="s">
        <v>4854</v>
      </c>
      <c r="AK779" s="99" t="s">
        <v>4854</v>
      </c>
      <c r="AL779" s="99" t="s">
        <v>4854</v>
      </c>
      <c r="AM779" s="102" t="s">
        <v>4854</v>
      </c>
      <c r="AN779" s="102" t="s">
        <v>4854</v>
      </c>
      <c r="AO779" s="21">
        <v>0.3458</v>
      </c>
      <c r="AP779" s="21">
        <v>1.4537</v>
      </c>
      <c r="AQ779" s="102" t="s">
        <v>4854</v>
      </c>
      <c r="AR779" s="102" t="s">
        <v>4854</v>
      </c>
      <c r="AS779" s="102" t="s">
        <v>4854</v>
      </c>
      <c r="AT779" s="102" t="s">
        <v>4854</v>
      </c>
      <c r="AU779" s="102" t="s">
        <v>4854</v>
      </c>
      <c r="AV779" s="102" t="s">
        <v>4854</v>
      </c>
      <c r="AW779" s="21">
        <v>0.21</v>
      </c>
      <c r="AX779" s="21">
        <v>0.34399999999999997</v>
      </c>
      <c r="AY779" s="102" t="s">
        <v>4854</v>
      </c>
      <c r="AZ779" s="102" t="s">
        <v>4854</v>
      </c>
      <c r="BA779" s="102" t="s">
        <v>4854</v>
      </c>
      <c r="BB779" s="102" t="s">
        <v>4854</v>
      </c>
      <c r="BC779" s="3" t="s">
        <v>4854</v>
      </c>
      <c r="BD779" s="3" t="s">
        <v>4854</v>
      </c>
      <c r="BE779" s="5">
        <v>62</v>
      </c>
      <c r="BF779" s="5">
        <v>1</v>
      </c>
      <c r="BG779" s="3" t="s">
        <v>4854</v>
      </c>
      <c r="BH779" s="3" t="s">
        <v>4854</v>
      </c>
      <c r="BI779" s="3" t="s">
        <v>4854</v>
      </c>
      <c r="BJ779" s="3" t="s">
        <v>4854</v>
      </c>
      <c r="BK779" s="99" t="s">
        <v>4854</v>
      </c>
      <c r="BL779" s="99" t="s">
        <v>4854</v>
      </c>
      <c r="BM779" s="90">
        <v>0.90600000000000003</v>
      </c>
      <c r="BN779" s="90">
        <v>1</v>
      </c>
      <c r="BO779" s="99" t="s">
        <v>4854</v>
      </c>
      <c r="BP779" s="99" t="s">
        <v>4854</v>
      </c>
      <c r="BQ779" s="99" t="s">
        <v>4854</v>
      </c>
      <c r="BR779" s="99" t="s">
        <v>4854</v>
      </c>
      <c r="BS779" s="5" t="s">
        <v>4857</v>
      </c>
    </row>
    <row r="780" spans="1:71" s="30" customFormat="1" ht="17.100000000000001" customHeight="1">
      <c r="A780" s="10">
        <v>769</v>
      </c>
      <c r="B780" s="10" t="s">
        <v>1924</v>
      </c>
      <c r="C780" s="4" t="s">
        <v>2085</v>
      </c>
      <c r="D780" s="4" t="s">
        <v>1925</v>
      </c>
      <c r="E780" s="4" t="s">
        <v>1925</v>
      </c>
      <c r="F780" s="10" t="s">
        <v>2011</v>
      </c>
      <c r="G780" s="4" t="s">
        <v>1926</v>
      </c>
      <c r="H780" s="7" t="s">
        <v>1927</v>
      </c>
      <c r="I780" s="4" t="s">
        <v>1928</v>
      </c>
      <c r="J780" s="10" t="s">
        <v>4475</v>
      </c>
      <c r="K780" s="4" t="s">
        <v>5809</v>
      </c>
      <c r="L780" s="4" t="s">
        <v>1929</v>
      </c>
      <c r="M780" s="10">
        <v>3</v>
      </c>
      <c r="N780" s="95">
        <v>665.35820000000001</v>
      </c>
      <c r="O780" s="38" t="s">
        <v>4854</v>
      </c>
      <c r="P780" s="38" t="s">
        <v>4854</v>
      </c>
      <c r="Q780" s="38" t="s">
        <v>4854</v>
      </c>
      <c r="R780" s="38" t="s">
        <v>4854</v>
      </c>
      <c r="S780" s="37" t="str">
        <f>HYPERLINK("http://ms.phosphosite.org:5080/cgi-bin/plot-msms.cgi?MassType=1&amp;NumAxis=1&amp;Mod9=160&amp;Mod17=170&amp;Pep=RAAPRPKDCAPSLGEAKK&amp;Dta=/var/www/html/dta/S01/10562.11454.3.dta&amp;Global_Mod=CS57.0215", "11454")</f>
        <v>11454</v>
      </c>
      <c r="T780" s="38" t="s">
        <v>4854</v>
      </c>
      <c r="U780" s="38" t="s">
        <v>4854</v>
      </c>
      <c r="V780" s="38" t="s">
        <v>4854</v>
      </c>
      <c r="W780" s="4" t="s">
        <v>4854</v>
      </c>
      <c r="X780" s="4" t="s">
        <v>4854</v>
      </c>
      <c r="Y780" s="4" t="s">
        <v>4854</v>
      </c>
      <c r="Z780" s="4" t="s">
        <v>4854</v>
      </c>
      <c r="AA780" s="4" t="s">
        <v>4854</v>
      </c>
      <c r="AB780" s="4" t="s">
        <v>4854</v>
      </c>
      <c r="AC780" s="4" t="s">
        <v>4854</v>
      </c>
      <c r="AD780" s="4" t="s">
        <v>4854</v>
      </c>
      <c r="AE780" s="100" t="s">
        <v>4854</v>
      </c>
      <c r="AF780" s="100" t="s">
        <v>4854</v>
      </c>
      <c r="AG780" s="100" t="s">
        <v>4854</v>
      </c>
      <c r="AH780" s="100" t="s">
        <v>4854</v>
      </c>
      <c r="AI780" s="91">
        <v>2.2759999999999998</v>
      </c>
      <c r="AJ780" s="100" t="s">
        <v>4854</v>
      </c>
      <c r="AK780" s="100" t="s">
        <v>4854</v>
      </c>
      <c r="AL780" s="100" t="s">
        <v>4854</v>
      </c>
      <c r="AM780" s="103" t="s">
        <v>4854</v>
      </c>
      <c r="AN780" s="103" t="s">
        <v>4854</v>
      </c>
      <c r="AO780" s="103" t="s">
        <v>4854</v>
      </c>
      <c r="AP780" s="103" t="s">
        <v>4854</v>
      </c>
      <c r="AQ780" s="95">
        <v>0.80130000000000001</v>
      </c>
      <c r="AR780" s="103" t="s">
        <v>4854</v>
      </c>
      <c r="AS780" s="103" t="s">
        <v>4854</v>
      </c>
      <c r="AT780" s="103" t="s">
        <v>4854</v>
      </c>
      <c r="AU780" s="103" t="s">
        <v>4854</v>
      </c>
      <c r="AV780" s="103" t="s">
        <v>4854</v>
      </c>
      <c r="AW780" s="103" t="s">
        <v>4854</v>
      </c>
      <c r="AX780" s="103" t="s">
        <v>4854</v>
      </c>
      <c r="AY780" s="95">
        <v>6.7000000000000004E-2</v>
      </c>
      <c r="AZ780" s="103" t="s">
        <v>4854</v>
      </c>
      <c r="BA780" s="103" t="s">
        <v>4854</v>
      </c>
      <c r="BB780" s="103" t="s">
        <v>4854</v>
      </c>
      <c r="BC780" s="4" t="s">
        <v>4854</v>
      </c>
      <c r="BD780" s="4" t="s">
        <v>4854</v>
      </c>
      <c r="BE780" s="4" t="s">
        <v>4854</v>
      </c>
      <c r="BF780" s="4" t="s">
        <v>4854</v>
      </c>
      <c r="BG780" s="10">
        <v>1</v>
      </c>
      <c r="BH780" s="4" t="s">
        <v>4854</v>
      </c>
      <c r="BI780" s="4" t="s">
        <v>4854</v>
      </c>
      <c r="BJ780" s="4" t="s">
        <v>4854</v>
      </c>
      <c r="BK780" s="100" t="s">
        <v>4854</v>
      </c>
      <c r="BL780" s="100" t="s">
        <v>4854</v>
      </c>
      <c r="BM780" s="100" t="s">
        <v>4854</v>
      </c>
      <c r="BN780" s="100" t="s">
        <v>4854</v>
      </c>
      <c r="BO780" s="91">
        <v>0.127</v>
      </c>
      <c r="BP780" s="100" t="s">
        <v>4854</v>
      </c>
      <c r="BQ780" s="100" t="s">
        <v>4854</v>
      </c>
      <c r="BR780" s="100" t="s">
        <v>4854</v>
      </c>
      <c r="BS780" s="10" t="s">
        <v>4857</v>
      </c>
    </row>
    <row r="781" spans="1:71" s="30" customFormat="1" ht="17.100000000000001" customHeight="1">
      <c r="A781" s="14">
        <v>770</v>
      </c>
      <c r="B781" s="5" t="s">
        <v>1930</v>
      </c>
      <c r="C781" s="3" t="s">
        <v>2085</v>
      </c>
      <c r="D781" s="3" t="s">
        <v>1931</v>
      </c>
      <c r="E781" s="3" t="s">
        <v>1932</v>
      </c>
      <c r="F781" s="5" t="s">
        <v>4046</v>
      </c>
      <c r="G781" s="3" t="s">
        <v>1933</v>
      </c>
      <c r="H781" s="6" t="s">
        <v>1934</v>
      </c>
      <c r="I781" s="3" t="s">
        <v>1935</v>
      </c>
      <c r="J781" s="5" t="s">
        <v>4594</v>
      </c>
      <c r="K781" s="3" t="s">
        <v>5810</v>
      </c>
      <c r="L781" s="3" t="s">
        <v>1936</v>
      </c>
      <c r="M781" s="5">
        <v>2</v>
      </c>
      <c r="N781" s="21">
        <v>493.3057</v>
      </c>
      <c r="O781" s="35" t="s">
        <v>4854</v>
      </c>
      <c r="P781" s="35" t="s">
        <v>4854</v>
      </c>
      <c r="Q781" s="35" t="s">
        <v>4854</v>
      </c>
      <c r="R781" s="35" t="s">
        <v>4854</v>
      </c>
      <c r="S781" s="35" t="s">
        <v>4854</v>
      </c>
      <c r="T781" s="36" t="str">
        <f>HYPERLINK("http://ms.phosphosite.org:5080/cgi-bin/plot-msms.cgi?MassType=1&amp;NumAxis=1&amp;Mod1=170&amp;Pep=KAVSAIVQK&amp;Dta=/var/www/html/dta/S01/10563.2037.2.dta&amp;Global_Mod=CS57.0215", "2037")</f>
        <v>2037</v>
      </c>
      <c r="U781" s="35" t="s">
        <v>4854</v>
      </c>
      <c r="V781" s="35" t="s">
        <v>4854</v>
      </c>
      <c r="W781" s="3" t="s">
        <v>4854</v>
      </c>
      <c r="X781" s="3" t="s">
        <v>4854</v>
      </c>
      <c r="Y781" s="3" t="s">
        <v>4854</v>
      </c>
      <c r="Z781" s="3" t="s">
        <v>4854</v>
      </c>
      <c r="AA781" s="3" t="s">
        <v>4854</v>
      </c>
      <c r="AB781" s="3" t="s">
        <v>4854</v>
      </c>
      <c r="AC781" s="3" t="s">
        <v>4854</v>
      </c>
      <c r="AD781" s="3" t="s">
        <v>4854</v>
      </c>
      <c r="AE781" s="99" t="s">
        <v>4854</v>
      </c>
      <c r="AF781" s="99" t="s">
        <v>4854</v>
      </c>
      <c r="AG781" s="99" t="s">
        <v>4854</v>
      </c>
      <c r="AH781" s="99" t="s">
        <v>4854</v>
      </c>
      <c r="AI781" s="99" t="s">
        <v>4854</v>
      </c>
      <c r="AJ781" s="90">
        <v>2.1059999999999999</v>
      </c>
      <c r="AK781" s="99" t="s">
        <v>4854</v>
      </c>
      <c r="AL781" s="99" t="s">
        <v>4854</v>
      </c>
      <c r="AM781" s="102" t="s">
        <v>4854</v>
      </c>
      <c r="AN781" s="102" t="s">
        <v>4854</v>
      </c>
      <c r="AO781" s="102" t="s">
        <v>4854</v>
      </c>
      <c r="AP781" s="102" t="s">
        <v>4854</v>
      </c>
      <c r="AQ781" s="102" t="s">
        <v>4854</v>
      </c>
      <c r="AR781" s="21">
        <v>-0.70530000000000004</v>
      </c>
      <c r="AS781" s="102" t="s">
        <v>4854</v>
      </c>
      <c r="AT781" s="102" t="s">
        <v>4854</v>
      </c>
      <c r="AU781" s="102" t="s">
        <v>4854</v>
      </c>
      <c r="AV781" s="102" t="s">
        <v>4854</v>
      </c>
      <c r="AW781" s="102" t="s">
        <v>4854</v>
      </c>
      <c r="AX781" s="102" t="s">
        <v>4854</v>
      </c>
      <c r="AY781" s="102" t="s">
        <v>4854</v>
      </c>
      <c r="AZ781" s="21">
        <v>1.7000000000000001E-2</v>
      </c>
      <c r="BA781" s="102" t="s">
        <v>4854</v>
      </c>
      <c r="BB781" s="102" t="s">
        <v>4854</v>
      </c>
      <c r="BC781" s="3" t="s">
        <v>4854</v>
      </c>
      <c r="BD781" s="3" t="s">
        <v>4854</v>
      </c>
      <c r="BE781" s="3" t="s">
        <v>4854</v>
      </c>
      <c r="BF781" s="3" t="s">
        <v>4854</v>
      </c>
      <c r="BG781" s="3" t="s">
        <v>4854</v>
      </c>
      <c r="BH781" s="5">
        <v>8</v>
      </c>
      <c r="BI781" s="3" t="s">
        <v>4854</v>
      </c>
      <c r="BJ781" s="3" t="s">
        <v>4854</v>
      </c>
      <c r="BK781" s="99" t="s">
        <v>4854</v>
      </c>
      <c r="BL781" s="99" t="s">
        <v>4854</v>
      </c>
      <c r="BM781" s="99" t="s">
        <v>4854</v>
      </c>
      <c r="BN781" s="99" t="s">
        <v>4854</v>
      </c>
      <c r="BO781" s="99" t="s">
        <v>4854</v>
      </c>
      <c r="BP781" s="90">
        <v>5.0999999999999997E-2</v>
      </c>
      <c r="BQ781" s="99" t="s">
        <v>4854</v>
      </c>
      <c r="BR781" s="99" t="s">
        <v>4854</v>
      </c>
      <c r="BS781" s="5" t="s">
        <v>4857</v>
      </c>
    </row>
    <row r="782" spans="1:71" s="30" customFormat="1" ht="17.100000000000001" customHeight="1">
      <c r="A782" s="10">
        <v>771</v>
      </c>
      <c r="B782" s="10" t="s">
        <v>1937</v>
      </c>
      <c r="C782" s="4" t="s">
        <v>2085</v>
      </c>
      <c r="D782" s="4" t="s">
        <v>1938</v>
      </c>
      <c r="E782" s="7" t="s">
        <v>1939</v>
      </c>
      <c r="F782" s="10" t="s">
        <v>4999</v>
      </c>
      <c r="G782" s="4" t="s">
        <v>1940</v>
      </c>
      <c r="H782" s="7" t="s">
        <v>1941</v>
      </c>
      <c r="I782" s="4" t="s">
        <v>1942</v>
      </c>
      <c r="J782" s="10" t="s">
        <v>4685</v>
      </c>
      <c r="K782" s="4" t="s">
        <v>5811</v>
      </c>
      <c r="L782" s="4" t="s">
        <v>1943</v>
      </c>
      <c r="M782" s="10">
        <v>2</v>
      </c>
      <c r="N782" s="95">
        <v>655.36479999999995</v>
      </c>
      <c r="O782" s="37" t="str">
        <f>HYPERLINK("http://ms.phosphosite.org:5080/cgi-bin/plot-msms.cgi?MassType=1&amp;NumAxis=1&amp;Mod12=170&amp;Pep=SAPGGGNKVPQKK&amp;Dta=/var/www/html/dta/S01/10558.1542.2.dta&amp;Global_Mod=CS57.0215", "1542")</f>
        <v>1542</v>
      </c>
      <c r="P782" s="37" t="str">
        <f>HYPERLINK("http://ms.phosphosite.org:5080/cgi-bin/plot-msms.cgi?MassType=1&amp;NumAxis=1&amp;Mod12=170&amp;Pep=SAPGGGNKVPQKK&amp;Dta=/var/www/html/dta/S01/10559.1518.2.dta&amp;Global_Mod=CS57.0215", "1518")</f>
        <v>1518</v>
      </c>
      <c r="Q782" s="37" t="str">
        <f>HYPERLINK("http://ms.phosphosite.org:5080/cgi-bin/plot-msms.cgi?MassType=1&amp;NumAxis=1&amp;Mod12=170&amp;Pep=SAPGGGNKVPQKK&amp;Dta=/var/www/html/dta/S01/10560.1491.2.dta&amp;Global_Mod=CS57.0215", "1491")</f>
        <v>1491</v>
      </c>
      <c r="R782" s="38" t="s">
        <v>4854</v>
      </c>
      <c r="S782" s="37" t="str">
        <f>HYPERLINK("http://ms.phosphosite.org:5080/cgi-bin/plot-msms.cgi?MassType=1&amp;NumAxis=1&amp;Mod12=170&amp;Pep=SAPGGGNKVPQKK&amp;Dta=/var/www/html/dta/S01/10562.1577.2.dta&amp;Global_Mod=CS57.0215", "1577")</f>
        <v>1577</v>
      </c>
      <c r="T782" s="38" t="s">
        <v>4854</v>
      </c>
      <c r="U782" s="37" t="str">
        <f>HYPERLINK("http://ms.phosphosite.org:5080/cgi-bin/plot-msms.cgi?MassType=1&amp;NumAxis=1&amp;Mod12=170&amp;Pep=SAPGGGNKVPQKK&amp;Dta=/var/www/html/dta/S01/10564.1709.2.dta&amp;Global_Mod=CS57.0215", "1709")</f>
        <v>1709</v>
      </c>
      <c r="V782" s="37" t="str">
        <f>HYPERLINK("http://ms.phosphosite.org:5080/cgi-bin/plot-msms.cgi?MassType=1&amp;NumAxis=1&amp;Mod12=170&amp;Pep=SAPGGGNKVPQKK&amp;Dta=/var/www/html/dta/S01/10565.1752.2.dta&amp;Global_Mod=CS57.0215", "1752")</f>
        <v>1752</v>
      </c>
      <c r="W782" s="10">
        <v>1534</v>
      </c>
      <c r="X782" s="10">
        <v>1513</v>
      </c>
      <c r="Y782" s="10">
        <v>1495</v>
      </c>
      <c r="Z782" s="4" t="s">
        <v>4854</v>
      </c>
      <c r="AA782" s="10">
        <v>1567</v>
      </c>
      <c r="AB782" s="4" t="s">
        <v>4854</v>
      </c>
      <c r="AC782" s="10">
        <v>1705</v>
      </c>
      <c r="AD782" s="10">
        <v>1742</v>
      </c>
      <c r="AE782" s="91">
        <v>2.4649999999999999</v>
      </c>
      <c r="AF782" s="91">
        <v>2.448</v>
      </c>
      <c r="AG782" s="91">
        <v>2.6219999999999999</v>
      </c>
      <c r="AH782" s="100" t="s">
        <v>4854</v>
      </c>
      <c r="AI782" s="91">
        <v>2.133</v>
      </c>
      <c r="AJ782" s="100" t="s">
        <v>4854</v>
      </c>
      <c r="AK782" s="91">
        <v>2.3650000000000002</v>
      </c>
      <c r="AL782" s="91">
        <v>2.653</v>
      </c>
      <c r="AM782" s="95">
        <v>0.33610000000000001</v>
      </c>
      <c r="AN782" s="95">
        <v>0.51249999999999996</v>
      </c>
      <c r="AO782" s="95">
        <v>0.58650000000000002</v>
      </c>
      <c r="AP782" s="103" t="s">
        <v>4854</v>
      </c>
      <c r="AQ782" s="95">
        <v>0.6079</v>
      </c>
      <c r="AR782" s="103" t="s">
        <v>4854</v>
      </c>
      <c r="AS782" s="95">
        <v>-0.4168</v>
      </c>
      <c r="AT782" s="95">
        <v>-0.2014</v>
      </c>
      <c r="AU782" s="95">
        <v>0.23100000000000001</v>
      </c>
      <c r="AV782" s="95">
        <v>0.191</v>
      </c>
      <c r="AW782" s="95">
        <v>0.32900000000000001</v>
      </c>
      <c r="AX782" s="103" t="s">
        <v>4854</v>
      </c>
      <c r="AY782" s="95">
        <v>0.253</v>
      </c>
      <c r="AZ782" s="103" t="s">
        <v>4854</v>
      </c>
      <c r="BA782" s="95">
        <v>0.36499999999999999</v>
      </c>
      <c r="BB782" s="95">
        <v>0.38200000000000001</v>
      </c>
      <c r="BC782" s="10">
        <v>1</v>
      </c>
      <c r="BD782" s="10">
        <v>1</v>
      </c>
      <c r="BE782" s="10">
        <v>1</v>
      </c>
      <c r="BF782" s="4" t="s">
        <v>4854</v>
      </c>
      <c r="BG782" s="10">
        <v>1</v>
      </c>
      <c r="BH782" s="4" t="s">
        <v>4854</v>
      </c>
      <c r="BI782" s="10">
        <v>1</v>
      </c>
      <c r="BJ782" s="10">
        <v>1</v>
      </c>
      <c r="BK782" s="91">
        <v>0.998</v>
      </c>
      <c r="BL782" s="91">
        <v>0.997</v>
      </c>
      <c r="BM782" s="91">
        <v>0.999</v>
      </c>
      <c r="BN782" s="100" t="s">
        <v>4854</v>
      </c>
      <c r="BO782" s="91">
        <v>0.997</v>
      </c>
      <c r="BP782" s="100" t="s">
        <v>4854</v>
      </c>
      <c r="BQ782" s="91">
        <v>0.999</v>
      </c>
      <c r="BR782" s="91">
        <v>1</v>
      </c>
      <c r="BS782" s="10" t="s">
        <v>4857</v>
      </c>
    </row>
    <row r="783" spans="1:71" s="30" customFormat="1" ht="17.100000000000001" customHeight="1">
      <c r="A783" s="14">
        <v>772</v>
      </c>
      <c r="B783" s="5" t="s">
        <v>1944</v>
      </c>
      <c r="C783" s="3" t="s">
        <v>2085</v>
      </c>
      <c r="D783" s="3" t="s">
        <v>1938</v>
      </c>
      <c r="E783" s="6" t="s">
        <v>1939</v>
      </c>
      <c r="F783" s="5" t="s">
        <v>5020</v>
      </c>
      <c r="G783" s="3" t="s">
        <v>1940</v>
      </c>
      <c r="H783" s="6" t="s">
        <v>1941</v>
      </c>
      <c r="I783" s="3" t="s">
        <v>1942</v>
      </c>
      <c r="J783" s="5" t="s">
        <v>4685</v>
      </c>
      <c r="K783" s="3" t="s">
        <v>5812</v>
      </c>
      <c r="L783" s="3" t="s">
        <v>1945</v>
      </c>
      <c r="M783" s="5">
        <v>2</v>
      </c>
      <c r="N783" s="21">
        <v>792.41039999999998</v>
      </c>
      <c r="O783" s="36" t="str">
        <f>HYPERLINK("http://ms.phosphosite.org:5080/cgi-bin/plot-msms.cgi?MassType=1&amp;NumAxis=1&amp;Mod6=170&amp;Pep=SNQNGKDLKPSTPR&amp;Dta=/var/www/html/dta/S01/10558.2075.2.dta&amp;Global_Mod=CS57.0215", "2075")</f>
        <v>2075</v>
      </c>
      <c r="P783" s="36" t="str">
        <f>HYPERLINK("http://ms.phosphosite.org:5080/cgi-bin/plot-msms.cgi?MassType=1&amp;NumAxis=1&amp;Mod6=170&amp;Pep=SNQNGKDLKPSTPR&amp;Dta=/var/www/html/dta/S01/10559.2033.2.dta&amp;Global_Mod=CS57.0215", "2033")</f>
        <v>2033</v>
      </c>
      <c r="Q783" s="36" t="str">
        <f>HYPERLINK("http://ms.phosphosite.org:5080/cgi-bin/plot-msms.cgi?MassType=1&amp;NumAxis=1&amp;Mod6=170&amp;Pep=SNQNGKDLKPSTPR&amp;Dta=/var/www/html/dta/S01/10560.2018.2.dta&amp;Global_Mod=CS57.0215", "2018")</f>
        <v>2018</v>
      </c>
      <c r="R783" s="36" t="str">
        <f>HYPERLINK("http://ms.phosphosite.org:5080/cgi-bin/plot-msms.cgi?MassType=1&amp;NumAxis=1&amp;Mod6=170&amp;Pep=SNQNGKDLKPSTPR&amp;Dta=/var/www/html/dta/S01/10561.2062.2.dta&amp;Global_Mod=CS57.0215", "2062")</f>
        <v>2062</v>
      </c>
      <c r="S783" s="36" t="str">
        <f>HYPERLINK("http://ms.phosphosite.org:5080/cgi-bin/plot-msms.cgi?MassType=1&amp;NumAxis=1&amp;Mod6=170&amp;Pep=SNQNGKDLKPSTPR&amp;Dta=/var/www/html/dta/S01/10562.2104.2.dta&amp;Global_Mod=CS57.0215", "2104")</f>
        <v>2104</v>
      </c>
      <c r="T783" s="35" t="s">
        <v>4854</v>
      </c>
      <c r="U783" s="36" t="str">
        <f>HYPERLINK("http://ms.phosphosite.org:5080/cgi-bin/plot-msms.cgi?MassType=1&amp;NumAxis=1&amp;Mod6=170&amp;Pep=SNQNGKDLKPSTPR&amp;Dta=/var/www/html/dta/S01/10564.2299.2.dta&amp;Global_Mod=CS57.0215", "2299")</f>
        <v>2299</v>
      </c>
      <c r="V783" s="35" t="s">
        <v>4854</v>
      </c>
      <c r="W783" s="5">
        <v>2079</v>
      </c>
      <c r="X783" s="5">
        <v>2068</v>
      </c>
      <c r="Y783" s="5">
        <v>2022</v>
      </c>
      <c r="Z783" s="5">
        <v>2069</v>
      </c>
      <c r="AA783" s="5">
        <v>2144</v>
      </c>
      <c r="AB783" s="3" t="s">
        <v>4854</v>
      </c>
      <c r="AC783" s="5">
        <v>2307</v>
      </c>
      <c r="AD783" s="3" t="s">
        <v>4854</v>
      </c>
      <c r="AE783" s="90">
        <v>3.1379999999999999</v>
      </c>
      <c r="AF783" s="90">
        <v>3.2480000000000002</v>
      </c>
      <c r="AG783" s="90">
        <v>2.7719999999999998</v>
      </c>
      <c r="AH783" s="90">
        <v>3.5590000000000002</v>
      </c>
      <c r="AI783" s="90">
        <v>2.7309999999999999</v>
      </c>
      <c r="AJ783" s="99" t="s">
        <v>4854</v>
      </c>
      <c r="AK783" s="90">
        <v>4.0659999999999998</v>
      </c>
      <c r="AL783" s="99" t="s">
        <v>4854</v>
      </c>
      <c r="AM783" s="21">
        <v>0.63200000000000001</v>
      </c>
      <c r="AN783" s="21">
        <v>0.3896</v>
      </c>
      <c r="AO783" s="21">
        <v>0.75319999999999998</v>
      </c>
      <c r="AP783" s="21">
        <v>0.29859999999999998</v>
      </c>
      <c r="AQ783" s="21">
        <v>0.52210000000000001</v>
      </c>
      <c r="AR783" s="102" t="s">
        <v>4854</v>
      </c>
      <c r="AS783" s="21">
        <v>0.1875</v>
      </c>
      <c r="AT783" s="102" t="s">
        <v>4854</v>
      </c>
      <c r="AU783" s="21">
        <v>0.19900000000000001</v>
      </c>
      <c r="AV783" s="21">
        <v>0.35</v>
      </c>
      <c r="AW783" s="21">
        <v>0.217</v>
      </c>
      <c r="AX783" s="21">
        <v>0.25900000000000001</v>
      </c>
      <c r="AY783" s="21">
        <v>0.159</v>
      </c>
      <c r="AZ783" s="102" t="s">
        <v>4854</v>
      </c>
      <c r="BA783" s="21">
        <v>0.28299999999999997</v>
      </c>
      <c r="BB783" s="102" t="s">
        <v>4854</v>
      </c>
      <c r="BC783" s="5">
        <v>1</v>
      </c>
      <c r="BD783" s="5">
        <v>1</v>
      </c>
      <c r="BE783" s="5">
        <v>17</v>
      </c>
      <c r="BF783" s="5">
        <v>2</v>
      </c>
      <c r="BG783" s="5">
        <v>3</v>
      </c>
      <c r="BH783" s="3" t="s">
        <v>4854</v>
      </c>
      <c r="BI783" s="5">
        <v>2</v>
      </c>
      <c r="BJ783" s="3" t="s">
        <v>4854</v>
      </c>
      <c r="BK783" s="90">
        <v>0.999</v>
      </c>
      <c r="BL783" s="90">
        <v>1</v>
      </c>
      <c r="BM783" s="90">
        <v>0.996</v>
      </c>
      <c r="BN783" s="90">
        <v>1</v>
      </c>
      <c r="BO783" s="90">
        <v>0.995</v>
      </c>
      <c r="BP783" s="99" t="s">
        <v>4854</v>
      </c>
      <c r="BQ783" s="90">
        <v>1</v>
      </c>
      <c r="BR783" s="99" t="s">
        <v>4854</v>
      </c>
      <c r="BS783" s="5" t="s">
        <v>4857</v>
      </c>
    </row>
    <row r="784" spans="1:71" s="30" customFormat="1" ht="17.100000000000001" customHeight="1">
      <c r="A784" s="14">
        <v>773</v>
      </c>
      <c r="B784" s="5" t="s">
        <v>1946</v>
      </c>
      <c r="C784" s="3" t="s">
        <v>2085</v>
      </c>
      <c r="D784" s="3" t="s">
        <v>1938</v>
      </c>
      <c r="E784" s="6" t="s">
        <v>1939</v>
      </c>
      <c r="F784" s="5" t="s">
        <v>5020</v>
      </c>
      <c r="G784" s="3" t="s">
        <v>1940</v>
      </c>
      <c r="H784" s="6" t="s">
        <v>1941</v>
      </c>
      <c r="I784" s="3" t="s">
        <v>1942</v>
      </c>
      <c r="J784" s="5" t="s">
        <v>4685</v>
      </c>
      <c r="K784" s="3" t="s">
        <v>5812</v>
      </c>
      <c r="L784" s="3" t="s">
        <v>1945</v>
      </c>
      <c r="M784" s="5">
        <v>3</v>
      </c>
      <c r="N784" s="21">
        <v>528.60940000000005</v>
      </c>
      <c r="O784" s="35" t="s">
        <v>4854</v>
      </c>
      <c r="P784" s="36" t="str">
        <f>HYPERLINK("http://ms.phosphosite.org:5080/cgi-bin/plot-msms.cgi?MassType=1&amp;NumAxis=1&amp;Mod6=170&amp;Pep=SNQNGKDLKPSTPR&amp;Dta=/var/www/html/dta/S01/10559.2020.3.dta&amp;Global_Mod=CS57.0215", "2020")</f>
        <v>2020</v>
      </c>
      <c r="Q784" s="36" t="str">
        <f>HYPERLINK("http://ms.phosphosite.org:5080/cgi-bin/plot-msms.cgi?MassType=1&amp;NumAxis=1&amp;Mod6=170&amp;Pep=SNQNGKDLKPSTPR&amp;Dta=/var/www/html/dta/S01/10560.2024.3.dta&amp;Global_Mod=CS57.0215", "2024")</f>
        <v>2024</v>
      </c>
      <c r="R784" s="36" t="str">
        <f>HYPERLINK("http://ms.phosphosite.org:5080/cgi-bin/plot-msms.cgi?MassType=1&amp;NumAxis=1&amp;Mod6=170&amp;Pep=SNQNGKDLKPSTPR&amp;Dta=/var/www/html/dta/S01/10561.2065.3.dta&amp;Global_Mod=CS57.0215", "2065")</f>
        <v>2065</v>
      </c>
      <c r="S784" s="36" t="str">
        <f>HYPERLINK("http://ms.phosphosite.org:5080/cgi-bin/plot-msms.cgi?MassType=1&amp;NumAxis=1&amp;Mod6=170&amp;Pep=SNQNGKDLKPSTPR&amp;Dta=/var/www/html/dta/S01/10562.2095.3.dta&amp;Global_Mod=CS57.0215", "2095")</f>
        <v>2095</v>
      </c>
      <c r="T784" s="35" t="s">
        <v>4854</v>
      </c>
      <c r="U784" s="35" t="s">
        <v>4854</v>
      </c>
      <c r="V784" s="36" t="str">
        <f>HYPERLINK("http://ms.phosphosite.org:5080/cgi-bin/plot-msms.cgi?MassType=1&amp;NumAxis=1&amp;Mod6=170&amp;Pep=SNQNGKDLKPSTPR&amp;Dta=/var/www/html/dta/S01/10565.2371.3.dta&amp;Global_Mod=CS57.0215", "2371")</f>
        <v>2371</v>
      </c>
      <c r="W784" s="3" t="s">
        <v>4854</v>
      </c>
      <c r="X784" s="5">
        <v>2066</v>
      </c>
      <c r="Y784" s="5">
        <v>2022</v>
      </c>
      <c r="Z784" s="5">
        <v>2064</v>
      </c>
      <c r="AA784" s="5">
        <v>2105</v>
      </c>
      <c r="AB784" s="3" t="s">
        <v>4854</v>
      </c>
      <c r="AC784" s="3" t="s">
        <v>4854</v>
      </c>
      <c r="AD784" s="5">
        <v>2358</v>
      </c>
      <c r="AE784" s="99" t="s">
        <v>4854</v>
      </c>
      <c r="AF784" s="90">
        <v>3.63</v>
      </c>
      <c r="AG784" s="90">
        <v>2.8690000000000002</v>
      </c>
      <c r="AH784" s="90">
        <v>3.32</v>
      </c>
      <c r="AI784" s="90">
        <v>2.63</v>
      </c>
      <c r="AJ784" s="99" t="s">
        <v>4854</v>
      </c>
      <c r="AK784" s="99" t="s">
        <v>4854</v>
      </c>
      <c r="AL784" s="90">
        <v>3.0790000000000002</v>
      </c>
      <c r="AM784" s="102" t="s">
        <v>4854</v>
      </c>
      <c r="AN784" s="21">
        <v>-0.33150000000000002</v>
      </c>
      <c r="AO784" s="21">
        <v>-0.28920000000000001</v>
      </c>
      <c r="AP784" s="21">
        <v>-0.1326</v>
      </c>
      <c r="AQ784" s="21">
        <v>-8.6499999999999994E-2</v>
      </c>
      <c r="AR784" s="102" t="s">
        <v>4854</v>
      </c>
      <c r="AS784" s="102" t="s">
        <v>4854</v>
      </c>
      <c r="AT784" s="21">
        <v>-0.37509999999999999</v>
      </c>
      <c r="AU784" s="102" t="s">
        <v>4854</v>
      </c>
      <c r="AV784" s="21">
        <v>0.16300000000000001</v>
      </c>
      <c r="AW784" s="21">
        <v>0.29899999999999999</v>
      </c>
      <c r="AX784" s="21">
        <v>0.247</v>
      </c>
      <c r="AY784" s="21">
        <v>0.19800000000000001</v>
      </c>
      <c r="AZ784" s="102" t="s">
        <v>4854</v>
      </c>
      <c r="BA784" s="102" t="s">
        <v>4854</v>
      </c>
      <c r="BB784" s="21">
        <v>0.13200000000000001</v>
      </c>
      <c r="BC784" s="3" t="s">
        <v>4854</v>
      </c>
      <c r="BD784" s="5">
        <v>5</v>
      </c>
      <c r="BE784" s="5">
        <v>1</v>
      </c>
      <c r="BF784" s="5">
        <v>3</v>
      </c>
      <c r="BG784" s="5">
        <v>75</v>
      </c>
      <c r="BH784" s="3" t="s">
        <v>4854</v>
      </c>
      <c r="BI784" s="3" t="s">
        <v>4854</v>
      </c>
      <c r="BJ784" s="5">
        <v>22</v>
      </c>
      <c r="BK784" s="99" t="s">
        <v>4854</v>
      </c>
      <c r="BL784" s="90">
        <v>0.996</v>
      </c>
      <c r="BM784" s="90">
        <v>1</v>
      </c>
      <c r="BN784" s="90">
        <v>0.999</v>
      </c>
      <c r="BO784" s="90">
        <v>0.99299999999999999</v>
      </c>
      <c r="BP784" s="99" t="s">
        <v>4854</v>
      </c>
      <c r="BQ784" s="99" t="s">
        <v>4854</v>
      </c>
      <c r="BR784" s="90">
        <v>0.98499999999999999</v>
      </c>
      <c r="BS784" s="5" t="s">
        <v>4857</v>
      </c>
    </row>
    <row r="785" spans="1:71" s="30" customFormat="1" ht="17.100000000000001" customHeight="1">
      <c r="A785" s="10">
        <v>774</v>
      </c>
      <c r="B785" s="10" t="s">
        <v>1947</v>
      </c>
      <c r="C785" s="4" t="s">
        <v>2085</v>
      </c>
      <c r="D785" s="4" t="s">
        <v>1938</v>
      </c>
      <c r="E785" s="7" t="s">
        <v>1939</v>
      </c>
      <c r="F785" s="10" t="s">
        <v>5120</v>
      </c>
      <c r="G785" s="4" t="s">
        <v>1940</v>
      </c>
      <c r="H785" s="7" t="s">
        <v>1941</v>
      </c>
      <c r="I785" s="4" t="s">
        <v>1942</v>
      </c>
      <c r="J785" s="10" t="s">
        <v>4685</v>
      </c>
      <c r="K785" s="4" t="s">
        <v>5813</v>
      </c>
      <c r="L785" s="4" t="s">
        <v>1948</v>
      </c>
      <c r="M785" s="10">
        <v>2</v>
      </c>
      <c r="N785" s="95">
        <v>540.78779999999995</v>
      </c>
      <c r="O785" s="37" t="str">
        <f>HYPERLINK("http://ms.phosphosite.org:5080/cgi-bin/plot-msms.cgi?MassType=1&amp;NumAxis=1&amp;Mod8=170&amp;Pep=SKGQESFKK&amp;Dta=/var/www/html/dta/S01/10558.1528.2.dta&amp;Global_Mod=CS57.0215", "1528")</f>
        <v>1528</v>
      </c>
      <c r="P785" s="37" t="str">
        <f>HYPERLINK("http://ms.phosphosite.org:5080/cgi-bin/plot-msms.cgi?MassType=1&amp;NumAxis=1&amp;Mod8=170&amp;Pep=SKGQESFKK&amp;Dta=/var/www/html/dta/S01/10559.1498.2.dta&amp;Global_Mod=CS57.0215", "1498")</f>
        <v>1498</v>
      </c>
      <c r="Q785" s="37" t="str">
        <f>HYPERLINK("http://ms.phosphosite.org:5080/cgi-bin/plot-msms.cgi?MassType=1&amp;NumAxis=1&amp;Mod8=170&amp;Pep=SKGQESFKK&amp;Dta=/var/www/html/dta/S01/10560.1471.2.dta&amp;Global_Mod=CS57.0215", "1471")</f>
        <v>1471</v>
      </c>
      <c r="R785" s="37" t="str">
        <f>HYPERLINK("http://ms.phosphosite.org:5080/cgi-bin/plot-msms.cgi?MassType=1&amp;NumAxis=1&amp;Mod8=170&amp;Pep=SKGQESFKK&amp;Dta=/var/www/html/dta/S01/10561.1493.2.dta&amp;Global_Mod=CS57.0215", "1493")</f>
        <v>1493</v>
      </c>
      <c r="S785" s="38" t="s">
        <v>4854</v>
      </c>
      <c r="T785" s="38" t="s">
        <v>4854</v>
      </c>
      <c r="U785" s="38" t="s">
        <v>4854</v>
      </c>
      <c r="V785" s="38" t="s">
        <v>4854</v>
      </c>
      <c r="W785" s="4" t="s">
        <v>4854</v>
      </c>
      <c r="X785" s="10">
        <v>1491</v>
      </c>
      <c r="Y785" s="4" t="s">
        <v>4854</v>
      </c>
      <c r="Z785" s="10">
        <v>1489</v>
      </c>
      <c r="AA785" s="4" t="s">
        <v>4854</v>
      </c>
      <c r="AB785" s="4" t="s">
        <v>4854</v>
      </c>
      <c r="AC785" s="4" t="s">
        <v>4854</v>
      </c>
      <c r="AD785" s="4" t="s">
        <v>4854</v>
      </c>
      <c r="AE785" s="91">
        <v>2.347</v>
      </c>
      <c r="AF785" s="91">
        <v>2.419</v>
      </c>
      <c r="AG785" s="91">
        <v>2.2610000000000001</v>
      </c>
      <c r="AH785" s="91">
        <v>2.504</v>
      </c>
      <c r="AI785" s="100" t="s">
        <v>4854</v>
      </c>
      <c r="AJ785" s="100" t="s">
        <v>4854</v>
      </c>
      <c r="AK785" s="100" t="s">
        <v>4854</v>
      </c>
      <c r="AL785" s="100" t="s">
        <v>4854</v>
      </c>
      <c r="AM785" s="95">
        <v>-0.42380000000000001</v>
      </c>
      <c r="AN785" s="95">
        <v>0.4748</v>
      </c>
      <c r="AO785" s="95">
        <v>0.57010000000000005</v>
      </c>
      <c r="AP785" s="95">
        <v>0.1454</v>
      </c>
      <c r="AQ785" s="103" t="s">
        <v>4854</v>
      </c>
      <c r="AR785" s="103" t="s">
        <v>4854</v>
      </c>
      <c r="AS785" s="103" t="s">
        <v>4854</v>
      </c>
      <c r="AT785" s="103" t="s">
        <v>4854</v>
      </c>
      <c r="AU785" s="95">
        <v>0.13800000000000001</v>
      </c>
      <c r="AV785" s="95">
        <v>0.153</v>
      </c>
      <c r="AW785" s="95">
        <v>0.17399999999999999</v>
      </c>
      <c r="AX785" s="95">
        <v>0.153</v>
      </c>
      <c r="AY785" s="103" t="s">
        <v>4854</v>
      </c>
      <c r="AZ785" s="103" t="s">
        <v>4854</v>
      </c>
      <c r="BA785" s="103" t="s">
        <v>4854</v>
      </c>
      <c r="BB785" s="103" t="s">
        <v>4854</v>
      </c>
      <c r="BC785" s="10">
        <v>2</v>
      </c>
      <c r="BD785" s="10">
        <v>1</v>
      </c>
      <c r="BE785" s="10">
        <v>1</v>
      </c>
      <c r="BF785" s="10">
        <v>3</v>
      </c>
      <c r="BG785" s="4" t="s">
        <v>4854</v>
      </c>
      <c r="BH785" s="4" t="s">
        <v>4854</v>
      </c>
      <c r="BI785" s="4" t="s">
        <v>4854</v>
      </c>
      <c r="BJ785" s="4" t="s">
        <v>4854</v>
      </c>
      <c r="BK785" s="91">
        <v>0.99399999999999999</v>
      </c>
      <c r="BL785" s="91">
        <v>0.997</v>
      </c>
      <c r="BM785" s="91">
        <v>0.996</v>
      </c>
      <c r="BN785" s="91">
        <v>0.996</v>
      </c>
      <c r="BO785" s="100" t="s">
        <v>4854</v>
      </c>
      <c r="BP785" s="100" t="s">
        <v>4854</v>
      </c>
      <c r="BQ785" s="100" t="s">
        <v>4854</v>
      </c>
      <c r="BR785" s="100" t="s">
        <v>4854</v>
      </c>
      <c r="BS785" s="10" t="s">
        <v>4857</v>
      </c>
    </row>
    <row r="786" spans="1:71" s="30" customFormat="1" ht="17.100000000000001" customHeight="1">
      <c r="A786" s="14">
        <v>775</v>
      </c>
      <c r="B786" s="5" t="s">
        <v>1949</v>
      </c>
      <c r="C786" s="3" t="s">
        <v>2085</v>
      </c>
      <c r="D786" s="3" t="s">
        <v>1938</v>
      </c>
      <c r="E786" s="6" t="s">
        <v>1939</v>
      </c>
      <c r="F786" s="5" t="s">
        <v>5149</v>
      </c>
      <c r="G786" s="3" t="s">
        <v>1940</v>
      </c>
      <c r="H786" s="6" t="s">
        <v>1941</v>
      </c>
      <c r="I786" s="3" t="s">
        <v>1942</v>
      </c>
      <c r="J786" s="5" t="s">
        <v>4685</v>
      </c>
      <c r="K786" s="3" t="s">
        <v>5814</v>
      </c>
      <c r="L786" s="3" t="s">
        <v>1950</v>
      </c>
      <c r="M786" s="5">
        <v>2</v>
      </c>
      <c r="N786" s="21">
        <v>896.50379999999996</v>
      </c>
      <c r="O786" s="36" t="str">
        <f>HYPERLINK("http://ms.phosphosite.org:5080/cgi-bin/plot-msms.cgi?MassType=1&amp;NumAxis=1&amp;Mod10=170&amp;Pep=GGSLPKVEAKFINYVK&amp;Dta=/var/www/html/dta/S01/10558.10380.2.dta&amp;Global_Mod=CS57.0215", "10380")</f>
        <v>10380</v>
      </c>
      <c r="P786" s="36" t="str">
        <f>HYPERLINK("http://ms.phosphosite.org:5080/cgi-bin/plot-msms.cgi?MassType=1&amp;NumAxis=1&amp;Mod10=170&amp;Pep=GGSLPKVEAKFINYVK&amp;Dta=/var/www/html/dta/S01/10559.10338.2.dta&amp;Global_Mod=CS57.0215", "10338")</f>
        <v>10338</v>
      </c>
      <c r="Q786" s="35" t="s">
        <v>4854</v>
      </c>
      <c r="R786" s="35" t="s">
        <v>4854</v>
      </c>
      <c r="S786" s="35" t="s">
        <v>4854</v>
      </c>
      <c r="T786" s="35" t="s">
        <v>4854</v>
      </c>
      <c r="U786" s="35" t="s">
        <v>4854</v>
      </c>
      <c r="V786" s="35" t="s">
        <v>4854</v>
      </c>
      <c r="W786" s="5">
        <v>10339</v>
      </c>
      <c r="X786" s="5">
        <v>10300</v>
      </c>
      <c r="Y786" s="3" t="s">
        <v>4854</v>
      </c>
      <c r="Z786" s="3" t="s">
        <v>4854</v>
      </c>
      <c r="AA786" s="3" t="s">
        <v>4854</v>
      </c>
      <c r="AB786" s="3" t="s">
        <v>4854</v>
      </c>
      <c r="AC786" s="3" t="s">
        <v>4854</v>
      </c>
      <c r="AD786" s="3" t="s">
        <v>4854</v>
      </c>
      <c r="AE786" s="90">
        <v>2.6949999999999998</v>
      </c>
      <c r="AF786" s="90">
        <v>2.8370000000000002</v>
      </c>
      <c r="AG786" s="99" t="s">
        <v>4854</v>
      </c>
      <c r="AH786" s="99" t="s">
        <v>4854</v>
      </c>
      <c r="AI786" s="99" t="s">
        <v>4854</v>
      </c>
      <c r="AJ786" s="99" t="s">
        <v>4854</v>
      </c>
      <c r="AK786" s="99" t="s">
        <v>4854</v>
      </c>
      <c r="AL786" s="99" t="s">
        <v>4854</v>
      </c>
      <c r="AM786" s="21">
        <v>0.5998</v>
      </c>
      <c r="AN786" s="21">
        <v>0.64170000000000005</v>
      </c>
      <c r="AO786" s="102" t="s">
        <v>4854</v>
      </c>
      <c r="AP786" s="102" t="s">
        <v>4854</v>
      </c>
      <c r="AQ786" s="102" t="s">
        <v>4854</v>
      </c>
      <c r="AR786" s="102" t="s">
        <v>4854</v>
      </c>
      <c r="AS786" s="102" t="s">
        <v>4854</v>
      </c>
      <c r="AT786" s="102" t="s">
        <v>4854</v>
      </c>
      <c r="AU786" s="21">
        <v>0.28100000000000003</v>
      </c>
      <c r="AV786" s="21">
        <v>0.32100000000000001</v>
      </c>
      <c r="AW786" s="102" t="s">
        <v>4854</v>
      </c>
      <c r="AX786" s="102" t="s">
        <v>4854</v>
      </c>
      <c r="AY786" s="102" t="s">
        <v>4854</v>
      </c>
      <c r="AZ786" s="102" t="s">
        <v>4854</v>
      </c>
      <c r="BA786" s="102" t="s">
        <v>4854</v>
      </c>
      <c r="BB786" s="102" t="s">
        <v>4854</v>
      </c>
      <c r="BC786" s="5">
        <v>1</v>
      </c>
      <c r="BD786" s="5">
        <v>1</v>
      </c>
      <c r="BE786" s="3" t="s">
        <v>4854</v>
      </c>
      <c r="BF786" s="3" t="s">
        <v>4854</v>
      </c>
      <c r="BG786" s="3" t="s">
        <v>4854</v>
      </c>
      <c r="BH786" s="3" t="s">
        <v>4854</v>
      </c>
      <c r="BI786" s="3" t="s">
        <v>4854</v>
      </c>
      <c r="BJ786" s="3" t="s">
        <v>4854</v>
      </c>
      <c r="BK786" s="90">
        <v>0.999</v>
      </c>
      <c r="BL786" s="90">
        <v>1</v>
      </c>
      <c r="BM786" s="99" t="s">
        <v>4854</v>
      </c>
      <c r="BN786" s="99" t="s">
        <v>4854</v>
      </c>
      <c r="BO786" s="99" t="s">
        <v>4854</v>
      </c>
      <c r="BP786" s="99" t="s">
        <v>4854</v>
      </c>
      <c r="BQ786" s="99" t="s">
        <v>4854</v>
      </c>
      <c r="BR786" s="99" t="s">
        <v>4854</v>
      </c>
      <c r="BS786" s="5" t="s">
        <v>4857</v>
      </c>
    </row>
    <row r="787" spans="1:71" s="30" customFormat="1" ht="17.100000000000001" customHeight="1">
      <c r="A787" s="14">
        <v>776</v>
      </c>
      <c r="B787" s="5" t="s">
        <v>1951</v>
      </c>
      <c r="C787" s="3" t="s">
        <v>2085</v>
      </c>
      <c r="D787" s="3" t="s">
        <v>1938</v>
      </c>
      <c r="E787" s="6" t="s">
        <v>1939</v>
      </c>
      <c r="F787" s="5" t="s">
        <v>5149</v>
      </c>
      <c r="G787" s="3" t="s">
        <v>1940</v>
      </c>
      <c r="H787" s="6" t="s">
        <v>1941</v>
      </c>
      <c r="I787" s="3" t="s">
        <v>1942</v>
      </c>
      <c r="J787" s="5" t="s">
        <v>4685</v>
      </c>
      <c r="K787" s="3" t="s">
        <v>5814</v>
      </c>
      <c r="L787" s="3" t="s">
        <v>1950</v>
      </c>
      <c r="M787" s="5">
        <v>3</v>
      </c>
      <c r="N787" s="21">
        <v>598.005</v>
      </c>
      <c r="O787" s="36" t="str">
        <f>HYPERLINK("http://ms.phosphosite.org:5080/cgi-bin/plot-msms.cgi?MassType=1&amp;NumAxis=1&amp;Mod10=170&amp;Pep=GGSLPKVEAKFINYVK&amp;Dta=/var/www/html/dta/S01/10558.10363.3.dta&amp;Global_Mod=CS57.0215", "10363")</f>
        <v>10363</v>
      </c>
      <c r="P787" s="36" t="str">
        <f>HYPERLINK("http://ms.phosphosite.org:5080/cgi-bin/plot-msms.cgi?MassType=1&amp;NumAxis=1&amp;Mod10=170&amp;Pep=GGSLPKVEAKFINYVK&amp;Dta=/var/www/html/dta/S01/10559.10345.3.dta&amp;Global_Mod=CS57.0215", "10345")</f>
        <v>10345</v>
      </c>
      <c r="Q787" s="36" t="str">
        <f>HYPERLINK("http://ms.phosphosite.org:5080/cgi-bin/plot-msms.cgi?MassType=1&amp;NumAxis=1&amp;Mod10=170&amp;Pep=GGSLPKVEAKFINYVK&amp;Dta=/var/www/html/dta/S01/10560.10419.3.dta&amp;Global_Mod=CS57.0215", "10419")</f>
        <v>10419</v>
      </c>
      <c r="R787" s="36" t="str">
        <f>HYPERLINK("http://ms.phosphosite.org:5080/cgi-bin/plot-msms.cgi?MassType=1&amp;NumAxis=1&amp;Mod10=170&amp;Pep=GGSLPKVEAKFINYVK&amp;Dta=/var/www/html/dta/S01/10561.10375.3.dta&amp;Global_Mod=CS57.0215", "10375")</f>
        <v>10375</v>
      </c>
      <c r="S787" s="36" t="str">
        <f>HYPERLINK("http://ms.phosphosite.org:5080/cgi-bin/plot-msms.cgi?MassType=1&amp;NumAxis=1&amp;Mod10=170&amp;Pep=GGSLPKVEAKFINYVK&amp;Dta=/var/www/html/dta/S01/10562.10490.3.dta&amp;Global_Mod=CS57.0215", "10490")</f>
        <v>10490</v>
      </c>
      <c r="T787" s="36" t="str">
        <f>HYPERLINK("http://ms.phosphosite.org:5080/cgi-bin/plot-msms.cgi?MassType=1&amp;NumAxis=1&amp;Mod10=170&amp;Pep=GGSLPKVEAKFINYVK&amp;Dta=/var/www/html/dta/S01/10563.10417.3.dta&amp;Global_Mod=CS57.0215", "10417")</f>
        <v>10417</v>
      </c>
      <c r="U787" s="36" t="str">
        <f>HYPERLINK("http://ms.phosphosite.org:5080/cgi-bin/plot-msms.cgi?MassType=1&amp;NumAxis=1&amp;Mod10=170&amp;Pep=GGSLPKVEAKFINYVK&amp;Dta=/var/www/html/dta/S01/10564.10996.3.dta&amp;Global_Mod=CS57.0215", "10996")</f>
        <v>10996</v>
      </c>
      <c r="V787" s="36" t="str">
        <f>HYPERLINK("http://ms.phosphosite.org:5080/cgi-bin/plot-msms.cgi?MassType=1&amp;NumAxis=1&amp;Mod10=170&amp;Pep=GGSLPKVEAKFINYVK&amp;Dta=/var/www/html/dta/S01/10565.10884.3.dta&amp;Global_Mod=CS57.0215", "10884")</f>
        <v>10884</v>
      </c>
      <c r="W787" s="5">
        <v>10350</v>
      </c>
      <c r="X787" s="5">
        <v>10300</v>
      </c>
      <c r="Y787" s="5">
        <v>10359</v>
      </c>
      <c r="Z787" s="5">
        <v>10352</v>
      </c>
      <c r="AA787" s="5">
        <v>10565</v>
      </c>
      <c r="AB787" s="5">
        <v>10490</v>
      </c>
      <c r="AC787" s="5">
        <v>10984</v>
      </c>
      <c r="AD787" s="5">
        <v>10937</v>
      </c>
      <c r="AE787" s="90">
        <v>4.444</v>
      </c>
      <c r="AF787" s="90">
        <v>3.2210000000000001</v>
      </c>
      <c r="AG787" s="90">
        <v>3.8010000000000002</v>
      </c>
      <c r="AH787" s="90">
        <v>4.0919999999999996</v>
      </c>
      <c r="AI787" s="90">
        <v>3.99</v>
      </c>
      <c r="AJ787" s="90">
        <v>3.5009999999999999</v>
      </c>
      <c r="AK787" s="90">
        <v>3.7080000000000002</v>
      </c>
      <c r="AL787" s="90">
        <v>4.2629999999999999</v>
      </c>
      <c r="AM787" s="21">
        <v>0.65669999999999995</v>
      </c>
      <c r="AN787" s="21">
        <v>0.54010000000000002</v>
      </c>
      <c r="AO787" s="21">
        <v>0.7036</v>
      </c>
      <c r="AP787" s="21">
        <v>0.61150000000000004</v>
      </c>
      <c r="AQ787" s="21">
        <v>0.56069999999999998</v>
      </c>
      <c r="AR787" s="21">
        <v>0.64949999999999997</v>
      </c>
      <c r="AS787" s="21">
        <v>0.4955</v>
      </c>
      <c r="AT787" s="21">
        <v>0.2873</v>
      </c>
      <c r="AU787" s="21">
        <v>0.42099999999999999</v>
      </c>
      <c r="AV787" s="21">
        <v>0.32300000000000001</v>
      </c>
      <c r="AW787" s="21">
        <v>0.36799999999999999</v>
      </c>
      <c r="AX787" s="21">
        <v>0.28599999999999998</v>
      </c>
      <c r="AY787" s="21">
        <v>0.35699999999999998</v>
      </c>
      <c r="AZ787" s="21">
        <v>0.32500000000000001</v>
      </c>
      <c r="BA787" s="21">
        <v>0.374</v>
      </c>
      <c r="BB787" s="21">
        <v>0.31900000000000001</v>
      </c>
      <c r="BC787" s="5">
        <v>1</v>
      </c>
      <c r="BD787" s="5">
        <v>1</v>
      </c>
      <c r="BE787" s="5">
        <v>1</v>
      </c>
      <c r="BF787" s="5">
        <v>1</v>
      </c>
      <c r="BG787" s="5">
        <v>1</v>
      </c>
      <c r="BH787" s="5">
        <v>1</v>
      </c>
      <c r="BI787" s="5">
        <v>1</v>
      </c>
      <c r="BJ787" s="5">
        <v>1</v>
      </c>
      <c r="BK787" s="90">
        <v>1</v>
      </c>
      <c r="BL787" s="90">
        <v>1</v>
      </c>
      <c r="BM787" s="90">
        <v>1</v>
      </c>
      <c r="BN787" s="90">
        <v>1</v>
      </c>
      <c r="BO787" s="90">
        <v>1</v>
      </c>
      <c r="BP787" s="90">
        <v>1</v>
      </c>
      <c r="BQ787" s="90">
        <v>1</v>
      </c>
      <c r="BR787" s="90">
        <v>1</v>
      </c>
      <c r="BS787" s="5" t="s">
        <v>4857</v>
      </c>
    </row>
    <row r="788" spans="1:71" s="30" customFormat="1" ht="17.100000000000001" customHeight="1">
      <c r="A788" s="14">
        <v>777</v>
      </c>
      <c r="B788" s="5" t="s">
        <v>1952</v>
      </c>
      <c r="C788" s="3" t="s">
        <v>2085</v>
      </c>
      <c r="D788" s="3" t="s">
        <v>1938</v>
      </c>
      <c r="E788" s="6" t="s">
        <v>1939</v>
      </c>
      <c r="F788" s="5" t="s">
        <v>5149</v>
      </c>
      <c r="G788" s="3" t="s">
        <v>1940</v>
      </c>
      <c r="H788" s="6" t="s">
        <v>1941</v>
      </c>
      <c r="I788" s="3" t="s">
        <v>1942</v>
      </c>
      <c r="J788" s="5" t="s">
        <v>4685</v>
      </c>
      <c r="K788" s="3" t="s">
        <v>5814</v>
      </c>
      <c r="L788" s="3" t="s">
        <v>1950</v>
      </c>
      <c r="M788" s="5">
        <v>3</v>
      </c>
      <c r="N788" s="21">
        <v>598.005</v>
      </c>
      <c r="O788" s="35" t="s">
        <v>4854</v>
      </c>
      <c r="P788" s="36" t="str">
        <f>HYPERLINK("http://ms.phosphosite.org:5080/cgi-bin/plot-msms.cgi?MassType=1&amp;NumAxis=1&amp;Mod10=170&amp;Pep=GGSLPKVEAKFINYVK&amp;Dta=/var/www/html/dta/S01/10559.10247.3.dta&amp;Global_Mod=CS57.0215", "10247")</f>
        <v>10247</v>
      </c>
      <c r="Q788" s="36" t="str">
        <f>HYPERLINK("http://ms.phosphosite.org:5080/cgi-bin/plot-msms.cgi?MassType=1&amp;NumAxis=1&amp;Mod10=170&amp;Pep=GGSLPKVEAKFINYVK&amp;Dta=/var/www/html/dta/S01/10560.10322.3.dta&amp;Global_Mod=CS57.0215", "10322")</f>
        <v>10322</v>
      </c>
      <c r="R788" s="36" t="str">
        <f>HYPERLINK("http://ms.phosphosite.org:5080/cgi-bin/plot-msms.cgi?MassType=1&amp;NumAxis=1&amp;Mod10=170&amp;Pep=GGSLPKVEAKFINYVK&amp;Dta=/var/www/html/dta/S01/10561.10289.3.dta&amp;Global_Mod=CS57.0215", "10289")</f>
        <v>10289</v>
      </c>
      <c r="S788" s="35" t="s">
        <v>4854</v>
      </c>
      <c r="T788" s="36" t="str">
        <f>HYPERLINK("http://ms.phosphosite.org:5080/cgi-bin/plot-msms.cgi?MassType=1&amp;NumAxis=1&amp;Mod10=170&amp;Pep=GGSLPKVEAKFINYVK&amp;Dta=/var/www/html/dta/S01/10563.10513.3.dta&amp;Global_Mod=CS57.0215", "10513")</f>
        <v>10513</v>
      </c>
      <c r="U788" s="35" t="s">
        <v>4854</v>
      </c>
      <c r="V788" s="35" t="s">
        <v>4854</v>
      </c>
      <c r="W788" s="3" t="s">
        <v>4854</v>
      </c>
      <c r="X788" s="5">
        <v>10300</v>
      </c>
      <c r="Y788" s="5">
        <v>10359</v>
      </c>
      <c r="Z788" s="5">
        <v>10352</v>
      </c>
      <c r="AA788" s="3" t="s">
        <v>4854</v>
      </c>
      <c r="AB788" s="5">
        <v>10490</v>
      </c>
      <c r="AC788" s="3" t="s">
        <v>4854</v>
      </c>
      <c r="AD788" s="3" t="s">
        <v>4854</v>
      </c>
      <c r="AE788" s="99" t="s">
        <v>4854</v>
      </c>
      <c r="AF788" s="90">
        <v>3.137</v>
      </c>
      <c r="AG788" s="90">
        <v>3.7930000000000001</v>
      </c>
      <c r="AH788" s="90">
        <v>3.99</v>
      </c>
      <c r="AI788" s="99" t="s">
        <v>4854</v>
      </c>
      <c r="AJ788" s="90">
        <v>3.222</v>
      </c>
      <c r="AK788" s="99" t="s">
        <v>4854</v>
      </c>
      <c r="AL788" s="99" t="s">
        <v>4854</v>
      </c>
      <c r="AM788" s="102" t="s">
        <v>4854</v>
      </c>
      <c r="AN788" s="21">
        <v>0.5635</v>
      </c>
      <c r="AO788" s="21">
        <v>0.69410000000000005</v>
      </c>
      <c r="AP788" s="21">
        <v>0.55349999999999999</v>
      </c>
      <c r="AQ788" s="102" t="s">
        <v>4854</v>
      </c>
      <c r="AR788" s="21">
        <v>0.66790000000000005</v>
      </c>
      <c r="AS788" s="102" t="s">
        <v>4854</v>
      </c>
      <c r="AT788" s="102" t="s">
        <v>4854</v>
      </c>
      <c r="AU788" s="102" t="s">
        <v>4854</v>
      </c>
      <c r="AV788" s="21">
        <v>0.38300000000000001</v>
      </c>
      <c r="AW788" s="21">
        <v>0.23400000000000001</v>
      </c>
      <c r="AX788" s="21">
        <v>0.35</v>
      </c>
      <c r="AY788" s="102" t="s">
        <v>4854</v>
      </c>
      <c r="AZ788" s="21">
        <v>0.38500000000000001</v>
      </c>
      <c r="BA788" s="102" t="s">
        <v>4854</v>
      </c>
      <c r="BB788" s="102" t="s">
        <v>4854</v>
      </c>
      <c r="BC788" s="3" t="s">
        <v>4854</v>
      </c>
      <c r="BD788" s="5">
        <v>1</v>
      </c>
      <c r="BE788" s="5">
        <v>1</v>
      </c>
      <c r="BF788" s="5">
        <v>1</v>
      </c>
      <c r="BG788" s="3" t="s">
        <v>4854</v>
      </c>
      <c r="BH788" s="5">
        <v>1</v>
      </c>
      <c r="BI788" s="3" t="s">
        <v>4854</v>
      </c>
      <c r="BJ788" s="3" t="s">
        <v>4854</v>
      </c>
      <c r="BK788" s="99" t="s">
        <v>4854</v>
      </c>
      <c r="BL788" s="90">
        <v>1</v>
      </c>
      <c r="BM788" s="90">
        <v>1</v>
      </c>
      <c r="BN788" s="90">
        <v>1</v>
      </c>
      <c r="BO788" s="99" t="s">
        <v>4854</v>
      </c>
      <c r="BP788" s="90">
        <v>1</v>
      </c>
      <c r="BQ788" s="99" t="s">
        <v>4854</v>
      </c>
      <c r="BR788" s="99" t="s">
        <v>4854</v>
      </c>
      <c r="BS788" s="5" t="s">
        <v>4857</v>
      </c>
    </row>
    <row r="789" spans="1:71" s="30" customFormat="1" ht="17.100000000000001" customHeight="1">
      <c r="A789" s="14">
        <v>778</v>
      </c>
      <c r="B789" s="5" t="s">
        <v>1953</v>
      </c>
      <c r="C789" s="3" t="s">
        <v>2085</v>
      </c>
      <c r="D789" s="3" t="s">
        <v>1938</v>
      </c>
      <c r="E789" s="6" t="s">
        <v>1939</v>
      </c>
      <c r="F789" s="5" t="s">
        <v>5149</v>
      </c>
      <c r="G789" s="3" t="s">
        <v>1940</v>
      </c>
      <c r="H789" s="6" t="s">
        <v>1941</v>
      </c>
      <c r="I789" s="3" t="s">
        <v>1942</v>
      </c>
      <c r="J789" s="5" t="s">
        <v>4685</v>
      </c>
      <c r="K789" s="3" t="s">
        <v>5814</v>
      </c>
      <c r="L789" s="3" t="s">
        <v>1950</v>
      </c>
      <c r="M789" s="5">
        <v>3</v>
      </c>
      <c r="N789" s="21">
        <v>598.005</v>
      </c>
      <c r="O789" s="35" t="s">
        <v>4854</v>
      </c>
      <c r="P789" s="35" t="s">
        <v>4854</v>
      </c>
      <c r="Q789" s="36" t="str">
        <f>HYPERLINK("http://ms.phosphosite.org:5080/cgi-bin/plot-msms.cgi?MassType=1&amp;NumAxis=1&amp;Mod10=170&amp;Pep=GGSLPKVEAKFINYVK&amp;Dta=/var/www/html/dta/S01/10560.10327.3.dta&amp;Global_Mod=CS57.0215", "10327")</f>
        <v>10327</v>
      </c>
      <c r="R789" s="35" t="s">
        <v>4854</v>
      </c>
      <c r="S789" s="35" t="s">
        <v>4854</v>
      </c>
      <c r="T789" s="35" t="s">
        <v>4854</v>
      </c>
      <c r="U789" s="35" t="s">
        <v>4854</v>
      </c>
      <c r="V789" s="35" t="s">
        <v>4854</v>
      </c>
      <c r="W789" s="3" t="s">
        <v>4854</v>
      </c>
      <c r="X789" s="3" t="s">
        <v>4854</v>
      </c>
      <c r="Y789" s="5">
        <v>10359</v>
      </c>
      <c r="Z789" s="3" t="s">
        <v>4854</v>
      </c>
      <c r="AA789" s="3" t="s">
        <v>4854</v>
      </c>
      <c r="AB789" s="3" t="s">
        <v>4854</v>
      </c>
      <c r="AC789" s="3" t="s">
        <v>4854</v>
      </c>
      <c r="AD789" s="3" t="s">
        <v>4854</v>
      </c>
      <c r="AE789" s="99" t="s">
        <v>4854</v>
      </c>
      <c r="AF789" s="99" t="s">
        <v>4854</v>
      </c>
      <c r="AG789" s="90">
        <v>2.9630000000000001</v>
      </c>
      <c r="AH789" s="99" t="s">
        <v>4854</v>
      </c>
      <c r="AI789" s="99" t="s">
        <v>4854</v>
      </c>
      <c r="AJ789" s="99" t="s">
        <v>4854</v>
      </c>
      <c r="AK789" s="99" t="s">
        <v>4854</v>
      </c>
      <c r="AL789" s="99" t="s">
        <v>4854</v>
      </c>
      <c r="AM789" s="102" t="s">
        <v>4854</v>
      </c>
      <c r="AN789" s="102" t="s">
        <v>4854</v>
      </c>
      <c r="AO789" s="21">
        <v>0.68289999999999995</v>
      </c>
      <c r="AP789" s="102" t="s">
        <v>4854</v>
      </c>
      <c r="AQ789" s="102" t="s">
        <v>4854</v>
      </c>
      <c r="AR789" s="102" t="s">
        <v>4854</v>
      </c>
      <c r="AS789" s="102" t="s">
        <v>4854</v>
      </c>
      <c r="AT789" s="102" t="s">
        <v>4854</v>
      </c>
      <c r="AU789" s="102" t="s">
        <v>4854</v>
      </c>
      <c r="AV789" s="102" t="s">
        <v>4854</v>
      </c>
      <c r="AW789" s="21">
        <v>0.26600000000000001</v>
      </c>
      <c r="AX789" s="102" t="s">
        <v>4854</v>
      </c>
      <c r="AY789" s="102" t="s">
        <v>4854</v>
      </c>
      <c r="AZ789" s="102" t="s">
        <v>4854</v>
      </c>
      <c r="BA789" s="102" t="s">
        <v>4854</v>
      </c>
      <c r="BB789" s="102" t="s">
        <v>4854</v>
      </c>
      <c r="BC789" s="3" t="s">
        <v>4854</v>
      </c>
      <c r="BD789" s="3" t="s">
        <v>4854</v>
      </c>
      <c r="BE789" s="5">
        <v>1</v>
      </c>
      <c r="BF789" s="3" t="s">
        <v>4854</v>
      </c>
      <c r="BG789" s="3" t="s">
        <v>4854</v>
      </c>
      <c r="BH789" s="3" t="s">
        <v>4854</v>
      </c>
      <c r="BI789" s="3" t="s">
        <v>4854</v>
      </c>
      <c r="BJ789" s="3" t="s">
        <v>4854</v>
      </c>
      <c r="BK789" s="99" t="s">
        <v>4854</v>
      </c>
      <c r="BL789" s="99" t="s">
        <v>4854</v>
      </c>
      <c r="BM789" s="90">
        <v>0.999</v>
      </c>
      <c r="BN789" s="99" t="s">
        <v>4854</v>
      </c>
      <c r="BO789" s="99" t="s">
        <v>4854</v>
      </c>
      <c r="BP789" s="99" t="s">
        <v>4854</v>
      </c>
      <c r="BQ789" s="99" t="s">
        <v>4854</v>
      </c>
      <c r="BR789" s="99" t="s">
        <v>4854</v>
      </c>
      <c r="BS789" s="5" t="s">
        <v>4857</v>
      </c>
    </row>
    <row r="790" spans="1:71" s="30" customFormat="1" ht="17.100000000000001" customHeight="1">
      <c r="A790" s="14">
        <v>779</v>
      </c>
      <c r="B790" s="5" t="s">
        <v>1954</v>
      </c>
      <c r="C790" s="3" t="s">
        <v>2085</v>
      </c>
      <c r="D790" s="3" t="s">
        <v>1938</v>
      </c>
      <c r="E790" s="6" t="s">
        <v>1939</v>
      </c>
      <c r="F790" s="5" t="s">
        <v>5149</v>
      </c>
      <c r="G790" s="3" t="s">
        <v>1940</v>
      </c>
      <c r="H790" s="6" t="s">
        <v>1941</v>
      </c>
      <c r="I790" s="3" t="s">
        <v>1942</v>
      </c>
      <c r="J790" s="5" t="s">
        <v>4685</v>
      </c>
      <c r="K790" s="3" t="s">
        <v>5814</v>
      </c>
      <c r="L790" s="3" t="s">
        <v>1955</v>
      </c>
      <c r="M790" s="5">
        <v>2</v>
      </c>
      <c r="N790" s="21">
        <v>626.85040000000004</v>
      </c>
      <c r="O790" s="36" t="str">
        <f>HYPERLINK("http://ms.phosphosite.org:5080/cgi-bin/plot-msms.cgi?MassType=1&amp;NumAxis=1&amp;Mod4=170&amp;Pep=VEAKFINYVK&amp;Dta=/var/www/html/dta/S01/10558.8130.2.dta&amp;Global_Mod=CS57.0215", "8130")</f>
        <v>8130</v>
      </c>
      <c r="P790" s="36" t="str">
        <f>HYPERLINK("http://ms.phosphosite.org:5080/cgi-bin/plot-msms.cgi?MassType=1&amp;NumAxis=1&amp;Mod4=170&amp;Pep=VEAKFINYVK&amp;Dta=/var/www/html/dta/S01/10559.8176.2.dta&amp;Global_Mod=CS57.0215", "8176")</f>
        <v>8176</v>
      </c>
      <c r="Q790" s="36" t="str">
        <f>HYPERLINK("http://ms.phosphosite.org:5080/cgi-bin/plot-msms.cgi?MassType=1&amp;NumAxis=1&amp;Mod4=170&amp;Pep=VEAKFINYVK&amp;Dta=/var/www/html/dta/S01/10560.8171.2.dta&amp;Global_Mod=CS57.0215", "8171")</f>
        <v>8171</v>
      </c>
      <c r="R790" s="36" t="str">
        <f>HYPERLINK("http://ms.phosphosite.org:5080/cgi-bin/plot-msms.cgi?MassType=1&amp;NumAxis=1&amp;Mod4=170&amp;Pep=VEAKFINYVK&amp;Dta=/var/www/html/dta/S01/10561.8231.2.dta&amp;Global_Mod=CS57.0215", "8231")</f>
        <v>8231</v>
      </c>
      <c r="S790" s="36" t="str">
        <f>HYPERLINK("http://ms.phosphosite.org:5080/cgi-bin/plot-msms.cgi?MassType=1&amp;NumAxis=1&amp;Mod4=170&amp;Pep=VEAKFINYVK&amp;Dta=/var/www/html/dta/S01/10562.8238.2.dta&amp;Global_Mod=CS57.0215", "8238")</f>
        <v>8238</v>
      </c>
      <c r="T790" s="36" t="str">
        <f>HYPERLINK("http://ms.phosphosite.org:5080/cgi-bin/plot-msms.cgi?MassType=1&amp;NumAxis=1&amp;Mod4=170&amp;Pep=VEAKFINYVK&amp;Dta=/var/www/html/dta/S01/10563.8302.2.dta&amp;Global_Mod=CS57.0215", "8302")</f>
        <v>8302</v>
      </c>
      <c r="U790" s="36" t="str">
        <f>HYPERLINK("http://ms.phosphosite.org:5080/cgi-bin/plot-msms.cgi?MassType=1&amp;NumAxis=1&amp;Mod4=170&amp;Pep=VEAKFINYVK&amp;Dta=/var/www/html/dta/S01/10564.8642.2.dta&amp;Global_Mod=CS57.0215", "8642")</f>
        <v>8642</v>
      </c>
      <c r="V790" s="36" t="str">
        <f>HYPERLINK("http://ms.phosphosite.org:5080/cgi-bin/plot-msms.cgi?MassType=1&amp;NumAxis=1&amp;Mod4=170&amp;Pep=VEAKFINYVK&amp;Dta=/var/www/html/dta/S01/10565.8661.2.dta&amp;Global_Mod=CS57.0215", "8661")</f>
        <v>8661</v>
      </c>
      <c r="W790" s="5">
        <v>8183</v>
      </c>
      <c r="X790" s="5">
        <v>8142</v>
      </c>
      <c r="Y790" s="5">
        <v>8137</v>
      </c>
      <c r="Z790" s="5">
        <v>8186</v>
      </c>
      <c r="AA790" s="5">
        <v>8292</v>
      </c>
      <c r="AB790" s="5">
        <v>8257</v>
      </c>
      <c r="AC790" s="5">
        <v>8685</v>
      </c>
      <c r="AD790" s="5">
        <v>8704</v>
      </c>
      <c r="AE790" s="90">
        <v>3.5339999999999998</v>
      </c>
      <c r="AF790" s="90">
        <v>3.8889999999999998</v>
      </c>
      <c r="AG790" s="90">
        <v>3.79</v>
      </c>
      <c r="AH790" s="90">
        <v>3.552</v>
      </c>
      <c r="AI790" s="90">
        <v>3.6760000000000002</v>
      </c>
      <c r="AJ790" s="90">
        <v>3.6749999999999998</v>
      </c>
      <c r="AK790" s="90">
        <v>3.4470000000000001</v>
      </c>
      <c r="AL790" s="90">
        <v>3.7309999999999999</v>
      </c>
      <c r="AM790" s="21">
        <v>0.62790000000000001</v>
      </c>
      <c r="AN790" s="21">
        <v>0.58960000000000001</v>
      </c>
      <c r="AO790" s="21">
        <v>0.70130000000000003</v>
      </c>
      <c r="AP790" s="21">
        <v>0.75960000000000005</v>
      </c>
      <c r="AQ790" s="21">
        <v>0.40679999999999999</v>
      </c>
      <c r="AR790" s="21">
        <v>0.52649999999999997</v>
      </c>
      <c r="AS790" s="21">
        <v>0.57120000000000004</v>
      </c>
      <c r="AT790" s="21">
        <v>9.7000000000000003E-2</v>
      </c>
      <c r="AU790" s="21">
        <v>0.432</v>
      </c>
      <c r="AV790" s="21">
        <v>0.39600000000000002</v>
      </c>
      <c r="AW790" s="21">
        <v>0.42</v>
      </c>
      <c r="AX790" s="21">
        <v>0.433</v>
      </c>
      <c r="AY790" s="21">
        <v>0.37</v>
      </c>
      <c r="AZ790" s="21">
        <v>0.36399999999999999</v>
      </c>
      <c r="BA790" s="21">
        <v>0.41899999999999998</v>
      </c>
      <c r="BB790" s="21">
        <v>0.443</v>
      </c>
      <c r="BC790" s="5">
        <v>1</v>
      </c>
      <c r="BD790" s="5">
        <v>1</v>
      </c>
      <c r="BE790" s="5">
        <v>1</v>
      </c>
      <c r="BF790" s="5">
        <v>1</v>
      </c>
      <c r="BG790" s="5">
        <v>1</v>
      </c>
      <c r="BH790" s="5">
        <v>1</v>
      </c>
      <c r="BI790" s="5">
        <v>1</v>
      </c>
      <c r="BJ790" s="5">
        <v>1</v>
      </c>
      <c r="BK790" s="90">
        <v>1</v>
      </c>
      <c r="BL790" s="90">
        <v>1</v>
      </c>
      <c r="BM790" s="90">
        <v>1</v>
      </c>
      <c r="BN790" s="90">
        <v>1</v>
      </c>
      <c r="BO790" s="90">
        <v>1</v>
      </c>
      <c r="BP790" s="90">
        <v>1</v>
      </c>
      <c r="BQ790" s="90">
        <v>1</v>
      </c>
      <c r="BR790" s="90">
        <v>1</v>
      </c>
      <c r="BS790" s="5" t="s">
        <v>4857</v>
      </c>
    </row>
    <row r="791" spans="1:71" s="30" customFormat="1" ht="17.100000000000001" customHeight="1">
      <c r="A791" s="14">
        <v>780</v>
      </c>
      <c r="B791" s="5" t="s">
        <v>3287</v>
      </c>
      <c r="C791" s="3" t="s">
        <v>2085</v>
      </c>
      <c r="D791" s="3" t="s">
        <v>1938</v>
      </c>
      <c r="E791" s="6" t="s">
        <v>1939</v>
      </c>
      <c r="F791" s="5" t="s">
        <v>5149</v>
      </c>
      <c r="G791" s="3" t="s">
        <v>1940</v>
      </c>
      <c r="H791" s="6" t="s">
        <v>1941</v>
      </c>
      <c r="I791" s="3" t="s">
        <v>1942</v>
      </c>
      <c r="J791" s="5" t="s">
        <v>4685</v>
      </c>
      <c r="K791" s="3" t="s">
        <v>5814</v>
      </c>
      <c r="L791" s="3" t="s">
        <v>1955</v>
      </c>
      <c r="M791" s="5">
        <v>2</v>
      </c>
      <c r="N791" s="21">
        <v>626.85040000000004</v>
      </c>
      <c r="O791" s="36" t="str">
        <f>HYPERLINK("http://ms.phosphosite.org:5080/cgi-bin/plot-msms.cgi?MassType=1&amp;NumAxis=1&amp;Mod4=170&amp;Pep=VEAKFINYVK&amp;Dta=/var/www/html/dta/S01/10558.8228.2.dta&amp;Global_Mod=CS57.0215", "8228")</f>
        <v>8228</v>
      </c>
      <c r="P791" s="36" t="str">
        <f>HYPERLINK("http://ms.phosphosite.org:5080/cgi-bin/plot-msms.cgi?MassType=1&amp;NumAxis=1&amp;Mod4=170&amp;Pep=VEAKFINYVK&amp;Dta=/var/www/html/dta/S01/10559.8088.2.dta&amp;Global_Mod=CS57.0215", "8088")</f>
        <v>8088</v>
      </c>
      <c r="Q791" s="36" t="str">
        <f>HYPERLINK("http://ms.phosphosite.org:5080/cgi-bin/plot-msms.cgi?MassType=1&amp;NumAxis=1&amp;Mod4=170&amp;Pep=VEAKFINYVK&amp;Dta=/var/www/html/dta/S01/10560.8072.2.dta&amp;Global_Mod=CS57.0215", "8072")</f>
        <v>8072</v>
      </c>
      <c r="R791" s="36" t="str">
        <f>HYPERLINK("http://ms.phosphosite.org:5080/cgi-bin/plot-msms.cgi?MassType=1&amp;NumAxis=1&amp;Mod4=170&amp;Pep=VEAKFINYVK&amp;Dta=/var/www/html/dta/S01/10561.8133.2.dta&amp;Global_Mod=CS57.0215", "8133")</f>
        <v>8133</v>
      </c>
      <c r="S791" s="36" t="str">
        <f>HYPERLINK("http://ms.phosphosite.org:5080/cgi-bin/plot-msms.cgi?MassType=1&amp;NumAxis=1&amp;Mod4=170&amp;Pep=VEAKFINYVK&amp;Dta=/var/www/html/dta/S01/10562.8337.2.dta&amp;Global_Mod=CS57.0215", "8337")</f>
        <v>8337</v>
      </c>
      <c r="T791" s="36" t="str">
        <f>HYPERLINK("http://ms.phosphosite.org:5080/cgi-bin/plot-msms.cgi?MassType=1&amp;NumAxis=1&amp;Mod4=170&amp;Pep=VEAKFINYVK&amp;Dta=/var/www/html/dta/S01/10563.8203.2.dta&amp;Global_Mod=CS57.0215", "8203")</f>
        <v>8203</v>
      </c>
      <c r="U791" s="36" t="str">
        <f>HYPERLINK("http://ms.phosphosite.org:5080/cgi-bin/plot-msms.cgi?MassType=1&amp;NumAxis=1&amp;Mod4=170&amp;Pep=VEAKFINYVK&amp;Dta=/var/www/html/dta/S01/10564.8741.2.dta&amp;Global_Mod=CS57.0215", "8741")</f>
        <v>8741</v>
      </c>
      <c r="V791" s="36" t="str">
        <f>HYPERLINK("http://ms.phosphosite.org:5080/cgi-bin/plot-msms.cgi?MassType=1&amp;NumAxis=1&amp;Mod4=170&amp;Pep=VEAKFINYVK&amp;Dta=/var/www/html/dta/S01/10565.8760.2.dta&amp;Global_Mod=CS57.0215", "8760")</f>
        <v>8760</v>
      </c>
      <c r="W791" s="5">
        <v>8183</v>
      </c>
      <c r="X791" s="5">
        <v>8142</v>
      </c>
      <c r="Y791" s="5">
        <v>8137</v>
      </c>
      <c r="Z791" s="5">
        <v>8186</v>
      </c>
      <c r="AA791" s="5">
        <v>8292</v>
      </c>
      <c r="AB791" s="5">
        <v>8257</v>
      </c>
      <c r="AC791" s="5">
        <v>8685</v>
      </c>
      <c r="AD791" s="5">
        <v>8704</v>
      </c>
      <c r="AE791" s="90">
        <v>3.427</v>
      </c>
      <c r="AF791" s="90">
        <v>3.2949999999999999</v>
      </c>
      <c r="AG791" s="90">
        <v>3.411</v>
      </c>
      <c r="AH791" s="90">
        <v>3.5190000000000001</v>
      </c>
      <c r="AI791" s="90">
        <v>3.5619999999999998</v>
      </c>
      <c r="AJ791" s="90">
        <v>3.4140000000000001</v>
      </c>
      <c r="AK791" s="90">
        <v>3.4430000000000001</v>
      </c>
      <c r="AL791" s="90">
        <v>3.5369999999999999</v>
      </c>
      <c r="AM791" s="21">
        <v>0.62709999999999999</v>
      </c>
      <c r="AN791" s="21">
        <v>0.59199999999999997</v>
      </c>
      <c r="AO791" s="21">
        <v>0.70530000000000004</v>
      </c>
      <c r="AP791" s="21">
        <v>0.76119999999999999</v>
      </c>
      <c r="AQ791" s="21">
        <v>0.40360000000000001</v>
      </c>
      <c r="AR791" s="21">
        <v>0.52890000000000004</v>
      </c>
      <c r="AS791" s="21">
        <v>0.57279999999999998</v>
      </c>
      <c r="AT791" s="21">
        <v>9.7799999999999998E-2</v>
      </c>
      <c r="AU791" s="21">
        <v>0.42799999999999999</v>
      </c>
      <c r="AV791" s="21">
        <v>0.311</v>
      </c>
      <c r="AW791" s="21">
        <v>0.44900000000000001</v>
      </c>
      <c r="AX791" s="21">
        <v>0.35799999999999998</v>
      </c>
      <c r="AY791" s="21">
        <v>0.41599999999999998</v>
      </c>
      <c r="AZ791" s="21">
        <v>0.39900000000000002</v>
      </c>
      <c r="BA791" s="21">
        <v>0.32500000000000001</v>
      </c>
      <c r="BB791" s="21">
        <v>0.41799999999999998</v>
      </c>
      <c r="BC791" s="5">
        <v>1</v>
      </c>
      <c r="BD791" s="5">
        <v>1</v>
      </c>
      <c r="BE791" s="5">
        <v>1</v>
      </c>
      <c r="BF791" s="5">
        <v>1</v>
      </c>
      <c r="BG791" s="5">
        <v>1</v>
      </c>
      <c r="BH791" s="5">
        <v>1</v>
      </c>
      <c r="BI791" s="5">
        <v>1</v>
      </c>
      <c r="BJ791" s="5">
        <v>1</v>
      </c>
      <c r="BK791" s="90">
        <v>1</v>
      </c>
      <c r="BL791" s="90">
        <v>1</v>
      </c>
      <c r="BM791" s="90">
        <v>1</v>
      </c>
      <c r="BN791" s="90">
        <v>1</v>
      </c>
      <c r="BO791" s="90">
        <v>1</v>
      </c>
      <c r="BP791" s="90">
        <v>1</v>
      </c>
      <c r="BQ791" s="90">
        <v>1</v>
      </c>
      <c r="BR791" s="90">
        <v>1</v>
      </c>
      <c r="BS791" s="5" t="s">
        <v>4857</v>
      </c>
    </row>
    <row r="792" spans="1:71" s="30" customFormat="1" ht="17.100000000000001" customHeight="1">
      <c r="A792" s="14">
        <v>781</v>
      </c>
      <c r="B792" s="5" t="s">
        <v>1956</v>
      </c>
      <c r="C792" s="3" t="s">
        <v>2085</v>
      </c>
      <c r="D792" s="3" t="s">
        <v>1938</v>
      </c>
      <c r="E792" s="6" t="s">
        <v>1939</v>
      </c>
      <c r="F792" s="5" t="s">
        <v>5149</v>
      </c>
      <c r="G792" s="3" t="s">
        <v>1940</v>
      </c>
      <c r="H792" s="6" t="s">
        <v>1941</v>
      </c>
      <c r="I792" s="3" t="s">
        <v>1942</v>
      </c>
      <c r="J792" s="5" t="s">
        <v>4685</v>
      </c>
      <c r="K792" s="3" t="s">
        <v>5814</v>
      </c>
      <c r="L792" s="3" t="s">
        <v>1955</v>
      </c>
      <c r="M792" s="5">
        <v>3</v>
      </c>
      <c r="N792" s="21">
        <v>418.23599999999999</v>
      </c>
      <c r="O792" s="35" t="s">
        <v>4854</v>
      </c>
      <c r="P792" s="35" t="s">
        <v>4854</v>
      </c>
      <c r="Q792" s="36" t="str">
        <f>HYPERLINK("http://ms.phosphosite.org:5080/cgi-bin/plot-msms.cgi?MassType=1&amp;NumAxis=1&amp;Mod4=170&amp;Pep=VEAKFINYVK&amp;Dta=/var/www/html/dta/S01/10560.8113.3.dta&amp;Global_Mod=CS57.0215", "8113")</f>
        <v>8113</v>
      </c>
      <c r="R792" s="36" t="str">
        <f>HYPERLINK("http://ms.phosphosite.org:5080/cgi-bin/plot-msms.cgi?MassType=1&amp;NumAxis=1&amp;Mod4=170&amp;Pep=VEAKFINYVK&amp;Dta=/var/www/html/dta/S01/10561.8165.3.dta&amp;Global_Mod=CS57.0215", "8165")</f>
        <v>8165</v>
      </c>
      <c r="S792" s="35" t="s">
        <v>4854</v>
      </c>
      <c r="T792" s="35" t="s">
        <v>4854</v>
      </c>
      <c r="U792" s="35" t="s">
        <v>4854</v>
      </c>
      <c r="V792" s="35" t="s">
        <v>4854</v>
      </c>
      <c r="W792" s="3" t="s">
        <v>4854</v>
      </c>
      <c r="X792" s="3" t="s">
        <v>4854</v>
      </c>
      <c r="Y792" s="3" t="s">
        <v>4854</v>
      </c>
      <c r="Z792" s="5">
        <v>8186</v>
      </c>
      <c r="AA792" s="3" t="s">
        <v>4854</v>
      </c>
      <c r="AB792" s="3" t="s">
        <v>4854</v>
      </c>
      <c r="AC792" s="3" t="s">
        <v>4854</v>
      </c>
      <c r="AD792" s="3" t="s">
        <v>4854</v>
      </c>
      <c r="AE792" s="99" t="s">
        <v>4854</v>
      </c>
      <c r="AF792" s="99" t="s">
        <v>4854</v>
      </c>
      <c r="AG792" s="90">
        <v>1.966</v>
      </c>
      <c r="AH792" s="90">
        <v>2.5089999999999999</v>
      </c>
      <c r="AI792" s="99" t="s">
        <v>4854</v>
      </c>
      <c r="AJ792" s="99" t="s">
        <v>4854</v>
      </c>
      <c r="AK792" s="99" t="s">
        <v>4854</v>
      </c>
      <c r="AL792" s="99" t="s">
        <v>4854</v>
      </c>
      <c r="AM792" s="102" t="s">
        <v>4854</v>
      </c>
      <c r="AN792" s="102" t="s">
        <v>4854</v>
      </c>
      <c r="AO792" s="21">
        <v>0.77559999999999996</v>
      </c>
      <c r="AP792" s="21">
        <v>0.7077</v>
      </c>
      <c r="AQ792" s="102" t="s">
        <v>4854</v>
      </c>
      <c r="AR792" s="102" t="s">
        <v>4854</v>
      </c>
      <c r="AS792" s="102" t="s">
        <v>4854</v>
      </c>
      <c r="AT792" s="102" t="s">
        <v>4854</v>
      </c>
      <c r="AU792" s="102" t="s">
        <v>4854</v>
      </c>
      <c r="AV792" s="102" t="s">
        <v>4854</v>
      </c>
      <c r="AW792" s="21">
        <v>7.0000000000000001E-3</v>
      </c>
      <c r="AX792" s="21">
        <v>6.5000000000000002E-2</v>
      </c>
      <c r="AY792" s="102" t="s">
        <v>4854</v>
      </c>
      <c r="AZ792" s="102" t="s">
        <v>4854</v>
      </c>
      <c r="BA792" s="102" t="s">
        <v>4854</v>
      </c>
      <c r="BB792" s="102" t="s">
        <v>4854</v>
      </c>
      <c r="BC792" s="3" t="s">
        <v>4854</v>
      </c>
      <c r="BD792" s="3" t="s">
        <v>4854</v>
      </c>
      <c r="BE792" s="5">
        <v>12</v>
      </c>
      <c r="BF792" s="5">
        <v>11</v>
      </c>
      <c r="BG792" s="3" t="s">
        <v>4854</v>
      </c>
      <c r="BH792" s="3" t="s">
        <v>4854</v>
      </c>
      <c r="BI792" s="3" t="s">
        <v>4854</v>
      </c>
      <c r="BJ792" s="3" t="s">
        <v>4854</v>
      </c>
      <c r="BK792" s="99" t="s">
        <v>4854</v>
      </c>
      <c r="BL792" s="99" t="s">
        <v>4854</v>
      </c>
      <c r="BM792" s="90">
        <v>0.874</v>
      </c>
      <c r="BN792" s="90">
        <v>0.97599999999999998</v>
      </c>
      <c r="BO792" s="99" t="s">
        <v>4854</v>
      </c>
      <c r="BP792" s="99" t="s">
        <v>4854</v>
      </c>
      <c r="BQ792" s="99" t="s">
        <v>4854</v>
      </c>
      <c r="BR792" s="99" t="s">
        <v>4854</v>
      </c>
      <c r="BS792" s="5" t="s">
        <v>4857</v>
      </c>
    </row>
    <row r="793" spans="1:71" s="30" customFormat="1" ht="17.100000000000001" customHeight="1">
      <c r="A793" s="10">
        <v>782</v>
      </c>
      <c r="B793" s="10" t="s">
        <v>4565</v>
      </c>
      <c r="C793" s="4" t="s">
        <v>2085</v>
      </c>
      <c r="D793" s="4" t="s">
        <v>1938</v>
      </c>
      <c r="E793" s="7" t="s">
        <v>1939</v>
      </c>
      <c r="F793" s="10" t="s">
        <v>5187</v>
      </c>
      <c r="G793" s="4" t="s">
        <v>1940</v>
      </c>
      <c r="H793" s="7" t="s">
        <v>1941</v>
      </c>
      <c r="I793" s="4" t="s">
        <v>1942</v>
      </c>
      <c r="J793" s="10" t="s">
        <v>4685</v>
      </c>
      <c r="K793" s="4" t="s">
        <v>5815</v>
      </c>
      <c r="L793" s="4" t="s">
        <v>1957</v>
      </c>
      <c r="M793" s="10">
        <v>4</v>
      </c>
      <c r="N793" s="95">
        <v>654.55849999999998</v>
      </c>
      <c r="O793" s="38" t="s">
        <v>4854</v>
      </c>
      <c r="P793" s="38" t="s">
        <v>4854</v>
      </c>
      <c r="Q793" s="38" t="s">
        <v>4854</v>
      </c>
      <c r="R793" s="38" t="s">
        <v>4854</v>
      </c>
      <c r="S793" s="38" t="s">
        <v>4854</v>
      </c>
      <c r="T793" s="37" t="str">
        <f>HYPERLINK("http://ms.phosphosite.org:5080/cgi-bin/plot-msms.cgi?MassType=1&amp;NumAxis=1&amp;Mod8=170&amp;Pep=ADKDYHFKVDNDENEHQLSLR&amp;Dta=/var/www/html/dta/S01/10563.5535.4.dta&amp;Global_Mod=CS57.0215", "5535")</f>
        <v>5535</v>
      </c>
      <c r="U793" s="38" t="s">
        <v>4854</v>
      </c>
      <c r="V793" s="38" t="s">
        <v>4854</v>
      </c>
      <c r="W793" s="4" t="s">
        <v>4854</v>
      </c>
      <c r="X793" s="4" t="s">
        <v>4854</v>
      </c>
      <c r="Y793" s="4" t="s">
        <v>4854</v>
      </c>
      <c r="Z793" s="4" t="s">
        <v>4854</v>
      </c>
      <c r="AA793" s="4" t="s">
        <v>4854</v>
      </c>
      <c r="AB793" s="4" t="s">
        <v>4854</v>
      </c>
      <c r="AC793" s="4" t="s">
        <v>4854</v>
      </c>
      <c r="AD793" s="4" t="s">
        <v>4854</v>
      </c>
      <c r="AE793" s="100" t="s">
        <v>4854</v>
      </c>
      <c r="AF793" s="100" t="s">
        <v>4854</v>
      </c>
      <c r="AG793" s="100" t="s">
        <v>4854</v>
      </c>
      <c r="AH793" s="100" t="s">
        <v>4854</v>
      </c>
      <c r="AI793" s="100" t="s">
        <v>4854</v>
      </c>
      <c r="AJ793" s="91">
        <v>2.6259999999999999</v>
      </c>
      <c r="AK793" s="100" t="s">
        <v>4854</v>
      </c>
      <c r="AL793" s="100" t="s">
        <v>4854</v>
      </c>
      <c r="AM793" s="103" t="s">
        <v>4854</v>
      </c>
      <c r="AN793" s="103" t="s">
        <v>4854</v>
      </c>
      <c r="AO793" s="103" t="s">
        <v>4854</v>
      </c>
      <c r="AP793" s="103" t="s">
        <v>4854</v>
      </c>
      <c r="AQ793" s="103" t="s">
        <v>4854</v>
      </c>
      <c r="AR793" s="95">
        <v>0.48220000000000002</v>
      </c>
      <c r="AS793" s="103" t="s">
        <v>4854</v>
      </c>
      <c r="AT793" s="103" t="s">
        <v>4854</v>
      </c>
      <c r="AU793" s="103" t="s">
        <v>4854</v>
      </c>
      <c r="AV793" s="103" t="s">
        <v>4854</v>
      </c>
      <c r="AW793" s="103" t="s">
        <v>4854</v>
      </c>
      <c r="AX793" s="103" t="s">
        <v>4854</v>
      </c>
      <c r="AY793" s="103" t="s">
        <v>4854</v>
      </c>
      <c r="AZ793" s="95">
        <v>1.6E-2</v>
      </c>
      <c r="BA793" s="103" t="s">
        <v>4854</v>
      </c>
      <c r="BB793" s="103" t="s">
        <v>4854</v>
      </c>
      <c r="BC793" s="4" t="s">
        <v>4854</v>
      </c>
      <c r="BD793" s="4" t="s">
        <v>4854</v>
      </c>
      <c r="BE793" s="4" t="s">
        <v>4854</v>
      </c>
      <c r="BF793" s="4" t="s">
        <v>4854</v>
      </c>
      <c r="BG793" s="4" t="s">
        <v>4854</v>
      </c>
      <c r="BH793" s="10">
        <v>275</v>
      </c>
      <c r="BI793" s="4" t="s">
        <v>4854</v>
      </c>
      <c r="BJ793" s="4" t="s">
        <v>4854</v>
      </c>
      <c r="BK793" s="100" t="s">
        <v>4854</v>
      </c>
      <c r="BL793" s="100" t="s">
        <v>4854</v>
      </c>
      <c r="BM793" s="100" t="s">
        <v>4854</v>
      </c>
      <c r="BN793" s="100" t="s">
        <v>4854</v>
      </c>
      <c r="BO793" s="100" t="s">
        <v>4854</v>
      </c>
      <c r="BP793" s="91">
        <v>0.70399999999999996</v>
      </c>
      <c r="BQ793" s="100" t="s">
        <v>4854</v>
      </c>
      <c r="BR793" s="100" t="s">
        <v>4854</v>
      </c>
      <c r="BS793" s="10" t="s">
        <v>4857</v>
      </c>
    </row>
    <row r="794" spans="1:71" s="30" customFormat="1" ht="17.100000000000001" customHeight="1">
      <c r="A794" s="14">
        <v>783</v>
      </c>
      <c r="B794" s="5" t="s">
        <v>1958</v>
      </c>
      <c r="C794" s="3" t="s">
        <v>2085</v>
      </c>
      <c r="D794" s="3" t="s">
        <v>1959</v>
      </c>
      <c r="E794" s="3" t="s">
        <v>1960</v>
      </c>
      <c r="F794" s="5" t="s">
        <v>5072</v>
      </c>
      <c r="G794" s="3" t="s">
        <v>1821</v>
      </c>
      <c r="H794" s="6" t="s">
        <v>1822</v>
      </c>
      <c r="I794" s="3" t="s">
        <v>1823</v>
      </c>
      <c r="J794" s="5" t="s">
        <v>4666</v>
      </c>
      <c r="K794" s="3" t="s">
        <v>5816</v>
      </c>
      <c r="L794" s="3" t="s">
        <v>1824</v>
      </c>
      <c r="M794" s="5">
        <v>2</v>
      </c>
      <c r="N794" s="21">
        <v>916.00720000000001</v>
      </c>
      <c r="O794" s="35" t="s">
        <v>4854</v>
      </c>
      <c r="P794" s="36" t="str">
        <f>HYPERLINK("http://ms.phosphosite.org:5080/cgi-bin/plot-msms.cgi?MassType=1&amp;NumAxis=1&amp;Mod3=170&amp;Pep=GNKYIQQTKPLTLER&amp;Dta=/var/www/html/dta/S01/10559.5696.2.dta&amp;Global_Mod=CS57.0215", "5696")</f>
        <v>5696</v>
      </c>
      <c r="Q794" s="36" t="str">
        <f>HYPERLINK("http://ms.phosphosite.org:5080/cgi-bin/plot-msms.cgi?MassType=1&amp;NumAxis=1&amp;Mod3=170&amp;Pep=GNKYIQQTKPLTLER&amp;Dta=/var/www/html/dta/S01/10560.5658.2.dta&amp;Global_Mod=CS57.0215", "5658")</f>
        <v>5658</v>
      </c>
      <c r="R794" s="36" t="str">
        <f>HYPERLINK("http://ms.phosphosite.org:5080/cgi-bin/plot-msms.cgi?MassType=1&amp;NumAxis=1&amp;Mod3=170&amp;Pep=GNKYIQQTKPLTLER&amp;Dta=/var/www/html/dta/S01/10561.5707.2.dta&amp;Global_Mod=CS57.0215", "5707")</f>
        <v>5707</v>
      </c>
      <c r="S794" s="36" t="str">
        <f>HYPERLINK("http://ms.phosphosite.org:5080/cgi-bin/plot-msms.cgi?MassType=1&amp;NumAxis=1&amp;Mod3=170&amp;Pep=GNKYIQQTKPLTLER&amp;Dta=/var/www/html/dta/S01/10562.5794.2.dta&amp;Global_Mod=CS57.0215", "5794")</f>
        <v>5794</v>
      </c>
      <c r="T794" s="36" t="str">
        <f>HYPERLINK("http://ms.phosphosite.org:5080/cgi-bin/plot-msms.cgi?MassType=1&amp;NumAxis=1&amp;Mod3=170&amp;Pep=GNKYIQQTKPLTLER&amp;Dta=/var/www/html/dta/S01/10563.5748.2.dta&amp;Global_Mod=CS57.0215", "5748")</f>
        <v>5748</v>
      </c>
      <c r="U794" s="36" t="str">
        <f>HYPERLINK("http://ms.phosphosite.org:5080/cgi-bin/plot-msms.cgi?MassType=1&amp;NumAxis=1&amp;Mod3=170&amp;Pep=GNKYIQQTKPLTLER&amp;Dta=/var/www/html/dta/S01/10564.6044.2.dta&amp;Global_Mod=CS57.0215", "6044")</f>
        <v>6044</v>
      </c>
      <c r="V794" s="36" t="str">
        <f>HYPERLINK("http://ms.phosphosite.org:5080/cgi-bin/plot-msms.cgi?MassType=1&amp;NumAxis=1&amp;Mod3=170&amp;Pep=GNKYIQQTKPLTLER&amp;Dta=/var/www/html/dta/S01/10565.6138.2.dta&amp;Global_Mod=CS57.0215", "6138")</f>
        <v>6138</v>
      </c>
      <c r="W794" s="3" t="s">
        <v>4854</v>
      </c>
      <c r="X794" s="3" t="s">
        <v>4854</v>
      </c>
      <c r="Y794" s="5">
        <v>5662</v>
      </c>
      <c r="Z794" s="3" t="s">
        <v>4854</v>
      </c>
      <c r="AA794" s="3" t="s">
        <v>4854</v>
      </c>
      <c r="AB794" s="5">
        <v>5738</v>
      </c>
      <c r="AC794" s="3" t="s">
        <v>4854</v>
      </c>
      <c r="AD794" s="5">
        <v>6141</v>
      </c>
      <c r="AE794" s="99" t="s">
        <v>4854</v>
      </c>
      <c r="AF794" s="90">
        <v>1.6879999999999999</v>
      </c>
      <c r="AG794" s="90">
        <v>3.07</v>
      </c>
      <c r="AH794" s="90">
        <v>2.0009999999999999</v>
      </c>
      <c r="AI794" s="90">
        <v>1.972</v>
      </c>
      <c r="AJ794" s="90">
        <v>3.0350000000000001</v>
      </c>
      <c r="AK794" s="90">
        <v>2.2839999999999998</v>
      </c>
      <c r="AL794" s="90">
        <v>3.7029999999999998</v>
      </c>
      <c r="AM794" s="102" t="s">
        <v>4854</v>
      </c>
      <c r="AN794" s="21">
        <v>0.81130000000000002</v>
      </c>
      <c r="AO794" s="21">
        <v>0.69340000000000002</v>
      </c>
      <c r="AP794" s="21">
        <v>0.8075</v>
      </c>
      <c r="AQ794" s="21">
        <v>0.99980000000000002</v>
      </c>
      <c r="AR794" s="21">
        <v>0.1734</v>
      </c>
      <c r="AS794" s="21">
        <v>0.79330000000000001</v>
      </c>
      <c r="AT794" s="21">
        <v>0.47049999999999997</v>
      </c>
      <c r="AU794" s="102" t="s">
        <v>4854</v>
      </c>
      <c r="AV794" s="21">
        <v>0.19800000000000001</v>
      </c>
      <c r="AW794" s="21">
        <v>0.34699999999999998</v>
      </c>
      <c r="AX794" s="21">
        <v>0.28999999999999998</v>
      </c>
      <c r="AY794" s="21">
        <v>0.20499999999999999</v>
      </c>
      <c r="AZ794" s="21">
        <v>0.36699999999999999</v>
      </c>
      <c r="BA794" s="21">
        <v>0.29599999999999999</v>
      </c>
      <c r="BB794" s="21">
        <v>0.38400000000000001</v>
      </c>
      <c r="BC794" s="3" t="s">
        <v>4854</v>
      </c>
      <c r="BD794" s="5">
        <v>165</v>
      </c>
      <c r="BE794" s="5">
        <v>1</v>
      </c>
      <c r="BF794" s="5">
        <v>50</v>
      </c>
      <c r="BG794" s="5">
        <v>14</v>
      </c>
      <c r="BH794" s="5">
        <v>2</v>
      </c>
      <c r="BI794" s="5">
        <v>5</v>
      </c>
      <c r="BJ794" s="5">
        <v>1</v>
      </c>
      <c r="BK794" s="99" t="s">
        <v>4854</v>
      </c>
      <c r="BL794" s="90">
        <v>7.1999999999999995E-2</v>
      </c>
      <c r="BM794" s="90">
        <v>0.96399999999999997</v>
      </c>
      <c r="BN794" s="90">
        <v>0.42899999999999999</v>
      </c>
      <c r="BO794" s="90">
        <v>0.27700000000000002</v>
      </c>
      <c r="BP794" s="90">
        <v>0.96299999999999997</v>
      </c>
      <c r="BQ794" s="90">
        <v>0.751</v>
      </c>
      <c r="BR794" s="90">
        <v>0.98699999999999999</v>
      </c>
      <c r="BS794" s="5" t="s">
        <v>4857</v>
      </c>
    </row>
    <row r="795" spans="1:71" s="30" customFormat="1" ht="17.100000000000001" customHeight="1">
      <c r="A795" s="14">
        <v>784</v>
      </c>
      <c r="B795" s="5" t="s">
        <v>1825</v>
      </c>
      <c r="C795" s="3" t="s">
        <v>2085</v>
      </c>
      <c r="D795" s="3" t="s">
        <v>1959</v>
      </c>
      <c r="E795" s="3" t="s">
        <v>1960</v>
      </c>
      <c r="F795" s="5" t="s">
        <v>5072</v>
      </c>
      <c r="G795" s="3" t="s">
        <v>1821</v>
      </c>
      <c r="H795" s="6" t="s">
        <v>1822</v>
      </c>
      <c r="I795" s="3" t="s">
        <v>1823</v>
      </c>
      <c r="J795" s="5" t="s">
        <v>4666</v>
      </c>
      <c r="K795" s="3" t="s">
        <v>5816</v>
      </c>
      <c r="L795" s="3" t="s">
        <v>1824</v>
      </c>
      <c r="M795" s="5">
        <v>3</v>
      </c>
      <c r="N795" s="21">
        <v>611.00729999999999</v>
      </c>
      <c r="O795" s="36" t="str">
        <f>HYPERLINK("http://ms.phosphosite.org:5080/cgi-bin/plot-msms.cgi?MassType=1&amp;NumAxis=1&amp;Mod3=170&amp;Pep=GNKYIQQTKPLTLER&amp;Dta=/var/www/html/dta/S01/10558.5783.3.dta&amp;Global_Mod=CS57.0215", "5783")</f>
        <v>5783</v>
      </c>
      <c r="P795" s="35" t="s">
        <v>4854</v>
      </c>
      <c r="Q795" s="36" t="str">
        <f>HYPERLINK("http://ms.phosphosite.org:5080/cgi-bin/plot-msms.cgi?MassType=1&amp;NumAxis=1&amp;Mod3=170&amp;Pep=GNKYIQQTKPLTLER&amp;Dta=/var/www/html/dta/S01/10560.5712.3.dta&amp;Global_Mod=CS57.0215", "5712")</f>
        <v>5712</v>
      </c>
      <c r="R795" s="36" t="str">
        <f>HYPERLINK("http://ms.phosphosite.org:5080/cgi-bin/plot-msms.cgi?MassType=1&amp;NumAxis=1&amp;Mod3=170&amp;Pep=GNKYIQQTKPLTLER&amp;Dta=/var/www/html/dta/S01/10561.5748.3.dta&amp;Global_Mod=CS57.0215", "5748")</f>
        <v>5748</v>
      </c>
      <c r="S795" s="35" t="s">
        <v>4854</v>
      </c>
      <c r="T795" s="36" t="str">
        <f>HYPERLINK("http://ms.phosphosite.org:5080/cgi-bin/plot-msms.cgi?MassType=1&amp;NumAxis=1&amp;Mod3=170&amp;Pep=GNKYIQQTKPLTLER&amp;Dta=/var/www/html/dta/S01/10563.5812.3.dta&amp;Global_Mod=CS57.0215", "5812")</f>
        <v>5812</v>
      </c>
      <c r="U795" s="36" t="str">
        <f>HYPERLINK("http://ms.phosphosite.org:5080/cgi-bin/plot-msms.cgi?MassType=1&amp;NumAxis=1&amp;Mod3=170&amp;Pep=GNKYIQQTKPLTLER&amp;Dta=/var/www/html/dta/S01/10564.6008.3.dta&amp;Global_Mod=CS57.0215", "6008")</f>
        <v>6008</v>
      </c>
      <c r="V795" s="36" t="str">
        <f>HYPERLINK("http://ms.phosphosite.org:5080/cgi-bin/plot-msms.cgi?MassType=1&amp;NumAxis=1&amp;Mod3=170&amp;Pep=GNKYIQQTKPLTLER&amp;Dta=/var/www/html/dta/S01/10565.6103.3.dta&amp;Global_Mod=CS57.0215", "6103")</f>
        <v>6103</v>
      </c>
      <c r="W795" s="3" t="s">
        <v>4854</v>
      </c>
      <c r="X795" s="3" t="s">
        <v>4854</v>
      </c>
      <c r="Y795" s="5">
        <v>5662</v>
      </c>
      <c r="Z795" s="3" t="s">
        <v>4854</v>
      </c>
      <c r="AA795" s="3" t="s">
        <v>4854</v>
      </c>
      <c r="AB795" s="3" t="s">
        <v>4854</v>
      </c>
      <c r="AC795" s="3" t="s">
        <v>4854</v>
      </c>
      <c r="AD795" s="3" t="s">
        <v>4854</v>
      </c>
      <c r="AE795" s="90">
        <v>3.3570000000000002</v>
      </c>
      <c r="AF795" s="99" t="s">
        <v>4854</v>
      </c>
      <c r="AG795" s="90">
        <v>3.8519999999999999</v>
      </c>
      <c r="AH795" s="90">
        <v>3.7040000000000002</v>
      </c>
      <c r="AI795" s="99" t="s">
        <v>4854</v>
      </c>
      <c r="AJ795" s="90">
        <v>3.47</v>
      </c>
      <c r="AK795" s="90">
        <v>3.0950000000000002</v>
      </c>
      <c r="AL795" s="90">
        <v>3.254</v>
      </c>
      <c r="AM795" s="21">
        <v>2.0500000000000001E-2</v>
      </c>
      <c r="AN795" s="102" t="s">
        <v>4854</v>
      </c>
      <c r="AO795" s="21">
        <v>0.1472</v>
      </c>
      <c r="AP795" s="21">
        <v>0.24440000000000001</v>
      </c>
      <c r="AQ795" s="102" t="s">
        <v>4854</v>
      </c>
      <c r="AR795" s="21">
        <v>0.2898</v>
      </c>
      <c r="AS795" s="21">
        <v>0.1008</v>
      </c>
      <c r="AT795" s="21">
        <v>-4.6699999999999998E-2</v>
      </c>
      <c r="AU795" s="21">
        <v>0.17100000000000001</v>
      </c>
      <c r="AV795" s="102" t="s">
        <v>4854</v>
      </c>
      <c r="AW795" s="21">
        <v>0.27400000000000002</v>
      </c>
      <c r="AX795" s="21">
        <v>0.23599999999999999</v>
      </c>
      <c r="AY795" s="102" t="s">
        <v>4854</v>
      </c>
      <c r="AZ795" s="21">
        <v>0.20599999999999999</v>
      </c>
      <c r="BA795" s="21">
        <v>0.19500000000000001</v>
      </c>
      <c r="BB795" s="21">
        <v>0.2</v>
      </c>
      <c r="BC795" s="5">
        <v>2</v>
      </c>
      <c r="BD795" s="3" t="s">
        <v>4854</v>
      </c>
      <c r="BE795" s="5">
        <v>1</v>
      </c>
      <c r="BF795" s="5">
        <v>2</v>
      </c>
      <c r="BG795" s="3" t="s">
        <v>4854</v>
      </c>
      <c r="BH795" s="5">
        <v>1</v>
      </c>
      <c r="BI795" s="5">
        <v>1</v>
      </c>
      <c r="BJ795" s="5">
        <v>1</v>
      </c>
      <c r="BK795" s="90">
        <v>0.72399999999999998</v>
      </c>
      <c r="BL795" s="99" t="s">
        <v>4854</v>
      </c>
      <c r="BM795" s="90">
        <v>0.95299999999999996</v>
      </c>
      <c r="BN795" s="90">
        <v>0.90100000000000002</v>
      </c>
      <c r="BO795" s="99" t="s">
        <v>4854</v>
      </c>
      <c r="BP795" s="90">
        <v>0.85199999999999998</v>
      </c>
      <c r="BQ795" s="90">
        <v>0.76800000000000002</v>
      </c>
      <c r="BR795" s="90">
        <v>0.80900000000000005</v>
      </c>
      <c r="BS795" s="5" t="s">
        <v>4857</v>
      </c>
    </row>
    <row r="796" spans="1:71" s="30" customFormat="1" ht="17.100000000000001" customHeight="1">
      <c r="A796" s="14">
        <v>785</v>
      </c>
      <c r="B796" s="5" t="s">
        <v>1826</v>
      </c>
      <c r="C796" s="3" t="s">
        <v>2085</v>
      </c>
      <c r="D796" s="3" t="s">
        <v>1959</v>
      </c>
      <c r="E796" s="3" t="s">
        <v>1960</v>
      </c>
      <c r="F796" s="5" t="s">
        <v>5072</v>
      </c>
      <c r="G796" s="3" t="s">
        <v>1821</v>
      </c>
      <c r="H796" s="6" t="s">
        <v>1822</v>
      </c>
      <c r="I796" s="3" t="s">
        <v>1823</v>
      </c>
      <c r="J796" s="5" t="s">
        <v>4666</v>
      </c>
      <c r="K796" s="3" t="s">
        <v>5816</v>
      </c>
      <c r="L796" s="3" t="s">
        <v>1824</v>
      </c>
      <c r="M796" s="5">
        <v>3</v>
      </c>
      <c r="N796" s="21">
        <v>611.00729999999999</v>
      </c>
      <c r="O796" s="36" t="str">
        <f>HYPERLINK("http://ms.phosphosite.org:5080/cgi-bin/plot-msms.cgi?MassType=1&amp;NumAxis=1&amp;Mod3=170&amp;Pep=GNKYIQQTKPLTLER&amp;Dta=/var/www/html/dta/S01/10558.5687.3.dta&amp;Global_Mod=CS57.0215", "5687")</f>
        <v>5687</v>
      </c>
      <c r="P796" s="35" t="s">
        <v>4854</v>
      </c>
      <c r="Q796" s="36" t="str">
        <f>HYPERLINK("http://ms.phosphosite.org:5080/cgi-bin/plot-msms.cgi?MassType=1&amp;NumAxis=1&amp;Mod3=170&amp;Pep=GNKYIQQTKPLTLER&amp;Dta=/var/www/html/dta/S01/10560.5621.3.dta&amp;Global_Mod=CS57.0215", "5621")</f>
        <v>5621</v>
      </c>
      <c r="R796" s="36" t="str">
        <f>HYPERLINK("http://ms.phosphosite.org:5080/cgi-bin/plot-msms.cgi?MassType=1&amp;NumAxis=1&amp;Mod3=170&amp;Pep=GNKYIQQTKPLTLER&amp;Dta=/var/www/html/dta/S01/10561.5663.3.dta&amp;Global_Mod=CS57.0215", "5663")</f>
        <v>5663</v>
      </c>
      <c r="S796" s="35" t="s">
        <v>4854</v>
      </c>
      <c r="T796" s="35" t="s">
        <v>4854</v>
      </c>
      <c r="U796" s="35" t="s">
        <v>4854</v>
      </c>
      <c r="V796" s="35" t="s">
        <v>4854</v>
      </c>
      <c r="W796" s="3" t="s">
        <v>4854</v>
      </c>
      <c r="X796" s="3" t="s">
        <v>4854</v>
      </c>
      <c r="Y796" s="3" t="s">
        <v>4854</v>
      </c>
      <c r="Z796" s="3" t="s">
        <v>4854</v>
      </c>
      <c r="AA796" s="3" t="s">
        <v>4854</v>
      </c>
      <c r="AB796" s="3" t="s">
        <v>4854</v>
      </c>
      <c r="AC796" s="3" t="s">
        <v>4854</v>
      </c>
      <c r="AD796" s="3" t="s">
        <v>4854</v>
      </c>
      <c r="AE796" s="90">
        <v>3.09</v>
      </c>
      <c r="AF796" s="99" t="s">
        <v>4854</v>
      </c>
      <c r="AG796" s="90">
        <v>2.887</v>
      </c>
      <c r="AH796" s="90">
        <v>3.3660000000000001</v>
      </c>
      <c r="AI796" s="99" t="s">
        <v>4854</v>
      </c>
      <c r="AJ796" s="99" t="s">
        <v>4854</v>
      </c>
      <c r="AK796" s="99" t="s">
        <v>4854</v>
      </c>
      <c r="AL796" s="99" t="s">
        <v>4854</v>
      </c>
      <c r="AM796" s="21">
        <v>3.2000000000000001E-2</v>
      </c>
      <c r="AN796" s="102" t="s">
        <v>4854</v>
      </c>
      <c r="AO796" s="21">
        <v>0.1472</v>
      </c>
      <c r="AP796" s="21">
        <v>0.2412</v>
      </c>
      <c r="AQ796" s="102" t="s">
        <v>4854</v>
      </c>
      <c r="AR796" s="102" t="s">
        <v>4854</v>
      </c>
      <c r="AS796" s="102" t="s">
        <v>4854</v>
      </c>
      <c r="AT796" s="102" t="s">
        <v>4854</v>
      </c>
      <c r="AU796" s="21">
        <v>0.182</v>
      </c>
      <c r="AV796" s="102" t="s">
        <v>4854</v>
      </c>
      <c r="AW796" s="21">
        <v>0.19900000000000001</v>
      </c>
      <c r="AX796" s="21">
        <v>0.17699999999999999</v>
      </c>
      <c r="AY796" s="102" t="s">
        <v>4854</v>
      </c>
      <c r="AZ796" s="102" t="s">
        <v>4854</v>
      </c>
      <c r="BA796" s="102" t="s">
        <v>4854</v>
      </c>
      <c r="BB796" s="102" t="s">
        <v>4854</v>
      </c>
      <c r="BC796" s="5">
        <v>2</v>
      </c>
      <c r="BD796" s="3" t="s">
        <v>4854</v>
      </c>
      <c r="BE796" s="5">
        <v>5</v>
      </c>
      <c r="BF796" s="5">
        <v>9</v>
      </c>
      <c r="BG796" s="3" t="s">
        <v>4854</v>
      </c>
      <c r="BH796" s="3" t="s">
        <v>4854</v>
      </c>
      <c r="BI796" s="3" t="s">
        <v>4854</v>
      </c>
      <c r="BJ796" s="3" t="s">
        <v>4854</v>
      </c>
      <c r="BK796" s="90">
        <v>0.69499999999999995</v>
      </c>
      <c r="BL796" s="99" t="s">
        <v>4854</v>
      </c>
      <c r="BM796" s="90">
        <v>0.64200000000000002</v>
      </c>
      <c r="BN796" s="90">
        <v>0.66</v>
      </c>
      <c r="BO796" s="99" t="s">
        <v>4854</v>
      </c>
      <c r="BP796" s="99" t="s">
        <v>4854</v>
      </c>
      <c r="BQ796" s="99" t="s">
        <v>4854</v>
      </c>
      <c r="BR796" s="99" t="s">
        <v>4854</v>
      </c>
      <c r="BS796" s="5" t="s">
        <v>4857</v>
      </c>
    </row>
    <row r="797" spans="1:71" s="30" customFormat="1" ht="17.100000000000001" customHeight="1">
      <c r="A797" s="14">
        <v>786</v>
      </c>
      <c r="B797" s="5" t="s">
        <v>1827</v>
      </c>
      <c r="C797" s="3" t="s">
        <v>2085</v>
      </c>
      <c r="D797" s="3" t="s">
        <v>1959</v>
      </c>
      <c r="E797" s="3" t="s">
        <v>1960</v>
      </c>
      <c r="F797" s="5" t="s">
        <v>5072</v>
      </c>
      <c r="G797" s="3" t="s">
        <v>1821</v>
      </c>
      <c r="H797" s="6" t="s">
        <v>1822</v>
      </c>
      <c r="I797" s="3" t="s">
        <v>1823</v>
      </c>
      <c r="J797" s="5" t="s">
        <v>4666</v>
      </c>
      <c r="K797" s="3" t="s">
        <v>5816</v>
      </c>
      <c r="L797" s="3" t="s">
        <v>1828</v>
      </c>
      <c r="M797" s="5">
        <v>2</v>
      </c>
      <c r="N797" s="21">
        <v>534.75909999999999</v>
      </c>
      <c r="O797" s="35" t="s">
        <v>4854</v>
      </c>
      <c r="P797" s="35" t="s">
        <v>4854</v>
      </c>
      <c r="Q797" s="36" t="str">
        <f>HYPERLINK("http://ms.phosphosite.org:5080/cgi-bin/plot-msms.cgi?MassType=1&amp;NumAxis=1&amp;Mod8=170&amp;Pep=GVNQFGNKY&amp;Dta=/var/www/html/dta/S01/10560.6264.2.dta&amp;Global_Mod=CS57.0215", "6264")</f>
        <v>6264</v>
      </c>
      <c r="R797" s="35" t="s">
        <v>4854</v>
      </c>
      <c r="S797" s="36" t="str">
        <f>HYPERLINK("http://ms.phosphosite.org:5080/cgi-bin/plot-msms.cgi?MassType=1&amp;NumAxis=1&amp;Mod8=170&amp;Pep=GVNQFGNKY&amp;Dta=/var/www/html/dta/S01/10562.6415.2.dta&amp;Global_Mod=CS57.0215", "6415")</f>
        <v>6415</v>
      </c>
      <c r="T797" s="36" t="str">
        <f>HYPERLINK("http://ms.phosphosite.org:5080/cgi-bin/plot-msms.cgi?MassType=1&amp;NumAxis=1&amp;Mod8=170&amp;Pep=GVNQFGNKY&amp;Dta=/var/www/html/dta/S01/10563.6384.2.dta&amp;Global_Mod=CS57.0215", "6384")</f>
        <v>6384</v>
      </c>
      <c r="U797" s="35" t="s">
        <v>4854</v>
      </c>
      <c r="V797" s="35" t="s">
        <v>4854</v>
      </c>
      <c r="W797" s="3" t="s">
        <v>4854</v>
      </c>
      <c r="X797" s="3" t="s">
        <v>4854</v>
      </c>
      <c r="Y797" s="3" t="s">
        <v>4854</v>
      </c>
      <c r="Z797" s="3" t="s">
        <v>4854</v>
      </c>
      <c r="AA797" s="3" t="s">
        <v>4854</v>
      </c>
      <c r="AB797" s="3" t="s">
        <v>4854</v>
      </c>
      <c r="AC797" s="3" t="s">
        <v>4854</v>
      </c>
      <c r="AD797" s="3" t="s">
        <v>4854</v>
      </c>
      <c r="AE797" s="99" t="s">
        <v>4854</v>
      </c>
      <c r="AF797" s="99" t="s">
        <v>4854</v>
      </c>
      <c r="AG797" s="90">
        <v>1.869</v>
      </c>
      <c r="AH797" s="99" t="s">
        <v>4854</v>
      </c>
      <c r="AI797" s="90">
        <v>1.5029999999999999</v>
      </c>
      <c r="AJ797" s="90">
        <v>1.702</v>
      </c>
      <c r="AK797" s="99" t="s">
        <v>4854</v>
      </c>
      <c r="AL797" s="99" t="s">
        <v>4854</v>
      </c>
      <c r="AM797" s="102" t="s">
        <v>4854</v>
      </c>
      <c r="AN797" s="102" t="s">
        <v>4854</v>
      </c>
      <c r="AO797" s="21">
        <v>0.1123</v>
      </c>
      <c r="AP797" s="102" t="s">
        <v>4854</v>
      </c>
      <c r="AQ797" s="21">
        <v>-0.3286</v>
      </c>
      <c r="AR797" s="21">
        <v>0.18340000000000001</v>
      </c>
      <c r="AS797" s="102" t="s">
        <v>4854</v>
      </c>
      <c r="AT797" s="102" t="s">
        <v>4854</v>
      </c>
      <c r="AU797" s="102" t="s">
        <v>4854</v>
      </c>
      <c r="AV797" s="102" t="s">
        <v>4854</v>
      </c>
      <c r="AW797" s="21">
        <v>6.8000000000000005E-2</v>
      </c>
      <c r="AX797" s="102" t="s">
        <v>4854</v>
      </c>
      <c r="AY797" s="21">
        <v>5.8000000000000003E-2</v>
      </c>
      <c r="AZ797" s="21">
        <v>6.4000000000000001E-2</v>
      </c>
      <c r="BA797" s="102" t="s">
        <v>4854</v>
      </c>
      <c r="BB797" s="102" t="s">
        <v>4854</v>
      </c>
      <c r="BC797" s="3" t="s">
        <v>4854</v>
      </c>
      <c r="BD797" s="3" t="s">
        <v>4854</v>
      </c>
      <c r="BE797" s="5">
        <v>1</v>
      </c>
      <c r="BF797" s="3" t="s">
        <v>4854</v>
      </c>
      <c r="BG797" s="5">
        <v>1</v>
      </c>
      <c r="BH797" s="5">
        <v>4</v>
      </c>
      <c r="BI797" s="3" t="s">
        <v>4854</v>
      </c>
      <c r="BJ797" s="3" t="s">
        <v>4854</v>
      </c>
      <c r="BK797" s="99" t="s">
        <v>4854</v>
      </c>
      <c r="BL797" s="99" t="s">
        <v>4854</v>
      </c>
      <c r="BM797" s="90">
        <v>0.183</v>
      </c>
      <c r="BN797" s="99" t="s">
        <v>4854</v>
      </c>
      <c r="BO797" s="90">
        <v>5.8999999999999997E-2</v>
      </c>
      <c r="BP797" s="90">
        <v>7.5999999999999998E-2</v>
      </c>
      <c r="BQ797" s="99" t="s">
        <v>4854</v>
      </c>
      <c r="BR797" s="99" t="s">
        <v>4854</v>
      </c>
      <c r="BS797" s="5" t="s">
        <v>4857</v>
      </c>
    </row>
    <row r="798" spans="1:71" s="30" customFormat="1" ht="17.100000000000001" customHeight="1">
      <c r="A798" s="14">
        <v>787</v>
      </c>
      <c r="B798" s="5" t="s">
        <v>1829</v>
      </c>
      <c r="C798" s="3" t="s">
        <v>2085</v>
      </c>
      <c r="D798" s="3" t="s">
        <v>1959</v>
      </c>
      <c r="E798" s="3" t="s">
        <v>1960</v>
      </c>
      <c r="F798" s="5" t="s">
        <v>5072</v>
      </c>
      <c r="G798" s="3" t="s">
        <v>1821</v>
      </c>
      <c r="H798" s="6" t="s">
        <v>1822</v>
      </c>
      <c r="I798" s="3" t="s">
        <v>1823</v>
      </c>
      <c r="J798" s="5" t="s">
        <v>4666</v>
      </c>
      <c r="K798" s="3" t="s">
        <v>5816</v>
      </c>
      <c r="L798" s="3" t="s">
        <v>1830</v>
      </c>
      <c r="M798" s="5">
        <v>2</v>
      </c>
      <c r="N798" s="21">
        <v>769.88350000000003</v>
      </c>
      <c r="O798" s="35" t="s">
        <v>4854</v>
      </c>
      <c r="P798" s="35" t="s">
        <v>4854</v>
      </c>
      <c r="Q798" s="36" t="str">
        <f>HYPERLINK("http://ms.phosphosite.org:5080/cgi-bin/plot-msms.cgi?MassType=1&amp;NumAxis=1&amp;Mod8=170&amp;Pep=GVNQFGNKYIQQT&amp;Dta=/var/www/html/dta/S01/10560.7630.2.dta&amp;Global_Mod=CS57.0215", "7630")</f>
        <v>7630</v>
      </c>
      <c r="R798" s="36" t="str">
        <f>HYPERLINK("http://ms.phosphosite.org:5080/cgi-bin/plot-msms.cgi?MassType=1&amp;NumAxis=1&amp;Mod8=170&amp;Pep=GVNQFGNKYIQQT&amp;Dta=/var/www/html/dta/S01/10561.7673.2.dta&amp;Global_Mod=CS57.0215", "7673")</f>
        <v>7673</v>
      </c>
      <c r="S798" s="36" t="str">
        <f>HYPERLINK("http://ms.phosphosite.org:5080/cgi-bin/plot-msms.cgi?MassType=1&amp;NumAxis=1&amp;Mod8=170&amp;Pep=GVNQFGNKYIQQT&amp;Dta=/var/www/html/dta/S01/10562.7802.2.dta&amp;Global_Mod=CS57.0215", "7802")</f>
        <v>7802</v>
      </c>
      <c r="T798" s="36" t="str">
        <f>HYPERLINK("http://ms.phosphosite.org:5080/cgi-bin/plot-msms.cgi?MassType=1&amp;NumAxis=1&amp;Mod8=170&amp;Pep=GVNQFGNKYIQQT&amp;Dta=/var/www/html/dta/S01/10563.7748.2.dta&amp;Global_Mod=CS57.0215", "7748")</f>
        <v>7748</v>
      </c>
      <c r="U798" s="36" t="str">
        <f>HYPERLINK("http://ms.phosphosite.org:5080/cgi-bin/plot-msms.cgi?MassType=1&amp;NumAxis=1&amp;Mod8=170&amp;Pep=GVNQFGNKYIQQT&amp;Dta=/var/www/html/dta/S01/10564.8178.2.dta&amp;Global_Mod=CS57.0215", "8178")</f>
        <v>8178</v>
      </c>
      <c r="V798" s="36" t="str">
        <f>HYPERLINK("http://ms.phosphosite.org:5080/cgi-bin/plot-msms.cgi?MassType=1&amp;NumAxis=1&amp;Mod8=170&amp;Pep=GVNQFGNKYIQQT&amp;Dta=/var/www/html/dta/S01/10565.8226.2.dta&amp;Global_Mod=CS57.0215", "8226")</f>
        <v>8226</v>
      </c>
      <c r="W798" s="3" t="s">
        <v>4854</v>
      </c>
      <c r="X798" s="3" t="s">
        <v>4854</v>
      </c>
      <c r="Y798" s="3" t="s">
        <v>4854</v>
      </c>
      <c r="Z798" s="3" t="s">
        <v>4854</v>
      </c>
      <c r="AA798" s="5">
        <v>7797</v>
      </c>
      <c r="AB798" s="3" t="s">
        <v>4854</v>
      </c>
      <c r="AC798" s="3" t="s">
        <v>4854</v>
      </c>
      <c r="AD798" s="3" t="s">
        <v>4854</v>
      </c>
      <c r="AE798" s="99" t="s">
        <v>4854</v>
      </c>
      <c r="AF798" s="99" t="s">
        <v>4854</v>
      </c>
      <c r="AG798" s="90">
        <v>2.2839999999999998</v>
      </c>
      <c r="AH798" s="90">
        <v>2.73</v>
      </c>
      <c r="AI798" s="90">
        <v>2.8929999999999998</v>
      </c>
      <c r="AJ798" s="90">
        <v>2.4870000000000001</v>
      </c>
      <c r="AK798" s="90">
        <v>2.585</v>
      </c>
      <c r="AL798" s="90">
        <v>2.3250000000000002</v>
      </c>
      <c r="AM798" s="102" t="s">
        <v>4854</v>
      </c>
      <c r="AN798" s="102" t="s">
        <v>4854</v>
      </c>
      <c r="AO798" s="21">
        <v>0.33760000000000001</v>
      </c>
      <c r="AP798" s="21">
        <v>0.63849999999999996</v>
      </c>
      <c r="AQ798" s="21">
        <v>0.43049999999999999</v>
      </c>
      <c r="AR798" s="21">
        <v>0.504</v>
      </c>
      <c r="AS798" s="21">
        <v>0.24529999999999999</v>
      </c>
      <c r="AT798" s="21">
        <v>0.2999</v>
      </c>
      <c r="AU798" s="102" t="s">
        <v>4854</v>
      </c>
      <c r="AV798" s="102" t="s">
        <v>4854</v>
      </c>
      <c r="AW798" s="21">
        <v>0.29199999999999998</v>
      </c>
      <c r="AX798" s="21">
        <v>0.31900000000000001</v>
      </c>
      <c r="AY798" s="21">
        <v>0.34699999999999998</v>
      </c>
      <c r="AZ798" s="21">
        <v>0.36</v>
      </c>
      <c r="BA798" s="21">
        <v>0.27900000000000003</v>
      </c>
      <c r="BB798" s="21">
        <v>0.36499999999999999</v>
      </c>
      <c r="BC798" s="3" t="s">
        <v>4854</v>
      </c>
      <c r="BD798" s="3" t="s">
        <v>4854</v>
      </c>
      <c r="BE798" s="5">
        <v>1</v>
      </c>
      <c r="BF798" s="5">
        <v>1</v>
      </c>
      <c r="BG798" s="5">
        <v>1</v>
      </c>
      <c r="BH798" s="5">
        <v>3</v>
      </c>
      <c r="BI798" s="5">
        <v>1</v>
      </c>
      <c r="BJ798" s="5">
        <v>1</v>
      </c>
      <c r="BK798" s="99" t="s">
        <v>4854</v>
      </c>
      <c r="BL798" s="99" t="s">
        <v>4854</v>
      </c>
      <c r="BM798" s="90">
        <v>0.84599999999999997</v>
      </c>
      <c r="BN798" s="90">
        <v>0.93899999999999995</v>
      </c>
      <c r="BO798" s="90">
        <v>0.96299999999999997</v>
      </c>
      <c r="BP798" s="90">
        <v>0.92300000000000004</v>
      </c>
      <c r="BQ798" s="90">
        <v>0.89</v>
      </c>
      <c r="BR798" s="90">
        <v>0.92900000000000005</v>
      </c>
      <c r="BS798" s="5" t="s">
        <v>4857</v>
      </c>
    </row>
    <row r="799" spans="1:71" s="30" customFormat="1" ht="17.100000000000001" customHeight="1">
      <c r="A799" s="14">
        <v>788</v>
      </c>
      <c r="B799" s="5" t="s">
        <v>1831</v>
      </c>
      <c r="C799" s="3" t="s">
        <v>2085</v>
      </c>
      <c r="D799" s="3" t="s">
        <v>1959</v>
      </c>
      <c r="E799" s="3" t="s">
        <v>1960</v>
      </c>
      <c r="F799" s="5" t="s">
        <v>5072</v>
      </c>
      <c r="G799" s="3" t="s">
        <v>1821</v>
      </c>
      <c r="H799" s="6" t="s">
        <v>1822</v>
      </c>
      <c r="I799" s="3" t="s">
        <v>1823</v>
      </c>
      <c r="J799" s="5" t="s">
        <v>4666</v>
      </c>
      <c r="K799" s="3" t="s">
        <v>5816</v>
      </c>
      <c r="L799" s="3" t="s">
        <v>1832</v>
      </c>
      <c r="M799" s="5">
        <v>2</v>
      </c>
      <c r="N799" s="21">
        <v>833.93100000000004</v>
      </c>
      <c r="O799" s="36" t="str">
        <f>HYPERLINK("http://ms.phosphosite.org:5080/cgi-bin/plot-msms.cgi?MassType=1&amp;NumAxis=1&amp;Mod8=170&amp;Pep=GVNQFGNKYIQQTK&amp;Dta=/var/www/html/dta/S01/10558.6095.2.dta&amp;Global_Mod=CS57.0215", "6095")</f>
        <v>6095</v>
      </c>
      <c r="P799" s="36" t="str">
        <f>HYPERLINK("http://ms.phosphosite.org:5080/cgi-bin/plot-msms.cgi?MassType=1&amp;NumAxis=1&amp;Mod8=170&amp;Pep=GVNQFGNKYIQQTK&amp;Dta=/var/www/html/dta/S01/10559.6032.2.dta&amp;Global_Mod=CS57.0215", "6032")</f>
        <v>6032</v>
      </c>
      <c r="Q799" s="36" t="str">
        <f>HYPERLINK("http://ms.phosphosite.org:5080/cgi-bin/plot-msms.cgi?MassType=1&amp;NumAxis=1&amp;Mod8=170&amp;Pep=GVNQFGNKYIQQTK&amp;Dta=/var/www/html/dta/S01/10560.6015.2.dta&amp;Global_Mod=CS57.0215", "6015")</f>
        <v>6015</v>
      </c>
      <c r="R799" s="36" t="str">
        <f>HYPERLINK("http://ms.phosphosite.org:5080/cgi-bin/plot-msms.cgi?MassType=1&amp;NumAxis=1&amp;Mod8=170&amp;Pep=GVNQFGNKYIQQTK&amp;Dta=/var/www/html/dta/S01/10561.6068.2.dta&amp;Global_Mod=CS57.0215", "6068")</f>
        <v>6068</v>
      </c>
      <c r="S799" s="36" t="str">
        <f>HYPERLINK("http://ms.phosphosite.org:5080/cgi-bin/plot-msms.cgi?MassType=1&amp;NumAxis=1&amp;Mod8=170&amp;Pep=GVNQFGNKYIQQTK&amp;Dta=/var/www/html/dta/S01/10562.6167.2.dta&amp;Global_Mod=CS57.0215", "6167")</f>
        <v>6167</v>
      </c>
      <c r="T799" s="36" t="str">
        <f>HYPERLINK("http://ms.phosphosite.org:5080/cgi-bin/plot-msms.cgi?MassType=1&amp;NumAxis=1&amp;Mod8=170&amp;Pep=GVNQFGNKYIQQTK&amp;Dta=/var/www/html/dta/S01/10563.6129.2.dta&amp;Global_Mod=CS57.0215", "6129")</f>
        <v>6129</v>
      </c>
      <c r="U799" s="36" t="str">
        <f>HYPERLINK("http://ms.phosphosite.org:5080/cgi-bin/plot-msms.cgi?MassType=1&amp;NumAxis=1&amp;Mod8=170&amp;Pep=GVNQFGNKYIQQTK&amp;Dta=/var/www/html/dta/S01/10564.6482.2.dta&amp;Global_Mod=CS57.0215", "6482")</f>
        <v>6482</v>
      </c>
      <c r="V799" s="36" t="str">
        <f>HYPERLINK("http://ms.phosphosite.org:5080/cgi-bin/plot-msms.cgi?MassType=1&amp;NumAxis=1&amp;Mod8=170&amp;Pep=GVNQFGNKYIQQTK&amp;Dta=/var/www/html/dta/S01/10565.6547.2.dta&amp;Global_Mod=CS57.0215", "6547")</f>
        <v>6547</v>
      </c>
      <c r="W799" s="5">
        <v>6119</v>
      </c>
      <c r="X799" s="5">
        <v>6074</v>
      </c>
      <c r="Y799" s="5">
        <v>6047</v>
      </c>
      <c r="Z799" s="5">
        <v>6085</v>
      </c>
      <c r="AA799" s="5">
        <v>6183</v>
      </c>
      <c r="AB799" s="5">
        <v>6167</v>
      </c>
      <c r="AC799" s="5">
        <v>6496</v>
      </c>
      <c r="AD799" s="5">
        <v>6592</v>
      </c>
      <c r="AE799" s="90">
        <v>3.96</v>
      </c>
      <c r="AF799" s="90">
        <v>4.2679999999999998</v>
      </c>
      <c r="AG799" s="90">
        <v>3.9620000000000002</v>
      </c>
      <c r="AH799" s="90">
        <v>4.194</v>
      </c>
      <c r="AI799" s="90">
        <v>4.048</v>
      </c>
      <c r="AJ799" s="90">
        <v>3.585</v>
      </c>
      <c r="AK799" s="90">
        <v>4.0519999999999996</v>
      </c>
      <c r="AL799" s="90">
        <v>3.431</v>
      </c>
      <c r="AM799" s="21">
        <v>0.46579999999999999</v>
      </c>
      <c r="AN799" s="21">
        <v>0.61339999999999995</v>
      </c>
      <c r="AO799" s="21">
        <v>0.81259999999999999</v>
      </c>
      <c r="AP799" s="21">
        <v>0.54020000000000001</v>
      </c>
      <c r="AQ799" s="21">
        <v>0.54259999999999997</v>
      </c>
      <c r="AR799" s="21">
        <v>0.64159999999999995</v>
      </c>
      <c r="AS799" s="21">
        <v>0.49220000000000003</v>
      </c>
      <c r="AT799" s="21">
        <v>0.32900000000000001</v>
      </c>
      <c r="AU799" s="21">
        <v>0.38500000000000001</v>
      </c>
      <c r="AV799" s="21">
        <v>0.40100000000000002</v>
      </c>
      <c r="AW799" s="21">
        <v>0.373</v>
      </c>
      <c r="AX799" s="21">
        <v>0.39300000000000002</v>
      </c>
      <c r="AY799" s="21">
        <v>0.33</v>
      </c>
      <c r="AZ799" s="21">
        <v>0.371</v>
      </c>
      <c r="BA799" s="21">
        <v>0.38900000000000001</v>
      </c>
      <c r="BB799" s="21">
        <v>0.32100000000000001</v>
      </c>
      <c r="BC799" s="5">
        <v>1</v>
      </c>
      <c r="BD799" s="5">
        <v>1</v>
      </c>
      <c r="BE799" s="5">
        <v>1</v>
      </c>
      <c r="BF799" s="5">
        <v>1</v>
      </c>
      <c r="BG799" s="5">
        <v>1</v>
      </c>
      <c r="BH799" s="5">
        <v>1</v>
      </c>
      <c r="BI799" s="5">
        <v>1</v>
      </c>
      <c r="BJ799" s="5">
        <v>1</v>
      </c>
      <c r="BK799" s="90">
        <v>0.99</v>
      </c>
      <c r="BL799" s="90">
        <v>1</v>
      </c>
      <c r="BM799" s="90">
        <v>0.98899999999999999</v>
      </c>
      <c r="BN799" s="90">
        <v>1</v>
      </c>
      <c r="BO799" s="90">
        <v>0.98499999999999999</v>
      </c>
      <c r="BP799" s="90">
        <v>0.98499999999999999</v>
      </c>
      <c r="BQ799" s="90">
        <v>1</v>
      </c>
      <c r="BR799" s="90">
        <v>0.97199999999999998</v>
      </c>
      <c r="BS799" s="5" t="s">
        <v>4857</v>
      </c>
    </row>
    <row r="800" spans="1:71" s="30" customFormat="1" ht="17.100000000000001" customHeight="1">
      <c r="A800" s="14">
        <v>789</v>
      </c>
      <c r="B800" s="5" t="s">
        <v>1833</v>
      </c>
      <c r="C800" s="3" t="s">
        <v>2085</v>
      </c>
      <c r="D800" s="3" t="s">
        <v>1959</v>
      </c>
      <c r="E800" s="3" t="s">
        <v>1960</v>
      </c>
      <c r="F800" s="5" t="s">
        <v>5072</v>
      </c>
      <c r="G800" s="3" t="s">
        <v>1821</v>
      </c>
      <c r="H800" s="6" t="s">
        <v>1822</v>
      </c>
      <c r="I800" s="3" t="s">
        <v>1823</v>
      </c>
      <c r="J800" s="5" t="s">
        <v>4666</v>
      </c>
      <c r="K800" s="3" t="s">
        <v>5816</v>
      </c>
      <c r="L800" s="3" t="s">
        <v>1832</v>
      </c>
      <c r="M800" s="5">
        <v>3</v>
      </c>
      <c r="N800" s="21">
        <v>556.28980000000001</v>
      </c>
      <c r="O800" s="35" t="s">
        <v>4854</v>
      </c>
      <c r="P800" s="35" t="s">
        <v>4854</v>
      </c>
      <c r="Q800" s="36" t="str">
        <f>HYPERLINK("http://ms.phosphosite.org:5080/cgi-bin/plot-msms.cgi?MassType=1&amp;NumAxis=1&amp;Mod8=170&amp;Pep=GVNQFGNKYIQQTK&amp;Dta=/var/www/html/dta/S01/10560.6033.3.dta&amp;Global_Mod=CS57.0215", "6033")</f>
        <v>6033</v>
      </c>
      <c r="R800" s="36" t="str">
        <f>HYPERLINK("http://ms.phosphosite.org:5080/cgi-bin/plot-msms.cgi?MassType=1&amp;NumAxis=1&amp;Mod8=170&amp;Pep=GVNQFGNKYIQQTK&amp;Dta=/var/www/html/dta/S01/10561.6099.3.dta&amp;Global_Mod=CS57.0215", "6099")</f>
        <v>6099</v>
      </c>
      <c r="S800" s="35" t="s">
        <v>4854</v>
      </c>
      <c r="T800" s="35" t="s">
        <v>4854</v>
      </c>
      <c r="U800" s="36" t="str">
        <f>HYPERLINK("http://ms.phosphosite.org:5080/cgi-bin/plot-msms.cgi?MassType=1&amp;NumAxis=1&amp;Mod8=170&amp;Pep=GVNQFGNKYIQQTK&amp;Dta=/var/www/html/dta/S01/10564.6503.3.dta&amp;Global_Mod=CS57.0215", "6503")</f>
        <v>6503</v>
      </c>
      <c r="V800" s="35" t="s">
        <v>4854</v>
      </c>
      <c r="W800" s="3" t="s">
        <v>4854</v>
      </c>
      <c r="X800" s="3" t="s">
        <v>4854</v>
      </c>
      <c r="Y800" s="3" t="s">
        <v>4854</v>
      </c>
      <c r="Z800" s="3" t="s">
        <v>4854</v>
      </c>
      <c r="AA800" s="3" t="s">
        <v>4854</v>
      </c>
      <c r="AB800" s="3" t="s">
        <v>4854</v>
      </c>
      <c r="AC800" s="3" t="s">
        <v>4854</v>
      </c>
      <c r="AD800" s="3" t="s">
        <v>4854</v>
      </c>
      <c r="AE800" s="99" t="s">
        <v>4854</v>
      </c>
      <c r="AF800" s="99" t="s">
        <v>4854</v>
      </c>
      <c r="AG800" s="90">
        <v>3.0950000000000002</v>
      </c>
      <c r="AH800" s="90">
        <v>3.5720000000000001</v>
      </c>
      <c r="AI800" s="99" t="s">
        <v>4854</v>
      </c>
      <c r="AJ800" s="99" t="s">
        <v>4854</v>
      </c>
      <c r="AK800" s="90">
        <v>3.6589999999999998</v>
      </c>
      <c r="AL800" s="99" t="s">
        <v>4854</v>
      </c>
      <c r="AM800" s="102" t="s">
        <v>4854</v>
      </c>
      <c r="AN800" s="102" t="s">
        <v>4854</v>
      </c>
      <c r="AO800" s="21">
        <v>0.27679999999999999</v>
      </c>
      <c r="AP800" s="21">
        <v>0.29599999999999999</v>
      </c>
      <c r="AQ800" s="102" t="s">
        <v>4854</v>
      </c>
      <c r="AR800" s="102" t="s">
        <v>4854</v>
      </c>
      <c r="AS800" s="21">
        <v>0.1346</v>
      </c>
      <c r="AT800" s="102" t="s">
        <v>4854</v>
      </c>
      <c r="AU800" s="102" t="s">
        <v>4854</v>
      </c>
      <c r="AV800" s="102" t="s">
        <v>4854</v>
      </c>
      <c r="AW800" s="21">
        <v>0.19700000000000001</v>
      </c>
      <c r="AX800" s="21">
        <v>0.28899999999999998</v>
      </c>
      <c r="AY800" s="102" t="s">
        <v>4854</v>
      </c>
      <c r="AZ800" s="102" t="s">
        <v>4854</v>
      </c>
      <c r="BA800" s="21">
        <v>0.23</v>
      </c>
      <c r="BB800" s="102" t="s">
        <v>4854</v>
      </c>
      <c r="BC800" s="3" t="s">
        <v>4854</v>
      </c>
      <c r="BD800" s="3" t="s">
        <v>4854</v>
      </c>
      <c r="BE800" s="5">
        <v>1</v>
      </c>
      <c r="BF800" s="5">
        <v>2</v>
      </c>
      <c r="BG800" s="3" t="s">
        <v>4854</v>
      </c>
      <c r="BH800" s="3" t="s">
        <v>4854</v>
      </c>
      <c r="BI800" s="5">
        <v>3</v>
      </c>
      <c r="BJ800" s="3" t="s">
        <v>4854</v>
      </c>
      <c r="BK800" s="99" t="s">
        <v>4854</v>
      </c>
      <c r="BL800" s="99" t="s">
        <v>4854</v>
      </c>
      <c r="BM800" s="90">
        <v>0.78600000000000003</v>
      </c>
      <c r="BN800" s="90">
        <v>0.94599999999999995</v>
      </c>
      <c r="BO800" s="99" t="s">
        <v>4854</v>
      </c>
      <c r="BP800" s="99" t="s">
        <v>4854</v>
      </c>
      <c r="BQ800" s="90">
        <v>0.88800000000000001</v>
      </c>
      <c r="BR800" s="99" t="s">
        <v>4854</v>
      </c>
      <c r="BS800" s="5" t="s">
        <v>4857</v>
      </c>
    </row>
    <row r="801" spans="1:71" s="30" customFormat="1" ht="17.100000000000001" customHeight="1">
      <c r="A801" s="14">
        <v>790</v>
      </c>
      <c r="B801" s="5" t="s">
        <v>1834</v>
      </c>
      <c r="C801" s="3" t="s">
        <v>2085</v>
      </c>
      <c r="D801" s="3" t="s">
        <v>1959</v>
      </c>
      <c r="E801" s="3" t="s">
        <v>1960</v>
      </c>
      <c r="F801" s="5" t="s">
        <v>5072</v>
      </c>
      <c r="G801" s="3" t="s">
        <v>1821</v>
      </c>
      <c r="H801" s="6" t="s">
        <v>1822</v>
      </c>
      <c r="I801" s="3" t="s">
        <v>1823</v>
      </c>
      <c r="J801" s="5" t="s">
        <v>4666</v>
      </c>
      <c r="K801" s="3" t="s">
        <v>5816</v>
      </c>
      <c r="L801" s="3" t="s">
        <v>1835</v>
      </c>
      <c r="M801" s="5">
        <v>3</v>
      </c>
      <c r="N801" s="21">
        <v>697.71259999999995</v>
      </c>
      <c r="O801" s="36" t="str">
        <f>HYPERLINK("http://ms.phosphosite.org:5080/cgi-bin/plot-msms.cgi?MassType=1&amp;NumAxis=1&amp;Mod8=170&amp;Pep=GVNQFGNKYIQQTKPLTL&amp;Dta=/var/www/html/dta/S01/10558.9992.3.dta&amp;Global_Mod=CS57.0215", "9992")</f>
        <v>9992</v>
      </c>
      <c r="P801" s="36" t="str">
        <f>HYPERLINK("http://ms.phosphosite.org:5080/cgi-bin/plot-msms.cgi?MassType=1&amp;NumAxis=1&amp;Mod8=170&amp;Pep=GVNQFGNKYIQQTKPLTL&amp;Dta=/var/www/html/dta/S01/10559.9998.3.dta&amp;Global_Mod=CS57.0215", "9998")</f>
        <v>9998</v>
      </c>
      <c r="Q801" s="36" t="str">
        <f>HYPERLINK("http://ms.phosphosite.org:5080/cgi-bin/plot-msms.cgi?MassType=1&amp;NumAxis=1&amp;Mod8=170&amp;Pep=GVNQFGNKYIQQTKPLTL&amp;Dta=/var/www/html/dta/S01/10560.9988.3.dta&amp;Global_Mod=CS57.0215", "9988")</f>
        <v>9988</v>
      </c>
      <c r="R801" s="36" t="str">
        <f>HYPERLINK("http://ms.phosphosite.org:5080/cgi-bin/plot-msms.cgi?MassType=1&amp;NumAxis=1&amp;Mod8=170&amp;Pep=GVNQFGNKYIQQTKPLTL&amp;Dta=/var/www/html/dta/S01/10561.10002.3.dta&amp;Global_Mod=CS57.0215", "10002")</f>
        <v>10002</v>
      </c>
      <c r="S801" s="36" t="str">
        <f>HYPERLINK("http://ms.phosphosite.org:5080/cgi-bin/plot-msms.cgi?MassType=1&amp;NumAxis=1&amp;Mod8=170&amp;Pep=GVNQFGNKYIQQTKPLTL&amp;Dta=/var/www/html/dta/S01/10562.10171.3.dta&amp;Global_Mod=CS57.0215", "10171")</f>
        <v>10171</v>
      </c>
      <c r="T801" s="36" t="str">
        <f>HYPERLINK("http://ms.phosphosite.org:5080/cgi-bin/plot-msms.cgi?MassType=1&amp;NumAxis=1&amp;Mod8=170&amp;Pep=GVNQFGNKYIQQTKPLTL&amp;Dta=/var/www/html/dta/S01/10563.10108.3.dta&amp;Global_Mod=CS57.0215", "10108")</f>
        <v>10108</v>
      </c>
      <c r="U801" s="36" t="str">
        <f>HYPERLINK("http://ms.phosphosite.org:5080/cgi-bin/plot-msms.cgi?MassType=1&amp;NumAxis=1&amp;Mod8=170&amp;Pep=GVNQFGNKYIQQTKPLTL&amp;Dta=/var/www/html/dta/S01/10564.10583.3.dta&amp;Global_Mod=CS57.0215", "10583")</f>
        <v>10583</v>
      </c>
      <c r="V801" s="35" t="s">
        <v>4854</v>
      </c>
      <c r="W801" s="3" t="s">
        <v>4854</v>
      </c>
      <c r="X801" s="3" t="s">
        <v>4854</v>
      </c>
      <c r="Y801" s="3" t="s">
        <v>4854</v>
      </c>
      <c r="Z801" s="3" t="s">
        <v>4854</v>
      </c>
      <c r="AA801" s="5">
        <v>10191</v>
      </c>
      <c r="AB801" s="3" t="s">
        <v>4854</v>
      </c>
      <c r="AC801" s="3" t="s">
        <v>4854</v>
      </c>
      <c r="AD801" s="3" t="s">
        <v>4854</v>
      </c>
      <c r="AE801" s="90">
        <v>3.0640000000000001</v>
      </c>
      <c r="AF801" s="90">
        <v>3.0449999999999999</v>
      </c>
      <c r="AG801" s="90">
        <v>3.5419999999999998</v>
      </c>
      <c r="AH801" s="90">
        <v>3.258</v>
      </c>
      <c r="AI801" s="90">
        <v>3.9550000000000001</v>
      </c>
      <c r="AJ801" s="90">
        <v>3.6779999999999999</v>
      </c>
      <c r="AK801" s="90">
        <v>2.9129999999999998</v>
      </c>
      <c r="AL801" s="99" t="s">
        <v>4854</v>
      </c>
      <c r="AM801" s="21">
        <v>0.88670000000000004</v>
      </c>
      <c r="AN801" s="21">
        <v>1.1468</v>
      </c>
      <c r="AO801" s="21">
        <v>1.0301</v>
      </c>
      <c r="AP801" s="21">
        <v>1.0134000000000001</v>
      </c>
      <c r="AQ801" s="21">
        <v>0.68300000000000005</v>
      </c>
      <c r="AR801" s="21">
        <v>0.86280000000000001</v>
      </c>
      <c r="AS801" s="21">
        <v>0.7026</v>
      </c>
      <c r="AT801" s="102" t="s">
        <v>4854</v>
      </c>
      <c r="AU801" s="21">
        <v>0.24</v>
      </c>
      <c r="AV801" s="21">
        <v>0.13300000000000001</v>
      </c>
      <c r="AW801" s="21">
        <v>0.30099999999999999</v>
      </c>
      <c r="AX801" s="21">
        <v>0.26900000000000002</v>
      </c>
      <c r="AY801" s="21">
        <v>0.32600000000000001</v>
      </c>
      <c r="AZ801" s="21">
        <v>0.23799999999999999</v>
      </c>
      <c r="BA801" s="21">
        <v>0.13800000000000001</v>
      </c>
      <c r="BB801" s="102" t="s">
        <v>4854</v>
      </c>
      <c r="BC801" s="5">
        <v>1</v>
      </c>
      <c r="BD801" s="5">
        <v>3</v>
      </c>
      <c r="BE801" s="5">
        <v>1</v>
      </c>
      <c r="BF801" s="5">
        <v>1</v>
      </c>
      <c r="BG801" s="5">
        <v>4</v>
      </c>
      <c r="BH801" s="5">
        <v>1</v>
      </c>
      <c r="BI801" s="5">
        <v>1</v>
      </c>
      <c r="BJ801" s="3" t="s">
        <v>4854</v>
      </c>
      <c r="BK801" s="90">
        <v>0.83399999999999996</v>
      </c>
      <c r="BL801" s="90">
        <v>0.442</v>
      </c>
      <c r="BM801" s="90">
        <v>0.94799999999999995</v>
      </c>
      <c r="BN801" s="90">
        <v>0.90100000000000002</v>
      </c>
      <c r="BO801" s="90">
        <v>0.96199999999999997</v>
      </c>
      <c r="BP801" s="90">
        <v>0.89900000000000002</v>
      </c>
      <c r="BQ801" s="90">
        <v>0.495</v>
      </c>
      <c r="BR801" s="99" t="s">
        <v>4854</v>
      </c>
      <c r="BS801" s="5" t="s">
        <v>4857</v>
      </c>
    </row>
    <row r="802" spans="1:71" s="30" customFormat="1" ht="17.100000000000001" customHeight="1">
      <c r="A802" s="14">
        <v>791</v>
      </c>
      <c r="B802" s="5" t="s">
        <v>1836</v>
      </c>
      <c r="C802" s="3" t="s">
        <v>2085</v>
      </c>
      <c r="D802" s="3" t="s">
        <v>1959</v>
      </c>
      <c r="E802" s="3" t="s">
        <v>1960</v>
      </c>
      <c r="F802" s="5" t="s">
        <v>5072</v>
      </c>
      <c r="G802" s="3" t="s">
        <v>1821</v>
      </c>
      <c r="H802" s="6" t="s">
        <v>1822</v>
      </c>
      <c r="I802" s="3" t="s">
        <v>1823</v>
      </c>
      <c r="J802" s="5" t="s">
        <v>4666</v>
      </c>
      <c r="K802" s="3" t="s">
        <v>5816</v>
      </c>
      <c r="L802" s="3" t="s">
        <v>1837</v>
      </c>
      <c r="M802" s="5">
        <v>3</v>
      </c>
      <c r="N802" s="21">
        <v>792.76049999999998</v>
      </c>
      <c r="O802" s="36" t="str">
        <f>HYPERLINK("http://ms.phosphosite.org:5080/cgi-bin/plot-msms.cgi?MassType=1&amp;NumAxis=1&amp;Mod8=170&amp;Pep=GVNQFGNKYIQQTKPLTLER&amp;Dta=/var/www/html/dta/S01/10558.8239.3.dta&amp;Global_Mod=CS57.0215", "8239")</f>
        <v>8239</v>
      </c>
      <c r="P802" s="36" t="str">
        <f>HYPERLINK("http://ms.phosphosite.org:5080/cgi-bin/plot-msms.cgi?MassType=1&amp;NumAxis=1&amp;Mod8=170&amp;Pep=GVNQFGNKYIQQTKPLTLER&amp;Dta=/var/www/html/dta/S01/10559.8199.3.dta&amp;Global_Mod=CS57.0215", "8199")</f>
        <v>8199</v>
      </c>
      <c r="Q802" s="36" t="str">
        <f>HYPERLINK("http://ms.phosphosite.org:5080/cgi-bin/plot-msms.cgi?MassType=1&amp;NumAxis=1&amp;Mod8=170&amp;Pep=GVNQFGNKYIQQTKPLTLER&amp;Dta=/var/www/html/dta/S01/10560.8205.3.dta&amp;Global_Mod=CS57.0215", "8205")</f>
        <v>8205</v>
      </c>
      <c r="R802" s="36" t="str">
        <f>HYPERLINK("http://ms.phosphosite.org:5080/cgi-bin/plot-msms.cgi?MassType=1&amp;NumAxis=1&amp;Mod8=170&amp;Pep=GVNQFGNKYIQQTKPLTLER&amp;Dta=/var/www/html/dta/S01/10561.8159.3.dta&amp;Global_Mod=CS57.0215", "8159")</f>
        <v>8159</v>
      </c>
      <c r="S802" s="36" t="str">
        <f>HYPERLINK("http://ms.phosphosite.org:5080/cgi-bin/plot-msms.cgi?MassType=1&amp;NumAxis=1&amp;Mod8=170&amp;Pep=GVNQFGNKYIQQTKPLTLER&amp;Dta=/var/www/html/dta/S01/10562.8361.3.dta&amp;Global_Mod=CS57.0215", "8361")</f>
        <v>8361</v>
      </c>
      <c r="T802" s="36" t="str">
        <f>HYPERLINK("http://ms.phosphosite.org:5080/cgi-bin/plot-msms.cgi?MassType=1&amp;NumAxis=1&amp;Mod8=170&amp;Pep=GVNQFGNKYIQQTKPLTLER&amp;Dta=/var/www/html/dta/S01/10563.8231.3.dta&amp;Global_Mod=CS57.0215", "8231")</f>
        <v>8231</v>
      </c>
      <c r="U802" s="36" t="str">
        <f>HYPERLINK("http://ms.phosphosite.org:5080/cgi-bin/plot-msms.cgi?MassType=1&amp;NumAxis=1&amp;Mod8=170&amp;Pep=GVNQFGNKYIQQTKPLTLER&amp;Dta=/var/www/html/dta/S01/10564.8708.3.dta&amp;Global_Mod=CS57.0215", "8708")</f>
        <v>8708</v>
      </c>
      <c r="V802" s="36" t="str">
        <f>HYPERLINK("http://ms.phosphosite.org:5080/cgi-bin/plot-msms.cgi?MassType=1&amp;NumAxis=1&amp;Mod8=170&amp;Pep=GVNQFGNKYIQQTKPLTLER&amp;Dta=/var/www/html/dta/S01/10565.8610.3.dta&amp;Global_Mod=CS57.0215", "8610")</f>
        <v>8610</v>
      </c>
      <c r="W802" s="5">
        <v>8216</v>
      </c>
      <c r="X802" s="5">
        <v>8186</v>
      </c>
      <c r="Y802" s="5">
        <v>8159</v>
      </c>
      <c r="Z802" s="5">
        <v>8219</v>
      </c>
      <c r="AA802" s="5">
        <v>8325</v>
      </c>
      <c r="AB802" s="5">
        <v>8301</v>
      </c>
      <c r="AC802" s="5">
        <v>8674</v>
      </c>
      <c r="AD802" s="5">
        <v>8671</v>
      </c>
      <c r="AE802" s="90">
        <v>4.1399999999999997</v>
      </c>
      <c r="AF802" s="90">
        <v>3.7109999999999999</v>
      </c>
      <c r="AG802" s="90">
        <v>4.1040000000000001</v>
      </c>
      <c r="AH802" s="90">
        <v>4.0140000000000002</v>
      </c>
      <c r="AI802" s="90">
        <v>3.5089999999999999</v>
      </c>
      <c r="AJ802" s="90">
        <v>3.8140000000000001</v>
      </c>
      <c r="AK802" s="90">
        <v>3.9140000000000001</v>
      </c>
      <c r="AL802" s="90">
        <v>3.976</v>
      </c>
      <c r="AM802" s="21">
        <v>1.0382</v>
      </c>
      <c r="AN802" s="21">
        <v>0.89219999999999999</v>
      </c>
      <c r="AO802" s="21">
        <v>0.98050000000000004</v>
      </c>
      <c r="AP802" s="21">
        <v>0.9839</v>
      </c>
      <c r="AQ802" s="21">
        <v>0.79200000000000004</v>
      </c>
      <c r="AR802" s="21">
        <v>0.76629999999999998</v>
      </c>
      <c r="AS802" s="21">
        <v>0.95109999999999995</v>
      </c>
      <c r="AT802" s="21">
        <v>0.4234</v>
      </c>
      <c r="AU802" s="21">
        <v>0.318</v>
      </c>
      <c r="AV802" s="21">
        <v>0.32400000000000001</v>
      </c>
      <c r="AW802" s="21">
        <v>0.44500000000000001</v>
      </c>
      <c r="AX802" s="21">
        <v>0.309</v>
      </c>
      <c r="AY802" s="21">
        <v>0.371</v>
      </c>
      <c r="AZ802" s="21">
        <v>0.3</v>
      </c>
      <c r="BA802" s="21">
        <v>0.32</v>
      </c>
      <c r="BB802" s="21">
        <v>0.39300000000000002</v>
      </c>
      <c r="BC802" s="5">
        <v>1</v>
      </c>
      <c r="BD802" s="5">
        <v>1</v>
      </c>
      <c r="BE802" s="5">
        <v>1</v>
      </c>
      <c r="BF802" s="5">
        <v>2</v>
      </c>
      <c r="BG802" s="5">
        <v>5</v>
      </c>
      <c r="BH802" s="5">
        <v>1</v>
      </c>
      <c r="BI802" s="5">
        <v>1</v>
      </c>
      <c r="BJ802" s="5">
        <v>1</v>
      </c>
      <c r="BK802" s="90">
        <v>1</v>
      </c>
      <c r="BL802" s="90">
        <v>1</v>
      </c>
      <c r="BM802" s="90">
        <v>1</v>
      </c>
      <c r="BN802" s="90">
        <v>1</v>
      </c>
      <c r="BO802" s="90">
        <v>1</v>
      </c>
      <c r="BP802" s="90">
        <v>1</v>
      </c>
      <c r="BQ802" s="90">
        <v>1</v>
      </c>
      <c r="BR802" s="90">
        <v>1</v>
      </c>
      <c r="BS802" s="5" t="s">
        <v>4857</v>
      </c>
    </row>
    <row r="803" spans="1:71" s="30" customFormat="1" ht="17.100000000000001" customHeight="1">
      <c r="A803" s="14">
        <v>792</v>
      </c>
      <c r="B803" s="5" t="s">
        <v>1838</v>
      </c>
      <c r="C803" s="3" t="s">
        <v>2085</v>
      </c>
      <c r="D803" s="3" t="s">
        <v>1959</v>
      </c>
      <c r="E803" s="3" t="s">
        <v>1960</v>
      </c>
      <c r="F803" s="5" t="s">
        <v>5072</v>
      </c>
      <c r="G803" s="3" t="s">
        <v>1821</v>
      </c>
      <c r="H803" s="6" t="s">
        <v>1822</v>
      </c>
      <c r="I803" s="3" t="s">
        <v>1823</v>
      </c>
      <c r="J803" s="5" t="s">
        <v>4666</v>
      </c>
      <c r="K803" s="3" t="s">
        <v>5816</v>
      </c>
      <c r="L803" s="3" t="s">
        <v>1837</v>
      </c>
      <c r="M803" s="5">
        <v>3</v>
      </c>
      <c r="N803" s="21">
        <v>792.76049999999998</v>
      </c>
      <c r="O803" s="36" t="str">
        <f>HYPERLINK("http://ms.phosphosite.org:5080/cgi-bin/plot-msms.cgi?MassType=1&amp;NumAxis=1&amp;Mod8=170&amp;Pep=GVNQFGNKYIQQTKPLTLER&amp;Dta=/var/www/html/dta/S01/10558.8144.3.dta&amp;Global_Mod=CS57.0215", "8144")</f>
        <v>8144</v>
      </c>
      <c r="P803" s="36" t="str">
        <f>HYPERLINK("http://ms.phosphosite.org:5080/cgi-bin/plot-msms.cgi?MassType=1&amp;NumAxis=1&amp;Mod8=170&amp;Pep=GVNQFGNKYIQQTKPLTLER&amp;Dta=/var/www/html/dta/S01/10559.8113.3.dta&amp;Global_Mod=CS57.0215", "8113")</f>
        <v>8113</v>
      </c>
      <c r="Q803" s="36" t="str">
        <f>HYPERLINK("http://ms.phosphosite.org:5080/cgi-bin/plot-msms.cgi?MassType=1&amp;NumAxis=1&amp;Mod8=170&amp;Pep=GVNQFGNKYIQQTKPLTLER&amp;Dta=/var/www/html/dta/S01/10560.8108.3.dta&amp;Global_Mod=CS57.0215", "8108")</f>
        <v>8108</v>
      </c>
      <c r="R803" s="36" t="str">
        <f>HYPERLINK("http://ms.phosphosite.org:5080/cgi-bin/plot-msms.cgi?MassType=1&amp;NumAxis=1&amp;Mod8=170&amp;Pep=GVNQFGNKYIQQTKPLTLER&amp;Dta=/var/www/html/dta/S01/10561.8254.3.dta&amp;Global_Mod=CS57.0215", "8254")</f>
        <v>8254</v>
      </c>
      <c r="S803" s="36" t="str">
        <f>HYPERLINK("http://ms.phosphosite.org:5080/cgi-bin/plot-msms.cgi?MassType=1&amp;NumAxis=1&amp;Mod8=170&amp;Pep=GVNQFGNKYIQQTKPLTLER&amp;Dta=/var/www/html/dta/S01/10562.8262.3.dta&amp;Global_Mod=CS57.0215", "8262")</f>
        <v>8262</v>
      </c>
      <c r="T803" s="36" t="str">
        <f>HYPERLINK("http://ms.phosphosite.org:5080/cgi-bin/plot-msms.cgi?MassType=1&amp;NumAxis=1&amp;Mod8=170&amp;Pep=GVNQFGNKYIQQTKPLTLER&amp;Dta=/var/www/html/dta/S01/10563.8324.3.dta&amp;Global_Mod=CS57.0215", "8324")</f>
        <v>8324</v>
      </c>
      <c r="U803" s="36" t="str">
        <f>HYPERLINK("http://ms.phosphosite.org:5080/cgi-bin/plot-msms.cgi?MassType=1&amp;NumAxis=1&amp;Mod8=170&amp;Pep=GVNQFGNKYIQQTKPLTLER&amp;Dta=/var/www/html/dta/S01/10564.8614.3.dta&amp;Global_Mod=CS57.0215", "8614")</f>
        <v>8614</v>
      </c>
      <c r="V803" s="36" t="str">
        <f>HYPERLINK("http://ms.phosphosite.org:5080/cgi-bin/plot-msms.cgi?MassType=1&amp;NumAxis=1&amp;Mod8=170&amp;Pep=GVNQFGNKYIQQTKPLTLER&amp;Dta=/var/www/html/dta/S01/10565.8650.3.dta&amp;Global_Mod=CS57.0215", "8650")</f>
        <v>8650</v>
      </c>
      <c r="W803" s="5">
        <v>8216</v>
      </c>
      <c r="X803" s="5">
        <v>8186</v>
      </c>
      <c r="Y803" s="5">
        <v>8159</v>
      </c>
      <c r="Z803" s="5">
        <v>8219</v>
      </c>
      <c r="AA803" s="5">
        <v>8325</v>
      </c>
      <c r="AB803" s="5">
        <v>8301</v>
      </c>
      <c r="AC803" s="5">
        <v>8674</v>
      </c>
      <c r="AD803" s="5">
        <v>8671</v>
      </c>
      <c r="AE803" s="90">
        <v>3.1139999999999999</v>
      </c>
      <c r="AF803" s="90">
        <v>3.3490000000000002</v>
      </c>
      <c r="AG803" s="90">
        <v>3.1520000000000001</v>
      </c>
      <c r="AH803" s="90">
        <v>3.266</v>
      </c>
      <c r="AI803" s="90">
        <v>3.2919999999999998</v>
      </c>
      <c r="AJ803" s="90">
        <v>3.8039999999999998</v>
      </c>
      <c r="AK803" s="90">
        <v>3.5339999999999998</v>
      </c>
      <c r="AL803" s="90">
        <v>3.5009999999999999</v>
      </c>
      <c r="AM803" s="21">
        <v>1.0410999999999999</v>
      </c>
      <c r="AN803" s="21">
        <v>0.90769999999999995</v>
      </c>
      <c r="AO803" s="21">
        <v>0.97970000000000002</v>
      </c>
      <c r="AP803" s="21">
        <v>0.98309999999999997</v>
      </c>
      <c r="AQ803" s="21">
        <v>0.79120000000000001</v>
      </c>
      <c r="AR803" s="21">
        <v>0.76039999999999996</v>
      </c>
      <c r="AS803" s="21">
        <v>0.95450000000000002</v>
      </c>
      <c r="AT803" s="21">
        <v>0.42380000000000001</v>
      </c>
      <c r="AU803" s="21">
        <v>0.123</v>
      </c>
      <c r="AV803" s="21">
        <v>0.24399999999999999</v>
      </c>
      <c r="AW803" s="21">
        <v>0.34100000000000003</v>
      </c>
      <c r="AX803" s="21">
        <v>0.37</v>
      </c>
      <c r="AY803" s="21">
        <v>0.29599999999999999</v>
      </c>
      <c r="AZ803" s="21">
        <v>0.32400000000000001</v>
      </c>
      <c r="BA803" s="21">
        <v>0.2</v>
      </c>
      <c r="BB803" s="21">
        <v>0.33600000000000002</v>
      </c>
      <c r="BC803" s="5">
        <v>4</v>
      </c>
      <c r="BD803" s="5">
        <v>135</v>
      </c>
      <c r="BE803" s="5">
        <v>24</v>
      </c>
      <c r="BF803" s="5">
        <v>1</v>
      </c>
      <c r="BG803" s="5">
        <v>11</v>
      </c>
      <c r="BH803" s="5">
        <v>1</v>
      </c>
      <c r="BI803" s="5">
        <v>7</v>
      </c>
      <c r="BJ803" s="5">
        <v>1</v>
      </c>
      <c r="BK803" s="90">
        <v>0.99299999999999999</v>
      </c>
      <c r="BL803" s="90">
        <v>0.998</v>
      </c>
      <c r="BM803" s="90">
        <v>1</v>
      </c>
      <c r="BN803" s="90">
        <v>1</v>
      </c>
      <c r="BO803" s="90">
        <v>0.999</v>
      </c>
      <c r="BP803" s="90">
        <v>1</v>
      </c>
      <c r="BQ803" s="90">
        <v>0.998</v>
      </c>
      <c r="BR803" s="90">
        <v>1</v>
      </c>
      <c r="BS803" s="5" t="s">
        <v>4857</v>
      </c>
    </row>
    <row r="804" spans="1:71" s="30" customFormat="1" ht="17.100000000000001" customHeight="1">
      <c r="A804" s="14">
        <v>793</v>
      </c>
      <c r="B804" s="5" t="s">
        <v>1839</v>
      </c>
      <c r="C804" s="3" t="s">
        <v>2085</v>
      </c>
      <c r="D804" s="3" t="s">
        <v>1959</v>
      </c>
      <c r="E804" s="3" t="s">
        <v>1960</v>
      </c>
      <c r="F804" s="5" t="s">
        <v>5072</v>
      </c>
      <c r="G804" s="3" t="s">
        <v>1821</v>
      </c>
      <c r="H804" s="6" t="s">
        <v>1822</v>
      </c>
      <c r="I804" s="3" t="s">
        <v>1823</v>
      </c>
      <c r="J804" s="5" t="s">
        <v>4666</v>
      </c>
      <c r="K804" s="3" t="s">
        <v>5816</v>
      </c>
      <c r="L804" s="3" t="s">
        <v>1837</v>
      </c>
      <c r="M804" s="5">
        <v>4</v>
      </c>
      <c r="N804" s="21">
        <v>594.82219999999995</v>
      </c>
      <c r="O804" s="35" t="s">
        <v>4854</v>
      </c>
      <c r="P804" s="36" t="str">
        <f>HYPERLINK("http://ms.phosphosite.org:5080/cgi-bin/plot-msms.cgi?MassType=1&amp;NumAxis=1&amp;Mod8=170&amp;Pep=GVNQFGNKYIQQTKPLTLER&amp;Dta=/var/www/html/dta/S01/10559.8140.4.dta&amp;Global_Mod=CS57.0215", "8140")</f>
        <v>8140</v>
      </c>
      <c r="Q804" s="36" t="str">
        <f>HYPERLINK("http://ms.phosphosite.org:5080/cgi-bin/plot-msms.cgi?MassType=1&amp;NumAxis=1&amp;Mod8=170&amp;Pep=GVNQFGNKYIQQTKPLTLER&amp;Dta=/var/www/html/dta/S01/10560.8130.4.dta&amp;Global_Mod=CS57.0215", "8130")</f>
        <v>8130</v>
      </c>
      <c r="R804" s="36" t="str">
        <f>HYPERLINK("http://ms.phosphosite.org:5080/cgi-bin/plot-msms.cgi?MassType=1&amp;NumAxis=1&amp;Mod8=170&amp;Pep=GVNQFGNKYIQQTKPLTLER&amp;Dta=/var/www/html/dta/S01/10561.8180.4.dta&amp;Global_Mod=CS57.0215", "8180")</f>
        <v>8180</v>
      </c>
      <c r="S804" s="36" t="str">
        <f>HYPERLINK("http://ms.phosphosite.org:5080/cgi-bin/plot-msms.cgi?MassType=1&amp;NumAxis=1&amp;Mod8=170&amp;Pep=GVNQFGNKYIQQTKPLTLER&amp;Dta=/var/www/html/dta/S01/10562.8284.4.dta&amp;Global_Mod=CS57.0215", "8284")</f>
        <v>8284</v>
      </c>
      <c r="T804" s="36" t="str">
        <f>HYPERLINK("http://ms.phosphosite.org:5080/cgi-bin/plot-msms.cgi?MassType=1&amp;NumAxis=1&amp;Mod8=170&amp;Pep=GVNQFGNKYIQQTKPLTLER&amp;Dta=/var/www/html/dta/S01/10563.8252.4.dta&amp;Global_Mod=CS57.0215", "8252")</f>
        <v>8252</v>
      </c>
      <c r="U804" s="36" t="str">
        <f>HYPERLINK("http://ms.phosphosite.org:5080/cgi-bin/plot-msms.cgi?MassType=1&amp;NumAxis=1&amp;Mod8=170&amp;Pep=GVNQFGNKYIQQTKPLTLER&amp;Dta=/var/www/html/dta/S01/10564.8629.4.dta&amp;Global_Mod=CS57.0215", "8629")</f>
        <v>8629</v>
      </c>
      <c r="V804" s="36" t="str">
        <f>HYPERLINK("http://ms.phosphosite.org:5080/cgi-bin/plot-msms.cgi?MassType=1&amp;NumAxis=1&amp;Mod8=170&amp;Pep=GVNQFGNKYIQQTKPLTLER&amp;Dta=/var/www/html/dta/S01/10565.8624.4.dta&amp;Global_Mod=CS57.0215", "8624")</f>
        <v>8624</v>
      </c>
      <c r="W804" s="3" t="s">
        <v>4854</v>
      </c>
      <c r="X804" s="5">
        <v>8197</v>
      </c>
      <c r="Y804" s="5">
        <v>8159</v>
      </c>
      <c r="Z804" s="5">
        <v>8219</v>
      </c>
      <c r="AA804" s="5">
        <v>8325</v>
      </c>
      <c r="AB804" s="5">
        <v>8301</v>
      </c>
      <c r="AC804" s="5">
        <v>8674</v>
      </c>
      <c r="AD804" s="5">
        <v>8682</v>
      </c>
      <c r="AE804" s="99" t="s">
        <v>4854</v>
      </c>
      <c r="AF804" s="90">
        <v>3.94</v>
      </c>
      <c r="AG804" s="90">
        <v>4.3230000000000004</v>
      </c>
      <c r="AH804" s="90">
        <v>4.8129999999999997</v>
      </c>
      <c r="AI804" s="90">
        <v>4.2030000000000003</v>
      </c>
      <c r="AJ804" s="90">
        <v>4.67</v>
      </c>
      <c r="AK804" s="90">
        <v>3.601</v>
      </c>
      <c r="AL804" s="90">
        <v>3.7810000000000001</v>
      </c>
      <c r="AM804" s="102" t="s">
        <v>4854</v>
      </c>
      <c r="AN804" s="21">
        <v>0.51849999999999996</v>
      </c>
      <c r="AO804" s="21">
        <v>0.76970000000000005</v>
      </c>
      <c r="AP804" s="21">
        <v>0.81520000000000004</v>
      </c>
      <c r="AQ804" s="21">
        <v>0.55589999999999995</v>
      </c>
      <c r="AR804" s="21">
        <v>0.74739999999999995</v>
      </c>
      <c r="AS804" s="21">
        <v>0.59340000000000004</v>
      </c>
      <c r="AT804" s="21">
        <v>6.7799999999999999E-2</v>
      </c>
      <c r="AU804" s="102" t="s">
        <v>4854</v>
      </c>
      <c r="AV804" s="21">
        <v>0.29399999999999998</v>
      </c>
      <c r="AW804" s="21">
        <v>0.27800000000000002</v>
      </c>
      <c r="AX804" s="21">
        <v>0.26600000000000001</v>
      </c>
      <c r="AY804" s="21">
        <v>0.30599999999999999</v>
      </c>
      <c r="AZ804" s="21">
        <v>0.312</v>
      </c>
      <c r="BA804" s="21">
        <v>0.3</v>
      </c>
      <c r="BB804" s="21">
        <v>0.33100000000000002</v>
      </c>
      <c r="BC804" s="3" t="s">
        <v>4854</v>
      </c>
      <c r="BD804" s="5">
        <v>1</v>
      </c>
      <c r="BE804" s="5">
        <v>1</v>
      </c>
      <c r="BF804" s="5">
        <v>1</v>
      </c>
      <c r="BG804" s="5">
        <v>2</v>
      </c>
      <c r="BH804" s="5">
        <v>2</v>
      </c>
      <c r="BI804" s="5">
        <v>1</v>
      </c>
      <c r="BJ804" s="5">
        <v>1</v>
      </c>
      <c r="BK804" s="99" t="s">
        <v>4854</v>
      </c>
      <c r="BL804" s="90">
        <v>1</v>
      </c>
      <c r="BM804" s="90">
        <v>1</v>
      </c>
      <c r="BN804" s="90">
        <v>1</v>
      </c>
      <c r="BO804" s="90">
        <v>1</v>
      </c>
      <c r="BP804" s="90">
        <v>1</v>
      </c>
      <c r="BQ804" s="90">
        <v>1</v>
      </c>
      <c r="BR804" s="90">
        <v>1</v>
      </c>
      <c r="BS804" s="5" t="s">
        <v>4857</v>
      </c>
    </row>
    <row r="805" spans="1:71" s="30" customFormat="1" ht="17.100000000000001" customHeight="1">
      <c r="A805" s="10">
        <v>794</v>
      </c>
      <c r="B805" s="10" t="s">
        <v>1840</v>
      </c>
      <c r="C805" s="4" t="s">
        <v>2085</v>
      </c>
      <c r="D805" s="4" t="s">
        <v>1841</v>
      </c>
      <c r="E805" s="4" t="s">
        <v>1842</v>
      </c>
      <c r="F805" s="10" t="s">
        <v>4473</v>
      </c>
      <c r="G805" s="4" t="s">
        <v>1843</v>
      </c>
      <c r="H805" s="7" t="s">
        <v>1844</v>
      </c>
      <c r="I805" s="4" t="s">
        <v>1845</v>
      </c>
      <c r="J805" s="10" t="s">
        <v>4592</v>
      </c>
      <c r="K805" s="4" t="s">
        <v>5817</v>
      </c>
      <c r="L805" s="4" t="s">
        <v>1846</v>
      </c>
      <c r="M805" s="10">
        <v>3</v>
      </c>
      <c r="N805" s="95">
        <v>637.60310000000004</v>
      </c>
      <c r="O805" s="38" t="s">
        <v>4854</v>
      </c>
      <c r="P805" s="37" t="str">
        <f>HYPERLINK("http://ms.phosphosite.org:5080/cgi-bin/plot-msms.cgi?MassType=1&amp;NumAxis=1&amp;Mod13=147&amp;Mod16=170&amp;Pep=NNHFDHYGAPYAMGMK&amp;Dta=/var/www/html/dta/S01/10559.3361.3.dta&amp;Global_Mod=CS57.0215", "3361")</f>
        <v>3361</v>
      </c>
      <c r="Q805" s="38" t="s">
        <v>4854</v>
      </c>
      <c r="R805" s="38" t="s">
        <v>4854</v>
      </c>
      <c r="S805" s="38" t="s">
        <v>4854</v>
      </c>
      <c r="T805" s="38" t="s">
        <v>4854</v>
      </c>
      <c r="U805" s="38" t="s">
        <v>4854</v>
      </c>
      <c r="V805" s="38" t="s">
        <v>4854</v>
      </c>
      <c r="W805" s="4" t="s">
        <v>4854</v>
      </c>
      <c r="X805" s="4" t="s">
        <v>4854</v>
      </c>
      <c r="Y805" s="4" t="s">
        <v>4854</v>
      </c>
      <c r="Z805" s="4" t="s">
        <v>4854</v>
      </c>
      <c r="AA805" s="4" t="s">
        <v>4854</v>
      </c>
      <c r="AB805" s="4" t="s">
        <v>4854</v>
      </c>
      <c r="AC805" s="4" t="s">
        <v>4854</v>
      </c>
      <c r="AD805" s="4" t="s">
        <v>4854</v>
      </c>
      <c r="AE805" s="100" t="s">
        <v>4854</v>
      </c>
      <c r="AF805" s="91">
        <v>2.161</v>
      </c>
      <c r="AG805" s="100" t="s">
        <v>4854</v>
      </c>
      <c r="AH805" s="100" t="s">
        <v>4854</v>
      </c>
      <c r="AI805" s="100" t="s">
        <v>4854</v>
      </c>
      <c r="AJ805" s="100" t="s">
        <v>4854</v>
      </c>
      <c r="AK805" s="100" t="s">
        <v>4854</v>
      </c>
      <c r="AL805" s="100" t="s">
        <v>4854</v>
      </c>
      <c r="AM805" s="103" t="s">
        <v>4854</v>
      </c>
      <c r="AN805" s="95">
        <v>-1.7821</v>
      </c>
      <c r="AO805" s="103" t="s">
        <v>4854</v>
      </c>
      <c r="AP805" s="103" t="s">
        <v>4854</v>
      </c>
      <c r="AQ805" s="103" t="s">
        <v>4854</v>
      </c>
      <c r="AR805" s="103" t="s">
        <v>4854</v>
      </c>
      <c r="AS805" s="103" t="s">
        <v>4854</v>
      </c>
      <c r="AT805" s="103" t="s">
        <v>4854</v>
      </c>
      <c r="AU805" s="103" t="s">
        <v>4854</v>
      </c>
      <c r="AV805" s="95">
        <v>5.8000000000000003E-2</v>
      </c>
      <c r="AW805" s="103" t="s">
        <v>4854</v>
      </c>
      <c r="AX805" s="103" t="s">
        <v>4854</v>
      </c>
      <c r="AY805" s="103" t="s">
        <v>4854</v>
      </c>
      <c r="AZ805" s="103" t="s">
        <v>4854</v>
      </c>
      <c r="BA805" s="103" t="s">
        <v>4854</v>
      </c>
      <c r="BB805" s="103" t="s">
        <v>4854</v>
      </c>
      <c r="BC805" s="4" t="s">
        <v>4854</v>
      </c>
      <c r="BD805" s="10">
        <v>1</v>
      </c>
      <c r="BE805" s="4" t="s">
        <v>4854</v>
      </c>
      <c r="BF805" s="4" t="s">
        <v>4854</v>
      </c>
      <c r="BG805" s="4" t="s">
        <v>4854</v>
      </c>
      <c r="BH805" s="4" t="s">
        <v>4854</v>
      </c>
      <c r="BI805" s="4" t="s">
        <v>4854</v>
      </c>
      <c r="BJ805" s="4" t="s">
        <v>4854</v>
      </c>
      <c r="BK805" s="100" t="s">
        <v>4854</v>
      </c>
      <c r="BL805" s="91">
        <v>0.875</v>
      </c>
      <c r="BM805" s="100" t="s">
        <v>4854</v>
      </c>
      <c r="BN805" s="100" t="s">
        <v>4854</v>
      </c>
      <c r="BO805" s="100" t="s">
        <v>4854</v>
      </c>
      <c r="BP805" s="100" t="s">
        <v>4854</v>
      </c>
      <c r="BQ805" s="100" t="s">
        <v>4854</v>
      </c>
      <c r="BR805" s="100" t="s">
        <v>4854</v>
      </c>
      <c r="BS805" s="10" t="s">
        <v>4857</v>
      </c>
    </row>
    <row r="806" spans="1:71" s="30" customFormat="1" ht="17.100000000000001" customHeight="1">
      <c r="A806" s="14">
        <v>795</v>
      </c>
      <c r="B806" s="5" t="s">
        <v>1847</v>
      </c>
      <c r="C806" s="3" t="s">
        <v>2085</v>
      </c>
      <c r="D806" s="3" t="s">
        <v>1848</v>
      </c>
      <c r="E806" s="3" t="s">
        <v>1849</v>
      </c>
      <c r="F806" s="5" t="s">
        <v>1850</v>
      </c>
      <c r="G806" s="3" t="s">
        <v>1851</v>
      </c>
      <c r="H806" s="6" t="s">
        <v>1852</v>
      </c>
      <c r="I806" s="3" t="s">
        <v>1853</v>
      </c>
      <c r="J806" s="5" t="s">
        <v>4708</v>
      </c>
      <c r="K806" s="3" t="s">
        <v>5818</v>
      </c>
      <c r="L806" s="3" t="s">
        <v>1854</v>
      </c>
      <c r="M806" s="5">
        <v>4</v>
      </c>
      <c r="N806" s="21">
        <v>617.81209999999999</v>
      </c>
      <c r="O806" s="35" t="s">
        <v>4854</v>
      </c>
      <c r="P806" s="35" t="s">
        <v>4854</v>
      </c>
      <c r="Q806" s="35" t="s">
        <v>4854</v>
      </c>
      <c r="R806" s="35" t="s">
        <v>4854</v>
      </c>
      <c r="S806" s="35" t="s">
        <v>4854</v>
      </c>
      <c r="T806" s="35" t="s">
        <v>4854</v>
      </c>
      <c r="U806" s="35" t="s">
        <v>4854</v>
      </c>
      <c r="V806" s="36" t="str">
        <f>HYPERLINK("http://ms.phosphosite.org:5080/cgi-bin/plot-msms.cgi?MassType=1&amp;NumAxis=1&amp;Mod20=170&amp;Mod21=170&amp;Pep=KAALYVGDLDPDVTEDMLYKK&amp;Dta=/var/www/html/dta/S01/10565.12035.4.dta&amp;Global_Mod=CS57.0215", "12035")</f>
        <v>12035</v>
      </c>
      <c r="W806" s="3" t="s">
        <v>4854</v>
      </c>
      <c r="X806" s="3" t="s">
        <v>4854</v>
      </c>
      <c r="Y806" s="3" t="s">
        <v>4854</v>
      </c>
      <c r="Z806" s="3" t="s">
        <v>4854</v>
      </c>
      <c r="AA806" s="3" t="s">
        <v>4854</v>
      </c>
      <c r="AB806" s="3" t="s">
        <v>4854</v>
      </c>
      <c r="AC806" s="3" t="s">
        <v>4854</v>
      </c>
      <c r="AD806" s="3" t="s">
        <v>4854</v>
      </c>
      <c r="AE806" s="99" t="s">
        <v>4854</v>
      </c>
      <c r="AF806" s="99" t="s">
        <v>4854</v>
      </c>
      <c r="AG806" s="99" t="s">
        <v>4854</v>
      </c>
      <c r="AH806" s="99" t="s">
        <v>4854</v>
      </c>
      <c r="AI806" s="99" t="s">
        <v>4854</v>
      </c>
      <c r="AJ806" s="99" t="s">
        <v>4854</v>
      </c>
      <c r="AK806" s="99" t="s">
        <v>4854</v>
      </c>
      <c r="AL806" s="90">
        <v>2.5230000000000001</v>
      </c>
      <c r="AM806" s="102" t="s">
        <v>4854</v>
      </c>
      <c r="AN806" s="102" t="s">
        <v>4854</v>
      </c>
      <c r="AO806" s="102" t="s">
        <v>4854</v>
      </c>
      <c r="AP806" s="102" t="s">
        <v>4854</v>
      </c>
      <c r="AQ806" s="102" t="s">
        <v>4854</v>
      </c>
      <c r="AR806" s="102" t="s">
        <v>4854</v>
      </c>
      <c r="AS806" s="102" t="s">
        <v>4854</v>
      </c>
      <c r="AT806" s="21">
        <v>0.8962</v>
      </c>
      <c r="AU806" s="102" t="s">
        <v>4854</v>
      </c>
      <c r="AV806" s="102" t="s">
        <v>4854</v>
      </c>
      <c r="AW806" s="102" t="s">
        <v>4854</v>
      </c>
      <c r="AX806" s="102" t="s">
        <v>4854</v>
      </c>
      <c r="AY806" s="102" t="s">
        <v>4854</v>
      </c>
      <c r="AZ806" s="102" t="s">
        <v>4854</v>
      </c>
      <c r="BA806" s="102" t="s">
        <v>4854</v>
      </c>
      <c r="BB806" s="21">
        <v>0.114</v>
      </c>
      <c r="BC806" s="3" t="s">
        <v>4854</v>
      </c>
      <c r="BD806" s="3" t="s">
        <v>4854</v>
      </c>
      <c r="BE806" s="3" t="s">
        <v>4854</v>
      </c>
      <c r="BF806" s="3" t="s">
        <v>4854</v>
      </c>
      <c r="BG806" s="3" t="s">
        <v>4854</v>
      </c>
      <c r="BH806" s="3" t="s">
        <v>4854</v>
      </c>
      <c r="BI806" s="3" t="s">
        <v>4854</v>
      </c>
      <c r="BJ806" s="5">
        <v>10</v>
      </c>
      <c r="BK806" s="99" t="s">
        <v>4854</v>
      </c>
      <c r="BL806" s="99" t="s">
        <v>4854</v>
      </c>
      <c r="BM806" s="99" t="s">
        <v>4854</v>
      </c>
      <c r="BN806" s="99" t="s">
        <v>4854</v>
      </c>
      <c r="BO806" s="99" t="s">
        <v>4854</v>
      </c>
      <c r="BP806" s="99" t="s">
        <v>4854</v>
      </c>
      <c r="BQ806" s="99" t="s">
        <v>4854</v>
      </c>
      <c r="BR806" s="90">
        <v>0.17299999999999999</v>
      </c>
      <c r="BS806" s="5" t="s">
        <v>4857</v>
      </c>
    </row>
    <row r="807" spans="1:71" s="30" customFormat="1" ht="17.100000000000001" customHeight="1">
      <c r="A807" s="10">
        <v>796</v>
      </c>
      <c r="B807" s="10" t="s">
        <v>1855</v>
      </c>
      <c r="C807" s="4" t="s">
        <v>2085</v>
      </c>
      <c r="D807" s="4" t="s">
        <v>1856</v>
      </c>
      <c r="E807" s="4" t="s">
        <v>1857</v>
      </c>
      <c r="F807" s="10" t="s">
        <v>3866</v>
      </c>
      <c r="G807" s="4" t="s">
        <v>1858</v>
      </c>
      <c r="H807" s="7" t="s">
        <v>1859</v>
      </c>
      <c r="I807" s="4" t="s">
        <v>1860</v>
      </c>
      <c r="J807" s="10" t="s">
        <v>4473</v>
      </c>
      <c r="K807" s="4" t="s">
        <v>5819</v>
      </c>
      <c r="L807" s="4" t="s">
        <v>1861</v>
      </c>
      <c r="M807" s="10">
        <v>3</v>
      </c>
      <c r="N807" s="95">
        <v>695.74040000000002</v>
      </c>
      <c r="O807" s="38" t="s">
        <v>4854</v>
      </c>
      <c r="P807" s="38" t="s">
        <v>4854</v>
      </c>
      <c r="Q807" s="38" t="s">
        <v>4854</v>
      </c>
      <c r="R807" s="38" t="s">
        <v>4854</v>
      </c>
      <c r="S807" s="38" t="s">
        <v>4854</v>
      </c>
      <c r="T807" s="38" t="s">
        <v>4854</v>
      </c>
      <c r="U807" s="37" t="str">
        <f>HYPERLINK("http://ms.phosphosite.org:5080/cgi-bin/plot-msms.cgi?MassType=1&amp;NumAxis=1&amp;Mod4=170&amp;Pep=VGVKYTQQIIQGIQQLVK&amp;Dta=/var/www/html/dta/S01/10564.15393.3.dta&amp;Global_Mod=CS57.0215", "15393")</f>
        <v>15393</v>
      </c>
      <c r="V807" s="38" t="s">
        <v>4854</v>
      </c>
      <c r="W807" s="4" t="s">
        <v>4854</v>
      </c>
      <c r="X807" s="4" t="s">
        <v>4854</v>
      </c>
      <c r="Y807" s="4" t="s">
        <v>4854</v>
      </c>
      <c r="Z807" s="4" t="s">
        <v>4854</v>
      </c>
      <c r="AA807" s="4" t="s">
        <v>4854</v>
      </c>
      <c r="AB807" s="4" t="s">
        <v>4854</v>
      </c>
      <c r="AC807" s="4" t="s">
        <v>4854</v>
      </c>
      <c r="AD807" s="4" t="s">
        <v>4854</v>
      </c>
      <c r="AE807" s="100" t="s">
        <v>4854</v>
      </c>
      <c r="AF807" s="100" t="s">
        <v>4854</v>
      </c>
      <c r="AG807" s="100" t="s">
        <v>4854</v>
      </c>
      <c r="AH807" s="100" t="s">
        <v>4854</v>
      </c>
      <c r="AI807" s="100" t="s">
        <v>4854</v>
      </c>
      <c r="AJ807" s="100" t="s">
        <v>4854</v>
      </c>
      <c r="AK807" s="91">
        <v>2.5710000000000002</v>
      </c>
      <c r="AL807" s="100" t="s">
        <v>4854</v>
      </c>
      <c r="AM807" s="103" t="s">
        <v>4854</v>
      </c>
      <c r="AN807" s="103" t="s">
        <v>4854</v>
      </c>
      <c r="AO807" s="103" t="s">
        <v>4854</v>
      </c>
      <c r="AP807" s="103" t="s">
        <v>4854</v>
      </c>
      <c r="AQ807" s="103" t="s">
        <v>4854</v>
      </c>
      <c r="AR807" s="103" t="s">
        <v>4854</v>
      </c>
      <c r="AS807" s="95">
        <v>0.75309999999999999</v>
      </c>
      <c r="AT807" s="103" t="s">
        <v>4854</v>
      </c>
      <c r="AU807" s="103" t="s">
        <v>4854</v>
      </c>
      <c r="AV807" s="103" t="s">
        <v>4854</v>
      </c>
      <c r="AW807" s="103" t="s">
        <v>4854</v>
      </c>
      <c r="AX807" s="103" t="s">
        <v>4854</v>
      </c>
      <c r="AY807" s="103" t="s">
        <v>4854</v>
      </c>
      <c r="AZ807" s="103" t="s">
        <v>4854</v>
      </c>
      <c r="BA807" s="95">
        <v>1.4999999999999999E-2</v>
      </c>
      <c r="BB807" s="103" t="s">
        <v>4854</v>
      </c>
      <c r="BC807" s="4" t="s">
        <v>4854</v>
      </c>
      <c r="BD807" s="4" t="s">
        <v>4854</v>
      </c>
      <c r="BE807" s="4" t="s">
        <v>4854</v>
      </c>
      <c r="BF807" s="4" t="s">
        <v>4854</v>
      </c>
      <c r="BG807" s="4" t="s">
        <v>4854</v>
      </c>
      <c r="BH807" s="4" t="s">
        <v>4854</v>
      </c>
      <c r="BI807" s="10">
        <v>16</v>
      </c>
      <c r="BJ807" s="4" t="s">
        <v>4854</v>
      </c>
      <c r="BK807" s="100" t="s">
        <v>4854</v>
      </c>
      <c r="BL807" s="100" t="s">
        <v>4854</v>
      </c>
      <c r="BM807" s="100" t="s">
        <v>4854</v>
      </c>
      <c r="BN807" s="100" t="s">
        <v>4854</v>
      </c>
      <c r="BO807" s="100" t="s">
        <v>4854</v>
      </c>
      <c r="BP807" s="100" t="s">
        <v>4854</v>
      </c>
      <c r="BQ807" s="91">
        <v>0.92</v>
      </c>
      <c r="BR807" s="100" t="s">
        <v>4854</v>
      </c>
      <c r="BS807" s="10" t="s">
        <v>4857</v>
      </c>
    </row>
    <row r="808" spans="1:71" s="30" customFormat="1" ht="17.100000000000001" customHeight="1">
      <c r="A808" s="14">
        <v>797</v>
      </c>
      <c r="B808" s="5" t="s">
        <v>1862</v>
      </c>
      <c r="C808" s="3" t="s">
        <v>2085</v>
      </c>
      <c r="D808" s="3" t="s">
        <v>1863</v>
      </c>
      <c r="E808" s="3" t="s">
        <v>1864</v>
      </c>
      <c r="F808" s="5" t="s">
        <v>5146</v>
      </c>
      <c r="G808" s="3" t="s">
        <v>1865</v>
      </c>
      <c r="H808" s="6" t="s">
        <v>1866</v>
      </c>
      <c r="I808" s="3" t="s">
        <v>1867</v>
      </c>
      <c r="J808" s="5" t="s">
        <v>4456</v>
      </c>
      <c r="K808" s="3" t="s">
        <v>5820</v>
      </c>
      <c r="L808" s="3" t="s">
        <v>1868</v>
      </c>
      <c r="M808" s="5">
        <v>2</v>
      </c>
      <c r="N808" s="21">
        <v>840.38099999999997</v>
      </c>
      <c r="O808" s="36" t="str">
        <f>HYPERLINK("http://ms.phosphosite.org:5080/cgi-bin/plot-msms.cgi?MassType=1&amp;NumAxis=1&amp;Mod5=170&amp;Pep=SDSGKPYYYNSQTK&amp;Dta=/var/www/html/dta/S01/10558.4160.2.dta&amp;Global_Mod=CS57.0215", "4160")</f>
        <v>4160</v>
      </c>
      <c r="P808" s="36" t="str">
        <f>HYPERLINK("http://ms.phosphosite.org:5080/cgi-bin/plot-msms.cgi?MassType=1&amp;NumAxis=1&amp;Mod5=170&amp;Pep=SDSGKPYYYNSQTK&amp;Dta=/var/www/html/dta/S01/10559.4060.2.dta&amp;Global_Mod=CS57.0215", "4060")</f>
        <v>4060</v>
      </c>
      <c r="Q808" s="35" t="s">
        <v>4854</v>
      </c>
      <c r="R808" s="36" t="str">
        <f>HYPERLINK("http://ms.phosphosite.org:5080/cgi-bin/plot-msms.cgi?MassType=1&amp;NumAxis=1&amp;Mod5=170&amp;Pep=SDSGKPYYYNSQTK&amp;Dta=/var/www/html/dta/S01/10561.4056.2.dta&amp;Global_Mod=CS57.0215", "4056")</f>
        <v>4056</v>
      </c>
      <c r="S808" s="36" t="str">
        <f>HYPERLINK("http://ms.phosphosite.org:5080/cgi-bin/plot-msms.cgi?MassType=1&amp;NumAxis=1&amp;Mod5=170&amp;Pep=SDSGKPYYYNSQTK&amp;Dta=/var/www/html/dta/S01/10562.4176.2.dta&amp;Global_Mod=CS57.0215", "4176")</f>
        <v>4176</v>
      </c>
      <c r="T808" s="35" t="s">
        <v>4854</v>
      </c>
      <c r="U808" s="36" t="str">
        <f>HYPERLINK("http://ms.phosphosite.org:5080/cgi-bin/plot-msms.cgi?MassType=1&amp;NumAxis=1&amp;Mod5=170&amp;Pep=SDSGKPYYYNSQTK&amp;Dta=/var/www/html/dta/S01/10564.4438.2.dta&amp;Global_Mod=CS57.0215", "4438")</f>
        <v>4438</v>
      </c>
      <c r="V808" s="36" t="str">
        <f>HYPERLINK("http://ms.phosphosite.org:5080/cgi-bin/plot-msms.cgi?MassType=1&amp;NumAxis=1&amp;Mod5=170&amp;Pep=SDSGKPYYYNSQTK&amp;Dta=/var/www/html/dta/S01/10565.4546.2.dta&amp;Global_Mod=CS57.0215", "4546")</f>
        <v>4546</v>
      </c>
      <c r="W808" s="5">
        <v>4146</v>
      </c>
      <c r="X808" s="5">
        <v>4052</v>
      </c>
      <c r="Y808" s="3" t="s">
        <v>4854</v>
      </c>
      <c r="Z808" s="5">
        <v>4061</v>
      </c>
      <c r="AA808" s="5">
        <v>4168</v>
      </c>
      <c r="AB808" s="3" t="s">
        <v>4854</v>
      </c>
      <c r="AC808" s="5">
        <v>4439</v>
      </c>
      <c r="AD808" s="5">
        <v>4529</v>
      </c>
      <c r="AE808" s="90">
        <v>2.0979999999999999</v>
      </c>
      <c r="AF808" s="90">
        <v>2.665</v>
      </c>
      <c r="AG808" s="99" t="s">
        <v>4854</v>
      </c>
      <c r="AH808" s="90">
        <v>2.4630000000000001</v>
      </c>
      <c r="AI808" s="90">
        <v>2.2229999999999999</v>
      </c>
      <c r="AJ808" s="99" t="s">
        <v>4854</v>
      </c>
      <c r="AK808" s="90">
        <v>2.8660000000000001</v>
      </c>
      <c r="AL808" s="90">
        <v>3.141</v>
      </c>
      <c r="AM808" s="21">
        <v>0.34310000000000002</v>
      </c>
      <c r="AN808" s="21">
        <v>0.70620000000000005</v>
      </c>
      <c r="AO808" s="102" t="s">
        <v>4854</v>
      </c>
      <c r="AP808" s="21">
        <v>0.94850000000000001</v>
      </c>
      <c r="AQ808" s="21">
        <v>0.66039999999999999</v>
      </c>
      <c r="AR808" s="102" t="s">
        <v>4854</v>
      </c>
      <c r="AS808" s="21">
        <v>0.61870000000000003</v>
      </c>
      <c r="AT808" s="21">
        <v>0.55559999999999998</v>
      </c>
      <c r="AU808" s="21">
        <v>0.252</v>
      </c>
      <c r="AV808" s="21">
        <v>0.40799999999999997</v>
      </c>
      <c r="AW808" s="102" t="s">
        <v>4854</v>
      </c>
      <c r="AX808" s="21">
        <v>0.41499999999999998</v>
      </c>
      <c r="AY808" s="21">
        <v>0.11700000000000001</v>
      </c>
      <c r="AZ808" s="102" t="s">
        <v>4854</v>
      </c>
      <c r="BA808" s="21">
        <v>0.40400000000000003</v>
      </c>
      <c r="BB808" s="21">
        <v>0.42599999999999999</v>
      </c>
      <c r="BC808" s="5">
        <v>1</v>
      </c>
      <c r="BD808" s="5">
        <v>1</v>
      </c>
      <c r="BE808" s="3" t="s">
        <v>4854</v>
      </c>
      <c r="BF808" s="5">
        <v>1</v>
      </c>
      <c r="BG808" s="5">
        <v>8</v>
      </c>
      <c r="BH808" s="3" t="s">
        <v>4854</v>
      </c>
      <c r="BI808" s="5">
        <v>1</v>
      </c>
      <c r="BJ808" s="5">
        <v>1</v>
      </c>
      <c r="BK808" s="90">
        <v>0.999</v>
      </c>
      <c r="BL808" s="90">
        <v>1</v>
      </c>
      <c r="BM808" s="99" t="s">
        <v>4854</v>
      </c>
      <c r="BN808" s="90">
        <v>1</v>
      </c>
      <c r="BO808" s="90">
        <v>0.995</v>
      </c>
      <c r="BP808" s="99" t="s">
        <v>4854</v>
      </c>
      <c r="BQ808" s="90">
        <v>1</v>
      </c>
      <c r="BR808" s="90">
        <v>1</v>
      </c>
      <c r="BS808" s="5" t="s">
        <v>4857</v>
      </c>
    </row>
    <row r="809" spans="1:71" s="30" customFormat="1" ht="17.100000000000001" customHeight="1">
      <c r="A809" s="10">
        <v>798</v>
      </c>
      <c r="B809" s="10" t="s">
        <v>2161</v>
      </c>
      <c r="C809" s="4" t="s">
        <v>2085</v>
      </c>
      <c r="D809" s="4" t="s">
        <v>1869</v>
      </c>
      <c r="E809" s="4" t="s">
        <v>1870</v>
      </c>
      <c r="F809" s="10" t="s">
        <v>5313</v>
      </c>
      <c r="G809" s="4" t="s">
        <v>1871</v>
      </c>
      <c r="H809" s="7" t="s">
        <v>1872</v>
      </c>
      <c r="I809" s="4" t="s">
        <v>1873</v>
      </c>
      <c r="J809" s="10" t="s">
        <v>1874</v>
      </c>
      <c r="K809" s="4" t="s">
        <v>5821</v>
      </c>
      <c r="L809" s="4" t="s">
        <v>1875</v>
      </c>
      <c r="M809" s="10">
        <v>2</v>
      </c>
      <c r="N809" s="95">
        <v>1039.9561000000001</v>
      </c>
      <c r="O809" s="37" t="str">
        <f>HYPERLINK("http://ms.phosphosite.org:5080/cgi-bin/plot-msms.cgi?MassType=1&amp;NumAxis=1&amp;Mod5=170&amp;Pep=SDTGKPYYYNNQSQESR&amp;Dta=/var/www/html/dta/S01/10558.4264.2.dta&amp;Global_Mod=CS57.0215", "4264")</f>
        <v>4264</v>
      </c>
      <c r="P809" s="38" t="s">
        <v>4854</v>
      </c>
      <c r="Q809" s="38" t="s">
        <v>4854</v>
      </c>
      <c r="R809" s="38" t="s">
        <v>4854</v>
      </c>
      <c r="S809" s="37" t="str">
        <f>HYPERLINK("http://ms.phosphosite.org:5080/cgi-bin/plot-msms.cgi?MassType=1&amp;NumAxis=1&amp;Mod5=170&amp;Pep=SDTGKPYYYNNQSQESR&amp;Dta=/var/www/html/dta/S01/10562.4313.2.dta&amp;Global_Mod=CS57.0215", "4313")</f>
        <v>4313</v>
      </c>
      <c r="T809" s="37" t="str">
        <f>HYPERLINK("http://ms.phosphosite.org:5080/cgi-bin/plot-msms.cgi?MassType=1&amp;NumAxis=1&amp;Mod5=170&amp;Pep=SDTGKPYYYNNQSQESR&amp;Dta=/var/www/html/dta/S01/10563.4232.2.dta&amp;Global_Mod=CS57.0215", "4232")</f>
        <v>4232</v>
      </c>
      <c r="U809" s="37" t="str">
        <f>HYPERLINK("http://ms.phosphosite.org:5080/cgi-bin/plot-msms.cgi?MassType=1&amp;NumAxis=1&amp;Mod5=170&amp;Pep=SDTGKPYYYNNQSQESR&amp;Dta=/var/www/html/dta/S01/10564.4567.2.dta&amp;Global_Mod=CS57.0215", "4567")</f>
        <v>4567</v>
      </c>
      <c r="V809" s="38" t="s">
        <v>4854</v>
      </c>
      <c r="W809" s="10">
        <v>4278</v>
      </c>
      <c r="X809" s="4" t="s">
        <v>4854</v>
      </c>
      <c r="Y809" s="4" t="s">
        <v>4854</v>
      </c>
      <c r="Z809" s="4" t="s">
        <v>4854</v>
      </c>
      <c r="AA809" s="10">
        <v>4311</v>
      </c>
      <c r="AB809" s="10">
        <v>4244</v>
      </c>
      <c r="AC809" s="10">
        <v>4571</v>
      </c>
      <c r="AD809" s="4" t="s">
        <v>4854</v>
      </c>
      <c r="AE809" s="91">
        <v>2.2170000000000001</v>
      </c>
      <c r="AF809" s="100" t="s">
        <v>4854</v>
      </c>
      <c r="AG809" s="100" t="s">
        <v>4854</v>
      </c>
      <c r="AH809" s="100" t="s">
        <v>4854</v>
      </c>
      <c r="AI809" s="91">
        <v>1.9730000000000001</v>
      </c>
      <c r="AJ809" s="91">
        <v>2.536</v>
      </c>
      <c r="AK809" s="91">
        <v>2.153</v>
      </c>
      <c r="AL809" s="100" t="s">
        <v>4854</v>
      </c>
      <c r="AM809" s="95">
        <v>1.2402</v>
      </c>
      <c r="AN809" s="103" t="s">
        <v>4854</v>
      </c>
      <c r="AO809" s="103" t="s">
        <v>4854</v>
      </c>
      <c r="AP809" s="103" t="s">
        <v>4854</v>
      </c>
      <c r="AQ809" s="95">
        <v>0.98709999999999998</v>
      </c>
      <c r="AR809" s="95">
        <v>0.74039999999999995</v>
      </c>
      <c r="AS809" s="95">
        <v>1.421</v>
      </c>
      <c r="AT809" s="103" t="s">
        <v>4854</v>
      </c>
      <c r="AU809" s="95">
        <v>0.36699999999999999</v>
      </c>
      <c r="AV809" s="103" t="s">
        <v>4854</v>
      </c>
      <c r="AW809" s="103" t="s">
        <v>4854</v>
      </c>
      <c r="AX809" s="103" t="s">
        <v>4854</v>
      </c>
      <c r="AY809" s="95">
        <v>0.40100000000000002</v>
      </c>
      <c r="AZ809" s="95">
        <v>0.39400000000000002</v>
      </c>
      <c r="BA809" s="95">
        <v>0.36699999999999999</v>
      </c>
      <c r="BB809" s="103" t="s">
        <v>4854</v>
      </c>
      <c r="BC809" s="10">
        <v>2</v>
      </c>
      <c r="BD809" s="4" t="s">
        <v>4854</v>
      </c>
      <c r="BE809" s="4" t="s">
        <v>4854</v>
      </c>
      <c r="BF809" s="4" t="s">
        <v>4854</v>
      </c>
      <c r="BG809" s="10">
        <v>1</v>
      </c>
      <c r="BH809" s="10">
        <v>1</v>
      </c>
      <c r="BI809" s="10">
        <v>1</v>
      </c>
      <c r="BJ809" s="4" t="s">
        <v>4854</v>
      </c>
      <c r="BK809" s="91">
        <v>1</v>
      </c>
      <c r="BL809" s="100" t="s">
        <v>4854</v>
      </c>
      <c r="BM809" s="100" t="s">
        <v>4854</v>
      </c>
      <c r="BN809" s="100" t="s">
        <v>4854</v>
      </c>
      <c r="BO809" s="91">
        <v>1</v>
      </c>
      <c r="BP809" s="91">
        <v>1</v>
      </c>
      <c r="BQ809" s="91">
        <v>1</v>
      </c>
      <c r="BR809" s="100" t="s">
        <v>4854</v>
      </c>
      <c r="BS809" s="10" t="s">
        <v>4857</v>
      </c>
    </row>
    <row r="810" spans="1:71" s="30" customFormat="1" ht="17.100000000000001" customHeight="1">
      <c r="A810" s="10">
        <v>799</v>
      </c>
      <c r="B810" s="10" t="s">
        <v>1876</v>
      </c>
      <c r="C810" s="4" t="s">
        <v>2085</v>
      </c>
      <c r="D810" s="4" t="s">
        <v>1869</v>
      </c>
      <c r="E810" s="4" t="s">
        <v>1870</v>
      </c>
      <c r="F810" s="10" t="s">
        <v>5313</v>
      </c>
      <c r="G810" s="4" t="s">
        <v>1871</v>
      </c>
      <c r="H810" s="7" t="s">
        <v>1872</v>
      </c>
      <c r="I810" s="4" t="s">
        <v>1873</v>
      </c>
      <c r="J810" s="10" t="s">
        <v>1874</v>
      </c>
      <c r="K810" s="4" t="s">
        <v>5821</v>
      </c>
      <c r="L810" s="4" t="s">
        <v>1875</v>
      </c>
      <c r="M810" s="10">
        <v>3</v>
      </c>
      <c r="N810" s="95">
        <v>693.63990000000001</v>
      </c>
      <c r="O810" s="37" t="str">
        <f>HYPERLINK("http://ms.phosphosite.org:5080/cgi-bin/plot-msms.cgi?MassType=1&amp;NumAxis=1&amp;Mod5=170&amp;Pep=SDTGKPYYYNNQSQESR&amp;Dta=/var/www/html/dta/S01/10558.4266.3.dta&amp;Global_Mod=CS57.0215", "4266")</f>
        <v>4266</v>
      </c>
      <c r="P810" s="37" t="str">
        <f>HYPERLINK("http://ms.phosphosite.org:5080/cgi-bin/plot-msms.cgi?MassType=1&amp;NumAxis=1&amp;Mod5=170&amp;Pep=SDTGKPYYYNNQSQESR&amp;Dta=/var/www/html/dta/S01/10559.4169.3.dta&amp;Global_Mod=CS57.0215", "4169")</f>
        <v>4169</v>
      </c>
      <c r="Q810" s="37" t="str">
        <f>HYPERLINK("http://ms.phosphosite.org:5080/cgi-bin/plot-msms.cgi?MassType=1&amp;NumAxis=1&amp;Mod5=170&amp;Pep=SDTGKPYYYNNQSQESR&amp;Dta=/var/www/html/dta/S01/10560.4143.3.dta&amp;Global_Mod=CS57.0215", "4143")</f>
        <v>4143</v>
      </c>
      <c r="R810" s="37" t="str">
        <f>HYPERLINK("http://ms.phosphosite.org:5080/cgi-bin/plot-msms.cgi?MassType=1&amp;NumAxis=1&amp;Mod5=170&amp;Pep=SDTGKPYYYNNQSQESR&amp;Dta=/var/www/html/dta/S01/10561.4187.3.dta&amp;Global_Mod=CS57.0215", "4187")</f>
        <v>4187</v>
      </c>
      <c r="S810" s="38" t="s">
        <v>4854</v>
      </c>
      <c r="T810" s="37" t="str">
        <f>HYPERLINK("http://ms.phosphosite.org:5080/cgi-bin/plot-msms.cgi?MassType=1&amp;NumAxis=1&amp;Mod5=170&amp;Pep=SDTGKPYYYNNQSQESR&amp;Dta=/var/www/html/dta/S01/10563.4216.3.dta&amp;Global_Mod=CS57.0215", "4216")</f>
        <v>4216</v>
      </c>
      <c r="U810" s="38" t="s">
        <v>4854</v>
      </c>
      <c r="V810" s="37" t="str">
        <f>HYPERLINK("http://ms.phosphosite.org:5080/cgi-bin/plot-msms.cgi?MassType=1&amp;NumAxis=1&amp;Mod5=170&amp;Pep=SDTGKPYYYNNQSQESR&amp;Dta=/var/www/html/dta/S01/10565.4679.3.dta&amp;Global_Mod=CS57.0215", "4679")</f>
        <v>4679</v>
      </c>
      <c r="W810" s="10">
        <v>4289</v>
      </c>
      <c r="X810" s="10">
        <v>4184</v>
      </c>
      <c r="Y810" s="10">
        <v>4147</v>
      </c>
      <c r="Z810" s="10">
        <v>4182</v>
      </c>
      <c r="AA810" s="4" t="s">
        <v>4854</v>
      </c>
      <c r="AB810" s="10">
        <v>4222</v>
      </c>
      <c r="AC810" s="4" t="s">
        <v>4854</v>
      </c>
      <c r="AD810" s="10">
        <v>4682</v>
      </c>
      <c r="AE810" s="91">
        <v>2.13</v>
      </c>
      <c r="AF810" s="91">
        <v>2.4569999999999999</v>
      </c>
      <c r="AG810" s="91">
        <v>2.762</v>
      </c>
      <c r="AH810" s="91">
        <v>2.9119999999999999</v>
      </c>
      <c r="AI810" s="100" t="s">
        <v>4854</v>
      </c>
      <c r="AJ810" s="91">
        <v>2.6520000000000001</v>
      </c>
      <c r="AK810" s="100" t="s">
        <v>4854</v>
      </c>
      <c r="AL810" s="91">
        <v>3.1669999999999998</v>
      </c>
      <c r="AM810" s="95">
        <v>0.54359999999999997</v>
      </c>
      <c r="AN810" s="95">
        <v>0.18909999999999999</v>
      </c>
      <c r="AO810" s="95">
        <v>0.53159999999999996</v>
      </c>
      <c r="AP810" s="95">
        <v>0.86350000000000005</v>
      </c>
      <c r="AQ810" s="103" t="s">
        <v>4854</v>
      </c>
      <c r="AR810" s="95">
        <v>0.71540000000000004</v>
      </c>
      <c r="AS810" s="103" t="s">
        <v>4854</v>
      </c>
      <c r="AT810" s="95">
        <v>4.7199999999999999E-2</v>
      </c>
      <c r="AU810" s="95">
        <v>0.1</v>
      </c>
      <c r="AV810" s="95">
        <v>0.28199999999999997</v>
      </c>
      <c r="AW810" s="95">
        <v>0.20200000000000001</v>
      </c>
      <c r="AX810" s="95">
        <v>0.25600000000000001</v>
      </c>
      <c r="AY810" s="103" t="s">
        <v>4854</v>
      </c>
      <c r="AZ810" s="95">
        <v>0.29799999999999999</v>
      </c>
      <c r="BA810" s="103" t="s">
        <v>4854</v>
      </c>
      <c r="BB810" s="95">
        <v>0.36199999999999999</v>
      </c>
      <c r="BC810" s="10">
        <v>44</v>
      </c>
      <c r="BD810" s="10">
        <v>1</v>
      </c>
      <c r="BE810" s="10">
        <v>10</v>
      </c>
      <c r="BF810" s="10">
        <v>1</v>
      </c>
      <c r="BG810" s="4" t="s">
        <v>4854</v>
      </c>
      <c r="BH810" s="10">
        <v>10</v>
      </c>
      <c r="BI810" s="4" t="s">
        <v>4854</v>
      </c>
      <c r="BJ810" s="10">
        <v>1</v>
      </c>
      <c r="BK810" s="91">
        <v>0.98899999999999999</v>
      </c>
      <c r="BL810" s="91">
        <v>1</v>
      </c>
      <c r="BM810" s="91">
        <v>0.999</v>
      </c>
      <c r="BN810" s="91">
        <v>1</v>
      </c>
      <c r="BO810" s="100" t="s">
        <v>4854</v>
      </c>
      <c r="BP810" s="91">
        <v>1</v>
      </c>
      <c r="BQ810" s="100" t="s">
        <v>4854</v>
      </c>
      <c r="BR810" s="91">
        <v>1</v>
      </c>
      <c r="BS810" s="10" t="s">
        <v>4857</v>
      </c>
    </row>
    <row r="811" spans="1:71" s="30" customFormat="1" ht="17.100000000000001" customHeight="1">
      <c r="A811" s="14">
        <v>800</v>
      </c>
      <c r="B811" s="5" t="s">
        <v>1877</v>
      </c>
      <c r="C811" s="3" t="s">
        <v>2085</v>
      </c>
      <c r="D811" s="3" t="s">
        <v>1878</v>
      </c>
      <c r="E811" s="3" t="s">
        <v>1879</v>
      </c>
      <c r="F811" s="5" t="s">
        <v>3486</v>
      </c>
      <c r="G811" s="3" t="s">
        <v>1880</v>
      </c>
      <c r="H811" s="6" t="s">
        <v>1881</v>
      </c>
      <c r="I811" s="3" t="s">
        <v>1882</v>
      </c>
      <c r="J811" s="5" t="s">
        <v>4638</v>
      </c>
      <c r="K811" s="3" t="s">
        <v>1887</v>
      </c>
      <c r="L811" s="3" t="s">
        <v>1883</v>
      </c>
      <c r="M811" s="5">
        <v>2</v>
      </c>
      <c r="N811" s="21">
        <v>870.39390000000003</v>
      </c>
      <c r="O811" s="36" t="str">
        <f>HYPERLINK("http://ms.phosphosite.org:5080/cgi-bin/plot-msms.cgi?MassType=1&amp;NumAxis=1&amp;Mod7=170&amp;Pep=QQEGGFKPNYMENR&amp;Dta=/var/www/html/dta/S01/10558.5927.2.dta&amp;Global_Mod=CS57.0215", "5927")</f>
        <v>5927</v>
      </c>
      <c r="P811" s="36" t="str">
        <f>HYPERLINK("http://ms.phosphosite.org:5080/cgi-bin/plot-msms.cgi?MassType=1&amp;NumAxis=1&amp;Mod7=170&amp;Pep=QQEGGFKPNYMENR&amp;Dta=/var/www/html/dta/S01/10559.5875.2.dta&amp;Global_Mod=CS57.0215", "5875")</f>
        <v>5875</v>
      </c>
      <c r="Q811" s="36" t="str">
        <f>HYPERLINK("http://ms.phosphosite.org:5080/cgi-bin/plot-msms.cgi?MassType=1&amp;NumAxis=1&amp;Mod7=170&amp;Pep=QQEGGFKPNYMENR&amp;Dta=/var/www/html/dta/S01/10560.5845.2.dta&amp;Global_Mod=CS57.0215", "5845")</f>
        <v>5845</v>
      </c>
      <c r="R811" s="36" t="str">
        <f>HYPERLINK("http://ms.phosphosite.org:5080/cgi-bin/plot-msms.cgi?MassType=1&amp;NumAxis=1&amp;Mod7=170&amp;Pep=QQEGGFKPNYMENR&amp;Dta=/var/www/html/dta/S01/10561.5927.2.dta&amp;Global_Mod=CS57.0215", "5927")</f>
        <v>5927</v>
      </c>
      <c r="S811" s="36" t="str">
        <f>HYPERLINK("http://ms.phosphosite.org:5080/cgi-bin/plot-msms.cgi?MassType=1&amp;NumAxis=1&amp;Mod7=170&amp;Pep=QQEGGFKPNYMENR&amp;Dta=/var/www/html/dta/S01/10562.6006.2.dta&amp;Global_Mod=CS57.0215", "6006")</f>
        <v>6006</v>
      </c>
      <c r="T811" s="35" t="s">
        <v>4854</v>
      </c>
      <c r="U811" s="36" t="str">
        <f>HYPERLINK("http://ms.phosphosite.org:5080/cgi-bin/plot-msms.cgi?MassType=1&amp;NumAxis=1&amp;Mod7=170&amp;Pep=QQEGGFKPNYMENR&amp;Dta=/var/www/html/dta/S01/10564.6295.2.dta&amp;Global_Mod=CS57.0215", "6295")</f>
        <v>6295</v>
      </c>
      <c r="V811" s="36" t="str">
        <f>HYPERLINK("http://ms.phosphosite.org:5080/cgi-bin/plot-msms.cgi?MassType=1&amp;NumAxis=1&amp;Mod7=170&amp;Pep=QQEGGFKPNYMENR&amp;Dta=/var/www/html/dta/S01/10565.6403.2.dta&amp;Global_Mod=CS57.0215", "6403")</f>
        <v>6403</v>
      </c>
      <c r="W811" s="5">
        <v>5954</v>
      </c>
      <c r="X811" s="5">
        <v>5876</v>
      </c>
      <c r="Y811" s="5">
        <v>5838</v>
      </c>
      <c r="Z811" s="5">
        <v>5920</v>
      </c>
      <c r="AA811" s="5">
        <v>6007</v>
      </c>
      <c r="AB811" s="3" t="s">
        <v>4854</v>
      </c>
      <c r="AC811" s="5">
        <v>6320</v>
      </c>
      <c r="AD811" s="5">
        <v>6416</v>
      </c>
      <c r="AE811" s="90">
        <v>2.5910000000000002</v>
      </c>
      <c r="AF811" s="90">
        <v>3.214</v>
      </c>
      <c r="AG811" s="90">
        <v>1.9430000000000001</v>
      </c>
      <c r="AH811" s="90">
        <v>2.1120000000000001</v>
      </c>
      <c r="AI811" s="90">
        <v>2.7730000000000001</v>
      </c>
      <c r="AJ811" s="99" t="s">
        <v>4854</v>
      </c>
      <c r="AK811" s="90">
        <v>2.4929999999999999</v>
      </c>
      <c r="AL811" s="90">
        <v>2.9289999999999998</v>
      </c>
      <c r="AM811" s="21">
        <v>0.38840000000000002</v>
      </c>
      <c r="AN811" s="21">
        <v>0.9798</v>
      </c>
      <c r="AO811" s="21">
        <v>0.91949999999999998</v>
      </c>
      <c r="AP811" s="21">
        <v>1.3654999999999999</v>
      </c>
      <c r="AQ811" s="21">
        <v>1.8023</v>
      </c>
      <c r="AR811" s="102" t="s">
        <v>4854</v>
      </c>
      <c r="AS811" s="21">
        <v>1.1994</v>
      </c>
      <c r="AT811" s="21">
        <v>0.79649999999999999</v>
      </c>
      <c r="AU811" s="21">
        <v>0.371</v>
      </c>
      <c r="AV811" s="21">
        <v>0.48699999999999999</v>
      </c>
      <c r="AW811" s="21">
        <v>0.28799999999999998</v>
      </c>
      <c r="AX811" s="21">
        <v>0.34</v>
      </c>
      <c r="AY811" s="21">
        <v>0.49299999999999999</v>
      </c>
      <c r="AZ811" s="102" t="s">
        <v>4854</v>
      </c>
      <c r="BA811" s="21">
        <v>0.48599999999999999</v>
      </c>
      <c r="BB811" s="21">
        <v>0.443</v>
      </c>
      <c r="BC811" s="5">
        <v>2</v>
      </c>
      <c r="BD811" s="5">
        <v>1</v>
      </c>
      <c r="BE811" s="5">
        <v>3</v>
      </c>
      <c r="BF811" s="5">
        <v>14</v>
      </c>
      <c r="BG811" s="5">
        <v>1</v>
      </c>
      <c r="BH811" s="3" t="s">
        <v>4854</v>
      </c>
      <c r="BI811" s="5">
        <v>1</v>
      </c>
      <c r="BJ811" s="5">
        <v>1</v>
      </c>
      <c r="BK811" s="90">
        <v>1</v>
      </c>
      <c r="BL811" s="90">
        <v>1</v>
      </c>
      <c r="BM811" s="90">
        <v>0.999</v>
      </c>
      <c r="BN811" s="90">
        <v>1</v>
      </c>
      <c r="BO811" s="90">
        <v>1</v>
      </c>
      <c r="BP811" s="99" t="s">
        <v>4854</v>
      </c>
      <c r="BQ811" s="90">
        <v>1</v>
      </c>
      <c r="BR811" s="90">
        <v>1</v>
      </c>
      <c r="BS811" s="5" t="s">
        <v>4857</v>
      </c>
    </row>
    <row r="812" spans="1:71" s="30" customFormat="1" ht="17.100000000000001" customHeight="1">
      <c r="A812" s="14">
        <v>801</v>
      </c>
      <c r="B812" s="5" t="s">
        <v>1884</v>
      </c>
      <c r="C812" s="3" t="s">
        <v>2085</v>
      </c>
      <c r="D812" s="3" t="s">
        <v>1878</v>
      </c>
      <c r="E812" s="3" t="s">
        <v>1879</v>
      </c>
      <c r="F812" s="5" t="s">
        <v>3486</v>
      </c>
      <c r="G812" s="3" t="s">
        <v>1880</v>
      </c>
      <c r="H812" s="6" t="s">
        <v>1881</v>
      </c>
      <c r="I812" s="3" t="s">
        <v>1882</v>
      </c>
      <c r="J812" s="5" t="s">
        <v>4638</v>
      </c>
      <c r="K812" s="3" t="s">
        <v>1887</v>
      </c>
      <c r="L812" s="3" t="s">
        <v>1885</v>
      </c>
      <c r="M812" s="5">
        <v>2</v>
      </c>
      <c r="N812" s="21">
        <v>878.39139999999998</v>
      </c>
      <c r="O812" s="36" t="str">
        <f>HYPERLINK("http://ms.phosphosite.org:5080/cgi-bin/plot-msms.cgi?MassType=1&amp;NumAxis=1&amp;Mod7=170&amp;Mod11=147&amp;Pep=QQEGGFKPNYMENR&amp;Dta=/var/www/html/dta/S01/10558.4497.2.dta&amp;Global_Mod=CS57.0215", "4497")</f>
        <v>4497</v>
      </c>
      <c r="P812" s="36" t="str">
        <f>HYPERLINK("http://ms.phosphosite.org:5080/cgi-bin/plot-msms.cgi?MassType=1&amp;NumAxis=1&amp;Mod7=170&amp;Mod11=147&amp;Pep=QQEGGFKPNYMENR&amp;Dta=/var/www/html/dta/S01/10559.4400.2.dta&amp;Global_Mod=CS57.0215", "4400")</f>
        <v>4400</v>
      </c>
      <c r="Q812" s="36" t="str">
        <f>HYPERLINK("http://ms.phosphosite.org:5080/cgi-bin/plot-msms.cgi?MassType=1&amp;NumAxis=1&amp;Mod7=170&amp;Mod11=147&amp;Pep=QQEGGFKPNYMENR&amp;Dta=/var/www/html/dta/S01/10560.4383.2.dta&amp;Global_Mod=CS57.0215", "4383")</f>
        <v>4383</v>
      </c>
      <c r="R812" s="36" t="str">
        <f>HYPERLINK("http://ms.phosphosite.org:5080/cgi-bin/plot-msms.cgi?MassType=1&amp;NumAxis=1&amp;Mod7=170&amp;Mod11=147&amp;Pep=QQEGGFKPNYMENR&amp;Dta=/var/www/html/dta/S01/10561.4423.2.dta&amp;Global_Mod=CS57.0215", "4423")</f>
        <v>4423</v>
      </c>
      <c r="S812" s="36" t="str">
        <f>HYPERLINK("http://ms.phosphosite.org:5080/cgi-bin/plot-msms.cgi?MassType=1&amp;NumAxis=1&amp;Mod7=170&amp;Mod11=147&amp;Pep=QQEGGFKPNYMENR&amp;Dta=/var/www/html/dta/S01/10562.4540.2.dta&amp;Global_Mod=CS57.0215", "4540")</f>
        <v>4540</v>
      </c>
      <c r="T812" s="35" t="s">
        <v>4854</v>
      </c>
      <c r="U812" s="36" t="str">
        <f>HYPERLINK("http://ms.phosphosite.org:5080/cgi-bin/plot-msms.cgi?MassType=1&amp;NumAxis=1&amp;Mod7=170&amp;Mod11=147&amp;Pep=QQEGGFKPNYMENR&amp;Dta=/var/www/html/dta/S01/10564.4788.2.dta&amp;Global_Mod=CS57.0215", "4788")</f>
        <v>4788</v>
      </c>
      <c r="V812" s="35" t="s">
        <v>4854</v>
      </c>
      <c r="W812" s="5">
        <v>4509</v>
      </c>
      <c r="X812" s="5">
        <v>4382</v>
      </c>
      <c r="Y812" s="5">
        <v>4389</v>
      </c>
      <c r="Z812" s="5">
        <v>4391</v>
      </c>
      <c r="AA812" s="5">
        <v>4531</v>
      </c>
      <c r="AB812" s="3" t="s">
        <v>4854</v>
      </c>
      <c r="AC812" s="5">
        <v>4780</v>
      </c>
      <c r="AD812" s="3" t="s">
        <v>4854</v>
      </c>
      <c r="AE812" s="90">
        <v>2.585</v>
      </c>
      <c r="AF812" s="90">
        <v>3.1960000000000002</v>
      </c>
      <c r="AG812" s="90">
        <v>2.2109999999999999</v>
      </c>
      <c r="AH812" s="90">
        <v>1.831</v>
      </c>
      <c r="AI812" s="90">
        <v>2.1349999999999998</v>
      </c>
      <c r="AJ812" s="99" t="s">
        <v>4854</v>
      </c>
      <c r="AK812" s="90">
        <v>3.0550000000000002</v>
      </c>
      <c r="AL812" s="99" t="s">
        <v>4854</v>
      </c>
      <c r="AM812" s="21">
        <v>-0.1179</v>
      </c>
      <c r="AN812" s="21">
        <v>1.0002</v>
      </c>
      <c r="AO812" s="21">
        <v>1.3190999999999999</v>
      </c>
      <c r="AP812" s="21">
        <v>1.5087999999999999</v>
      </c>
      <c r="AQ812" s="21">
        <v>0.79339999999999999</v>
      </c>
      <c r="AR812" s="102" t="s">
        <v>4854</v>
      </c>
      <c r="AS812" s="21">
        <v>0.1139</v>
      </c>
      <c r="AT812" s="102" t="s">
        <v>4854</v>
      </c>
      <c r="AU812" s="21">
        <v>0.44600000000000001</v>
      </c>
      <c r="AV812" s="21">
        <v>0.46100000000000002</v>
      </c>
      <c r="AW812" s="21">
        <v>0.248</v>
      </c>
      <c r="AX812" s="21">
        <v>0.32600000000000001</v>
      </c>
      <c r="AY812" s="21">
        <v>0.23</v>
      </c>
      <c r="AZ812" s="102" t="s">
        <v>4854</v>
      </c>
      <c r="BA812" s="21">
        <v>0.42499999999999999</v>
      </c>
      <c r="BB812" s="102" t="s">
        <v>4854</v>
      </c>
      <c r="BC812" s="5">
        <v>1</v>
      </c>
      <c r="BD812" s="5">
        <v>1</v>
      </c>
      <c r="BE812" s="5">
        <v>1</v>
      </c>
      <c r="BF812" s="5">
        <v>2</v>
      </c>
      <c r="BG812" s="5">
        <v>25</v>
      </c>
      <c r="BH812" s="3" t="s">
        <v>4854</v>
      </c>
      <c r="BI812" s="5">
        <v>1</v>
      </c>
      <c r="BJ812" s="3" t="s">
        <v>4854</v>
      </c>
      <c r="BK812" s="90">
        <v>1</v>
      </c>
      <c r="BL812" s="90">
        <v>1</v>
      </c>
      <c r="BM812" s="90">
        <v>1</v>
      </c>
      <c r="BN812" s="90">
        <v>0.998</v>
      </c>
      <c r="BO812" s="90">
        <v>0.998</v>
      </c>
      <c r="BP812" s="99" t="s">
        <v>4854</v>
      </c>
      <c r="BQ812" s="90">
        <v>1</v>
      </c>
      <c r="BR812" s="99" t="s">
        <v>4854</v>
      </c>
      <c r="BS812" s="5" t="s">
        <v>4857</v>
      </c>
    </row>
    <row r="813" spans="1:71" s="30" customFormat="1" ht="17.100000000000001" customHeight="1">
      <c r="A813" s="14">
        <v>802</v>
      </c>
      <c r="B813" s="5" t="s">
        <v>1886</v>
      </c>
      <c r="C813" s="3" t="s">
        <v>2085</v>
      </c>
      <c r="D813" s="3" t="s">
        <v>1878</v>
      </c>
      <c r="E813" s="3" t="s">
        <v>1879</v>
      </c>
      <c r="F813" s="5" t="s">
        <v>3486</v>
      </c>
      <c r="G813" s="3" t="s">
        <v>1880</v>
      </c>
      <c r="H813" s="6" t="s">
        <v>1881</v>
      </c>
      <c r="I813" s="3" t="s">
        <v>1882</v>
      </c>
      <c r="J813" s="5" t="s">
        <v>4638</v>
      </c>
      <c r="K813" s="3" t="s">
        <v>1887</v>
      </c>
      <c r="L813" s="3" t="s">
        <v>1887</v>
      </c>
      <c r="M813" s="5">
        <v>3</v>
      </c>
      <c r="N813" s="21">
        <v>632.63210000000004</v>
      </c>
      <c r="O813" s="35" t="s">
        <v>4854</v>
      </c>
      <c r="P813" s="35" t="s">
        <v>4854</v>
      </c>
      <c r="Q813" s="36" t="str">
        <f>HYPERLINK("http://ms.phosphosite.org:5080/cgi-bin/plot-msms.cgi?MassType=1&amp;NumAxis=1&amp;Mod8=170&amp;Pep=RQQEGGFKPNYMENR&amp;Dta=/var/www/html/dta/S01/10560.4622.3.dta&amp;Global_Mod=CS57.0215", "4622")</f>
        <v>4622</v>
      </c>
      <c r="R813" s="36" t="str">
        <f>HYPERLINK("http://ms.phosphosite.org:5080/cgi-bin/plot-msms.cgi?MassType=1&amp;NumAxis=1&amp;Mod8=170&amp;Pep=RQQEGGFKPNYMENR&amp;Dta=/var/www/html/dta/S01/10561.4674.3.dta&amp;Global_Mod=CS57.0215", "4674")</f>
        <v>4674</v>
      </c>
      <c r="S813" s="36" t="str">
        <f>HYPERLINK("http://ms.phosphosite.org:5080/cgi-bin/plot-msms.cgi?MassType=1&amp;NumAxis=1&amp;Mod8=170&amp;Pep=RQQEGGFKPNYMENR&amp;Dta=/var/www/html/dta/S01/10562.4764.3.dta&amp;Global_Mod=CS57.0215", "4764")</f>
        <v>4764</v>
      </c>
      <c r="T813" s="36" t="str">
        <f>HYPERLINK("http://ms.phosphosite.org:5080/cgi-bin/plot-msms.cgi?MassType=1&amp;NumAxis=1&amp;Mod8=170&amp;Pep=RQQEGGFKPNYMENR&amp;Dta=/var/www/html/dta/S01/10563.4690.3.dta&amp;Global_Mod=CS57.0215", "4690")</f>
        <v>4690</v>
      </c>
      <c r="U813" s="36" t="str">
        <f>HYPERLINK("http://ms.phosphosite.org:5080/cgi-bin/plot-msms.cgi?MassType=1&amp;NumAxis=1&amp;Mod8=170&amp;Pep=RQQEGGFKPNYMENR&amp;Dta=/var/www/html/dta/S01/10564.5026.3.dta&amp;Global_Mod=CS57.0215", "5026")</f>
        <v>5026</v>
      </c>
      <c r="V813" s="36" t="str">
        <f>HYPERLINK("http://ms.phosphosite.org:5080/cgi-bin/plot-msms.cgi?MassType=1&amp;NumAxis=1&amp;Mod8=170&amp;Pep=RQQEGGFKPNYMENR&amp;Dta=/var/www/html/dta/S01/10565.5154.3.dta&amp;Global_Mod=CS57.0215", "5154")</f>
        <v>5154</v>
      </c>
      <c r="W813" s="3" t="s">
        <v>4854</v>
      </c>
      <c r="X813" s="3" t="s">
        <v>4854</v>
      </c>
      <c r="Y813" s="5">
        <v>4639</v>
      </c>
      <c r="Z813" s="5">
        <v>4666</v>
      </c>
      <c r="AA813" s="5">
        <v>4779</v>
      </c>
      <c r="AB813" s="5">
        <v>4705</v>
      </c>
      <c r="AC813" s="5">
        <v>5055</v>
      </c>
      <c r="AD813" s="5">
        <v>5163</v>
      </c>
      <c r="AE813" s="99" t="s">
        <v>4854</v>
      </c>
      <c r="AF813" s="99" t="s">
        <v>4854</v>
      </c>
      <c r="AG813" s="90">
        <v>2.4790000000000001</v>
      </c>
      <c r="AH813" s="90">
        <v>2.8039999999999998</v>
      </c>
      <c r="AI813" s="90">
        <v>2.5779999999999998</v>
      </c>
      <c r="AJ813" s="90">
        <v>3.198</v>
      </c>
      <c r="AK813" s="90">
        <v>2.899</v>
      </c>
      <c r="AL813" s="90">
        <v>3.0009999999999999</v>
      </c>
      <c r="AM813" s="102" t="s">
        <v>4854</v>
      </c>
      <c r="AN813" s="102" t="s">
        <v>4854</v>
      </c>
      <c r="AO813" s="21">
        <v>0.81740000000000002</v>
      </c>
      <c r="AP813" s="21">
        <v>0.77990000000000004</v>
      </c>
      <c r="AQ813" s="21">
        <v>0.65180000000000005</v>
      </c>
      <c r="AR813" s="21">
        <v>0.94399999999999995</v>
      </c>
      <c r="AS813" s="21">
        <v>0.15859999999999999</v>
      </c>
      <c r="AT813" s="21">
        <v>0.39429999999999998</v>
      </c>
      <c r="AU813" s="102" t="s">
        <v>4854</v>
      </c>
      <c r="AV813" s="102" t="s">
        <v>4854</v>
      </c>
      <c r="AW813" s="21">
        <v>1.7000000000000001E-2</v>
      </c>
      <c r="AX813" s="21">
        <v>9.9000000000000005E-2</v>
      </c>
      <c r="AY813" s="21">
        <v>8.7999999999999995E-2</v>
      </c>
      <c r="AZ813" s="21">
        <v>0.27</v>
      </c>
      <c r="BA813" s="21">
        <v>0.13300000000000001</v>
      </c>
      <c r="BB813" s="21">
        <v>0.308</v>
      </c>
      <c r="BC813" s="3" t="s">
        <v>4854</v>
      </c>
      <c r="BD813" s="3" t="s">
        <v>4854</v>
      </c>
      <c r="BE813" s="5">
        <v>13</v>
      </c>
      <c r="BF813" s="5">
        <v>1</v>
      </c>
      <c r="BG813" s="5">
        <v>1</v>
      </c>
      <c r="BH813" s="5">
        <v>1</v>
      </c>
      <c r="BI813" s="5">
        <v>1</v>
      </c>
      <c r="BJ813" s="5">
        <v>1</v>
      </c>
      <c r="BK813" s="99" t="s">
        <v>4854</v>
      </c>
      <c r="BL813" s="99" t="s">
        <v>4854</v>
      </c>
      <c r="BM813" s="90">
        <v>0.98599999999999999</v>
      </c>
      <c r="BN813" s="90">
        <v>0.999</v>
      </c>
      <c r="BO813" s="90">
        <v>0.998</v>
      </c>
      <c r="BP813" s="90">
        <v>1</v>
      </c>
      <c r="BQ813" s="90">
        <v>0.999</v>
      </c>
      <c r="BR813" s="90">
        <v>1</v>
      </c>
      <c r="BS813" s="5" t="s">
        <v>4857</v>
      </c>
    </row>
    <row r="814" spans="1:71" s="30" customFormat="1" ht="17.100000000000001" customHeight="1">
      <c r="A814" s="14">
        <v>803</v>
      </c>
      <c r="B814" s="5" t="s">
        <v>1888</v>
      </c>
      <c r="C814" s="3" t="s">
        <v>2085</v>
      </c>
      <c r="D814" s="3" t="s">
        <v>1878</v>
      </c>
      <c r="E814" s="3" t="s">
        <v>1879</v>
      </c>
      <c r="F814" s="5" t="s">
        <v>3486</v>
      </c>
      <c r="G814" s="3" t="s">
        <v>1880</v>
      </c>
      <c r="H814" s="6" t="s">
        <v>1881</v>
      </c>
      <c r="I814" s="3" t="s">
        <v>1882</v>
      </c>
      <c r="J814" s="5" t="s">
        <v>4638</v>
      </c>
      <c r="K814" s="3" t="s">
        <v>1887</v>
      </c>
      <c r="L814" s="3" t="s">
        <v>1889</v>
      </c>
      <c r="M814" s="5">
        <v>3</v>
      </c>
      <c r="N814" s="21">
        <v>637.96370000000002</v>
      </c>
      <c r="O814" s="35" t="s">
        <v>4854</v>
      </c>
      <c r="P814" s="35" t="s">
        <v>4854</v>
      </c>
      <c r="Q814" s="35" t="s">
        <v>4854</v>
      </c>
      <c r="R814" s="36" t="str">
        <f>HYPERLINK("http://ms.phosphosite.org:5080/cgi-bin/plot-msms.cgi?MassType=1&amp;NumAxis=1&amp;Mod8=170&amp;Mod12=147&amp;Pep=RQQEGGFKPNYMENR&amp;Dta=/var/www/html/dta/S01/10561.3454.3.dta&amp;Global_Mod=CS57.0215", "3454")</f>
        <v>3454</v>
      </c>
      <c r="S814" s="35" t="s">
        <v>4854</v>
      </c>
      <c r="T814" s="35" t="s">
        <v>4854</v>
      </c>
      <c r="U814" s="35" t="s">
        <v>4854</v>
      </c>
      <c r="V814" s="35" t="s">
        <v>4854</v>
      </c>
      <c r="W814" s="3" t="s">
        <v>4854</v>
      </c>
      <c r="X814" s="3" t="s">
        <v>4854</v>
      </c>
      <c r="Y814" s="3" t="s">
        <v>4854</v>
      </c>
      <c r="Z814" s="5">
        <v>3456</v>
      </c>
      <c r="AA814" s="3" t="s">
        <v>4854</v>
      </c>
      <c r="AB814" s="3" t="s">
        <v>4854</v>
      </c>
      <c r="AC814" s="3" t="s">
        <v>4854</v>
      </c>
      <c r="AD814" s="3" t="s">
        <v>4854</v>
      </c>
      <c r="AE814" s="99" t="s">
        <v>4854</v>
      </c>
      <c r="AF814" s="99" t="s">
        <v>4854</v>
      </c>
      <c r="AG814" s="99" t="s">
        <v>4854</v>
      </c>
      <c r="AH814" s="90">
        <v>2.9119999999999999</v>
      </c>
      <c r="AI814" s="99" t="s">
        <v>4854</v>
      </c>
      <c r="AJ814" s="99" t="s">
        <v>4854</v>
      </c>
      <c r="AK814" s="99" t="s">
        <v>4854</v>
      </c>
      <c r="AL814" s="99" t="s">
        <v>4854</v>
      </c>
      <c r="AM814" s="102" t="s">
        <v>4854</v>
      </c>
      <c r="AN814" s="102" t="s">
        <v>4854</v>
      </c>
      <c r="AO814" s="102" t="s">
        <v>4854</v>
      </c>
      <c r="AP814" s="21">
        <v>1.3635999999999999</v>
      </c>
      <c r="AQ814" s="102" t="s">
        <v>4854</v>
      </c>
      <c r="AR814" s="102" t="s">
        <v>4854</v>
      </c>
      <c r="AS814" s="102" t="s">
        <v>4854</v>
      </c>
      <c r="AT814" s="102" t="s">
        <v>4854</v>
      </c>
      <c r="AU814" s="102" t="s">
        <v>4854</v>
      </c>
      <c r="AV814" s="102" t="s">
        <v>4854</v>
      </c>
      <c r="AW814" s="102" t="s">
        <v>4854</v>
      </c>
      <c r="AX814" s="21">
        <v>0.11</v>
      </c>
      <c r="AY814" s="102" t="s">
        <v>4854</v>
      </c>
      <c r="AZ814" s="102" t="s">
        <v>4854</v>
      </c>
      <c r="BA814" s="102" t="s">
        <v>4854</v>
      </c>
      <c r="BB814" s="102" t="s">
        <v>4854</v>
      </c>
      <c r="BC814" s="3" t="s">
        <v>4854</v>
      </c>
      <c r="BD814" s="3" t="s">
        <v>4854</v>
      </c>
      <c r="BE814" s="3" t="s">
        <v>4854</v>
      </c>
      <c r="BF814" s="5">
        <v>1</v>
      </c>
      <c r="BG814" s="3" t="s">
        <v>4854</v>
      </c>
      <c r="BH814" s="3" t="s">
        <v>4854</v>
      </c>
      <c r="BI814" s="3" t="s">
        <v>4854</v>
      </c>
      <c r="BJ814" s="3" t="s">
        <v>4854</v>
      </c>
      <c r="BK814" s="99" t="s">
        <v>4854</v>
      </c>
      <c r="BL814" s="99" t="s">
        <v>4854</v>
      </c>
      <c r="BM814" s="99" t="s">
        <v>4854</v>
      </c>
      <c r="BN814" s="90">
        <v>0.999</v>
      </c>
      <c r="BO814" s="99" t="s">
        <v>4854</v>
      </c>
      <c r="BP814" s="99" t="s">
        <v>4854</v>
      </c>
      <c r="BQ814" s="99" t="s">
        <v>4854</v>
      </c>
      <c r="BR814" s="99" t="s">
        <v>4854</v>
      </c>
      <c r="BS814" s="5" t="s">
        <v>4857</v>
      </c>
    </row>
    <row r="815" spans="1:71" s="30" customFormat="1" ht="17.100000000000001" customHeight="1">
      <c r="A815" s="10">
        <v>804</v>
      </c>
      <c r="B815" s="10" t="s">
        <v>1890</v>
      </c>
      <c r="C815" s="4" t="s">
        <v>2085</v>
      </c>
      <c r="D815" s="4" t="s">
        <v>1891</v>
      </c>
      <c r="E815" s="4" t="s">
        <v>1892</v>
      </c>
      <c r="F815" s="10" t="s">
        <v>5226</v>
      </c>
      <c r="G815" s="4" t="s">
        <v>1758</v>
      </c>
      <c r="H815" s="7" t="s">
        <v>1759</v>
      </c>
      <c r="I815" s="4" t="s">
        <v>1760</v>
      </c>
      <c r="J815" s="10" t="s">
        <v>1761</v>
      </c>
      <c r="K815" s="4" t="s">
        <v>5822</v>
      </c>
      <c r="L815" s="4" t="s">
        <v>1762</v>
      </c>
      <c r="M815" s="10">
        <v>2</v>
      </c>
      <c r="N815" s="95">
        <v>626.83789999999999</v>
      </c>
      <c r="O815" s="37" t="str">
        <f>HYPERLINK("http://ms.phosphosite.org:5080/cgi-bin/plot-msms.cgi?MassType=1&amp;NumAxis=1&amp;Mod8=170&amp;Pep=ALEAVFGKYGR&amp;Dta=/var/www/html/dta/S01/10558.8683.2.dta&amp;Global_Mod=CS57.0215", "8683")</f>
        <v>8683</v>
      </c>
      <c r="P815" s="38" t="s">
        <v>4854</v>
      </c>
      <c r="Q815" s="37" t="str">
        <f>HYPERLINK("http://ms.phosphosite.org:5080/cgi-bin/plot-msms.cgi?MassType=1&amp;NumAxis=1&amp;Mod8=170&amp;Pep=ALEAVFGKYGR&amp;Dta=/var/www/html/dta/S01/10560.8637.2.dta&amp;Global_Mod=CS57.0215", "8637")</f>
        <v>8637</v>
      </c>
      <c r="R815" s="37" t="str">
        <f>HYPERLINK("http://ms.phosphosite.org:5080/cgi-bin/plot-msms.cgi?MassType=1&amp;NumAxis=1&amp;Mod8=170&amp;Pep=ALEAVFGKYGR&amp;Dta=/var/www/html/dta/S01/10561.8673.2.dta&amp;Global_Mod=CS57.0215", "8673")</f>
        <v>8673</v>
      </c>
      <c r="S815" s="37" t="str">
        <f>HYPERLINK("http://ms.phosphosite.org:5080/cgi-bin/plot-msms.cgi?MassType=1&amp;NumAxis=1&amp;Mod8=170&amp;Pep=ALEAVFGKYGR&amp;Dta=/var/www/html/dta/S01/10562.8793.2.dta&amp;Global_Mod=CS57.0215", "8793")</f>
        <v>8793</v>
      </c>
      <c r="T815" s="37" t="str">
        <f>HYPERLINK("http://ms.phosphosite.org:5080/cgi-bin/plot-msms.cgi?MassType=1&amp;NumAxis=1&amp;Mod8=170&amp;Pep=ALEAVFGKYGR&amp;Dta=/var/www/html/dta/S01/10563.8769.2.dta&amp;Global_Mod=CS57.0215", "8769")</f>
        <v>8769</v>
      </c>
      <c r="U815" s="37" t="str">
        <f>HYPERLINK("http://ms.phosphosite.org:5080/cgi-bin/plot-msms.cgi?MassType=1&amp;NumAxis=1&amp;Mod8=170&amp;Pep=ALEAVFGKYGR&amp;Dta=/var/www/html/dta/S01/10564.9252.2.dta&amp;Global_Mod=CS57.0215", "9252")</f>
        <v>9252</v>
      </c>
      <c r="V815" s="37" t="str">
        <f>HYPERLINK("http://ms.phosphosite.org:5080/cgi-bin/plot-msms.cgi?MassType=1&amp;NumAxis=1&amp;Mod8=170&amp;Pep=ALEAVFGKYGR&amp;Dta=/var/www/html/dta/S01/10565.9253.2.dta&amp;Global_Mod=CS57.0215", "9253")</f>
        <v>9253</v>
      </c>
      <c r="W815" s="10">
        <v>8689</v>
      </c>
      <c r="X815" s="4" t="s">
        <v>4854</v>
      </c>
      <c r="Y815" s="10">
        <v>8643</v>
      </c>
      <c r="Z815" s="10">
        <v>8670</v>
      </c>
      <c r="AA815" s="10">
        <v>8776</v>
      </c>
      <c r="AB815" s="10">
        <v>8774</v>
      </c>
      <c r="AC815" s="10">
        <v>9257</v>
      </c>
      <c r="AD815" s="10">
        <v>9254</v>
      </c>
      <c r="AE815" s="91">
        <v>2.665</v>
      </c>
      <c r="AF815" s="100" t="s">
        <v>4854</v>
      </c>
      <c r="AG815" s="91">
        <v>2.97</v>
      </c>
      <c r="AH815" s="91">
        <v>2.5209999999999999</v>
      </c>
      <c r="AI815" s="91">
        <v>3.1110000000000002</v>
      </c>
      <c r="AJ815" s="91">
        <v>2.6269999999999998</v>
      </c>
      <c r="AK815" s="91">
        <v>1.885</v>
      </c>
      <c r="AL815" s="91">
        <v>2.9569999999999999</v>
      </c>
      <c r="AM815" s="95">
        <v>0.7006</v>
      </c>
      <c r="AN815" s="103" t="s">
        <v>4854</v>
      </c>
      <c r="AO815" s="95">
        <v>0.55769999999999997</v>
      </c>
      <c r="AP815" s="95">
        <v>1.0096000000000001</v>
      </c>
      <c r="AQ815" s="95">
        <v>0.39729999999999999</v>
      </c>
      <c r="AR815" s="95">
        <v>1.5620000000000001</v>
      </c>
      <c r="AS815" s="95">
        <v>1.2714000000000001</v>
      </c>
      <c r="AT815" s="95">
        <v>0.83950000000000002</v>
      </c>
      <c r="AU815" s="95">
        <v>0.308</v>
      </c>
      <c r="AV815" s="103" t="s">
        <v>4854</v>
      </c>
      <c r="AW815" s="95">
        <v>0.42199999999999999</v>
      </c>
      <c r="AX815" s="95">
        <v>0.30599999999999999</v>
      </c>
      <c r="AY815" s="95">
        <v>0.36099999999999999</v>
      </c>
      <c r="AZ815" s="95">
        <v>0.309</v>
      </c>
      <c r="BA815" s="95">
        <v>0.23300000000000001</v>
      </c>
      <c r="BB815" s="95">
        <v>0.29899999999999999</v>
      </c>
      <c r="BC815" s="10">
        <v>1</v>
      </c>
      <c r="BD815" s="4" t="s">
        <v>4854</v>
      </c>
      <c r="BE815" s="10">
        <v>1</v>
      </c>
      <c r="BF815" s="10">
        <v>1</v>
      </c>
      <c r="BG815" s="10">
        <v>1</v>
      </c>
      <c r="BH815" s="10">
        <v>1</v>
      </c>
      <c r="BI815" s="10">
        <v>1</v>
      </c>
      <c r="BJ815" s="10">
        <v>1</v>
      </c>
      <c r="BK815" s="91">
        <v>1</v>
      </c>
      <c r="BL815" s="100" t="s">
        <v>4854</v>
      </c>
      <c r="BM815" s="91">
        <v>1</v>
      </c>
      <c r="BN815" s="91">
        <v>0.999</v>
      </c>
      <c r="BO815" s="91">
        <v>1</v>
      </c>
      <c r="BP815" s="91">
        <v>1</v>
      </c>
      <c r="BQ815" s="91">
        <v>0.99399999999999999</v>
      </c>
      <c r="BR815" s="91">
        <v>1</v>
      </c>
      <c r="BS815" s="10" t="s">
        <v>4857</v>
      </c>
    </row>
    <row r="816" spans="1:71" s="30" customFormat="1" ht="17.100000000000001" customHeight="1">
      <c r="A816" s="14">
        <v>805</v>
      </c>
      <c r="B816" s="5" t="s">
        <v>1763</v>
      </c>
      <c r="C816" s="3" t="s">
        <v>2085</v>
      </c>
      <c r="D816" s="3" t="s">
        <v>1764</v>
      </c>
      <c r="E816" s="6" t="s">
        <v>1765</v>
      </c>
      <c r="F816" s="5" t="s">
        <v>5066</v>
      </c>
      <c r="G816" s="3" t="s">
        <v>1766</v>
      </c>
      <c r="H816" s="6" t="s">
        <v>1767</v>
      </c>
      <c r="I816" s="3" t="s">
        <v>1768</v>
      </c>
      <c r="J816" s="5" t="s">
        <v>4672</v>
      </c>
      <c r="K816" s="3" t="s">
        <v>5823</v>
      </c>
      <c r="L816" s="3" t="s">
        <v>1769</v>
      </c>
      <c r="M816" s="5">
        <v>2</v>
      </c>
      <c r="N816" s="21">
        <v>532.29840000000002</v>
      </c>
      <c r="O816" s="36" t="str">
        <f>HYPERLINK("http://ms.phosphosite.org:5080/cgi-bin/plot-msms.cgi?MassType=1&amp;NumAxis=1&amp;Mod6=170&amp;Pep=KLDNTKFR&amp;Dta=/var/www/html/dta/S01/10558.2745.2.dta&amp;Global_Mod=CS57.0215", "2745")</f>
        <v>2745</v>
      </c>
      <c r="P816" s="36" t="str">
        <f>HYPERLINK("http://ms.phosphosite.org:5080/cgi-bin/plot-msms.cgi?MassType=1&amp;NumAxis=1&amp;Mod6=170&amp;Pep=KLDNTKFR&amp;Dta=/var/www/html/dta/S01/10559.2695.2.dta&amp;Global_Mod=CS57.0215", "2695")</f>
        <v>2695</v>
      </c>
      <c r="Q816" s="36" t="str">
        <f>HYPERLINK("http://ms.phosphosite.org:5080/cgi-bin/plot-msms.cgi?MassType=1&amp;NumAxis=1&amp;Mod6=170&amp;Pep=KLDNTKFR&amp;Dta=/var/www/html/dta/S01/10560.2670.2.dta&amp;Global_Mod=CS57.0215", "2670")</f>
        <v>2670</v>
      </c>
      <c r="R816" s="36" t="str">
        <f>HYPERLINK("http://ms.phosphosite.org:5080/cgi-bin/plot-msms.cgi?MassType=1&amp;NumAxis=1&amp;Mod6=170&amp;Pep=KLDNTKFR&amp;Dta=/var/www/html/dta/S01/10561.2698.2.dta&amp;Global_Mod=CS57.0215", "2698")</f>
        <v>2698</v>
      </c>
      <c r="S816" s="36" t="str">
        <f>HYPERLINK("http://ms.phosphosite.org:5080/cgi-bin/plot-msms.cgi?MassType=1&amp;NumAxis=1&amp;Mod6=170&amp;Pep=KLDNTKFR&amp;Dta=/var/www/html/dta/S01/10562.2782.2.dta&amp;Global_Mod=CS57.0215", "2782")</f>
        <v>2782</v>
      </c>
      <c r="T816" s="36" t="str">
        <f>HYPERLINK("http://ms.phosphosite.org:5080/cgi-bin/plot-msms.cgi?MassType=1&amp;NumAxis=1&amp;Mod6=170&amp;Pep=KLDNTKFR&amp;Dta=/var/www/html/dta/S01/10563.2702.2.dta&amp;Global_Mod=CS57.0215", "2702")</f>
        <v>2702</v>
      </c>
      <c r="U816" s="36" t="str">
        <f>HYPERLINK("http://ms.phosphosite.org:5080/cgi-bin/plot-msms.cgi?MassType=1&amp;NumAxis=1&amp;Mod6=170&amp;Pep=KLDNTKFR&amp;Dta=/var/www/html/dta/S01/10564.3044.2.dta&amp;Global_Mod=CS57.0215", "3044")</f>
        <v>3044</v>
      </c>
      <c r="V816" s="36" t="str">
        <f>HYPERLINK("http://ms.phosphosite.org:5080/cgi-bin/plot-msms.cgi?MassType=1&amp;NumAxis=1&amp;Mod6=170&amp;Pep=KLDNTKFR&amp;Dta=/var/www/html/dta/S01/10565.3125.2.dta&amp;Global_Mod=CS57.0215", "3125")</f>
        <v>3125</v>
      </c>
      <c r="W816" s="5">
        <v>2763</v>
      </c>
      <c r="X816" s="5">
        <v>2715</v>
      </c>
      <c r="Y816" s="5">
        <v>2669</v>
      </c>
      <c r="Z816" s="5">
        <v>2707</v>
      </c>
      <c r="AA816" s="5">
        <v>2789</v>
      </c>
      <c r="AB816" s="3" t="s">
        <v>4854</v>
      </c>
      <c r="AC816" s="5">
        <v>3061</v>
      </c>
      <c r="AD816" s="5">
        <v>3143</v>
      </c>
      <c r="AE816" s="90">
        <v>2.36</v>
      </c>
      <c r="AF816" s="90">
        <v>2.31</v>
      </c>
      <c r="AG816" s="90">
        <v>2.3010000000000002</v>
      </c>
      <c r="AH816" s="90">
        <v>2.3540000000000001</v>
      </c>
      <c r="AI816" s="90">
        <v>2.3490000000000002</v>
      </c>
      <c r="AJ816" s="90">
        <v>2.2759999999999998</v>
      </c>
      <c r="AK816" s="90">
        <v>2.3359999999999999</v>
      </c>
      <c r="AL816" s="90">
        <v>2.5409999999999999</v>
      </c>
      <c r="AM816" s="21">
        <v>-0.42849999999999999</v>
      </c>
      <c r="AN816" s="21">
        <v>-0.3251</v>
      </c>
      <c r="AO816" s="21">
        <v>0.23619999999999999</v>
      </c>
      <c r="AP816" s="21">
        <v>-6.3700000000000007E-2</v>
      </c>
      <c r="AQ816" s="21">
        <v>0.17510000000000001</v>
      </c>
      <c r="AR816" s="21">
        <v>-0.25269999999999998</v>
      </c>
      <c r="AS816" s="21">
        <v>-7.22E-2</v>
      </c>
      <c r="AT816" s="21">
        <v>-0.16900000000000001</v>
      </c>
      <c r="AU816" s="21">
        <v>7.0999999999999994E-2</v>
      </c>
      <c r="AV816" s="21">
        <v>3.2000000000000001E-2</v>
      </c>
      <c r="AW816" s="21">
        <v>0.17799999999999999</v>
      </c>
      <c r="AX816" s="21">
        <v>8.6999999999999994E-2</v>
      </c>
      <c r="AY816" s="21">
        <v>8.3000000000000004E-2</v>
      </c>
      <c r="AZ816" s="21">
        <v>2.5999999999999999E-2</v>
      </c>
      <c r="BA816" s="21">
        <v>7.0000000000000007E-2</v>
      </c>
      <c r="BB816" s="21">
        <v>0.09</v>
      </c>
      <c r="BC816" s="5">
        <v>3</v>
      </c>
      <c r="BD816" s="5">
        <v>21</v>
      </c>
      <c r="BE816" s="5">
        <v>1</v>
      </c>
      <c r="BF816" s="5">
        <v>13</v>
      </c>
      <c r="BG816" s="5">
        <v>12</v>
      </c>
      <c r="BH816" s="5">
        <v>58</v>
      </c>
      <c r="BI816" s="5">
        <v>10</v>
      </c>
      <c r="BJ816" s="5">
        <v>7</v>
      </c>
      <c r="BK816" s="90">
        <v>0.98799999999999999</v>
      </c>
      <c r="BL816" s="90">
        <v>0.96099999999999997</v>
      </c>
      <c r="BM816" s="90">
        <v>0.997</v>
      </c>
      <c r="BN816" s="90">
        <v>0.98399999999999999</v>
      </c>
      <c r="BO816" s="90">
        <v>0.98399999999999999</v>
      </c>
      <c r="BP816" s="90">
        <v>0.93700000000000006</v>
      </c>
      <c r="BQ816" s="90">
        <v>0.98099999999999998</v>
      </c>
      <c r="BR816" s="90">
        <v>0.99199999999999999</v>
      </c>
      <c r="BS816" s="5" t="s">
        <v>4857</v>
      </c>
    </row>
    <row r="817" spans="1:71" s="30" customFormat="1" ht="17.100000000000001" customHeight="1">
      <c r="A817" s="10">
        <v>806</v>
      </c>
      <c r="B817" s="10" t="s">
        <v>1770</v>
      </c>
      <c r="C817" s="4" t="s">
        <v>2085</v>
      </c>
      <c r="D817" s="4" t="s">
        <v>1771</v>
      </c>
      <c r="E817" s="4" t="s">
        <v>1772</v>
      </c>
      <c r="F817" s="10" t="s">
        <v>5237</v>
      </c>
      <c r="G817" s="4" t="s">
        <v>1773</v>
      </c>
      <c r="H817" s="7" t="s">
        <v>1774</v>
      </c>
      <c r="I817" s="4" t="s">
        <v>1775</v>
      </c>
      <c r="J817" s="10" t="s">
        <v>4664</v>
      </c>
      <c r="K817" s="4" t="s">
        <v>5824</v>
      </c>
      <c r="L817" s="4" t="s">
        <v>1776</v>
      </c>
      <c r="M817" s="10">
        <v>2</v>
      </c>
      <c r="N817" s="95">
        <v>470.74799999999999</v>
      </c>
      <c r="O817" s="38" t="s">
        <v>4854</v>
      </c>
      <c r="P817" s="38" t="s">
        <v>4854</v>
      </c>
      <c r="Q817" s="38" t="s">
        <v>4854</v>
      </c>
      <c r="R817" s="37" t="str">
        <f>HYPERLINK("http://ms.phosphosite.org:5080/cgi-bin/plot-msms.cgi?MassType=1&amp;NumAxis=1&amp;Mod4=170&amp;Pep=VFEKYGR&amp;Dta=/var/www/html/dta/S01/10561.3846.2.dta&amp;Global_Mod=CS57.0215", "3846")</f>
        <v>3846</v>
      </c>
      <c r="S817" s="38" t="s">
        <v>4854</v>
      </c>
      <c r="T817" s="37" t="str">
        <f>HYPERLINK("http://ms.phosphosite.org:5080/cgi-bin/plot-msms.cgi?MassType=1&amp;NumAxis=1&amp;Mod4=170&amp;Pep=VFEKYGR&amp;Dta=/var/www/html/dta/S01/10563.3891.2.dta&amp;Global_Mod=CS57.0215", "3891")</f>
        <v>3891</v>
      </c>
      <c r="U817" s="38" t="s">
        <v>4854</v>
      </c>
      <c r="V817" s="37" t="str">
        <f>HYPERLINK("http://ms.phosphosite.org:5080/cgi-bin/plot-msms.cgi?MassType=1&amp;NumAxis=1&amp;Mod4=170&amp;Pep=VFEKYGR&amp;Dta=/var/www/html/dta/S01/10565.4336.2.dta&amp;Global_Mod=CS57.0215", "4336")</f>
        <v>4336</v>
      </c>
      <c r="W817" s="4" t="s">
        <v>4854</v>
      </c>
      <c r="X817" s="4" t="s">
        <v>4854</v>
      </c>
      <c r="Y817" s="4" t="s">
        <v>4854</v>
      </c>
      <c r="Z817" s="10">
        <v>3852</v>
      </c>
      <c r="AA817" s="4" t="s">
        <v>4854</v>
      </c>
      <c r="AB817" s="10">
        <v>3879</v>
      </c>
      <c r="AC817" s="4" t="s">
        <v>4854</v>
      </c>
      <c r="AD817" s="10">
        <v>4331</v>
      </c>
      <c r="AE817" s="100" t="s">
        <v>4854</v>
      </c>
      <c r="AF817" s="100" t="s">
        <v>4854</v>
      </c>
      <c r="AG817" s="100" t="s">
        <v>4854</v>
      </c>
      <c r="AH817" s="91">
        <v>2.077</v>
      </c>
      <c r="AI817" s="100" t="s">
        <v>4854</v>
      </c>
      <c r="AJ817" s="91">
        <v>2.2170000000000001</v>
      </c>
      <c r="AK817" s="100" t="s">
        <v>4854</v>
      </c>
      <c r="AL817" s="91">
        <v>2.1549999999999998</v>
      </c>
      <c r="AM817" s="103" t="s">
        <v>4854</v>
      </c>
      <c r="AN817" s="103" t="s">
        <v>4854</v>
      </c>
      <c r="AO817" s="103" t="s">
        <v>4854</v>
      </c>
      <c r="AP817" s="95">
        <v>0.73150000000000004</v>
      </c>
      <c r="AQ817" s="103" t="s">
        <v>4854</v>
      </c>
      <c r="AR817" s="95">
        <v>0.2636</v>
      </c>
      <c r="AS817" s="103" t="s">
        <v>4854</v>
      </c>
      <c r="AT817" s="95">
        <v>-0.15210000000000001</v>
      </c>
      <c r="AU817" s="103" t="s">
        <v>4854</v>
      </c>
      <c r="AV817" s="103" t="s">
        <v>4854</v>
      </c>
      <c r="AW817" s="103" t="s">
        <v>4854</v>
      </c>
      <c r="AX817" s="95">
        <v>0.13100000000000001</v>
      </c>
      <c r="AY817" s="103" t="s">
        <v>4854</v>
      </c>
      <c r="AZ817" s="95">
        <v>0.02</v>
      </c>
      <c r="BA817" s="103" t="s">
        <v>4854</v>
      </c>
      <c r="BB817" s="95">
        <v>4.5999999999999999E-2</v>
      </c>
      <c r="BC817" s="4" t="s">
        <v>4854</v>
      </c>
      <c r="BD817" s="4" t="s">
        <v>4854</v>
      </c>
      <c r="BE817" s="4" t="s">
        <v>4854</v>
      </c>
      <c r="BF817" s="10">
        <v>8</v>
      </c>
      <c r="BG817" s="4" t="s">
        <v>4854</v>
      </c>
      <c r="BH817" s="10">
        <v>20</v>
      </c>
      <c r="BI817" s="4" t="s">
        <v>4854</v>
      </c>
      <c r="BJ817" s="10">
        <v>17</v>
      </c>
      <c r="BK817" s="100" t="s">
        <v>4854</v>
      </c>
      <c r="BL817" s="100" t="s">
        <v>4854</v>
      </c>
      <c r="BM817" s="100" t="s">
        <v>4854</v>
      </c>
      <c r="BN817" s="91">
        <v>0.98699999999999999</v>
      </c>
      <c r="BO817" s="100" t="s">
        <v>4854</v>
      </c>
      <c r="BP817" s="91">
        <v>0.95499999999999996</v>
      </c>
      <c r="BQ817" s="100" t="s">
        <v>4854</v>
      </c>
      <c r="BR817" s="91">
        <v>0.96299999999999997</v>
      </c>
      <c r="BS817" s="10" t="s">
        <v>4857</v>
      </c>
    </row>
    <row r="818" spans="1:71" s="30" customFormat="1" ht="17.100000000000001" customHeight="1">
      <c r="A818" s="14">
        <v>807</v>
      </c>
      <c r="B818" s="5" t="s">
        <v>1777</v>
      </c>
      <c r="C818" s="3" t="s">
        <v>2085</v>
      </c>
      <c r="D818" s="3" t="s">
        <v>1778</v>
      </c>
      <c r="E818" s="3" t="s">
        <v>1779</v>
      </c>
      <c r="F818" s="5" t="s">
        <v>3592</v>
      </c>
      <c r="G818" s="3" t="s">
        <v>1780</v>
      </c>
      <c r="H818" s="6" t="s">
        <v>1781</v>
      </c>
      <c r="I818" s="3" t="s">
        <v>1782</v>
      </c>
      <c r="J818" s="5" t="s">
        <v>4562</v>
      </c>
      <c r="K818" s="3" t="s">
        <v>5825</v>
      </c>
      <c r="L818" s="3" t="s">
        <v>1783</v>
      </c>
      <c r="M818" s="5">
        <v>4</v>
      </c>
      <c r="N818" s="21">
        <v>604.80799999999999</v>
      </c>
      <c r="O818" s="35" t="s">
        <v>4854</v>
      </c>
      <c r="P818" s="36" t="str">
        <f>HYPERLINK("http://ms.phosphosite.org:5080/cgi-bin/plot-msms.cgi?MassType=1&amp;NumAxis=1&amp;Mod22=170&amp;Pep=GSSALKRPFEDGLGDDKDPNKK&amp;Dta=/var/www/html/dta/S01/10559.10103.4.dta&amp;Global_Mod=CS57.0215", "10103")</f>
        <v>10103</v>
      </c>
      <c r="Q818" s="35" t="s">
        <v>4854</v>
      </c>
      <c r="R818" s="35" t="s">
        <v>4854</v>
      </c>
      <c r="S818" s="35" t="s">
        <v>4854</v>
      </c>
      <c r="T818" s="35" t="s">
        <v>4854</v>
      </c>
      <c r="U818" s="35" t="s">
        <v>4854</v>
      </c>
      <c r="V818" s="35" t="s">
        <v>4854</v>
      </c>
      <c r="W818" s="3" t="s">
        <v>4854</v>
      </c>
      <c r="X818" s="3" t="s">
        <v>4854</v>
      </c>
      <c r="Y818" s="3" t="s">
        <v>4854</v>
      </c>
      <c r="Z818" s="3" t="s">
        <v>4854</v>
      </c>
      <c r="AA818" s="3" t="s">
        <v>4854</v>
      </c>
      <c r="AB818" s="3" t="s">
        <v>4854</v>
      </c>
      <c r="AC818" s="3" t="s">
        <v>4854</v>
      </c>
      <c r="AD818" s="3" t="s">
        <v>4854</v>
      </c>
      <c r="AE818" s="99" t="s">
        <v>4854</v>
      </c>
      <c r="AF818" s="90">
        <v>3.3140000000000001</v>
      </c>
      <c r="AG818" s="99" t="s">
        <v>4854</v>
      </c>
      <c r="AH818" s="99" t="s">
        <v>4854</v>
      </c>
      <c r="AI818" s="99" t="s">
        <v>4854</v>
      </c>
      <c r="AJ818" s="99" t="s">
        <v>4854</v>
      </c>
      <c r="AK818" s="99" t="s">
        <v>4854</v>
      </c>
      <c r="AL818" s="99" t="s">
        <v>4854</v>
      </c>
      <c r="AM818" s="102" t="s">
        <v>4854</v>
      </c>
      <c r="AN818" s="21">
        <v>-0.1734</v>
      </c>
      <c r="AO818" s="102" t="s">
        <v>4854</v>
      </c>
      <c r="AP818" s="102" t="s">
        <v>4854</v>
      </c>
      <c r="AQ818" s="102" t="s">
        <v>4854</v>
      </c>
      <c r="AR818" s="102" t="s">
        <v>4854</v>
      </c>
      <c r="AS818" s="102" t="s">
        <v>4854</v>
      </c>
      <c r="AT818" s="102" t="s">
        <v>4854</v>
      </c>
      <c r="AU818" s="102" t="s">
        <v>4854</v>
      </c>
      <c r="AV818" s="21">
        <v>4.5999999999999999E-2</v>
      </c>
      <c r="AW818" s="102" t="s">
        <v>4854</v>
      </c>
      <c r="AX818" s="102" t="s">
        <v>4854</v>
      </c>
      <c r="AY818" s="102" t="s">
        <v>4854</v>
      </c>
      <c r="AZ818" s="102" t="s">
        <v>4854</v>
      </c>
      <c r="BA818" s="102" t="s">
        <v>4854</v>
      </c>
      <c r="BB818" s="102" t="s">
        <v>4854</v>
      </c>
      <c r="BC818" s="3" t="s">
        <v>4854</v>
      </c>
      <c r="BD818" s="5">
        <v>16</v>
      </c>
      <c r="BE818" s="3" t="s">
        <v>4854</v>
      </c>
      <c r="BF818" s="3" t="s">
        <v>4854</v>
      </c>
      <c r="BG818" s="3" t="s">
        <v>4854</v>
      </c>
      <c r="BH818" s="3" t="s">
        <v>4854</v>
      </c>
      <c r="BI818" s="3" t="s">
        <v>4854</v>
      </c>
      <c r="BJ818" s="3" t="s">
        <v>4854</v>
      </c>
      <c r="BK818" s="99" t="s">
        <v>4854</v>
      </c>
      <c r="BL818" s="90">
        <v>5.2999999999999999E-2</v>
      </c>
      <c r="BM818" s="99" t="s">
        <v>4854</v>
      </c>
      <c r="BN818" s="99" t="s">
        <v>4854</v>
      </c>
      <c r="BO818" s="99" t="s">
        <v>4854</v>
      </c>
      <c r="BP818" s="99" t="s">
        <v>4854</v>
      </c>
      <c r="BQ818" s="99" t="s">
        <v>4854</v>
      </c>
      <c r="BR818" s="99" t="s">
        <v>4854</v>
      </c>
      <c r="BS818" s="5" t="s">
        <v>4857</v>
      </c>
    </row>
    <row r="819" spans="1:71" s="30" customFormat="1" ht="17.100000000000001" customHeight="1">
      <c r="A819" s="10">
        <v>808</v>
      </c>
      <c r="B819" s="10" t="s">
        <v>1784</v>
      </c>
      <c r="C819" s="4" t="s">
        <v>2085</v>
      </c>
      <c r="D819" s="4" t="s">
        <v>1785</v>
      </c>
      <c r="E819" s="4" t="s">
        <v>1786</v>
      </c>
      <c r="F819" s="10" t="s">
        <v>3409</v>
      </c>
      <c r="G819" s="4" t="s">
        <v>1787</v>
      </c>
      <c r="H819" s="7" t="s">
        <v>1788</v>
      </c>
      <c r="I819" s="4" t="s">
        <v>1789</v>
      </c>
      <c r="J819" s="10" t="s">
        <v>4823</v>
      </c>
      <c r="K819" s="4" t="s">
        <v>5826</v>
      </c>
      <c r="L819" s="4" t="s">
        <v>1790</v>
      </c>
      <c r="M819" s="10">
        <v>3</v>
      </c>
      <c r="N819" s="95">
        <v>647.04939999999999</v>
      </c>
      <c r="O819" s="37" t="str">
        <f>HYPERLINK("http://ms.phosphosite.org:5080/cgi-bin/plot-msms.cgi?MassType=1&amp;NumAxis=1&amp;Mod1=170&amp;Pep=KVGISSGKEIGALLQQLR&amp;Dta=/var/www/html/dta/S01/10558.11513.3.dta&amp;Global_Mod=CS57.0215", "11513")</f>
        <v>11513</v>
      </c>
      <c r="P819" s="38" t="s">
        <v>4854</v>
      </c>
      <c r="Q819" s="38" t="s">
        <v>4854</v>
      </c>
      <c r="R819" s="38" t="s">
        <v>4854</v>
      </c>
      <c r="S819" s="38" t="s">
        <v>4854</v>
      </c>
      <c r="T819" s="38" t="s">
        <v>4854</v>
      </c>
      <c r="U819" s="38" t="s">
        <v>4854</v>
      </c>
      <c r="V819" s="38" t="s">
        <v>4854</v>
      </c>
      <c r="W819" s="4" t="s">
        <v>4854</v>
      </c>
      <c r="X819" s="4" t="s">
        <v>4854</v>
      </c>
      <c r="Y819" s="4" t="s">
        <v>4854</v>
      </c>
      <c r="Z819" s="4" t="s">
        <v>4854</v>
      </c>
      <c r="AA819" s="4" t="s">
        <v>4854</v>
      </c>
      <c r="AB819" s="4" t="s">
        <v>4854</v>
      </c>
      <c r="AC819" s="4" t="s">
        <v>4854</v>
      </c>
      <c r="AD819" s="4" t="s">
        <v>4854</v>
      </c>
      <c r="AE819" s="91">
        <v>2.8460000000000001</v>
      </c>
      <c r="AF819" s="100" t="s">
        <v>4854</v>
      </c>
      <c r="AG819" s="100" t="s">
        <v>4854</v>
      </c>
      <c r="AH819" s="100" t="s">
        <v>4854</v>
      </c>
      <c r="AI819" s="100" t="s">
        <v>4854</v>
      </c>
      <c r="AJ819" s="100" t="s">
        <v>4854</v>
      </c>
      <c r="AK819" s="100" t="s">
        <v>4854</v>
      </c>
      <c r="AL819" s="100" t="s">
        <v>4854</v>
      </c>
      <c r="AM819" s="95">
        <v>0.51080000000000003</v>
      </c>
      <c r="AN819" s="103" t="s">
        <v>4854</v>
      </c>
      <c r="AO819" s="103" t="s">
        <v>4854</v>
      </c>
      <c r="AP819" s="103" t="s">
        <v>4854</v>
      </c>
      <c r="AQ819" s="103" t="s">
        <v>4854</v>
      </c>
      <c r="AR819" s="103" t="s">
        <v>4854</v>
      </c>
      <c r="AS819" s="103" t="s">
        <v>4854</v>
      </c>
      <c r="AT819" s="103" t="s">
        <v>4854</v>
      </c>
      <c r="AU819" s="95">
        <v>1.0999999999999999E-2</v>
      </c>
      <c r="AV819" s="103" t="s">
        <v>4854</v>
      </c>
      <c r="AW819" s="103" t="s">
        <v>4854</v>
      </c>
      <c r="AX819" s="103" t="s">
        <v>4854</v>
      </c>
      <c r="AY819" s="103" t="s">
        <v>4854</v>
      </c>
      <c r="AZ819" s="103" t="s">
        <v>4854</v>
      </c>
      <c r="BA819" s="103" t="s">
        <v>4854</v>
      </c>
      <c r="BB819" s="103" t="s">
        <v>4854</v>
      </c>
      <c r="BC819" s="10">
        <v>8</v>
      </c>
      <c r="BD819" s="4" t="s">
        <v>4854</v>
      </c>
      <c r="BE819" s="4" t="s">
        <v>4854</v>
      </c>
      <c r="BF819" s="4" t="s">
        <v>4854</v>
      </c>
      <c r="BG819" s="4" t="s">
        <v>4854</v>
      </c>
      <c r="BH819" s="4" t="s">
        <v>4854</v>
      </c>
      <c r="BI819" s="4" t="s">
        <v>4854</v>
      </c>
      <c r="BJ819" s="4" t="s">
        <v>4854</v>
      </c>
      <c r="BK819" s="91">
        <v>0.94799999999999995</v>
      </c>
      <c r="BL819" s="100" t="s">
        <v>4854</v>
      </c>
      <c r="BM819" s="100" t="s">
        <v>4854</v>
      </c>
      <c r="BN819" s="100" t="s">
        <v>4854</v>
      </c>
      <c r="BO819" s="100" t="s">
        <v>4854</v>
      </c>
      <c r="BP819" s="100" t="s">
        <v>4854</v>
      </c>
      <c r="BQ819" s="100" t="s">
        <v>4854</v>
      </c>
      <c r="BR819" s="100" t="s">
        <v>4854</v>
      </c>
      <c r="BS819" s="10" t="s">
        <v>4857</v>
      </c>
    </row>
    <row r="820" spans="1:71" s="30" customFormat="1" ht="17.100000000000001" customHeight="1">
      <c r="A820" s="14">
        <v>809</v>
      </c>
      <c r="B820" s="5" t="s">
        <v>1791</v>
      </c>
      <c r="C820" s="3" t="s">
        <v>2085</v>
      </c>
      <c r="D820" s="3" t="s">
        <v>1785</v>
      </c>
      <c r="E820" s="3" t="s">
        <v>1786</v>
      </c>
      <c r="F820" s="5" t="s">
        <v>5197</v>
      </c>
      <c r="G820" s="3" t="s">
        <v>1787</v>
      </c>
      <c r="H820" s="6" t="s">
        <v>1788</v>
      </c>
      <c r="I820" s="3" t="s">
        <v>1789</v>
      </c>
      <c r="J820" s="5" t="s">
        <v>4823</v>
      </c>
      <c r="K820" s="3" t="s">
        <v>5827</v>
      </c>
      <c r="L820" s="3" t="s">
        <v>1792</v>
      </c>
      <c r="M820" s="5">
        <v>3</v>
      </c>
      <c r="N820" s="21">
        <v>647.04939999999999</v>
      </c>
      <c r="O820" s="35" t="s">
        <v>4854</v>
      </c>
      <c r="P820" s="35" t="s">
        <v>4854</v>
      </c>
      <c r="Q820" s="36" t="str">
        <f>HYPERLINK("http://ms.phosphosite.org:5080/cgi-bin/plot-msms.cgi?MassType=1&amp;NumAxis=1&amp;Mod8=170&amp;Pep=KVGISSGKEIGALLQQLR&amp;Dta=/var/www/html/dta/S01/10560.11564.3.dta&amp;Global_Mod=CS57.0215", "11564")</f>
        <v>11564</v>
      </c>
      <c r="R820" s="36" t="str">
        <f>HYPERLINK("http://ms.phosphosite.org:5080/cgi-bin/plot-msms.cgi?MassType=1&amp;NumAxis=1&amp;Mod8=170&amp;Pep=KVGISSGKEIGALLQQLR&amp;Dta=/var/www/html/dta/S01/10561.11585.3.dta&amp;Global_Mod=CS57.0215", "11585")</f>
        <v>11585</v>
      </c>
      <c r="S820" s="35" t="s">
        <v>4854</v>
      </c>
      <c r="T820" s="36" t="str">
        <f>HYPERLINK("http://ms.phosphosite.org:5080/cgi-bin/plot-msms.cgi?MassType=1&amp;NumAxis=1&amp;Mod8=170&amp;Pep=KVGISSGKEIGALLQQLR&amp;Dta=/var/www/html/dta/S01/10563.11690.3.dta&amp;Global_Mod=CS57.0215", "11690")</f>
        <v>11690</v>
      </c>
      <c r="U820" s="36" t="str">
        <f>HYPERLINK("http://ms.phosphosite.org:5080/cgi-bin/plot-msms.cgi?MassType=1&amp;NumAxis=1&amp;Mod8=170&amp;Pep=KVGISSGKEIGALLQQLR&amp;Dta=/var/www/html/dta/S01/10564.12278.3.dta&amp;Global_Mod=CS57.0215", "12278")</f>
        <v>12278</v>
      </c>
      <c r="V820" s="36" t="str">
        <f>HYPERLINK("http://ms.phosphosite.org:5080/cgi-bin/plot-msms.cgi?MassType=1&amp;NumAxis=1&amp;Mod8=170&amp;Pep=KVGISSGKEIGALLQQLR&amp;Dta=/var/www/html/dta/S01/10565.12176.3.dta&amp;Global_Mod=CS57.0215", "12176")</f>
        <v>12176</v>
      </c>
      <c r="W820" s="3" t="s">
        <v>4854</v>
      </c>
      <c r="X820" s="3" t="s">
        <v>4854</v>
      </c>
      <c r="Y820" s="5">
        <v>11593</v>
      </c>
      <c r="Z820" s="5">
        <v>11632</v>
      </c>
      <c r="AA820" s="3" t="s">
        <v>4854</v>
      </c>
      <c r="AB820" s="3" t="s">
        <v>4854</v>
      </c>
      <c r="AC820" s="5">
        <v>12274</v>
      </c>
      <c r="AD820" s="5">
        <v>12206</v>
      </c>
      <c r="AE820" s="99" t="s">
        <v>4854</v>
      </c>
      <c r="AF820" s="99" t="s">
        <v>4854</v>
      </c>
      <c r="AG820" s="90">
        <v>2.234</v>
      </c>
      <c r="AH820" s="90">
        <v>2.77</v>
      </c>
      <c r="AI820" s="99" t="s">
        <v>4854</v>
      </c>
      <c r="AJ820" s="90">
        <v>2.5910000000000002</v>
      </c>
      <c r="AK820" s="90">
        <v>3.5939999999999999</v>
      </c>
      <c r="AL820" s="90">
        <v>2.746</v>
      </c>
      <c r="AM820" s="102" t="s">
        <v>4854</v>
      </c>
      <c r="AN820" s="102" t="s">
        <v>4854</v>
      </c>
      <c r="AO820" s="21">
        <v>0.75929999999999997</v>
      </c>
      <c r="AP820" s="21">
        <v>0.48549999999999999</v>
      </c>
      <c r="AQ820" s="102" t="s">
        <v>4854</v>
      </c>
      <c r="AR820" s="21">
        <v>0.71079999999999999</v>
      </c>
      <c r="AS820" s="21">
        <v>0.40400000000000003</v>
      </c>
      <c r="AT820" s="21">
        <v>0.21160000000000001</v>
      </c>
      <c r="AU820" s="102" t="s">
        <v>4854</v>
      </c>
      <c r="AV820" s="102" t="s">
        <v>4854</v>
      </c>
      <c r="AW820" s="21">
        <v>0.126</v>
      </c>
      <c r="AX820" s="21">
        <v>0.12</v>
      </c>
      <c r="AY820" s="102" t="s">
        <v>4854</v>
      </c>
      <c r="AZ820" s="21">
        <v>5.6000000000000001E-2</v>
      </c>
      <c r="BA820" s="21">
        <v>0.19800000000000001</v>
      </c>
      <c r="BB820" s="21">
        <v>0.14000000000000001</v>
      </c>
      <c r="BC820" s="3" t="s">
        <v>4854</v>
      </c>
      <c r="BD820" s="3" t="s">
        <v>4854</v>
      </c>
      <c r="BE820" s="5">
        <v>57</v>
      </c>
      <c r="BF820" s="5">
        <v>1</v>
      </c>
      <c r="BG820" s="3" t="s">
        <v>4854</v>
      </c>
      <c r="BH820" s="5">
        <v>62</v>
      </c>
      <c r="BI820" s="5">
        <v>1</v>
      </c>
      <c r="BJ820" s="5">
        <v>9</v>
      </c>
      <c r="BK820" s="99" t="s">
        <v>4854</v>
      </c>
      <c r="BL820" s="99" t="s">
        <v>4854</v>
      </c>
      <c r="BM820" s="90">
        <v>0.96099999999999997</v>
      </c>
      <c r="BN820" s="90">
        <v>0.99299999999999999</v>
      </c>
      <c r="BO820" s="99" t="s">
        <v>4854</v>
      </c>
      <c r="BP820" s="90">
        <v>0.93600000000000005</v>
      </c>
      <c r="BQ820" s="90">
        <v>0.999</v>
      </c>
      <c r="BR820" s="90">
        <v>0.99</v>
      </c>
      <c r="BS820" s="5" t="s">
        <v>4857</v>
      </c>
    </row>
    <row r="821" spans="1:71" s="30" customFormat="1" ht="17.100000000000001" customHeight="1">
      <c r="A821" s="14">
        <v>810</v>
      </c>
      <c r="B821" s="5" t="s">
        <v>1793</v>
      </c>
      <c r="C821" s="3" t="s">
        <v>2085</v>
      </c>
      <c r="D821" s="3" t="s">
        <v>1785</v>
      </c>
      <c r="E821" s="3" t="s">
        <v>1786</v>
      </c>
      <c r="F821" s="5" t="s">
        <v>5197</v>
      </c>
      <c r="G821" s="3" t="s">
        <v>1787</v>
      </c>
      <c r="H821" s="6" t="s">
        <v>1788</v>
      </c>
      <c r="I821" s="3" t="s">
        <v>1789</v>
      </c>
      <c r="J821" s="5" t="s">
        <v>4823</v>
      </c>
      <c r="K821" s="3" t="s">
        <v>5827</v>
      </c>
      <c r="L821" s="3" t="s">
        <v>1794</v>
      </c>
      <c r="M821" s="5">
        <v>3</v>
      </c>
      <c r="N821" s="21">
        <v>604.351</v>
      </c>
      <c r="O821" s="35" t="s">
        <v>4854</v>
      </c>
      <c r="P821" s="35" t="s">
        <v>4854</v>
      </c>
      <c r="Q821" s="35" t="s">
        <v>4854</v>
      </c>
      <c r="R821" s="35" t="s">
        <v>4854</v>
      </c>
      <c r="S821" s="35" t="s">
        <v>4854</v>
      </c>
      <c r="T821" s="35" t="s">
        <v>4854</v>
      </c>
      <c r="U821" s="36" t="str">
        <f>HYPERLINK("http://ms.phosphosite.org:5080/cgi-bin/plot-msms.cgi?MassType=1&amp;NumAxis=1&amp;Mod7=170&amp;Pep=VGISSGKEIGALLQQLR&amp;Dta=/var/www/html/dta/S01/10564.14103.3.dta&amp;Global_Mod=CS57.0215", "14103")</f>
        <v>14103</v>
      </c>
      <c r="V821" s="36" t="str">
        <f>HYPERLINK("http://ms.phosphosite.org:5080/cgi-bin/plot-msms.cgi?MassType=1&amp;NumAxis=1&amp;Mod7=170&amp;Pep=VGISSGKEIGALLQQLR&amp;Dta=/var/www/html/dta/S01/10565.14034.3.dta&amp;Global_Mod=CS57.0215", "14034")</f>
        <v>14034</v>
      </c>
      <c r="W821" s="3" t="s">
        <v>4854</v>
      </c>
      <c r="X821" s="3" t="s">
        <v>4854</v>
      </c>
      <c r="Y821" s="3" t="s">
        <v>4854</v>
      </c>
      <c r="Z821" s="3" t="s">
        <v>4854</v>
      </c>
      <c r="AA821" s="3" t="s">
        <v>4854</v>
      </c>
      <c r="AB821" s="3" t="s">
        <v>4854</v>
      </c>
      <c r="AC821" s="3" t="s">
        <v>4854</v>
      </c>
      <c r="AD821" s="5">
        <v>14043</v>
      </c>
      <c r="AE821" s="99" t="s">
        <v>4854</v>
      </c>
      <c r="AF821" s="99" t="s">
        <v>4854</v>
      </c>
      <c r="AG821" s="99" t="s">
        <v>4854</v>
      </c>
      <c r="AH821" s="99" t="s">
        <v>4854</v>
      </c>
      <c r="AI821" s="99" t="s">
        <v>4854</v>
      </c>
      <c r="AJ821" s="99" t="s">
        <v>4854</v>
      </c>
      <c r="AK821" s="90">
        <v>3.09</v>
      </c>
      <c r="AL821" s="90">
        <v>3.8450000000000002</v>
      </c>
      <c r="AM821" s="102" t="s">
        <v>4854</v>
      </c>
      <c r="AN821" s="102" t="s">
        <v>4854</v>
      </c>
      <c r="AO821" s="102" t="s">
        <v>4854</v>
      </c>
      <c r="AP821" s="102" t="s">
        <v>4854</v>
      </c>
      <c r="AQ821" s="102" t="s">
        <v>4854</v>
      </c>
      <c r="AR821" s="102" t="s">
        <v>4854</v>
      </c>
      <c r="AS821" s="21">
        <v>-1.7545999999999999</v>
      </c>
      <c r="AT821" s="21">
        <v>-2.3912</v>
      </c>
      <c r="AU821" s="102" t="s">
        <v>4854</v>
      </c>
      <c r="AV821" s="102" t="s">
        <v>4854</v>
      </c>
      <c r="AW821" s="102" t="s">
        <v>4854</v>
      </c>
      <c r="AX821" s="102" t="s">
        <v>4854</v>
      </c>
      <c r="AY821" s="102" t="s">
        <v>4854</v>
      </c>
      <c r="AZ821" s="102" t="s">
        <v>4854</v>
      </c>
      <c r="BA821" s="21">
        <v>4.9000000000000002E-2</v>
      </c>
      <c r="BB821" s="21">
        <v>0.19500000000000001</v>
      </c>
      <c r="BC821" s="3" t="s">
        <v>4854</v>
      </c>
      <c r="BD821" s="3" t="s">
        <v>4854</v>
      </c>
      <c r="BE821" s="3" t="s">
        <v>4854</v>
      </c>
      <c r="BF821" s="3" t="s">
        <v>4854</v>
      </c>
      <c r="BG821" s="3" t="s">
        <v>4854</v>
      </c>
      <c r="BH821" s="3" t="s">
        <v>4854</v>
      </c>
      <c r="BI821" s="5">
        <v>5</v>
      </c>
      <c r="BJ821" s="5">
        <v>4</v>
      </c>
      <c r="BK821" s="99" t="s">
        <v>4854</v>
      </c>
      <c r="BL821" s="99" t="s">
        <v>4854</v>
      </c>
      <c r="BM821" s="99" t="s">
        <v>4854</v>
      </c>
      <c r="BN821" s="99" t="s">
        <v>4854</v>
      </c>
      <c r="BO821" s="99" t="s">
        <v>4854</v>
      </c>
      <c r="BP821" s="99" t="s">
        <v>4854</v>
      </c>
      <c r="BQ821" s="90">
        <v>0.70799999999999996</v>
      </c>
      <c r="BR821" s="90">
        <v>0.97199999999999998</v>
      </c>
      <c r="BS821" s="5" t="s">
        <v>4857</v>
      </c>
    </row>
    <row r="822" spans="1:71" s="30" customFormat="1" ht="17.100000000000001" customHeight="1">
      <c r="A822" s="10">
        <v>811</v>
      </c>
      <c r="B822" s="10" t="s">
        <v>1795</v>
      </c>
      <c r="C822" s="4" t="s">
        <v>2085</v>
      </c>
      <c r="D822" s="4" t="s">
        <v>1796</v>
      </c>
      <c r="E822" s="4" t="s">
        <v>1797</v>
      </c>
      <c r="F822" s="10" t="s">
        <v>5138</v>
      </c>
      <c r="G822" s="4" t="s">
        <v>1798</v>
      </c>
      <c r="H822" s="7" t="s">
        <v>1799</v>
      </c>
      <c r="I822" s="4" t="s">
        <v>1800</v>
      </c>
      <c r="J822" s="10" t="s">
        <v>4621</v>
      </c>
      <c r="K822" s="4" t="s">
        <v>5828</v>
      </c>
      <c r="L822" s="4" t="s">
        <v>1801</v>
      </c>
      <c r="M822" s="10">
        <v>2</v>
      </c>
      <c r="N822" s="95">
        <v>604.82270000000005</v>
      </c>
      <c r="O822" s="37" t="str">
        <f>HYPERLINK("http://ms.phosphosite.org:5080/cgi-bin/plot-msms.cgi?MassType=1&amp;NumAxis=1&amp;Mod3=170&amp;Pep=GAKEEHGGLIR&amp;Dta=/var/www/html/dta/S01/10558.2394.2.dta&amp;Global_Mod=CS57.0215", "2394")</f>
        <v>2394</v>
      </c>
      <c r="P822" s="38" t="s">
        <v>4854</v>
      </c>
      <c r="Q822" s="38" t="s">
        <v>4854</v>
      </c>
      <c r="R822" s="38" t="s">
        <v>4854</v>
      </c>
      <c r="S822" s="37" t="str">
        <f>HYPERLINK("http://ms.phosphosite.org:5080/cgi-bin/plot-msms.cgi?MassType=1&amp;NumAxis=1&amp;Mod3=170&amp;Pep=GAKEEHGGLIR&amp;Dta=/var/www/html/dta/S01/10562.2441.2.dta&amp;Global_Mod=CS57.0215", "2441")</f>
        <v>2441</v>
      </c>
      <c r="T822" s="37" t="str">
        <f>HYPERLINK("http://ms.phosphosite.org:5080/cgi-bin/plot-msms.cgi?MassType=1&amp;NumAxis=1&amp;Mod3=170&amp;Pep=GAKEEHGGLIR&amp;Dta=/var/www/html/dta/S01/10563.2394.2.dta&amp;Global_Mod=CS57.0215", "2394")</f>
        <v>2394</v>
      </c>
      <c r="U822" s="38" t="s">
        <v>4854</v>
      </c>
      <c r="V822" s="37" t="str">
        <f>HYPERLINK("http://ms.phosphosite.org:5080/cgi-bin/plot-msms.cgi?MassType=1&amp;NumAxis=1&amp;Mod3=170&amp;Pep=GAKEEHGGLIR&amp;Dta=/var/www/html/dta/S01/10565.2757.2.dta&amp;Global_Mod=CS57.0215", "2757")</f>
        <v>2757</v>
      </c>
      <c r="W822" s="10">
        <v>2411</v>
      </c>
      <c r="X822" s="4" t="s">
        <v>4854</v>
      </c>
      <c r="Y822" s="4" t="s">
        <v>4854</v>
      </c>
      <c r="Z822" s="4" t="s">
        <v>4854</v>
      </c>
      <c r="AA822" s="10">
        <v>2459</v>
      </c>
      <c r="AB822" s="10">
        <v>2379</v>
      </c>
      <c r="AC822" s="4" t="s">
        <v>4854</v>
      </c>
      <c r="AD822" s="10">
        <v>2764</v>
      </c>
      <c r="AE822" s="91">
        <v>3.4769999999999999</v>
      </c>
      <c r="AF822" s="100" t="s">
        <v>4854</v>
      </c>
      <c r="AG822" s="100" t="s">
        <v>4854</v>
      </c>
      <c r="AH822" s="100" t="s">
        <v>4854</v>
      </c>
      <c r="AI822" s="91">
        <v>3.2970000000000002</v>
      </c>
      <c r="AJ822" s="91">
        <v>3.008</v>
      </c>
      <c r="AK822" s="100" t="s">
        <v>4854</v>
      </c>
      <c r="AL822" s="91">
        <v>3.66</v>
      </c>
      <c r="AM822" s="95">
        <v>-0.2324</v>
      </c>
      <c r="AN822" s="103" t="s">
        <v>4854</v>
      </c>
      <c r="AO822" s="103" t="s">
        <v>4854</v>
      </c>
      <c r="AP822" s="103" t="s">
        <v>4854</v>
      </c>
      <c r="AQ822" s="95">
        <v>-0.27210000000000001</v>
      </c>
      <c r="AR822" s="95">
        <v>0.1515</v>
      </c>
      <c r="AS822" s="103" t="s">
        <v>4854</v>
      </c>
      <c r="AT822" s="95">
        <v>-0.5625</v>
      </c>
      <c r="AU822" s="95">
        <v>0.26600000000000001</v>
      </c>
      <c r="AV822" s="103" t="s">
        <v>4854</v>
      </c>
      <c r="AW822" s="103" t="s">
        <v>4854</v>
      </c>
      <c r="AX822" s="103" t="s">
        <v>4854</v>
      </c>
      <c r="AY822" s="95">
        <v>0.24199999999999999</v>
      </c>
      <c r="AZ822" s="95">
        <v>0.217</v>
      </c>
      <c r="BA822" s="103" t="s">
        <v>4854</v>
      </c>
      <c r="BB822" s="95">
        <v>0.29099999999999998</v>
      </c>
      <c r="BC822" s="10">
        <v>1</v>
      </c>
      <c r="BD822" s="4" t="s">
        <v>4854</v>
      </c>
      <c r="BE822" s="4" t="s">
        <v>4854</v>
      </c>
      <c r="BF822" s="4" t="s">
        <v>4854</v>
      </c>
      <c r="BG822" s="10">
        <v>1</v>
      </c>
      <c r="BH822" s="10">
        <v>1</v>
      </c>
      <c r="BI822" s="4" t="s">
        <v>4854</v>
      </c>
      <c r="BJ822" s="10">
        <v>1</v>
      </c>
      <c r="BK822" s="91">
        <v>1</v>
      </c>
      <c r="BL822" s="100" t="s">
        <v>4854</v>
      </c>
      <c r="BM822" s="100" t="s">
        <v>4854</v>
      </c>
      <c r="BN822" s="100" t="s">
        <v>4854</v>
      </c>
      <c r="BO822" s="91">
        <v>1</v>
      </c>
      <c r="BP822" s="91">
        <v>0.999</v>
      </c>
      <c r="BQ822" s="100" t="s">
        <v>4854</v>
      </c>
      <c r="BR822" s="91">
        <v>1</v>
      </c>
      <c r="BS822" s="10" t="s">
        <v>4857</v>
      </c>
    </row>
    <row r="823" spans="1:71" s="30" customFormat="1" ht="17.100000000000001" customHeight="1">
      <c r="A823" s="10">
        <v>812</v>
      </c>
      <c r="B823" s="10" t="s">
        <v>1802</v>
      </c>
      <c r="C823" s="4" t="s">
        <v>2085</v>
      </c>
      <c r="D823" s="4" t="s">
        <v>1796</v>
      </c>
      <c r="E823" s="4" t="s">
        <v>1797</v>
      </c>
      <c r="F823" s="10" t="s">
        <v>5138</v>
      </c>
      <c r="G823" s="4" t="s">
        <v>1798</v>
      </c>
      <c r="H823" s="7" t="s">
        <v>1799</v>
      </c>
      <c r="I823" s="4" t="s">
        <v>1800</v>
      </c>
      <c r="J823" s="10" t="s">
        <v>4621</v>
      </c>
      <c r="K823" s="4" t="s">
        <v>5828</v>
      </c>
      <c r="L823" s="4" t="s">
        <v>1801</v>
      </c>
      <c r="M823" s="10">
        <v>3</v>
      </c>
      <c r="N823" s="95">
        <v>403.55090000000001</v>
      </c>
      <c r="O823" s="37" t="str">
        <f>HYPERLINK("http://ms.phosphosite.org:5080/cgi-bin/plot-msms.cgi?MassType=1&amp;NumAxis=1&amp;Mod3=170&amp;Pep=GAKEEHGGLIR&amp;Dta=/var/www/html/dta/S01/10558.2383.3.dta&amp;Global_Mod=CS57.0215", "2383")</f>
        <v>2383</v>
      </c>
      <c r="P823" s="37" t="str">
        <f>HYPERLINK("http://ms.phosphosite.org:5080/cgi-bin/plot-msms.cgi?MassType=1&amp;NumAxis=1&amp;Mod3=170&amp;Pep=GAKEEHGGLIR&amp;Dta=/var/www/html/dta/S01/10559.2344.3.dta&amp;Global_Mod=CS57.0215", "2344")</f>
        <v>2344</v>
      </c>
      <c r="Q823" s="38" t="s">
        <v>4854</v>
      </c>
      <c r="R823" s="38" t="s">
        <v>4854</v>
      </c>
      <c r="S823" s="38" t="s">
        <v>4854</v>
      </c>
      <c r="T823" s="38" t="s">
        <v>4854</v>
      </c>
      <c r="U823" s="38" t="s">
        <v>4854</v>
      </c>
      <c r="V823" s="38" t="s">
        <v>4854</v>
      </c>
      <c r="W823" s="4" t="s">
        <v>4854</v>
      </c>
      <c r="X823" s="4" t="s">
        <v>4854</v>
      </c>
      <c r="Y823" s="4" t="s">
        <v>4854</v>
      </c>
      <c r="Z823" s="4" t="s">
        <v>4854</v>
      </c>
      <c r="AA823" s="4" t="s">
        <v>4854</v>
      </c>
      <c r="AB823" s="4" t="s">
        <v>4854</v>
      </c>
      <c r="AC823" s="4" t="s">
        <v>4854</v>
      </c>
      <c r="AD823" s="4" t="s">
        <v>4854</v>
      </c>
      <c r="AE823" s="91">
        <v>2.0489999999999999</v>
      </c>
      <c r="AF823" s="91">
        <v>2.2229999999999999</v>
      </c>
      <c r="AG823" s="100" t="s">
        <v>4854</v>
      </c>
      <c r="AH823" s="100" t="s">
        <v>4854</v>
      </c>
      <c r="AI823" s="100" t="s">
        <v>4854</v>
      </c>
      <c r="AJ823" s="100" t="s">
        <v>4854</v>
      </c>
      <c r="AK823" s="100" t="s">
        <v>4854</v>
      </c>
      <c r="AL823" s="100" t="s">
        <v>4854</v>
      </c>
      <c r="AM823" s="95">
        <v>-0.41189999999999999</v>
      </c>
      <c r="AN823" s="95">
        <v>-0.35070000000000001</v>
      </c>
      <c r="AO823" s="103" t="s">
        <v>4854</v>
      </c>
      <c r="AP823" s="103" t="s">
        <v>4854</v>
      </c>
      <c r="AQ823" s="103" t="s">
        <v>4854</v>
      </c>
      <c r="AR823" s="103" t="s">
        <v>4854</v>
      </c>
      <c r="AS823" s="103" t="s">
        <v>4854</v>
      </c>
      <c r="AT823" s="103" t="s">
        <v>4854</v>
      </c>
      <c r="AU823" s="95">
        <v>8.7999999999999995E-2</v>
      </c>
      <c r="AV823" s="95">
        <v>4.5999999999999999E-2</v>
      </c>
      <c r="AW823" s="103" t="s">
        <v>4854</v>
      </c>
      <c r="AX823" s="103" t="s">
        <v>4854</v>
      </c>
      <c r="AY823" s="103" t="s">
        <v>4854</v>
      </c>
      <c r="AZ823" s="103" t="s">
        <v>4854</v>
      </c>
      <c r="BA823" s="103" t="s">
        <v>4854</v>
      </c>
      <c r="BB823" s="103" t="s">
        <v>4854</v>
      </c>
      <c r="BC823" s="10">
        <v>15</v>
      </c>
      <c r="BD823" s="10">
        <v>29</v>
      </c>
      <c r="BE823" s="4" t="s">
        <v>4854</v>
      </c>
      <c r="BF823" s="4" t="s">
        <v>4854</v>
      </c>
      <c r="BG823" s="4" t="s">
        <v>4854</v>
      </c>
      <c r="BH823" s="4" t="s">
        <v>4854</v>
      </c>
      <c r="BI823" s="4" t="s">
        <v>4854</v>
      </c>
      <c r="BJ823" s="4" t="s">
        <v>4854</v>
      </c>
      <c r="BK823" s="91">
        <v>0.90800000000000003</v>
      </c>
      <c r="BL823" s="91">
        <v>0.93200000000000005</v>
      </c>
      <c r="BM823" s="100" t="s">
        <v>4854</v>
      </c>
      <c r="BN823" s="100" t="s">
        <v>4854</v>
      </c>
      <c r="BO823" s="100" t="s">
        <v>4854</v>
      </c>
      <c r="BP823" s="100" t="s">
        <v>4854</v>
      </c>
      <c r="BQ823" s="100" t="s">
        <v>4854</v>
      </c>
      <c r="BR823" s="100" t="s">
        <v>4854</v>
      </c>
      <c r="BS823" s="10" t="s">
        <v>4857</v>
      </c>
    </row>
    <row r="824" spans="1:71" ht="17.100000000000001" customHeight="1">
      <c r="A824" s="31">
        <v>813</v>
      </c>
      <c r="B824" s="2" t="s">
        <v>1803</v>
      </c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94"/>
      <c r="O824" s="34"/>
      <c r="P824" s="34"/>
      <c r="Q824" s="34"/>
      <c r="R824" s="34"/>
      <c r="S824" s="34"/>
      <c r="T824" s="34"/>
      <c r="U824" s="34"/>
      <c r="V824" s="34"/>
      <c r="W824" s="1"/>
      <c r="X824" s="1"/>
      <c r="Y824" s="1"/>
      <c r="Z824" s="1"/>
      <c r="AA824" s="1"/>
      <c r="AB824" s="1"/>
      <c r="AC824" s="1"/>
      <c r="AD824" s="1"/>
      <c r="AE824" s="89"/>
      <c r="AF824" s="89"/>
      <c r="AG824" s="89"/>
      <c r="AH824" s="89"/>
      <c r="AI824" s="89"/>
      <c r="AJ824" s="89"/>
      <c r="AK824" s="89"/>
      <c r="AL824" s="89"/>
      <c r="AM824" s="94"/>
      <c r="AN824" s="94"/>
      <c r="AO824" s="94"/>
      <c r="AP824" s="94"/>
      <c r="AQ824" s="94"/>
      <c r="AR824" s="94"/>
      <c r="AS824" s="94"/>
      <c r="AT824" s="94"/>
      <c r="AU824" s="94"/>
      <c r="AV824" s="94"/>
      <c r="AW824" s="94"/>
      <c r="AX824" s="94"/>
      <c r="AY824" s="94"/>
      <c r="AZ824" s="94"/>
      <c r="BA824" s="94"/>
      <c r="BB824" s="94"/>
      <c r="BC824" s="1"/>
      <c r="BD824" s="1"/>
      <c r="BE824" s="1"/>
      <c r="BF824" s="1"/>
      <c r="BG824" s="1"/>
      <c r="BH824" s="1"/>
      <c r="BI824" s="1"/>
      <c r="BJ824" s="1"/>
      <c r="BK824" s="89"/>
      <c r="BL824" s="89"/>
      <c r="BM824" s="89"/>
      <c r="BN824" s="89"/>
      <c r="BO824" s="89"/>
      <c r="BP824" s="89"/>
      <c r="BQ824" s="89"/>
      <c r="BR824" s="89"/>
      <c r="BS824" s="1"/>
    </row>
    <row r="825" spans="1:71" s="30" customFormat="1" ht="17.100000000000001" customHeight="1">
      <c r="A825" s="14">
        <v>814</v>
      </c>
      <c r="B825" s="5" t="s">
        <v>2484</v>
      </c>
      <c r="C825" s="3" t="s">
        <v>1803</v>
      </c>
      <c r="D825" s="3" t="s">
        <v>1804</v>
      </c>
      <c r="E825" s="3" t="s">
        <v>1804</v>
      </c>
      <c r="F825" s="5" t="s">
        <v>5234</v>
      </c>
      <c r="G825" s="3" t="s">
        <v>1805</v>
      </c>
      <c r="H825" s="6" t="s">
        <v>1806</v>
      </c>
      <c r="I825" s="3" t="s">
        <v>1807</v>
      </c>
      <c r="J825" s="5" t="s">
        <v>4865</v>
      </c>
      <c r="K825" s="3" t="s">
        <v>5829</v>
      </c>
      <c r="L825" s="3" t="s">
        <v>1808</v>
      </c>
      <c r="M825" s="5">
        <v>2</v>
      </c>
      <c r="N825" s="21">
        <v>615.82950000000005</v>
      </c>
      <c r="O825" s="35" t="s">
        <v>4854</v>
      </c>
      <c r="P825" s="35" t="s">
        <v>4854</v>
      </c>
      <c r="Q825" s="36" t="str">
        <f>HYPERLINK("http://ms.phosphosite.org:5080/cgi-bin/plot-msms.cgi?MassType=1&amp;NumAxis=1&amp;Mod6=170&amp;Pep=TPWELKWTK&amp;Dta=/var/www/html/dta/S01/10560.9825.2.dta&amp;Global_Mod=CS57.0215", "9825")</f>
        <v>9825</v>
      </c>
      <c r="R825" s="36" t="str">
        <f>HYPERLINK("http://ms.phosphosite.org:5080/cgi-bin/plot-msms.cgi?MassType=1&amp;NumAxis=1&amp;Mod6=170&amp;Pep=TPWELKWTK&amp;Dta=/var/www/html/dta/S01/10561.9845.2.dta&amp;Global_Mod=CS57.0215", "9845")</f>
        <v>9845</v>
      </c>
      <c r="S825" s="35" t="s">
        <v>4854</v>
      </c>
      <c r="T825" s="35" t="s">
        <v>4854</v>
      </c>
      <c r="U825" s="35" t="s">
        <v>4854</v>
      </c>
      <c r="V825" s="35" t="s">
        <v>4854</v>
      </c>
      <c r="W825" s="3" t="s">
        <v>4854</v>
      </c>
      <c r="X825" s="3" t="s">
        <v>4854</v>
      </c>
      <c r="Y825" s="5">
        <v>9842</v>
      </c>
      <c r="Z825" s="5">
        <v>9835</v>
      </c>
      <c r="AA825" s="3" t="s">
        <v>4854</v>
      </c>
      <c r="AB825" s="3" t="s">
        <v>4854</v>
      </c>
      <c r="AC825" s="3" t="s">
        <v>4854</v>
      </c>
      <c r="AD825" s="3" t="s">
        <v>4854</v>
      </c>
      <c r="AE825" s="99" t="s">
        <v>4854</v>
      </c>
      <c r="AF825" s="99" t="s">
        <v>4854</v>
      </c>
      <c r="AG825" s="90">
        <v>2.0630000000000002</v>
      </c>
      <c r="AH825" s="90">
        <v>2.2629999999999999</v>
      </c>
      <c r="AI825" s="99" t="s">
        <v>4854</v>
      </c>
      <c r="AJ825" s="99" t="s">
        <v>4854</v>
      </c>
      <c r="AK825" s="99" t="s">
        <v>4854</v>
      </c>
      <c r="AL825" s="99" t="s">
        <v>4854</v>
      </c>
      <c r="AM825" s="102" t="s">
        <v>4854</v>
      </c>
      <c r="AN825" s="102" t="s">
        <v>4854</v>
      </c>
      <c r="AO825" s="21">
        <v>-8.2600000000000007E-2</v>
      </c>
      <c r="AP825" s="21">
        <v>0.2132</v>
      </c>
      <c r="AQ825" s="102" t="s">
        <v>4854</v>
      </c>
      <c r="AR825" s="102" t="s">
        <v>4854</v>
      </c>
      <c r="AS825" s="102" t="s">
        <v>4854</v>
      </c>
      <c r="AT825" s="102" t="s">
        <v>4854</v>
      </c>
      <c r="AU825" s="102" t="s">
        <v>4854</v>
      </c>
      <c r="AV825" s="102" t="s">
        <v>4854</v>
      </c>
      <c r="AW825" s="21">
        <v>0.14299999999999999</v>
      </c>
      <c r="AX825" s="21">
        <v>0.21199999999999999</v>
      </c>
      <c r="AY825" s="102" t="s">
        <v>4854</v>
      </c>
      <c r="AZ825" s="102" t="s">
        <v>4854</v>
      </c>
      <c r="BA825" s="102" t="s">
        <v>4854</v>
      </c>
      <c r="BB825" s="102" t="s">
        <v>4854</v>
      </c>
      <c r="BC825" s="3" t="s">
        <v>4854</v>
      </c>
      <c r="BD825" s="3" t="s">
        <v>4854</v>
      </c>
      <c r="BE825" s="5">
        <v>4</v>
      </c>
      <c r="BF825" s="5">
        <v>3</v>
      </c>
      <c r="BG825" s="3" t="s">
        <v>4854</v>
      </c>
      <c r="BH825" s="3" t="s">
        <v>4854</v>
      </c>
      <c r="BI825" s="3" t="s">
        <v>4854</v>
      </c>
      <c r="BJ825" s="3" t="s">
        <v>4854</v>
      </c>
      <c r="BK825" s="99" t="s">
        <v>4854</v>
      </c>
      <c r="BL825" s="99" t="s">
        <v>4854</v>
      </c>
      <c r="BM825" s="90">
        <v>0.98699999999999999</v>
      </c>
      <c r="BN825" s="90">
        <v>0.997</v>
      </c>
      <c r="BO825" s="99" t="s">
        <v>4854</v>
      </c>
      <c r="BP825" s="99" t="s">
        <v>4854</v>
      </c>
      <c r="BQ825" s="99" t="s">
        <v>4854</v>
      </c>
      <c r="BR825" s="99" t="s">
        <v>4854</v>
      </c>
      <c r="BS825" s="5" t="s">
        <v>4857</v>
      </c>
    </row>
    <row r="826" spans="1:71" s="30" customFormat="1" ht="17.100000000000001" customHeight="1">
      <c r="A826" s="10">
        <v>815</v>
      </c>
      <c r="B826" s="10" t="s">
        <v>1809</v>
      </c>
      <c r="C826" s="4" t="s">
        <v>1803</v>
      </c>
      <c r="D826" s="4" t="s">
        <v>1810</v>
      </c>
      <c r="E826" s="4" t="s">
        <v>1811</v>
      </c>
      <c r="F826" s="10" t="s">
        <v>1812</v>
      </c>
      <c r="G826" s="4" t="s">
        <v>1813</v>
      </c>
      <c r="H826" s="7" t="s">
        <v>1814</v>
      </c>
      <c r="I826" s="4" t="s">
        <v>1815</v>
      </c>
      <c r="J826" s="10" t="s">
        <v>4029</v>
      </c>
      <c r="K826" s="4" t="s">
        <v>5830</v>
      </c>
      <c r="L826" s="4" t="s">
        <v>1816</v>
      </c>
      <c r="M826" s="10">
        <v>4</v>
      </c>
      <c r="N826" s="95">
        <v>913.24540000000002</v>
      </c>
      <c r="O826" s="38" t="s">
        <v>4854</v>
      </c>
      <c r="P826" s="38" t="s">
        <v>4854</v>
      </c>
      <c r="Q826" s="38" t="s">
        <v>4854</v>
      </c>
      <c r="R826" s="37" t="str">
        <f>HYPERLINK("http://ms.phosphosite.org:5080/cgi-bin/plot-msms.cgi?MassType=1&amp;NumAxis=1&amp;Mod4=147&amp;Mod11=160&amp;Mod19=170&amp;Mod21=170&amp;Mod24=170&amp;Pep=VAIMVSGQLRCIGTVQHLKSKFGKGYFLEIK&amp;Dta=/var/www/html/dta/S01/10561.14138.4.dta&amp;Global_Mod=CS57.0215", "14138")</f>
        <v>14138</v>
      </c>
      <c r="S826" s="38" t="s">
        <v>4854</v>
      </c>
      <c r="T826" s="38" t="s">
        <v>4854</v>
      </c>
      <c r="U826" s="38" t="s">
        <v>4854</v>
      </c>
      <c r="V826" s="38" t="s">
        <v>4854</v>
      </c>
      <c r="W826" s="4" t="s">
        <v>4854</v>
      </c>
      <c r="X826" s="4" t="s">
        <v>4854</v>
      </c>
      <c r="Y826" s="4" t="s">
        <v>4854</v>
      </c>
      <c r="Z826" s="4" t="s">
        <v>4854</v>
      </c>
      <c r="AA826" s="4" t="s">
        <v>4854</v>
      </c>
      <c r="AB826" s="4" t="s">
        <v>4854</v>
      </c>
      <c r="AC826" s="4" t="s">
        <v>4854</v>
      </c>
      <c r="AD826" s="4" t="s">
        <v>4854</v>
      </c>
      <c r="AE826" s="100" t="s">
        <v>4854</v>
      </c>
      <c r="AF826" s="100" t="s">
        <v>4854</v>
      </c>
      <c r="AG826" s="100" t="s">
        <v>4854</v>
      </c>
      <c r="AH826" s="91">
        <v>2.1230000000000002</v>
      </c>
      <c r="AI826" s="100" t="s">
        <v>4854</v>
      </c>
      <c r="AJ826" s="100" t="s">
        <v>4854</v>
      </c>
      <c r="AK826" s="100" t="s">
        <v>4854</v>
      </c>
      <c r="AL826" s="100" t="s">
        <v>4854</v>
      </c>
      <c r="AM826" s="103" t="s">
        <v>4854</v>
      </c>
      <c r="AN826" s="103" t="s">
        <v>4854</v>
      </c>
      <c r="AO826" s="103" t="s">
        <v>4854</v>
      </c>
      <c r="AP826" s="95">
        <v>-1.0196000000000001</v>
      </c>
      <c r="AQ826" s="103" t="s">
        <v>4854</v>
      </c>
      <c r="AR826" s="103" t="s">
        <v>4854</v>
      </c>
      <c r="AS826" s="103" t="s">
        <v>4854</v>
      </c>
      <c r="AT826" s="103" t="s">
        <v>4854</v>
      </c>
      <c r="AU826" s="103" t="s">
        <v>4854</v>
      </c>
      <c r="AV826" s="103" t="s">
        <v>4854</v>
      </c>
      <c r="AW826" s="103" t="s">
        <v>4854</v>
      </c>
      <c r="AX826" s="95">
        <v>2.5000000000000001E-2</v>
      </c>
      <c r="AY826" s="103" t="s">
        <v>4854</v>
      </c>
      <c r="AZ826" s="103" t="s">
        <v>4854</v>
      </c>
      <c r="BA826" s="103" t="s">
        <v>4854</v>
      </c>
      <c r="BB826" s="103" t="s">
        <v>4854</v>
      </c>
      <c r="BC826" s="4" t="s">
        <v>4854</v>
      </c>
      <c r="BD826" s="4" t="s">
        <v>4854</v>
      </c>
      <c r="BE826" s="4" t="s">
        <v>4854</v>
      </c>
      <c r="BF826" s="10">
        <v>11</v>
      </c>
      <c r="BG826" s="4" t="s">
        <v>4854</v>
      </c>
      <c r="BH826" s="4" t="s">
        <v>4854</v>
      </c>
      <c r="BI826" s="4" t="s">
        <v>4854</v>
      </c>
      <c r="BJ826" s="4" t="s">
        <v>4854</v>
      </c>
      <c r="BK826" s="100" t="s">
        <v>4854</v>
      </c>
      <c r="BL826" s="100" t="s">
        <v>4854</v>
      </c>
      <c r="BM826" s="100" t="s">
        <v>4854</v>
      </c>
      <c r="BN826" s="91">
        <v>8.5000000000000006E-2</v>
      </c>
      <c r="BO826" s="100" t="s">
        <v>4854</v>
      </c>
      <c r="BP826" s="100" t="s">
        <v>4854</v>
      </c>
      <c r="BQ826" s="100" t="s">
        <v>4854</v>
      </c>
      <c r="BR826" s="100" t="s">
        <v>4854</v>
      </c>
      <c r="BS826" s="10" t="s">
        <v>4857</v>
      </c>
    </row>
    <row r="827" spans="1:71" s="30" customFormat="1" ht="17.100000000000001" customHeight="1">
      <c r="A827" s="14">
        <v>816</v>
      </c>
      <c r="B827" s="5" t="s">
        <v>1817</v>
      </c>
      <c r="C827" s="3" t="s">
        <v>1803</v>
      </c>
      <c r="D827" s="3" t="s">
        <v>1818</v>
      </c>
      <c r="E827" s="6" t="s">
        <v>1819</v>
      </c>
      <c r="F827" s="5" t="s">
        <v>3990</v>
      </c>
      <c r="G827" s="3" t="s">
        <v>1820</v>
      </c>
      <c r="H827" s="6" t="s">
        <v>1695</v>
      </c>
      <c r="I827" s="3" t="s">
        <v>1696</v>
      </c>
      <c r="J827" s="5" t="s">
        <v>4539</v>
      </c>
      <c r="K827" s="3" t="s">
        <v>5831</v>
      </c>
      <c r="L827" s="3" t="s">
        <v>1697</v>
      </c>
      <c r="M827" s="5">
        <v>2</v>
      </c>
      <c r="N827" s="21">
        <v>415.73450000000003</v>
      </c>
      <c r="O827" s="35" t="s">
        <v>4854</v>
      </c>
      <c r="P827" s="35" t="s">
        <v>4854</v>
      </c>
      <c r="Q827" s="35" t="s">
        <v>4854</v>
      </c>
      <c r="R827" s="35" t="s">
        <v>4854</v>
      </c>
      <c r="S827" s="36" t="str">
        <f>HYPERLINK("http://ms.phosphosite.org:5080/cgi-bin/plot-msms.cgi?MassType=1&amp;NumAxis=1&amp;Mod5=170&amp;Pep=LDGVKEK&amp;Dta=/var/www/html/dta/S01/10562.1957.2.dta&amp;Global_Mod=CS57.0215", "1957")</f>
        <v>1957</v>
      </c>
      <c r="T827" s="35" t="s">
        <v>4854</v>
      </c>
      <c r="U827" s="35" t="s">
        <v>4854</v>
      </c>
      <c r="V827" s="35" t="s">
        <v>4854</v>
      </c>
      <c r="W827" s="3" t="s">
        <v>4854</v>
      </c>
      <c r="X827" s="3" t="s">
        <v>4854</v>
      </c>
      <c r="Y827" s="3" t="s">
        <v>4854</v>
      </c>
      <c r="Z827" s="3" t="s">
        <v>4854</v>
      </c>
      <c r="AA827" s="3" t="s">
        <v>4854</v>
      </c>
      <c r="AB827" s="3" t="s">
        <v>4854</v>
      </c>
      <c r="AC827" s="3" t="s">
        <v>4854</v>
      </c>
      <c r="AD827" s="3" t="s">
        <v>4854</v>
      </c>
      <c r="AE827" s="99" t="s">
        <v>4854</v>
      </c>
      <c r="AF827" s="99" t="s">
        <v>4854</v>
      </c>
      <c r="AG827" s="99" t="s">
        <v>4854</v>
      </c>
      <c r="AH827" s="99" t="s">
        <v>4854</v>
      </c>
      <c r="AI827" s="90">
        <v>2.0990000000000002</v>
      </c>
      <c r="AJ827" s="99" t="s">
        <v>4854</v>
      </c>
      <c r="AK827" s="99" t="s">
        <v>4854</v>
      </c>
      <c r="AL827" s="99" t="s">
        <v>4854</v>
      </c>
      <c r="AM827" s="102" t="s">
        <v>4854</v>
      </c>
      <c r="AN827" s="102" t="s">
        <v>4854</v>
      </c>
      <c r="AO827" s="102" t="s">
        <v>4854</v>
      </c>
      <c r="AP827" s="102" t="s">
        <v>4854</v>
      </c>
      <c r="AQ827" s="21">
        <v>-5.9700000000000003E-2</v>
      </c>
      <c r="AR827" s="102" t="s">
        <v>4854</v>
      </c>
      <c r="AS827" s="102" t="s">
        <v>4854</v>
      </c>
      <c r="AT827" s="102" t="s">
        <v>4854</v>
      </c>
      <c r="AU827" s="102" t="s">
        <v>4854</v>
      </c>
      <c r="AV827" s="102" t="s">
        <v>4854</v>
      </c>
      <c r="AW827" s="102" t="s">
        <v>4854</v>
      </c>
      <c r="AX827" s="102" t="s">
        <v>4854</v>
      </c>
      <c r="AY827" s="21">
        <v>2.1999999999999999E-2</v>
      </c>
      <c r="AZ827" s="102" t="s">
        <v>4854</v>
      </c>
      <c r="BA827" s="102" t="s">
        <v>4854</v>
      </c>
      <c r="BB827" s="102" t="s">
        <v>4854</v>
      </c>
      <c r="BC827" s="3" t="s">
        <v>4854</v>
      </c>
      <c r="BD827" s="3" t="s">
        <v>4854</v>
      </c>
      <c r="BE827" s="3" t="s">
        <v>4854</v>
      </c>
      <c r="BF827" s="3" t="s">
        <v>4854</v>
      </c>
      <c r="BG827" s="5">
        <v>8</v>
      </c>
      <c r="BH827" s="3" t="s">
        <v>4854</v>
      </c>
      <c r="BI827" s="3" t="s">
        <v>4854</v>
      </c>
      <c r="BJ827" s="3" t="s">
        <v>4854</v>
      </c>
      <c r="BK827" s="99" t="s">
        <v>4854</v>
      </c>
      <c r="BL827" s="99" t="s">
        <v>4854</v>
      </c>
      <c r="BM827" s="99" t="s">
        <v>4854</v>
      </c>
      <c r="BN827" s="99" t="s">
        <v>4854</v>
      </c>
      <c r="BO827" s="90">
        <v>0.95599999999999996</v>
      </c>
      <c r="BP827" s="99" t="s">
        <v>4854</v>
      </c>
      <c r="BQ827" s="99" t="s">
        <v>4854</v>
      </c>
      <c r="BR827" s="99" t="s">
        <v>4854</v>
      </c>
      <c r="BS827" s="5" t="s">
        <v>4857</v>
      </c>
    </row>
    <row r="828" spans="1:71" s="30" customFormat="1" ht="17.100000000000001" customHeight="1">
      <c r="A828" s="10">
        <v>817</v>
      </c>
      <c r="B828" s="10" t="s">
        <v>1698</v>
      </c>
      <c r="C828" s="4" t="s">
        <v>1803</v>
      </c>
      <c r="D828" s="4" t="s">
        <v>1818</v>
      </c>
      <c r="E828" s="7" t="s">
        <v>1819</v>
      </c>
      <c r="F828" s="10" t="s">
        <v>5211</v>
      </c>
      <c r="G828" s="4" t="s">
        <v>1820</v>
      </c>
      <c r="H828" s="7" t="s">
        <v>1695</v>
      </c>
      <c r="I828" s="4" t="s">
        <v>1696</v>
      </c>
      <c r="J828" s="10" t="s">
        <v>4539</v>
      </c>
      <c r="K828" s="4" t="s">
        <v>5832</v>
      </c>
      <c r="L828" s="4" t="s">
        <v>1699</v>
      </c>
      <c r="M828" s="10">
        <v>2</v>
      </c>
      <c r="N828" s="95">
        <v>636.279</v>
      </c>
      <c r="O828" s="38" t="s">
        <v>4854</v>
      </c>
      <c r="P828" s="38" t="s">
        <v>4854</v>
      </c>
      <c r="Q828" s="38" t="s">
        <v>4854</v>
      </c>
      <c r="R828" s="38" t="s">
        <v>4854</v>
      </c>
      <c r="S828" s="37" t="str">
        <f>HYPERLINK("http://ms.phosphosite.org:5080/cgi-bin/plot-msms.cgi?MassType=1&amp;NumAxis=1&amp;Mod1=160&amp;Mod6=170&amp;Pep=CSSMQKFGER&amp;Dta=/var/www/html/dta/S01/10562.4319.2.dta&amp;Global_Mod=CS57.0215", "4319")</f>
        <v>4319</v>
      </c>
      <c r="T828" s="38" t="s">
        <v>4854</v>
      </c>
      <c r="U828" s="38" t="s">
        <v>4854</v>
      </c>
      <c r="V828" s="38" t="s">
        <v>4854</v>
      </c>
      <c r="W828" s="4" t="s">
        <v>4854</v>
      </c>
      <c r="X828" s="4" t="s">
        <v>4854</v>
      </c>
      <c r="Y828" s="4" t="s">
        <v>4854</v>
      </c>
      <c r="Z828" s="4" t="s">
        <v>4854</v>
      </c>
      <c r="AA828" s="10">
        <v>4311</v>
      </c>
      <c r="AB828" s="4" t="s">
        <v>4854</v>
      </c>
      <c r="AC828" s="4" t="s">
        <v>4854</v>
      </c>
      <c r="AD828" s="4" t="s">
        <v>4854</v>
      </c>
      <c r="AE828" s="100" t="s">
        <v>4854</v>
      </c>
      <c r="AF828" s="100" t="s">
        <v>4854</v>
      </c>
      <c r="AG828" s="100" t="s">
        <v>4854</v>
      </c>
      <c r="AH828" s="100" t="s">
        <v>4854</v>
      </c>
      <c r="AI828" s="91">
        <v>2.141</v>
      </c>
      <c r="AJ828" s="100" t="s">
        <v>4854</v>
      </c>
      <c r="AK828" s="100" t="s">
        <v>4854</v>
      </c>
      <c r="AL828" s="100" t="s">
        <v>4854</v>
      </c>
      <c r="AM828" s="103" t="s">
        <v>4854</v>
      </c>
      <c r="AN828" s="103" t="s">
        <v>4854</v>
      </c>
      <c r="AO828" s="103" t="s">
        <v>4854</v>
      </c>
      <c r="AP828" s="103" t="s">
        <v>4854</v>
      </c>
      <c r="AQ828" s="95">
        <v>-0.15160000000000001</v>
      </c>
      <c r="AR828" s="103" t="s">
        <v>4854</v>
      </c>
      <c r="AS828" s="103" t="s">
        <v>4854</v>
      </c>
      <c r="AT828" s="103" t="s">
        <v>4854</v>
      </c>
      <c r="AU828" s="103" t="s">
        <v>4854</v>
      </c>
      <c r="AV828" s="103" t="s">
        <v>4854</v>
      </c>
      <c r="AW828" s="103" t="s">
        <v>4854</v>
      </c>
      <c r="AX828" s="103" t="s">
        <v>4854</v>
      </c>
      <c r="AY828" s="95">
        <v>0.23699999999999999</v>
      </c>
      <c r="AZ828" s="103" t="s">
        <v>4854</v>
      </c>
      <c r="BA828" s="103" t="s">
        <v>4854</v>
      </c>
      <c r="BB828" s="103" t="s">
        <v>4854</v>
      </c>
      <c r="BC828" s="4" t="s">
        <v>4854</v>
      </c>
      <c r="BD828" s="4" t="s">
        <v>4854</v>
      </c>
      <c r="BE828" s="4" t="s">
        <v>4854</v>
      </c>
      <c r="BF828" s="4" t="s">
        <v>4854</v>
      </c>
      <c r="BG828" s="10">
        <v>2</v>
      </c>
      <c r="BH828" s="4" t="s">
        <v>4854</v>
      </c>
      <c r="BI828" s="4" t="s">
        <v>4854</v>
      </c>
      <c r="BJ828" s="4" t="s">
        <v>4854</v>
      </c>
      <c r="BK828" s="100" t="s">
        <v>4854</v>
      </c>
      <c r="BL828" s="100" t="s">
        <v>4854</v>
      </c>
      <c r="BM828" s="100" t="s">
        <v>4854</v>
      </c>
      <c r="BN828" s="100" t="s">
        <v>4854</v>
      </c>
      <c r="BO828" s="91">
        <v>0.997</v>
      </c>
      <c r="BP828" s="100" t="s">
        <v>4854</v>
      </c>
      <c r="BQ828" s="100" t="s">
        <v>4854</v>
      </c>
      <c r="BR828" s="100" t="s">
        <v>4854</v>
      </c>
      <c r="BS828" s="10" t="s">
        <v>4857</v>
      </c>
    </row>
    <row r="829" spans="1:71" s="30" customFormat="1" ht="17.100000000000001" customHeight="1">
      <c r="A829" s="14">
        <v>818</v>
      </c>
      <c r="B829" s="5" t="s">
        <v>1700</v>
      </c>
      <c r="C829" s="3" t="s">
        <v>1803</v>
      </c>
      <c r="D829" s="3" t="s">
        <v>1701</v>
      </c>
      <c r="E829" s="3" t="s">
        <v>1702</v>
      </c>
      <c r="F829" s="5" t="s">
        <v>5230</v>
      </c>
      <c r="G829" s="3" t="s">
        <v>1703</v>
      </c>
      <c r="H829" s="6" t="s">
        <v>1704</v>
      </c>
      <c r="I829" s="3" t="s">
        <v>1705</v>
      </c>
      <c r="J829" s="5" t="s">
        <v>4864</v>
      </c>
      <c r="K829" s="3" t="s">
        <v>5833</v>
      </c>
      <c r="L829" s="3" t="s">
        <v>1706</v>
      </c>
      <c r="M829" s="5">
        <v>2</v>
      </c>
      <c r="N829" s="21">
        <v>581.827</v>
      </c>
      <c r="O829" s="36" t="str">
        <f>HYPERLINK("http://ms.phosphosite.org:5080/cgi-bin/plot-msms.cgi?MassType=1&amp;NumAxis=1&amp;Mod3=170&amp;Pep=TGKAVSYLGPK&amp;Dta=/var/www/html/dta/S01/10558.4995.2.dta&amp;Global_Mod=CS57.0215", "4995")</f>
        <v>4995</v>
      </c>
      <c r="P829" s="36" t="str">
        <f>HYPERLINK("http://ms.phosphosite.org:5080/cgi-bin/plot-msms.cgi?MassType=1&amp;NumAxis=1&amp;Mod3=170&amp;Pep=TGKAVSYLGPK&amp;Dta=/var/www/html/dta/S01/10559.4920.2.dta&amp;Global_Mod=CS57.0215", "4920")</f>
        <v>4920</v>
      </c>
      <c r="Q829" s="36" t="str">
        <f>HYPERLINK("http://ms.phosphosite.org:5080/cgi-bin/plot-msms.cgi?MassType=1&amp;NumAxis=1&amp;Mod3=170&amp;Pep=TGKAVSYLGPK&amp;Dta=/var/www/html/dta/S01/10560.4912.2.dta&amp;Global_Mod=CS57.0215", "4912")</f>
        <v>4912</v>
      </c>
      <c r="R829" s="35" t="s">
        <v>4854</v>
      </c>
      <c r="S829" s="35" t="s">
        <v>4854</v>
      </c>
      <c r="T829" s="36" t="str">
        <f>HYPERLINK("http://ms.phosphosite.org:5080/cgi-bin/plot-msms.cgi?MassType=1&amp;NumAxis=1&amp;Mod3=170&amp;Pep=TGKAVSYLGPK&amp;Dta=/var/www/html/dta/S01/10563.4985.2.dta&amp;Global_Mod=CS57.0215", "4985")</f>
        <v>4985</v>
      </c>
      <c r="U829" s="35" t="s">
        <v>4854</v>
      </c>
      <c r="V829" s="36" t="str">
        <f>HYPERLINK("http://ms.phosphosite.org:5080/cgi-bin/plot-msms.cgi?MassType=1&amp;NumAxis=1&amp;Mod3=170&amp;Pep=TGKAVSYLGPK&amp;Dta=/var/www/html/dta/S01/10565.5425.2.dta&amp;Global_Mod=CS57.0215", "5425")</f>
        <v>5425</v>
      </c>
      <c r="W829" s="5">
        <v>4999</v>
      </c>
      <c r="X829" s="5">
        <v>4932</v>
      </c>
      <c r="Y829" s="5">
        <v>4925</v>
      </c>
      <c r="Z829" s="3" t="s">
        <v>4854</v>
      </c>
      <c r="AA829" s="3" t="s">
        <v>4854</v>
      </c>
      <c r="AB829" s="5">
        <v>5002</v>
      </c>
      <c r="AC829" s="3" t="s">
        <v>4854</v>
      </c>
      <c r="AD829" s="5">
        <v>5460</v>
      </c>
      <c r="AE829" s="90">
        <v>2.1560000000000001</v>
      </c>
      <c r="AF829" s="90">
        <v>2.2480000000000002</v>
      </c>
      <c r="AG829" s="90">
        <v>2.5230000000000001</v>
      </c>
      <c r="AH829" s="99" t="s">
        <v>4854</v>
      </c>
      <c r="AI829" s="99" t="s">
        <v>4854</v>
      </c>
      <c r="AJ829" s="90">
        <v>2.282</v>
      </c>
      <c r="AK829" s="99" t="s">
        <v>4854</v>
      </c>
      <c r="AL829" s="90">
        <v>2.8039999999999998</v>
      </c>
      <c r="AM829" s="21">
        <v>0.1116</v>
      </c>
      <c r="AN829" s="21">
        <v>-0.26690000000000003</v>
      </c>
      <c r="AO829" s="21">
        <v>9.1800000000000007E-2</v>
      </c>
      <c r="AP829" s="102" t="s">
        <v>4854</v>
      </c>
      <c r="AQ829" s="102" t="s">
        <v>4854</v>
      </c>
      <c r="AR829" s="21">
        <v>-0.13350000000000001</v>
      </c>
      <c r="AS829" s="102" t="s">
        <v>4854</v>
      </c>
      <c r="AT829" s="21">
        <v>-0.106</v>
      </c>
      <c r="AU829" s="21">
        <v>5.1999999999999998E-2</v>
      </c>
      <c r="AV829" s="21">
        <v>5.8000000000000003E-2</v>
      </c>
      <c r="AW829" s="21">
        <v>0.20499999999999999</v>
      </c>
      <c r="AX829" s="102" t="s">
        <v>4854</v>
      </c>
      <c r="AY829" s="102" t="s">
        <v>4854</v>
      </c>
      <c r="AZ829" s="21">
        <v>0.155</v>
      </c>
      <c r="BA829" s="102" t="s">
        <v>4854</v>
      </c>
      <c r="BB829" s="21">
        <v>0.19800000000000001</v>
      </c>
      <c r="BC829" s="5">
        <v>7</v>
      </c>
      <c r="BD829" s="5">
        <v>2</v>
      </c>
      <c r="BE829" s="5">
        <v>4</v>
      </c>
      <c r="BF829" s="3" t="s">
        <v>4854</v>
      </c>
      <c r="BG829" s="3" t="s">
        <v>4854</v>
      </c>
      <c r="BH829" s="5">
        <v>105</v>
      </c>
      <c r="BI829" s="3" t="s">
        <v>4854</v>
      </c>
      <c r="BJ829" s="5">
        <v>5</v>
      </c>
      <c r="BK829" s="90">
        <v>0.95199999999999996</v>
      </c>
      <c r="BL829" s="90">
        <v>0.97499999999999998</v>
      </c>
      <c r="BM829" s="90">
        <v>0.997</v>
      </c>
      <c r="BN829" s="99" t="s">
        <v>4854</v>
      </c>
      <c r="BO829" s="99" t="s">
        <v>4854</v>
      </c>
      <c r="BP829" s="90">
        <v>0.97399999999999998</v>
      </c>
      <c r="BQ829" s="99" t="s">
        <v>4854</v>
      </c>
      <c r="BR829" s="90">
        <v>0.998</v>
      </c>
      <c r="BS829" s="5" t="s">
        <v>4857</v>
      </c>
    </row>
    <row r="830" spans="1:71" s="30" customFormat="1" ht="17.100000000000001" customHeight="1">
      <c r="A830" s="10">
        <v>819</v>
      </c>
      <c r="B830" s="10" t="s">
        <v>4542</v>
      </c>
      <c r="C830" s="4" t="s">
        <v>1803</v>
      </c>
      <c r="D830" s="4" t="s">
        <v>1707</v>
      </c>
      <c r="E830" s="4" t="s">
        <v>1708</v>
      </c>
      <c r="F830" s="10" t="s">
        <v>4841</v>
      </c>
      <c r="G830" s="4" t="s">
        <v>1709</v>
      </c>
      <c r="H830" s="7" t="s">
        <v>1710</v>
      </c>
      <c r="I830" s="4" t="s">
        <v>1711</v>
      </c>
      <c r="J830" s="10" t="s">
        <v>4383</v>
      </c>
      <c r="K830" s="4" t="s">
        <v>5834</v>
      </c>
      <c r="L830" s="4" t="s">
        <v>1712</v>
      </c>
      <c r="M830" s="10">
        <v>3</v>
      </c>
      <c r="N830" s="95">
        <v>564.93849999999998</v>
      </c>
      <c r="O830" s="37" t="str">
        <f>HYPERLINK("http://ms.phosphosite.org:5080/cgi-bin/plot-msms.cgi?MassType=1&amp;NumAxis=1&amp;Mod1=170&amp;Mod6=160&amp;Pep=KYNTDCVQGLTHSK&amp;Dta=/var/www/html/dta/S01/10558.4129.3.dta&amp;Global_Mod=CS57.0215", "4129")</f>
        <v>4129</v>
      </c>
      <c r="P830" s="38" t="s">
        <v>4854</v>
      </c>
      <c r="Q830" s="37" t="str">
        <f>HYPERLINK("http://ms.phosphosite.org:5080/cgi-bin/plot-msms.cgi?MassType=1&amp;NumAxis=1&amp;Mod1=170&amp;Mod6=160&amp;Pep=KYNTDCVQGLTHSK&amp;Dta=/var/www/html/dta/S01/10560.4029.3.dta&amp;Global_Mod=CS57.0215", "4029")</f>
        <v>4029</v>
      </c>
      <c r="R830" s="37" t="str">
        <f>HYPERLINK("http://ms.phosphosite.org:5080/cgi-bin/plot-msms.cgi?MassType=1&amp;NumAxis=1&amp;Mod1=170&amp;Mod6=160&amp;Pep=KYNTDCVQGLTHSK&amp;Dta=/var/www/html/dta/S01/10561.4055.3.dta&amp;Global_Mod=CS57.0215", "4055")</f>
        <v>4055</v>
      </c>
      <c r="S830" s="37" t="str">
        <f>HYPERLINK("http://ms.phosphosite.org:5080/cgi-bin/plot-msms.cgi?MassType=1&amp;NumAxis=1&amp;Mod1=170&amp;Mod6=160&amp;Pep=KYNTDCVQGLTHSK&amp;Dta=/var/www/html/dta/S01/10562.4165.3.dta&amp;Global_Mod=CS57.0215", "4165")</f>
        <v>4165</v>
      </c>
      <c r="T830" s="38" t="s">
        <v>4854</v>
      </c>
      <c r="U830" s="38" t="s">
        <v>4854</v>
      </c>
      <c r="V830" s="38" t="s">
        <v>4854</v>
      </c>
      <c r="W830" s="10">
        <v>4135</v>
      </c>
      <c r="X830" s="4" t="s">
        <v>4854</v>
      </c>
      <c r="Y830" s="10">
        <v>4026</v>
      </c>
      <c r="Z830" s="10">
        <v>4061</v>
      </c>
      <c r="AA830" s="10">
        <v>4146</v>
      </c>
      <c r="AB830" s="4" t="s">
        <v>4854</v>
      </c>
      <c r="AC830" s="4" t="s">
        <v>4854</v>
      </c>
      <c r="AD830" s="4" t="s">
        <v>4854</v>
      </c>
      <c r="AE830" s="91">
        <v>2.7730000000000001</v>
      </c>
      <c r="AF830" s="100" t="s">
        <v>4854</v>
      </c>
      <c r="AG830" s="91">
        <v>2.9449999999999998</v>
      </c>
      <c r="AH830" s="91">
        <v>3.1680000000000001</v>
      </c>
      <c r="AI830" s="91">
        <v>2.4580000000000002</v>
      </c>
      <c r="AJ830" s="100" t="s">
        <v>4854</v>
      </c>
      <c r="AK830" s="100" t="s">
        <v>4854</v>
      </c>
      <c r="AL830" s="100" t="s">
        <v>4854</v>
      </c>
      <c r="AM830" s="95">
        <v>-9.8299999999999998E-2</v>
      </c>
      <c r="AN830" s="103" t="s">
        <v>4854</v>
      </c>
      <c r="AO830" s="95">
        <v>0.62119999999999997</v>
      </c>
      <c r="AP830" s="95">
        <v>0.34060000000000001</v>
      </c>
      <c r="AQ830" s="95">
        <v>-0.1007</v>
      </c>
      <c r="AR830" s="103" t="s">
        <v>4854</v>
      </c>
      <c r="AS830" s="103" t="s">
        <v>4854</v>
      </c>
      <c r="AT830" s="103" t="s">
        <v>4854</v>
      </c>
      <c r="AU830" s="95">
        <v>0.35699999999999998</v>
      </c>
      <c r="AV830" s="103" t="s">
        <v>4854</v>
      </c>
      <c r="AW830" s="95">
        <v>0.32500000000000001</v>
      </c>
      <c r="AX830" s="95">
        <v>0.378</v>
      </c>
      <c r="AY830" s="95">
        <v>0.25800000000000001</v>
      </c>
      <c r="AZ830" s="103" t="s">
        <v>4854</v>
      </c>
      <c r="BA830" s="103" t="s">
        <v>4854</v>
      </c>
      <c r="BB830" s="103" t="s">
        <v>4854</v>
      </c>
      <c r="BC830" s="10">
        <v>21</v>
      </c>
      <c r="BD830" s="4" t="s">
        <v>4854</v>
      </c>
      <c r="BE830" s="10">
        <v>1</v>
      </c>
      <c r="BF830" s="10">
        <v>1</v>
      </c>
      <c r="BG830" s="10">
        <v>281</v>
      </c>
      <c r="BH830" s="4" t="s">
        <v>4854</v>
      </c>
      <c r="BI830" s="4" t="s">
        <v>4854</v>
      </c>
      <c r="BJ830" s="4" t="s">
        <v>4854</v>
      </c>
      <c r="BK830" s="91">
        <v>1</v>
      </c>
      <c r="BL830" s="100" t="s">
        <v>4854</v>
      </c>
      <c r="BM830" s="91">
        <v>1</v>
      </c>
      <c r="BN830" s="91">
        <v>1</v>
      </c>
      <c r="BO830" s="91">
        <v>0.999</v>
      </c>
      <c r="BP830" s="100" t="s">
        <v>4854</v>
      </c>
      <c r="BQ830" s="100" t="s">
        <v>4854</v>
      </c>
      <c r="BR830" s="100" t="s">
        <v>4854</v>
      </c>
      <c r="BS830" s="10" t="s">
        <v>4857</v>
      </c>
    </row>
    <row r="831" spans="1:71" s="30" customFormat="1" ht="17.100000000000001" customHeight="1">
      <c r="A831" s="14">
        <v>820</v>
      </c>
      <c r="B831" s="5" t="s">
        <v>1713</v>
      </c>
      <c r="C831" s="3" t="s">
        <v>1803</v>
      </c>
      <c r="D831" s="3" t="s">
        <v>1714</v>
      </c>
      <c r="E831" s="3" t="s">
        <v>1715</v>
      </c>
      <c r="F831" s="5" t="s">
        <v>4951</v>
      </c>
      <c r="G831" s="3" t="s">
        <v>1716</v>
      </c>
      <c r="H831" s="6" t="s">
        <v>1717</v>
      </c>
      <c r="I831" s="3" t="s">
        <v>1718</v>
      </c>
      <c r="J831" s="5" t="s">
        <v>4646</v>
      </c>
      <c r="K831" s="3" t="s">
        <v>5835</v>
      </c>
      <c r="L831" s="3" t="s">
        <v>1719</v>
      </c>
      <c r="M831" s="5">
        <v>2</v>
      </c>
      <c r="N831" s="21">
        <v>548.25130000000001</v>
      </c>
      <c r="O831" s="35" t="s">
        <v>4854</v>
      </c>
      <c r="P831" s="35" t="s">
        <v>4854</v>
      </c>
      <c r="Q831" s="35" t="s">
        <v>4854</v>
      </c>
      <c r="R831" s="36" t="str">
        <f>HYPERLINK("http://ms.phosphosite.org:5080/cgi-bin/plot-msms.cgi?MassType=1&amp;NumAxis=1&amp;Mod8=170&amp;Pep=FNDGTDEKK&amp;Dta=/var/www/html/dta/S01/10561.1838.2.dta&amp;Global_Mod=CS57.0215", "1838")</f>
        <v>1838</v>
      </c>
      <c r="S831" s="35" t="s">
        <v>4854</v>
      </c>
      <c r="T831" s="35" t="s">
        <v>4854</v>
      </c>
      <c r="U831" s="35" t="s">
        <v>4854</v>
      </c>
      <c r="V831" s="35" t="s">
        <v>4854</v>
      </c>
      <c r="W831" s="3" t="s">
        <v>4854</v>
      </c>
      <c r="X831" s="3" t="s">
        <v>4854</v>
      </c>
      <c r="Y831" s="3" t="s">
        <v>4854</v>
      </c>
      <c r="Z831" s="5">
        <v>1830</v>
      </c>
      <c r="AA831" s="3" t="s">
        <v>4854</v>
      </c>
      <c r="AB831" s="3" t="s">
        <v>4854</v>
      </c>
      <c r="AC831" s="3" t="s">
        <v>4854</v>
      </c>
      <c r="AD831" s="3" t="s">
        <v>4854</v>
      </c>
      <c r="AE831" s="99" t="s">
        <v>4854</v>
      </c>
      <c r="AF831" s="99" t="s">
        <v>4854</v>
      </c>
      <c r="AG831" s="99" t="s">
        <v>4854</v>
      </c>
      <c r="AH831" s="90">
        <v>2.1859999999999999</v>
      </c>
      <c r="AI831" s="99" t="s">
        <v>4854</v>
      </c>
      <c r="AJ831" s="99" t="s">
        <v>4854</v>
      </c>
      <c r="AK831" s="99" t="s">
        <v>4854</v>
      </c>
      <c r="AL831" s="99" t="s">
        <v>4854</v>
      </c>
      <c r="AM831" s="102" t="s">
        <v>4854</v>
      </c>
      <c r="AN831" s="102" t="s">
        <v>4854</v>
      </c>
      <c r="AO831" s="102" t="s">
        <v>4854</v>
      </c>
      <c r="AP831" s="21">
        <v>1.0985</v>
      </c>
      <c r="AQ831" s="102" t="s">
        <v>4854</v>
      </c>
      <c r="AR831" s="102" t="s">
        <v>4854</v>
      </c>
      <c r="AS831" s="102" t="s">
        <v>4854</v>
      </c>
      <c r="AT831" s="102" t="s">
        <v>4854</v>
      </c>
      <c r="AU831" s="102" t="s">
        <v>4854</v>
      </c>
      <c r="AV831" s="102" t="s">
        <v>4854</v>
      </c>
      <c r="AW831" s="102" t="s">
        <v>4854</v>
      </c>
      <c r="AX831" s="21">
        <v>1.2E-2</v>
      </c>
      <c r="AY831" s="102" t="s">
        <v>4854</v>
      </c>
      <c r="AZ831" s="102" t="s">
        <v>4854</v>
      </c>
      <c r="BA831" s="102" t="s">
        <v>4854</v>
      </c>
      <c r="BB831" s="102" t="s">
        <v>4854</v>
      </c>
      <c r="BC831" s="3" t="s">
        <v>4854</v>
      </c>
      <c r="BD831" s="3" t="s">
        <v>4854</v>
      </c>
      <c r="BE831" s="3" t="s">
        <v>4854</v>
      </c>
      <c r="BF831" s="5">
        <v>5</v>
      </c>
      <c r="BG831" s="3" t="s">
        <v>4854</v>
      </c>
      <c r="BH831" s="3" t="s">
        <v>4854</v>
      </c>
      <c r="BI831" s="3" t="s">
        <v>4854</v>
      </c>
      <c r="BJ831" s="3" t="s">
        <v>4854</v>
      </c>
      <c r="BK831" s="99" t="s">
        <v>4854</v>
      </c>
      <c r="BL831" s="99" t="s">
        <v>4854</v>
      </c>
      <c r="BM831" s="99" t="s">
        <v>4854</v>
      </c>
      <c r="BN831" s="90">
        <v>0.99099999999999999</v>
      </c>
      <c r="BO831" s="99" t="s">
        <v>4854</v>
      </c>
      <c r="BP831" s="99" t="s">
        <v>4854</v>
      </c>
      <c r="BQ831" s="99" t="s">
        <v>4854</v>
      </c>
      <c r="BR831" s="99" t="s">
        <v>4854</v>
      </c>
      <c r="BS831" s="5" t="s">
        <v>4857</v>
      </c>
    </row>
    <row r="832" spans="1:71" s="30" customFormat="1" ht="17.100000000000001" customHeight="1">
      <c r="A832" s="10">
        <v>821</v>
      </c>
      <c r="B832" s="10" t="s">
        <v>1720</v>
      </c>
      <c r="C832" s="4" t="s">
        <v>1803</v>
      </c>
      <c r="D832" s="4" t="s">
        <v>1714</v>
      </c>
      <c r="E832" s="4" t="s">
        <v>1715</v>
      </c>
      <c r="F832" s="10" t="s">
        <v>4971</v>
      </c>
      <c r="G832" s="4" t="s">
        <v>1716</v>
      </c>
      <c r="H832" s="7" t="s">
        <v>1717</v>
      </c>
      <c r="I832" s="4" t="s">
        <v>1718</v>
      </c>
      <c r="J832" s="10" t="s">
        <v>4646</v>
      </c>
      <c r="K832" s="4" t="s">
        <v>5836</v>
      </c>
      <c r="L832" s="4" t="s">
        <v>1721</v>
      </c>
      <c r="M832" s="10">
        <v>2</v>
      </c>
      <c r="N832" s="95">
        <v>612.29880000000003</v>
      </c>
      <c r="O832" s="37" t="str">
        <f>HYPERLINK("http://ms.phosphosite.org:5080/cgi-bin/plot-msms.cgi?MassType=1&amp;NumAxis=1&amp;Mod9=170&amp;Pep=FNDGTDEKKK&amp;Dta=/var/www/html/dta/S01/10558.1498.2.dta&amp;Global_Mod=CS57.0215", "1498")</f>
        <v>1498</v>
      </c>
      <c r="P832" s="37" t="str">
        <f>HYPERLINK("http://ms.phosphosite.org:5080/cgi-bin/plot-msms.cgi?MassType=1&amp;NumAxis=1&amp;Mod9=170&amp;Pep=FNDGTDEKKK&amp;Dta=/var/www/html/dta/S01/10559.1472.2.dta&amp;Global_Mod=CS57.0215", "1472")</f>
        <v>1472</v>
      </c>
      <c r="Q832" s="37" t="str">
        <f>HYPERLINK("http://ms.phosphosite.org:5080/cgi-bin/plot-msms.cgi?MassType=1&amp;NumAxis=1&amp;Mod9=170&amp;Pep=FNDGTDEKKK&amp;Dta=/var/www/html/dta/S01/10560.1443.2.dta&amp;Global_Mod=CS57.0215", "1443")</f>
        <v>1443</v>
      </c>
      <c r="R832" s="37" t="str">
        <f>HYPERLINK("http://ms.phosphosite.org:5080/cgi-bin/plot-msms.cgi?MassType=1&amp;NumAxis=1&amp;Mod9=170&amp;Pep=FNDGTDEKKK&amp;Dta=/var/www/html/dta/S01/10561.1471.2.dta&amp;Global_Mod=CS57.0215", "1471")</f>
        <v>1471</v>
      </c>
      <c r="S832" s="37" t="str">
        <f>HYPERLINK("http://ms.phosphosite.org:5080/cgi-bin/plot-msms.cgi?MassType=1&amp;NumAxis=1&amp;Mod9=170&amp;Pep=FNDGTDEKKK&amp;Dta=/var/www/html/dta/S01/10562.1527.2.dta&amp;Global_Mod=CS57.0215", "1527")</f>
        <v>1527</v>
      </c>
      <c r="T832" s="37" t="str">
        <f>HYPERLINK("http://ms.phosphosite.org:5080/cgi-bin/plot-msms.cgi?MassType=1&amp;NumAxis=1&amp;Mod9=170&amp;Pep=FNDGTDEKKK&amp;Dta=/var/www/html/dta/S01/10563.1458.2.dta&amp;Global_Mod=CS57.0215", "1458")</f>
        <v>1458</v>
      </c>
      <c r="U832" s="37" t="str">
        <f>HYPERLINK("http://ms.phosphosite.org:5080/cgi-bin/plot-msms.cgi?MassType=1&amp;NumAxis=1&amp;Mod9=170&amp;Pep=FNDGTDEKKK&amp;Dta=/var/www/html/dta/S01/10564.1664.2.dta&amp;Global_Mod=CS57.0215", "1664")</f>
        <v>1664</v>
      </c>
      <c r="V832" s="37" t="str">
        <f>HYPERLINK("http://ms.phosphosite.org:5080/cgi-bin/plot-msms.cgi?MassType=1&amp;NumAxis=1&amp;Mod9=170&amp;Pep=FNDGTDEKKK&amp;Dta=/var/www/html/dta/S01/10565.1693.2.dta&amp;Global_Mod=CS57.0215", "1693")</f>
        <v>1693</v>
      </c>
      <c r="W832" s="10">
        <v>1501</v>
      </c>
      <c r="X832" s="4" t="s">
        <v>4854</v>
      </c>
      <c r="Y832" s="10">
        <v>1451</v>
      </c>
      <c r="Z832" s="10">
        <v>1467</v>
      </c>
      <c r="AA832" s="10">
        <v>1523</v>
      </c>
      <c r="AB832" s="4" t="s">
        <v>4854</v>
      </c>
      <c r="AC832" s="4" t="s">
        <v>4854</v>
      </c>
      <c r="AD832" s="10">
        <v>1698</v>
      </c>
      <c r="AE832" s="91">
        <v>3.1859999999999999</v>
      </c>
      <c r="AF832" s="91">
        <v>2.7570000000000001</v>
      </c>
      <c r="AG832" s="91">
        <v>2.7959999999999998</v>
      </c>
      <c r="AH832" s="91">
        <v>3.01</v>
      </c>
      <c r="AI832" s="91">
        <v>2.4079999999999999</v>
      </c>
      <c r="AJ832" s="91">
        <v>2.8969999999999998</v>
      </c>
      <c r="AK832" s="91">
        <v>2.839</v>
      </c>
      <c r="AL832" s="91">
        <v>2.7730000000000001</v>
      </c>
      <c r="AM832" s="95">
        <v>-8.5500000000000007E-2</v>
      </c>
      <c r="AN832" s="95">
        <v>-0.1133</v>
      </c>
      <c r="AO832" s="95">
        <v>0.38200000000000001</v>
      </c>
      <c r="AP832" s="95">
        <v>0.2014</v>
      </c>
      <c r="AQ832" s="95">
        <v>0.29859999999999998</v>
      </c>
      <c r="AR832" s="95">
        <v>-0.1991</v>
      </c>
      <c r="AS832" s="95">
        <v>0.23730000000000001</v>
      </c>
      <c r="AT832" s="95">
        <v>-0.65839999999999999</v>
      </c>
      <c r="AU832" s="95">
        <v>0.28899999999999998</v>
      </c>
      <c r="AV832" s="95">
        <v>0.27</v>
      </c>
      <c r="AW832" s="95">
        <v>0.27200000000000002</v>
      </c>
      <c r="AX832" s="95">
        <v>0.31900000000000001</v>
      </c>
      <c r="AY832" s="95">
        <v>0.13400000000000001</v>
      </c>
      <c r="AZ832" s="95">
        <v>0.35099999999999998</v>
      </c>
      <c r="BA832" s="95">
        <v>0.28899999999999998</v>
      </c>
      <c r="BB832" s="95">
        <v>0.32500000000000001</v>
      </c>
      <c r="BC832" s="10">
        <v>1</v>
      </c>
      <c r="BD832" s="10">
        <v>1</v>
      </c>
      <c r="BE832" s="10">
        <v>1</v>
      </c>
      <c r="BF832" s="10">
        <v>1</v>
      </c>
      <c r="BG832" s="10">
        <v>1</v>
      </c>
      <c r="BH832" s="10">
        <v>1</v>
      </c>
      <c r="BI832" s="10">
        <v>1</v>
      </c>
      <c r="BJ832" s="10">
        <v>1</v>
      </c>
      <c r="BK832" s="91">
        <v>1</v>
      </c>
      <c r="BL832" s="91">
        <v>0.999</v>
      </c>
      <c r="BM832" s="91">
        <v>1</v>
      </c>
      <c r="BN832" s="91">
        <v>1</v>
      </c>
      <c r="BO832" s="91">
        <v>0.995</v>
      </c>
      <c r="BP832" s="91">
        <v>1</v>
      </c>
      <c r="BQ832" s="91">
        <v>1</v>
      </c>
      <c r="BR832" s="91">
        <v>0.999</v>
      </c>
      <c r="BS832" s="10" t="s">
        <v>4857</v>
      </c>
    </row>
    <row r="833" spans="1:71" s="30" customFormat="1" ht="17.100000000000001" customHeight="1">
      <c r="A833" s="10">
        <v>822</v>
      </c>
      <c r="B833" s="10" t="s">
        <v>1722</v>
      </c>
      <c r="C833" s="4" t="s">
        <v>1803</v>
      </c>
      <c r="D833" s="4" t="s">
        <v>1714</v>
      </c>
      <c r="E833" s="4" t="s">
        <v>1715</v>
      </c>
      <c r="F833" s="10" t="s">
        <v>4971</v>
      </c>
      <c r="G833" s="4" t="s">
        <v>1716</v>
      </c>
      <c r="H833" s="7" t="s">
        <v>1717</v>
      </c>
      <c r="I833" s="4" t="s">
        <v>1718</v>
      </c>
      <c r="J833" s="10" t="s">
        <v>4646</v>
      </c>
      <c r="K833" s="4" t="s">
        <v>5836</v>
      </c>
      <c r="L833" s="4" t="s">
        <v>1721</v>
      </c>
      <c r="M833" s="10">
        <v>3</v>
      </c>
      <c r="N833" s="95">
        <v>408.53489999999999</v>
      </c>
      <c r="O833" s="38" t="s">
        <v>4854</v>
      </c>
      <c r="P833" s="37" t="str">
        <f>HYPERLINK("http://ms.phosphosite.org:5080/cgi-bin/plot-msms.cgi?MassType=1&amp;NumAxis=1&amp;Mod9=170&amp;Pep=FNDGTDEKKK&amp;Dta=/var/www/html/dta/S01/10559.1477.3.dta&amp;Global_Mod=CS57.0215", "1477")</f>
        <v>1477</v>
      </c>
      <c r="Q833" s="38" t="s">
        <v>4854</v>
      </c>
      <c r="R833" s="38" t="s">
        <v>4854</v>
      </c>
      <c r="S833" s="38" t="s">
        <v>4854</v>
      </c>
      <c r="T833" s="38" t="s">
        <v>4854</v>
      </c>
      <c r="U833" s="37" t="str">
        <f>HYPERLINK("http://ms.phosphosite.org:5080/cgi-bin/plot-msms.cgi?MassType=1&amp;NumAxis=1&amp;Mod9=170&amp;Pep=FNDGTDEKKK&amp;Dta=/var/www/html/dta/S01/10564.1662.3.dta&amp;Global_Mod=CS57.0215", "1662")</f>
        <v>1662</v>
      </c>
      <c r="V833" s="38" t="s">
        <v>4854</v>
      </c>
      <c r="W833" s="4" t="s">
        <v>4854</v>
      </c>
      <c r="X833" s="4" t="s">
        <v>4854</v>
      </c>
      <c r="Y833" s="4" t="s">
        <v>4854</v>
      </c>
      <c r="Z833" s="4" t="s">
        <v>4854</v>
      </c>
      <c r="AA833" s="4" t="s">
        <v>4854</v>
      </c>
      <c r="AB833" s="4" t="s">
        <v>4854</v>
      </c>
      <c r="AC833" s="10">
        <v>1661</v>
      </c>
      <c r="AD833" s="4" t="s">
        <v>4854</v>
      </c>
      <c r="AE833" s="100" t="s">
        <v>4854</v>
      </c>
      <c r="AF833" s="91">
        <v>2.1509999999999998</v>
      </c>
      <c r="AG833" s="100" t="s">
        <v>4854</v>
      </c>
      <c r="AH833" s="100" t="s">
        <v>4854</v>
      </c>
      <c r="AI833" s="100" t="s">
        <v>4854</v>
      </c>
      <c r="AJ833" s="100" t="s">
        <v>4854</v>
      </c>
      <c r="AK833" s="91">
        <v>2.145</v>
      </c>
      <c r="AL833" s="100" t="s">
        <v>4854</v>
      </c>
      <c r="AM833" s="103" t="s">
        <v>4854</v>
      </c>
      <c r="AN833" s="95">
        <v>-0.11899999999999999</v>
      </c>
      <c r="AO833" s="103" t="s">
        <v>4854</v>
      </c>
      <c r="AP833" s="103" t="s">
        <v>4854</v>
      </c>
      <c r="AQ833" s="103" t="s">
        <v>4854</v>
      </c>
      <c r="AR833" s="103" t="s">
        <v>4854</v>
      </c>
      <c r="AS833" s="95">
        <v>-9.1999999999999998E-2</v>
      </c>
      <c r="AT833" s="103" t="s">
        <v>4854</v>
      </c>
      <c r="AU833" s="103" t="s">
        <v>4854</v>
      </c>
      <c r="AV833" s="95">
        <v>0.185</v>
      </c>
      <c r="AW833" s="103" t="s">
        <v>4854</v>
      </c>
      <c r="AX833" s="103" t="s">
        <v>4854</v>
      </c>
      <c r="AY833" s="103" t="s">
        <v>4854</v>
      </c>
      <c r="AZ833" s="103" t="s">
        <v>4854</v>
      </c>
      <c r="BA833" s="95">
        <v>0.157</v>
      </c>
      <c r="BB833" s="103" t="s">
        <v>4854</v>
      </c>
      <c r="BC833" s="4" t="s">
        <v>4854</v>
      </c>
      <c r="BD833" s="10">
        <v>2</v>
      </c>
      <c r="BE833" s="4" t="s">
        <v>4854</v>
      </c>
      <c r="BF833" s="4" t="s">
        <v>4854</v>
      </c>
      <c r="BG833" s="4" t="s">
        <v>4854</v>
      </c>
      <c r="BH833" s="4" t="s">
        <v>4854</v>
      </c>
      <c r="BI833" s="10">
        <v>15</v>
      </c>
      <c r="BJ833" s="4" t="s">
        <v>4854</v>
      </c>
      <c r="BK833" s="100" t="s">
        <v>4854</v>
      </c>
      <c r="BL833" s="91">
        <v>0.995</v>
      </c>
      <c r="BM833" s="100" t="s">
        <v>4854</v>
      </c>
      <c r="BN833" s="100" t="s">
        <v>4854</v>
      </c>
      <c r="BO833" s="100" t="s">
        <v>4854</v>
      </c>
      <c r="BP833" s="100" t="s">
        <v>4854</v>
      </c>
      <c r="BQ833" s="91">
        <v>0.98699999999999999</v>
      </c>
      <c r="BR833" s="100" t="s">
        <v>4854</v>
      </c>
      <c r="BS833" s="10" t="s">
        <v>4857</v>
      </c>
    </row>
    <row r="834" spans="1:71" s="30" customFormat="1" ht="17.100000000000001" customHeight="1">
      <c r="A834" s="14">
        <v>823</v>
      </c>
      <c r="B834" s="5" t="s">
        <v>1723</v>
      </c>
      <c r="C834" s="3" t="s">
        <v>1803</v>
      </c>
      <c r="D834" s="3" t="s">
        <v>1714</v>
      </c>
      <c r="E834" s="3" t="s">
        <v>1715</v>
      </c>
      <c r="F834" s="5" t="s">
        <v>5229</v>
      </c>
      <c r="G834" s="3" t="s">
        <v>1716</v>
      </c>
      <c r="H834" s="6" t="s">
        <v>1717</v>
      </c>
      <c r="I834" s="3" t="s">
        <v>1718</v>
      </c>
      <c r="J834" s="5" t="s">
        <v>4646</v>
      </c>
      <c r="K834" s="3" t="s">
        <v>5837</v>
      </c>
      <c r="L834" s="3" t="s">
        <v>1724</v>
      </c>
      <c r="M834" s="5">
        <v>2</v>
      </c>
      <c r="N834" s="21">
        <v>522.31399999999996</v>
      </c>
      <c r="O834" s="35" t="s">
        <v>4854</v>
      </c>
      <c r="P834" s="36" t="str">
        <f>HYPERLINK("http://ms.phosphosite.org:5080/cgi-bin/plot-msms.cgi?MassType=1&amp;NumAxis=1&amp;Mod8=170&amp;Pep=STVAQLVKR&amp;Dta=/var/www/html/dta/S01/10559.5170.2.dta&amp;Global_Mod=CS57.0215", "5170")</f>
        <v>5170</v>
      </c>
      <c r="Q834" s="36" t="str">
        <f>HYPERLINK("http://ms.phosphosite.org:5080/cgi-bin/plot-msms.cgi?MassType=1&amp;NumAxis=1&amp;Mod8=170&amp;Pep=STVAQLVKR&amp;Dta=/var/www/html/dta/S01/10560.5164.2.dta&amp;Global_Mod=CS57.0215", "5164")</f>
        <v>5164</v>
      </c>
      <c r="R834" s="35" t="s">
        <v>4854</v>
      </c>
      <c r="S834" s="35" t="s">
        <v>4854</v>
      </c>
      <c r="T834" s="35" t="s">
        <v>4854</v>
      </c>
      <c r="U834" s="35" t="s">
        <v>4854</v>
      </c>
      <c r="V834" s="35" t="s">
        <v>4854</v>
      </c>
      <c r="W834" s="3" t="s">
        <v>4854</v>
      </c>
      <c r="X834" s="5">
        <v>5163</v>
      </c>
      <c r="Y834" s="5">
        <v>5156</v>
      </c>
      <c r="Z834" s="3" t="s">
        <v>4854</v>
      </c>
      <c r="AA834" s="3" t="s">
        <v>4854</v>
      </c>
      <c r="AB834" s="3" t="s">
        <v>4854</v>
      </c>
      <c r="AC834" s="3" t="s">
        <v>4854</v>
      </c>
      <c r="AD834" s="3" t="s">
        <v>4854</v>
      </c>
      <c r="AE834" s="99" t="s">
        <v>4854</v>
      </c>
      <c r="AF834" s="90">
        <v>2.141</v>
      </c>
      <c r="AG834" s="90">
        <v>2.1589999999999998</v>
      </c>
      <c r="AH834" s="99" t="s">
        <v>4854</v>
      </c>
      <c r="AI834" s="99" t="s">
        <v>4854</v>
      </c>
      <c r="AJ834" s="99" t="s">
        <v>4854</v>
      </c>
      <c r="AK834" s="99" t="s">
        <v>4854</v>
      </c>
      <c r="AL834" s="99" t="s">
        <v>4854</v>
      </c>
      <c r="AM834" s="102" t="s">
        <v>4854</v>
      </c>
      <c r="AN834" s="21">
        <v>7.7999999999999996E-3</v>
      </c>
      <c r="AO834" s="21">
        <v>0.25209999999999999</v>
      </c>
      <c r="AP834" s="102" t="s">
        <v>4854</v>
      </c>
      <c r="AQ834" s="102" t="s">
        <v>4854</v>
      </c>
      <c r="AR834" s="102" t="s">
        <v>4854</v>
      </c>
      <c r="AS834" s="102" t="s">
        <v>4854</v>
      </c>
      <c r="AT834" s="102" t="s">
        <v>4854</v>
      </c>
      <c r="AU834" s="102" t="s">
        <v>4854</v>
      </c>
      <c r="AV834" s="21">
        <v>5.0999999999999997E-2</v>
      </c>
      <c r="AW834" s="21">
        <v>9.8000000000000004E-2</v>
      </c>
      <c r="AX834" s="102" t="s">
        <v>4854</v>
      </c>
      <c r="AY834" s="102" t="s">
        <v>4854</v>
      </c>
      <c r="AZ834" s="102" t="s">
        <v>4854</v>
      </c>
      <c r="BA834" s="102" t="s">
        <v>4854</v>
      </c>
      <c r="BB834" s="102" t="s">
        <v>4854</v>
      </c>
      <c r="BC834" s="3" t="s">
        <v>4854</v>
      </c>
      <c r="BD834" s="5">
        <v>2</v>
      </c>
      <c r="BE834" s="5">
        <v>3</v>
      </c>
      <c r="BF834" s="3" t="s">
        <v>4854</v>
      </c>
      <c r="BG834" s="3" t="s">
        <v>4854</v>
      </c>
      <c r="BH834" s="3" t="s">
        <v>4854</v>
      </c>
      <c r="BI834" s="3" t="s">
        <v>4854</v>
      </c>
      <c r="BJ834" s="3" t="s">
        <v>4854</v>
      </c>
      <c r="BK834" s="99" t="s">
        <v>4854</v>
      </c>
      <c r="BL834" s="90">
        <v>0.995</v>
      </c>
      <c r="BM834" s="90">
        <v>0.997</v>
      </c>
      <c r="BN834" s="99" t="s">
        <v>4854</v>
      </c>
      <c r="BO834" s="99" t="s">
        <v>4854</v>
      </c>
      <c r="BP834" s="99" t="s">
        <v>4854</v>
      </c>
      <c r="BQ834" s="99" t="s">
        <v>4854</v>
      </c>
      <c r="BR834" s="99" t="s">
        <v>4854</v>
      </c>
      <c r="BS834" s="5" t="s">
        <v>4857</v>
      </c>
    </row>
    <row r="835" spans="1:71" s="30" customFormat="1" ht="17.100000000000001" customHeight="1">
      <c r="A835" s="10">
        <v>824</v>
      </c>
      <c r="B835" s="10" t="s">
        <v>1725</v>
      </c>
      <c r="C835" s="4" t="s">
        <v>1803</v>
      </c>
      <c r="D835" s="4" t="s">
        <v>1714</v>
      </c>
      <c r="E835" s="4" t="s">
        <v>1715</v>
      </c>
      <c r="F835" s="10" t="s">
        <v>4989</v>
      </c>
      <c r="G835" s="4" t="s">
        <v>1716</v>
      </c>
      <c r="H835" s="7" t="s">
        <v>1717</v>
      </c>
      <c r="I835" s="4" t="s">
        <v>1718</v>
      </c>
      <c r="J835" s="10" t="s">
        <v>4646</v>
      </c>
      <c r="K835" s="4" t="s">
        <v>5838</v>
      </c>
      <c r="L835" s="4" t="s">
        <v>1726</v>
      </c>
      <c r="M835" s="10">
        <v>2</v>
      </c>
      <c r="N835" s="95">
        <v>596.31640000000004</v>
      </c>
      <c r="O835" s="37" t="str">
        <f>HYPERLINK("http://ms.phosphosite.org:5080/cgi-bin/plot-msms.cgi?MassType=1&amp;NumAxis=1&amp;Mod5=170&amp;Pep=GYLDKLEPSK&amp;Dta=/var/www/html/dta/S01/10558.7560.2.dta&amp;Global_Mod=CS57.0215", "7560")</f>
        <v>7560</v>
      </c>
      <c r="P835" s="37" t="str">
        <f>HYPERLINK("http://ms.phosphosite.org:5080/cgi-bin/plot-msms.cgi?MassType=1&amp;NumAxis=1&amp;Mod5=170&amp;Pep=GYLDKLEPSK&amp;Dta=/var/www/html/dta/S01/10559.7528.2.dta&amp;Global_Mod=CS57.0215", "7528")</f>
        <v>7528</v>
      </c>
      <c r="Q835" s="38" t="s">
        <v>4854</v>
      </c>
      <c r="R835" s="38" t="s">
        <v>4854</v>
      </c>
      <c r="S835" s="38" t="s">
        <v>4854</v>
      </c>
      <c r="T835" s="38" t="s">
        <v>4854</v>
      </c>
      <c r="U835" s="37" t="str">
        <f>HYPERLINK("http://ms.phosphosite.org:5080/cgi-bin/plot-msms.cgi?MassType=1&amp;NumAxis=1&amp;Mod5=170&amp;Pep=GYLDKLEPSK&amp;Dta=/var/www/html/dta/S01/10564.7996.2.dta&amp;Global_Mod=CS57.0215", "7996")</f>
        <v>7996</v>
      </c>
      <c r="V835" s="37" t="str">
        <f>HYPERLINK("http://ms.phosphosite.org:5080/cgi-bin/plot-msms.cgi?MassType=1&amp;NumAxis=1&amp;Mod5=170&amp;Pep=GYLDKLEPSK&amp;Dta=/var/www/html/dta/S01/10565.8052.2.dta&amp;Global_Mod=CS57.0215", "8052")</f>
        <v>8052</v>
      </c>
      <c r="W835" s="10">
        <v>7534</v>
      </c>
      <c r="X835" s="4" t="s">
        <v>4854</v>
      </c>
      <c r="Y835" s="4" t="s">
        <v>4854</v>
      </c>
      <c r="Z835" s="4" t="s">
        <v>4854</v>
      </c>
      <c r="AA835" s="4" t="s">
        <v>4854</v>
      </c>
      <c r="AB835" s="4" t="s">
        <v>4854</v>
      </c>
      <c r="AC835" s="10">
        <v>8036</v>
      </c>
      <c r="AD835" s="10">
        <v>8066</v>
      </c>
      <c r="AE835" s="91">
        <v>2.5259999999999998</v>
      </c>
      <c r="AF835" s="91">
        <v>2.0529999999999999</v>
      </c>
      <c r="AG835" s="100" t="s">
        <v>4854</v>
      </c>
      <c r="AH835" s="100" t="s">
        <v>4854</v>
      </c>
      <c r="AI835" s="100" t="s">
        <v>4854</v>
      </c>
      <c r="AJ835" s="100" t="s">
        <v>4854</v>
      </c>
      <c r="AK835" s="91">
        <v>2.512</v>
      </c>
      <c r="AL835" s="91">
        <v>2.2519999999999998</v>
      </c>
      <c r="AM835" s="95">
        <v>2.4106000000000001</v>
      </c>
      <c r="AN835" s="95">
        <v>2.6112000000000002</v>
      </c>
      <c r="AO835" s="103" t="s">
        <v>4854</v>
      </c>
      <c r="AP835" s="103" t="s">
        <v>4854</v>
      </c>
      <c r="AQ835" s="103" t="s">
        <v>4854</v>
      </c>
      <c r="AR835" s="103" t="s">
        <v>4854</v>
      </c>
      <c r="AS835" s="95">
        <v>2.8460999999999999</v>
      </c>
      <c r="AT835" s="95">
        <v>2.09</v>
      </c>
      <c r="AU835" s="95">
        <v>0.246</v>
      </c>
      <c r="AV835" s="95">
        <v>6.6000000000000003E-2</v>
      </c>
      <c r="AW835" s="103" t="s">
        <v>4854</v>
      </c>
      <c r="AX835" s="103" t="s">
        <v>4854</v>
      </c>
      <c r="AY835" s="103" t="s">
        <v>4854</v>
      </c>
      <c r="AZ835" s="103" t="s">
        <v>4854</v>
      </c>
      <c r="BA835" s="95">
        <v>3.5999999999999997E-2</v>
      </c>
      <c r="BB835" s="95">
        <v>0.21099999999999999</v>
      </c>
      <c r="BC835" s="10">
        <v>1</v>
      </c>
      <c r="BD835" s="10">
        <v>1</v>
      </c>
      <c r="BE835" s="4" t="s">
        <v>4854</v>
      </c>
      <c r="BF835" s="4" t="s">
        <v>4854</v>
      </c>
      <c r="BG835" s="4" t="s">
        <v>4854</v>
      </c>
      <c r="BH835" s="4" t="s">
        <v>4854</v>
      </c>
      <c r="BI835" s="10">
        <v>2</v>
      </c>
      <c r="BJ835" s="10">
        <v>2</v>
      </c>
      <c r="BK835" s="91">
        <v>0.997</v>
      </c>
      <c r="BL835" s="91">
        <v>0.92900000000000005</v>
      </c>
      <c r="BM835" s="100" t="s">
        <v>4854</v>
      </c>
      <c r="BN835" s="100" t="s">
        <v>4854</v>
      </c>
      <c r="BO835" s="100" t="s">
        <v>4854</v>
      </c>
      <c r="BP835" s="100" t="s">
        <v>4854</v>
      </c>
      <c r="BQ835" s="91">
        <v>0.95299999999999996</v>
      </c>
      <c r="BR835" s="91">
        <v>0.996</v>
      </c>
      <c r="BS835" s="10" t="s">
        <v>4857</v>
      </c>
    </row>
    <row r="836" spans="1:71" s="30" customFormat="1" ht="17.100000000000001" customHeight="1">
      <c r="A836" s="14">
        <v>825</v>
      </c>
      <c r="B836" s="5" t="s">
        <v>1727</v>
      </c>
      <c r="C836" s="3" t="s">
        <v>1803</v>
      </c>
      <c r="D836" s="3" t="s">
        <v>1714</v>
      </c>
      <c r="E836" s="3" t="s">
        <v>1715</v>
      </c>
      <c r="F836" s="5" t="s">
        <v>4973</v>
      </c>
      <c r="G836" s="3" t="s">
        <v>1716</v>
      </c>
      <c r="H836" s="6" t="s">
        <v>1717</v>
      </c>
      <c r="I836" s="3" t="s">
        <v>1718</v>
      </c>
      <c r="J836" s="5" t="s">
        <v>4646</v>
      </c>
      <c r="K836" s="3" t="s">
        <v>5839</v>
      </c>
      <c r="L836" s="3" t="s">
        <v>1728</v>
      </c>
      <c r="M836" s="5">
        <v>2</v>
      </c>
      <c r="N836" s="21">
        <v>653.80970000000002</v>
      </c>
      <c r="O836" s="36" t="str">
        <f>HYPERLINK("http://ms.phosphosite.org:5080/cgi-bin/plot-msms.cgi?MassType=1&amp;NumAxis=1&amp;Mod4=170&amp;Pep=SDGKISEQSDAK&amp;Dta=/var/www/html/dta/S01/10558.1835.2.dta&amp;Global_Mod=CS57.0215", "1835")</f>
        <v>1835</v>
      </c>
      <c r="P836" s="36" t="str">
        <f>HYPERLINK("http://ms.phosphosite.org:5080/cgi-bin/plot-msms.cgi?MassType=1&amp;NumAxis=1&amp;Mod4=170&amp;Pep=SDGKISEQSDAK&amp;Dta=/var/www/html/dta/S01/10559.1802.2.dta&amp;Global_Mod=CS57.0215", "1802")</f>
        <v>1802</v>
      </c>
      <c r="Q836" s="36" t="str">
        <f>HYPERLINK("http://ms.phosphosite.org:5080/cgi-bin/plot-msms.cgi?MassType=1&amp;NumAxis=1&amp;Mod4=170&amp;Pep=SDGKISEQSDAK&amp;Dta=/var/www/html/dta/S01/10560.1765.2.dta&amp;Global_Mod=CS57.0215", "1765")</f>
        <v>1765</v>
      </c>
      <c r="R836" s="36" t="str">
        <f>HYPERLINK("http://ms.phosphosite.org:5080/cgi-bin/plot-msms.cgi?MassType=1&amp;NumAxis=1&amp;Mod4=170&amp;Pep=SDGKISEQSDAK&amp;Dta=/var/www/html/dta/S01/10561.1813.2.dta&amp;Global_Mod=CS57.0215", "1813")</f>
        <v>1813</v>
      </c>
      <c r="S836" s="36" t="str">
        <f>HYPERLINK("http://ms.phosphosite.org:5080/cgi-bin/plot-msms.cgi?MassType=1&amp;NumAxis=1&amp;Mod4=170&amp;Pep=SDGKISEQSDAK&amp;Dta=/var/www/html/dta/S01/10562.1857.2.dta&amp;Global_Mod=CS57.0215", "1857")</f>
        <v>1857</v>
      </c>
      <c r="T836" s="36" t="str">
        <f>HYPERLINK("http://ms.phosphosite.org:5080/cgi-bin/plot-msms.cgi?MassType=1&amp;NumAxis=1&amp;Mod4=170&amp;Pep=SDGKISEQSDAK&amp;Dta=/var/www/html/dta/S01/10563.1774.2.dta&amp;Global_Mod=CS57.0215", "1774")</f>
        <v>1774</v>
      </c>
      <c r="U836" s="36" t="str">
        <f>HYPERLINK("http://ms.phosphosite.org:5080/cgi-bin/plot-msms.cgi?MassType=1&amp;NumAxis=1&amp;Mod4=170&amp;Pep=SDGKISEQSDAK&amp;Dta=/var/www/html/dta/S01/10564.2043.2.dta&amp;Global_Mod=CS57.0215", "2043")</f>
        <v>2043</v>
      </c>
      <c r="V836" s="36" t="str">
        <f>HYPERLINK("http://ms.phosphosite.org:5080/cgi-bin/plot-msms.cgi?MassType=1&amp;NumAxis=1&amp;Mod4=170&amp;Pep=SDGKISEQSDAK&amp;Dta=/var/www/html/dta/S01/10565.2094.2.dta&amp;Global_Mod=CS57.0215", "2094")</f>
        <v>2094</v>
      </c>
      <c r="W836" s="5">
        <v>1851</v>
      </c>
      <c r="X836" s="5">
        <v>1821</v>
      </c>
      <c r="Y836" s="5">
        <v>1781</v>
      </c>
      <c r="Z836" s="5">
        <v>1819</v>
      </c>
      <c r="AA836" s="5">
        <v>1875</v>
      </c>
      <c r="AB836" s="5">
        <v>1790</v>
      </c>
      <c r="AC836" s="5">
        <v>2056</v>
      </c>
      <c r="AD836" s="5">
        <v>2103</v>
      </c>
      <c r="AE836" s="90">
        <v>3.7189999999999999</v>
      </c>
      <c r="AF836" s="90">
        <v>3.407</v>
      </c>
      <c r="AG836" s="90">
        <v>3.371</v>
      </c>
      <c r="AH836" s="90">
        <v>3.5209999999999999</v>
      </c>
      <c r="AI836" s="90">
        <v>3.415</v>
      </c>
      <c r="AJ836" s="90">
        <v>3.141</v>
      </c>
      <c r="AK836" s="90">
        <v>3.3380000000000001</v>
      </c>
      <c r="AL836" s="90">
        <v>3.2429999999999999</v>
      </c>
      <c r="AM836" s="21">
        <v>8.9999999999999993E-3</v>
      </c>
      <c r="AN836" s="21">
        <v>0.22939999999999999</v>
      </c>
      <c r="AO836" s="21">
        <v>0.16889999999999999</v>
      </c>
      <c r="AP836" s="21">
        <v>0.40310000000000001</v>
      </c>
      <c r="AQ836" s="21">
        <v>2.9700000000000001E-2</v>
      </c>
      <c r="AR836" s="21">
        <v>0.44979999999999998</v>
      </c>
      <c r="AS836" s="21">
        <v>0.36870000000000003</v>
      </c>
      <c r="AT836" s="21">
        <v>0.1085</v>
      </c>
      <c r="AU836" s="21">
        <v>0.42599999999999999</v>
      </c>
      <c r="AV836" s="21">
        <v>0.40400000000000003</v>
      </c>
      <c r="AW836" s="21">
        <v>0.41899999999999998</v>
      </c>
      <c r="AX836" s="21">
        <v>0.376</v>
      </c>
      <c r="AY836" s="21">
        <v>0.39300000000000002</v>
      </c>
      <c r="AZ836" s="21">
        <v>0.33500000000000002</v>
      </c>
      <c r="BA836" s="21">
        <v>0.40799999999999997</v>
      </c>
      <c r="BB836" s="21">
        <v>0.35</v>
      </c>
      <c r="BC836" s="5">
        <v>1</v>
      </c>
      <c r="BD836" s="5">
        <v>1</v>
      </c>
      <c r="BE836" s="5">
        <v>1</v>
      </c>
      <c r="BF836" s="5">
        <v>1</v>
      </c>
      <c r="BG836" s="5">
        <v>1</v>
      </c>
      <c r="BH836" s="5">
        <v>1</v>
      </c>
      <c r="BI836" s="5">
        <v>1</v>
      </c>
      <c r="BJ836" s="5">
        <v>1</v>
      </c>
      <c r="BK836" s="90">
        <v>1</v>
      </c>
      <c r="BL836" s="90">
        <v>1</v>
      </c>
      <c r="BM836" s="90">
        <v>1</v>
      </c>
      <c r="BN836" s="90">
        <v>1</v>
      </c>
      <c r="BO836" s="90">
        <v>1</v>
      </c>
      <c r="BP836" s="90">
        <v>1</v>
      </c>
      <c r="BQ836" s="90">
        <v>1</v>
      </c>
      <c r="BR836" s="90">
        <v>1</v>
      </c>
      <c r="BS836" s="5" t="s">
        <v>4857</v>
      </c>
    </row>
    <row r="837" spans="1:71" s="30" customFormat="1" ht="17.100000000000001" customHeight="1">
      <c r="A837" s="10">
        <v>826</v>
      </c>
      <c r="B837" s="10" t="s">
        <v>1729</v>
      </c>
      <c r="C837" s="4" t="s">
        <v>1803</v>
      </c>
      <c r="D837" s="4" t="s">
        <v>1714</v>
      </c>
      <c r="E837" s="4" t="s">
        <v>1715</v>
      </c>
      <c r="F837" s="10" t="s">
        <v>5037</v>
      </c>
      <c r="G837" s="4" t="s">
        <v>1716</v>
      </c>
      <c r="H837" s="7" t="s">
        <v>1717</v>
      </c>
      <c r="I837" s="4" t="s">
        <v>1718</v>
      </c>
      <c r="J837" s="10" t="s">
        <v>4646</v>
      </c>
      <c r="K837" s="4" t="s">
        <v>5840</v>
      </c>
      <c r="L837" s="4" t="s">
        <v>1730</v>
      </c>
      <c r="M837" s="10">
        <v>2</v>
      </c>
      <c r="N837" s="95">
        <v>580.81150000000002</v>
      </c>
      <c r="O837" s="38" t="s">
        <v>4854</v>
      </c>
      <c r="P837" s="37" t="str">
        <f>HYPERLINK("http://ms.phosphosite.org:5080/cgi-bin/plot-msms.cgi?MassType=1&amp;NumAxis=1&amp;Mod8=170&amp;Pep=ISEQSDAKLK&amp;Dta=/var/www/html/dta/S01/10559.2706.2.dta&amp;Global_Mod=CS57.0215", "2706")</f>
        <v>2706</v>
      </c>
      <c r="Q837" s="37" t="str">
        <f>HYPERLINK("http://ms.phosphosite.org:5080/cgi-bin/plot-msms.cgi?MassType=1&amp;NumAxis=1&amp;Mod8=170&amp;Pep=ISEQSDAKLK&amp;Dta=/var/www/html/dta/S01/10560.2671.2.dta&amp;Global_Mod=CS57.0215", "2671")</f>
        <v>2671</v>
      </c>
      <c r="R837" s="38" t="s">
        <v>4854</v>
      </c>
      <c r="S837" s="38" t="s">
        <v>4854</v>
      </c>
      <c r="T837" s="37" t="str">
        <f>HYPERLINK("http://ms.phosphosite.org:5080/cgi-bin/plot-msms.cgi?MassType=1&amp;NumAxis=1&amp;Mod8=170&amp;Pep=ISEQSDAKLK&amp;Dta=/var/www/html/dta/S01/10563.2736.2.dta&amp;Global_Mod=CS57.0215", "2736")</f>
        <v>2736</v>
      </c>
      <c r="U837" s="38" t="s">
        <v>4854</v>
      </c>
      <c r="V837" s="38" t="s">
        <v>4854</v>
      </c>
      <c r="W837" s="4" t="s">
        <v>4854</v>
      </c>
      <c r="X837" s="10">
        <v>2715</v>
      </c>
      <c r="Y837" s="10">
        <v>2680</v>
      </c>
      <c r="Z837" s="4" t="s">
        <v>4854</v>
      </c>
      <c r="AA837" s="4" t="s">
        <v>4854</v>
      </c>
      <c r="AB837" s="10">
        <v>2730</v>
      </c>
      <c r="AC837" s="4" t="s">
        <v>4854</v>
      </c>
      <c r="AD837" s="4" t="s">
        <v>4854</v>
      </c>
      <c r="AE837" s="100" t="s">
        <v>4854</v>
      </c>
      <c r="AF837" s="91">
        <v>3.266</v>
      </c>
      <c r="AG837" s="91">
        <v>2.964</v>
      </c>
      <c r="AH837" s="100" t="s">
        <v>4854</v>
      </c>
      <c r="AI837" s="100" t="s">
        <v>4854</v>
      </c>
      <c r="AJ837" s="91">
        <v>3.0710000000000002</v>
      </c>
      <c r="AK837" s="100" t="s">
        <v>4854</v>
      </c>
      <c r="AL837" s="100" t="s">
        <v>4854</v>
      </c>
      <c r="AM837" s="103" t="s">
        <v>4854</v>
      </c>
      <c r="AN837" s="95">
        <v>8.4400000000000003E-2</v>
      </c>
      <c r="AO837" s="95">
        <v>-8.6999999999999994E-3</v>
      </c>
      <c r="AP837" s="103" t="s">
        <v>4854</v>
      </c>
      <c r="AQ837" s="103" t="s">
        <v>4854</v>
      </c>
      <c r="AR837" s="95">
        <v>0.38940000000000002</v>
      </c>
      <c r="AS837" s="103" t="s">
        <v>4854</v>
      </c>
      <c r="AT837" s="103" t="s">
        <v>4854</v>
      </c>
      <c r="AU837" s="103" t="s">
        <v>4854</v>
      </c>
      <c r="AV837" s="95">
        <v>0.184</v>
      </c>
      <c r="AW837" s="95">
        <v>0.129</v>
      </c>
      <c r="AX837" s="103" t="s">
        <v>4854</v>
      </c>
      <c r="AY837" s="103" t="s">
        <v>4854</v>
      </c>
      <c r="AZ837" s="95">
        <v>0.20499999999999999</v>
      </c>
      <c r="BA837" s="103" t="s">
        <v>4854</v>
      </c>
      <c r="BB837" s="103" t="s">
        <v>4854</v>
      </c>
      <c r="BC837" s="4" t="s">
        <v>4854</v>
      </c>
      <c r="BD837" s="10">
        <v>1</v>
      </c>
      <c r="BE837" s="10">
        <v>1</v>
      </c>
      <c r="BF837" s="4" t="s">
        <v>4854</v>
      </c>
      <c r="BG837" s="4" t="s">
        <v>4854</v>
      </c>
      <c r="BH837" s="10">
        <v>1</v>
      </c>
      <c r="BI837" s="4" t="s">
        <v>4854</v>
      </c>
      <c r="BJ837" s="4" t="s">
        <v>4854</v>
      </c>
      <c r="BK837" s="100" t="s">
        <v>4854</v>
      </c>
      <c r="BL837" s="91">
        <v>0.999</v>
      </c>
      <c r="BM837" s="91">
        <v>0.998</v>
      </c>
      <c r="BN837" s="100" t="s">
        <v>4854</v>
      </c>
      <c r="BO837" s="100" t="s">
        <v>4854</v>
      </c>
      <c r="BP837" s="91">
        <v>0.999</v>
      </c>
      <c r="BQ837" s="100" t="s">
        <v>4854</v>
      </c>
      <c r="BR837" s="100" t="s">
        <v>4854</v>
      </c>
      <c r="BS837" s="10" t="s">
        <v>4857</v>
      </c>
    </row>
    <row r="838" spans="1:71" s="30" customFormat="1" ht="17.100000000000001" customHeight="1">
      <c r="A838" s="14">
        <v>827</v>
      </c>
      <c r="B838" s="5" t="s">
        <v>4557</v>
      </c>
      <c r="C838" s="3" t="s">
        <v>1803</v>
      </c>
      <c r="D838" s="3" t="s">
        <v>1731</v>
      </c>
      <c r="E838" s="3" t="s">
        <v>1732</v>
      </c>
      <c r="F838" s="5" t="s">
        <v>5023</v>
      </c>
      <c r="G838" s="3" t="s">
        <v>1733</v>
      </c>
      <c r="H838" s="6" t="s">
        <v>1734</v>
      </c>
      <c r="I838" s="3" t="s">
        <v>1735</v>
      </c>
      <c r="J838" s="5" t="s">
        <v>4685</v>
      </c>
      <c r="K838" s="3" t="s">
        <v>5841</v>
      </c>
      <c r="L838" s="3" t="s">
        <v>1736</v>
      </c>
      <c r="M838" s="5">
        <v>2</v>
      </c>
      <c r="N838" s="21">
        <v>511.77620000000002</v>
      </c>
      <c r="O838" s="36" t="str">
        <f>HYPERLINK("http://ms.phosphosite.org:5080/cgi-bin/plot-msms.cgi?MassType=1&amp;NumAxis=1&amp;Mod6=170&amp;Pep=MVAAAKYAR&amp;Dta=/var/www/html/dta/S01/10558.3655.2.dta&amp;Global_Mod=CS57.0215", "3655")</f>
        <v>3655</v>
      </c>
      <c r="P838" s="36" t="str">
        <f>HYPERLINK("http://ms.phosphosite.org:5080/cgi-bin/plot-msms.cgi?MassType=1&amp;NumAxis=1&amp;Mod6=170&amp;Pep=MVAAAKYAR&amp;Dta=/var/www/html/dta/S01/10559.3601.2.dta&amp;Global_Mod=CS57.0215", "3601")</f>
        <v>3601</v>
      </c>
      <c r="Q838" s="35" t="s">
        <v>4854</v>
      </c>
      <c r="R838" s="36" t="str">
        <f>HYPERLINK("http://ms.phosphosite.org:5080/cgi-bin/plot-msms.cgi?MassType=1&amp;NumAxis=1&amp;Mod6=170&amp;Pep=MVAAAKYAR&amp;Dta=/var/www/html/dta/S01/10561.3606.2.dta&amp;Global_Mod=CS57.0215", "3606")</f>
        <v>3606</v>
      </c>
      <c r="S838" s="35" t="s">
        <v>4854</v>
      </c>
      <c r="T838" s="35" t="s">
        <v>4854</v>
      </c>
      <c r="U838" s="35" t="s">
        <v>4854</v>
      </c>
      <c r="V838" s="36" t="str">
        <f>HYPERLINK("http://ms.phosphosite.org:5080/cgi-bin/plot-msms.cgi?MassType=1&amp;NumAxis=1&amp;Mod6=170&amp;Pep=MVAAAKYAR&amp;Dta=/var/www/html/dta/S01/10565.4068.2.dta&amp;Global_Mod=CS57.0215", "4068")</f>
        <v>4068</v>
      </c>
      <c r="W838" s="5">
        <v>3660</v>
      </c>
      <c r="X838" s="5">
        <v>3596</v>
      </c>
      <c r="Y838" s="3" t="s">
        <v>4854</v>
      </c>
      <c r="Z838" s="5">
        <v>3599</v>
      </c>
      <c r="AA838" s="3" t="s">
        <v>4854</v>
      </c>
      <c r="AB838" s="3" t="s">
        <v>4854</v>
      </c>
      <c r="AC838" s="3" t="s">
        <v>4854</v>
      </c>
      <c r="AD838" s="3" t="s">
        <v>4854</v>
      </c>
      <c r="AE838" s="90">
        <v>2.1070000000000002</v>
      </c>
      <c r="AF838" s="90">
        <v>2.419</v>
      </c>
      <c r="AG838" s="99" t="s">
        <v>4854</v>
      </c>
      <c r="AH838" s="90">
        <v>2.1880000000000002</v>
      </c>
      <c r="AI838" s="99" t="s">
        <v>4854</v>
      </c>
      <c r="AJ838" s="99" t="s">
        <v>4854</v>
      </c>
      <c r="AK838" s="99" t="s">
        <v>4854</v>
      </c>
      <c r="AL838" s="90">
        <v>1.5620000000000001</v>
      </c>
      <c r="AM838" s="21">
        <v>-0.13600000000000001</v>
      </c>
      <c r="AN838" s="21">
        <v>0.53969999999999996</v>
      </c>
      <c r="AO838" s="102" t="s">
        <v>4854</v>
      </c>
      <c r="AP838" s="21">
        <v>0.47720000000000001</v>
      </c>
      <c r="AQ838" s="102" t="s">
        <v>4854</v>
      </c>
      <c r="AR838" s="102" t="s">
        <v>4854</v>
      </c>
      <c r="AS838" s="102" t="s">
        <v>4854</v>
      </c>
      <c r="AT838" s="21">
        <v>0.1701</v>
      </c>
      <c r="AU838" s="21">
        <v>1.0999999999999999E-2</v>
      </c>
      <c r="AV838" s="21">
        <v>0.16800000000000001</v>
      </c>
      <c r="AW838" s="102" t="s">
        <v>4854</v>
      </c>
      <c r="AX838" s="21">
        <v>8.0000000000000002E-3</v>
      </c>
      <c r="AY838" s="102" t="s">
        <v>4854</v>
      </c>
      <c r="AZ838" s="102" t="s">
        <v>4854</v>
      </c>
      <c r="BA838" s="102" t="s">
        <v>4854</v>
      </c>
      <c r="BB838" s="21">
        <v>7.0000000000000001E-3</v>
      </c>
      <c r="BC838" s="5">
        <v>1</v>
      </c>
      <c r="BD838" s="5">
        <v>1</v>
      </c>
      <c r="BE838" s="3" t="s">
        <v>4854</v>
      </c>
      <c r="BF838" s="5">
        <v>1</v>
      </c>
      <c r="BG838" s="3" t="s">
        <v>4854</v>
      </c>
      <c r="BH838" s="3" t="s">
        <v>4854</v>
      </c>
      <c r="BI838" s="3" t="s">
        <v>4854</v>
      </c>
      <c r="BJ838" s="5">
        <v>35</v>
      </c>
      <c r="BK838" s="90">
        <v>0.96299999999999997</v>
      </c>
      <c r="BL838" s="90">
        <v>0.997</v>
      </c>
      <c r="BM838" s="99" t="s">
        <v>4854</v>
      </c>
      <c r="BN838" s="90">
        <v>0.96899999999999997</v>
      </c>
      <c r="BO838" s="99" t="s">
        <v>4854</v>
      </c>
      <c r="BP838" s="99" t="s">
        <v>4854</v>
      </c>
      <c r="BQ838" s="99" t="s">
        <v>4854</v>
      </c>
      <c r="BR838" s="90">
        <v>0.64</v>
      </c>
      <c r="BS838" s="5" t="s">
        <v>4857</v>
      </c>
    </row>
    <row r="839" spans="1:71" s="30" customFormat="1" ht="17.100000000000001" customHeight="1">
      <c r="A839" s="10">
        <v>828</v>
      </c>
      <c r="B839" s="10" t="s">
        <v>1737</v>
      </c>
      <c r="C839" s="4" t="s">
        <v>1803</v>
      </c>
      <c r="D839" s="4" t="s">
        <v>1738</v>
      </c>
      <c r="E839" s="4" t="s">
        <v>1739</v>
      </c>
      <c r="F839" s="10" t="s">
        <v>4999</v>
      </c>
      <c r="G839" s="4" t="s">
        <v>1740</v>
      </c>
      <c r="H839" s="7" t="s">
        <v>1741</v>
      </c>
      <c r="I839" s="4" t="s">
        <v>1742</v>
      </c>
      <c r="J839" s="10" t="s">
        <v>4662</v>
      </c>
      <c r="K839" s="4" t="s">
        <v>5842</v>
      </c>
      <c r="L839" s="4" t="s">
        <v>1743</v>
      </c>
      <c r="M839" s="10">
        <v>3</v>
      </c>
      <c r="N839" s="95">
        <v>757.73019999999997</v>
      </c>
      <c r="O839" s="38" t="s">
        <v>4854</v>
      </c>
      <c r="P839" s="38" t="s">
        <v>4854</v>
      </c>
      <c r="Q839" s="37" t="str">
        <f>HYPERLINK("http://ms.phosphosite.org:5080/cgi-bin/plot-msms.cgi?MassType=1&amp;NumAxis=1&amp;Mod8=147&amp;Mod10=170&amp;Pep=QIQDAIDMEKAQQALVQKR&amp;Dta=/var/www/html/dta/S01/10560.6716.3.dta&amp;Global_Mod=CS57.0215", "6716")</f>
        <v>6716</v>
      </c>
      <c r="R839" s="37" t="str">
        <f>HYPERLINK("http://ms.phosphosite.org:5080/cgi-bin/plot-msms.cgi?MassType=1&amp;NumAxis=1&amp;Mod8=147&amp;Mod10=170&amp;Pep=QIQDAIDMEKAQQALVQKR&amp;Dta=/var/www/html/dta/S01/10561.6755.3.dta&amp;Global_Mod=CS57.0215", "6755")</f>
        <v>6755</v>
      </c>
      <c r="S839" s="38" t="s">
        <v>4854</v>
      </c>
      <c r="T839" s="38" t="s">
        <v>4854</v>
      </c>
      <c r="U839" s="38" t="s">
        <v>4854</v>
      </c>
      <c r="V839" s="38" t="s">
        <v>4854</v>
      </c>
      <c r="W839" s="4" t="s">
        <v>4854</v>
      </c>
      <c r="X839" s="4" t="s">
        <v>4854</v>
      </c>
      <c r="Y839" s="10">
        <v>6707</v>
      </c>
      <c r="Z839" s="4" t="s">
        <v>4854</v>
      </c>
      <c r="AA839" s="4" t="s">
        <v>4854</v>
      </c>
      <c r="AB839" s="4" t="s">
        <v>4854</v>
      </c>
      <c r="AC839" s="4" t="s">
        <v>4854</v>
      </c>
      <c r="AD839" s="4" t="s">
        <v>4854</v>
      </c>
      <c r="AE839" s="100" t="s">
        <v>4854</v>
      </c>
      <c r="AF839" s="100" t="s">
        <v>4854</v>
      </c>
      <c r="AG839" s="91">
        <v>2.8010000000000002</v>
      </c>
      <c r="AH839" s="91">
        <v>2.335</v>
      </c>
      <c r="AI839" s="100" t="s">
        <v>4854</v>
      </c>
      <c r="AJ839" s="100" t="s">
        <v>4854</v>
      </c>
      <c r="AK839" s="100" t="s">
        <v>4854</v>
      </c>
      <c r="AL839" s="100" t="s">
        <v>4854</v>
      </c>
      <c r="AM839" s="103" t="s">
        <v>4854</v>
      </c>
      <c r="AN839" s="103" t="s">
        <v>4854</v>
      </c>
      <c r="AO839" s="95">
        <v>0.73180000000000001</v>
      </c>
      <c r="AP839" s="95">
        <v>1.3882000000000001</v>
      </c>
      <c r="AQ839" s="103" t="s">
        <v>4854</v>
      </c>
      <c r="AR839" s="103" t="s">
        <v>4854</v>
      </c>
      <c r="AS839" s="103" t="s">
        <v>4854</v>
      </c>
      <c r="AT839" s="103" t="s">
        <v>4854</v>
      </c>
      <c r="AU839" s="103" t="s">
        <v>4854</v>
      </c>
      <c r="AV839" s="103" t="s">
        <v>4854</v>
      </c>
      <c r="AW839" s="95">
        <v>0.14299999999999999</v>
      </c>
      <c r="AX839" s="95">
        <v>9.1999999999999998E-2</v>
      </c>
      <c r="AY839" s="103" t="s">
        <v>4854</v>
      </c>
      <c r="AZ839" s="103" t="s">
        <v>4854</v>
      </c>
      <c r="BA839" s="103" t="s">
        <v>4854</v>
      </c>
      <c r="BB839" s="103" t="s">
        <v>4854</v>
      </c>
      <c r="BC839" s="4" t="s">
        <v>4854</v>
      </c>
      <c r="BD839" s="4" t="s">
        <v>4854</v>
      </c>
      <c r="BE839" s="10">
        <v>16</v>
      </c>
      <c r="BF839" s="10">
        <v>523</v>
      </c>
      <c r="BG839" s="4" t="s">
        <v>4854</v>
      </c>
      <c r="BH839" s="4" t="s">
        <v>4854</v>
      </c>
      <c r="BI839" s="4" t="s">
        <v>4854</v>
      </c>
      <c r="BJ839" s="4" t="s">
        <v>4854</v>
      </c>
      <c r="BK839" s="100" t="s">
        <v>4854</v>
      </c>
      <c r="BL839" s="100" t="s">
        <v>4854</v>
      </c>
      <c r="BM839" s="91">
        <v>0.98899999999999999</v>
      </c>
      <c r="BN839" s="91">
        <v>0.90700000000000003</v>
      </c>
      <c r="BO839" s="100" t="s">
        <v>4854</v>
      </c>
      <c r="BP839" s="100" t="s">
        <v>4854</v>
      </c>
      <c r="BQ839" s="100" t="s">
        <v>4854</v>
      </c>
      <c r="BR839" s="100" t="s">
        <v>4854</v>
      </c>
      <c r="BS839" s="10" t="s">
        <v>4857</v>
      </c>
    </row>
    <row r="840" spans="1:71" s="30" customFormat="1" ht="17.100000000000001" customHeight="1">
      <c r="A840" s="14">
        <v>829</v>
      </c>
      <c r="B840" s="5" t="s">
        <v>1744</v>
      </c>
      <c r="C840" s="3" t="s">
        <v>1803</v>
      </c>
      <c r="D840" s="3" t="s">
        <v>1738</v>
      </c>
      <c r="E840" s="3" t="s">
        <v>1739</v>
      </c>
      <c r="F840" s="5" t="s">
        <v>5166</v>
      </c>
      <c r="G840" s="3" t="s">
        <v>1740</v>
      </c>
      <c r="H840" s="6" t="s">
        <v>1741</v>
      </c>
      <c r="I840" s="3" t="s">
        <v>1742</v>
      </c>
      <c r="J840" s="5" t="s">
        <v>4662</v>
      </c>
      <c r="K840" s="3" t="s">
        <v>5843</v>
      </c>
      <c r="L840" s="3" t="s">
        <v>1745</v>
      </c>
      <c r="M840" s="5">
        <v>2</v>
      </c>
      <c r="N840" s="21">
        <v>542.31709999999998</v>
      </c>
      <c r="O840" s="35" t="s">
        <v>4854</v>
      </c>
      <c r="P840" s="35" t="s">
        <v>4854</v>
      </c>
      <c r="Q840" s="35" t="s">
        <v>4854</v>
      </c>
      <c r="R840" s="36" t="str">
        <f>HYPERLINK("http://ms.phosphosite.org:5080/cgi-bin/plot-msms.cgi?MassType=1&amp;NumAxis=1&amp;Mod8=170&amp;Pep=AQQALVQKR&amp;Dta=/var/www/html/dta/S01/10561.2713.2.dta&amp;Global_Mod=CS57.0215", "2713")</f>
        <v>2713</v>
      </c>
      <c r="S840" s="36" t="str">
        <f>HYPERLINK("http://ms.phosphosite.org:5080/cgi-bin/plot-msms.cgi?MassType=1&amp;NumAxis=1&amp;Mod8=170&amp;Pep=AQQALVQKR&amp;Dta=/var/www/html/dta/S01/10562.2769.2.dta&amp;Global_Mod=CS57.0215", "2769")</f>
        <v>2769</v>
      </c>
      <c r="T840" s="35" t="s">
        <v>4854</v>
      </c>
      <c r="U840" s="35" t="s">
        <v>4854</v>
      </c>
      <c r="V840" s="35" t="s">
        <v>4854</v>
      </c>
      <c r="W840" s="3" t="s">
        <v>4854</v>
      </c>
      <c r="X840" s="3" t="s">
        <v>4854</v>
      </c>
      <c r="Y840" s="3" t="s">
        <v>4854</v>
      </c>
      <c r="Z840" s="5">
        <v>2685</v>
      </c>
      <c r="AA840" s="5">
        <v>2767</v>
      </c>
      <c r="AB840" s="3" t="s">
        <v>4854</v>
      </c>
      <c r="AC840" s="3" t="s">
        <v>4854</v>
      </c>
      <c r="AD840" s="3" t="s">
        <v>4854</v>
      </c>
      <c r="AE840" s="99" t="s">
        <v>4854</v>
      </c>
      <c r="AF840" s="99" t="s">
        <v>4854</v>
      </c>
      <c r="AG840" s="99" t="s">
        <v>4854</v>
      </c>
      <c r="AH840" s="90">
        <v>2.758</v>
      </c>
      <c r="AI840" s="90">
        <v>2.9889999999999999</v>
      </c>
      <c r="AJ840" s="99" t="s">
        <v>4854</v>
      </c>
      <c r="AK840" s="99" t="s">
        <v>4854</v>
      </c>
      <c r="AL840" s="99" t="s">
        <v>4854</v>
      </c>
      <c r="AM840" s="102" t="s">
        <v>4854</v>
      </c>
      <c r="AN840" s="102" t="s">
        <v>4854</v>
      </c>
      <c r="AO840" s="102" t="s">
        <v>4854</v>
      </c>
      <c r="AP840" s="21">
        <v>-0.1845</v>
      </c>
      <c r="AQ840" s="21">
        <v>-0.25180000000000002</v>
      </c>
      <c r="AR840" s="102" t="s">
        <v>4854</v>
      </c>
      <c r="AS840" s="102" t="s">
        <v>4854</v>
      </c>
      <c r="AT840" s="102" t="s">
        <v>4854</v>
      </c>
      <c r="AU840" s="102" t="s">
        <v>4854</v>
      </c>
      <c r="AV840" s="102" t="s">
        <v>4854</v>
      </c>
      <c r="AW840" s="102" t="s">
        <v>4854</v>
      </c>
      <c r="AX840" s="21">
        <v>7.2999999999999995E-2</v>
      </c>
      <c r="AY840" s="21">
        <v>0.129</v>
      </c>
      <c r="AZ840" s="102" t="s">
        <v>4854</v>
      </c>
      <c r="BA840" s="102" t="s">
        <v>4854</v>
      </c>
      <c r="BB840" s="102" t="s">
        <v>4854</v>
      </c>
      <c r="BC840" s="3" t="s">
        <v>4854</v>
      </c>
      <c r="BD840" s="3" t="s">
        <v>4854</v>
      </c>
      <c r="BE840" s="3" t="s">
        <v>4854</v>
      </c>
      <c r="BF840" s="5">
        <v>1</v>
      </c>
      <c r="BG840" s="5">
        <v>2</v>
      </c>
      <c r="BH840" s="3" t="s">
        <v>4854</v>
      </c>
      <c r="BI840" s="3" t="s">
        <v>4854</v>
      </c>
      <c r="BJ840" s="3" t="s">
        <v>4854</v>
      </c>
      <c r="BK840" s="99" t="s">
        <v>4854</v>
      </c>
      <c r="BL840" s="99" t="s">
        <v>4854</v>
      </c>
      <c r="BM840" s="99" t="s">
        <v>4854</v>
      </c>
      <c r="BN840" s="90">
        <v>0.999</v>
      </c>
      <c r="BO840" s="90">
        <v>1</v>
      </c>
      <c r="BP840" s="99" t="s">
        <v>4854</v>
      </c>
      <c r="BQ840" s="99" t="s">
        <v>4854</v>
      </c>
      <c r="BR840" s="99" t="s">
        <v>4854</v>
      </c>
      <c r="BS840" s="5" t="s">
        <v>4857</v>
      </c>
    </row>
    <row r="841" spans="1:71" s="30" customFormat="1" ht="17.100000000000001" customHeight="1">
      <c r="A841" s="10">
        <v>830</v>
      </c>
      <c r="B841" s="10" t="s">
        <v>1746</v>
      </c>
      <c r="C841" s="4" t="s">
        <v>1803</v>
      </c>
      <c r="D841" s="4" t="s">
        <v>1738</v>
      </c>
      <c r="E841" s="4" t="s">
        <v>1739</v>
      </c>
      <c r="F841" s="10" t="s">
        <v>5256</v>
      </c>
      <c r="G841" s="4" t="s">
        <v>1740</v>
      </c>
      <c r="H841" s="7" t="s">
        <v>1741</v>
      </c>
      <c r="I841" s="4" t="s">
        <v>1742</v>
      </c>
      <c r="J841" s="10" t="s">
        <v>4662</v>
      </c>
      <c r="K841" s="4" t="s">
        <v>5844</v>
      </c>
      <c r="L841" s="4" t="s">
        <v>1747</v>
      </c>
      <c r="M841" s="10">
        <v>4</v>
      </c>
      <c r="N841" s="95">
        <v>559.29010000000005</v>
      </c>
      <c r="O841" s="38" t="s">
        <v>4854</v>
      </c>
      <c r="P841" s="38" t="s">
        <v>4854</v>
      </c>
      <c r="Q841" s="38" t="s">
        <v>4854</v>
      </c>
      <c r="R841" s="37" t="str">
        <f>HYPERLINK("http://ms.phosphosite.org:5080/cgi-bin/plot-msms.cgi?MassType=1&amp;NumAxis=1&amp;Mod13=170&amp;Pep=RKEEEHMIDWVEKHVVK&amp;Dta=/var/www/html/dta/S01/10561.7996.4.dta&amp;Global_Mod=CS57.0215", "7996")</f>
        <v>7996</v>
      </c>
      <c r="S841" s="38" t="s">
        <v>4854</v>
      </c>
      <c r="T841" s="38" t="s">
        <v>4854</v>
      </c>
      <c r="U841" s="38" t="s">
        <v>4854</v>
      </c>
      <c r="V841" s="38" t="s">
        <v>4854</v>
      </c>
      <c r="W841" s="4" t="s">
        <v>4854</v>
      </c>
      <c r="X841" s="4" t="s">
        <v>4854</v>
      </c>
      <c r="Y841" s="4" t="s">
        <v>4854</v>
      </c>
      <c r="Z841" s="10">
        <v>7999</v>
      </c>
      <c r="AA841" s="4" t="s">
        <v>4854</v>
      </c>
      <c r="AB841" s="4" t="s">
        <v>4854</v>
      </c>
      <c r="AC841" s="4" t="s">
        <v>4854</v>
      </c>
      <c r="AD841" s="4" t="s">
        <v>4854</v>
      </c>
      <c r="AE841" s="100" t="s">
        <v>4854</v>
      </c>
      <c r="AF841" s="100" t="s">
        <v>4854</v>
      </c>
      <c r="AG841" s="100" t="s">
        <v>4854</v>
      </c>
      <c r="AH841" s="91">
        <v>2.9580000000000002</v>
      </c>
      <c r="AI841" s="100" t="s">
        <v>4854</v>
      </c>
      <c r="AJ841" s="100" t="s">
        <v>4854</v>
      </c>
      <c r="AK841" s="100" t="s">
        <v>4854</v>
      </c>
      <c r="AL841" s="100" t="s">
        <v>4854</v>
      </c>
      <c r="AM841" s="103" t="s">
        <v>4854</v>
      </c>
      <c r="AN841" s="103" t="s">
        <v>4854</v>
      </c>
      <c r="AO841" s="103" t="s">
        <v>4854</v>
      </c>
      <c r="AP841" s="95">
        <v>7.0099999999999996E-2</v>
      </c>
      <c r="AQ841" s="103" t="s">
        <v>4854</v>
      </c>
      <c r="AR841" s="103" t="s">
        <v>4854</v>
      </c>
      <c r="AS841" s="103" t="s">
        <v>4854</v>
      </c>
      <c r="AT841" s="103" t="s">
        <v>4854</v>
      </c>
      <c r="AU841" s="103" t="s">
        <v>4854</v>
      </c>
      <c r="AV841" s="103" t="s">
        <v>4854</v>
      </c>
      <c r="AW841" s="103" t="s">
        <v>4854</v>
      </c>
      <c r="AX841" s="95">
        <v>0.21199999999999999</v>
      </c>
      <c r="AY841" s="103" t="s">
        <v>4854</v>
      </c>
      <c r="AZ841" s="103" t="s">
        <v>4854</v>
      </c>
      <c r="BA841" s="103" t="s">
        <v>4854</v>
      </c>
      <c r="BB841" s="103" t="s">
        <v>4854</v>
      </c>
      <c r="BC841" s="4" t="s">
        <v>4854</v>
      </c>
      <c r="BD841" s="4" t="s">
        <v>4854</v>
      </c>
      <c r="BE841" s="4" t="s">
        <v>4854</v>
      </c>
      <c r="BF841" s="10">
        <v>1</v>
      </c>
      <c r="BG841" s="4" t="s">
        <v>4854</v>
      </c>
      <c r="BH841" s="4" t="s">
        <v>4854</v>
      </c>
      <c r="BI841" s="4" t="s">
        <v>4854</v>
      </c>
      <c r="BJ841" s="4" t="s">
        <v>4854</v>
      </c>
      <c r="BK841" s="100" t="s">
        <v>4854</v>
      </c>
      <c r="BL841" s="100" t="s">
        <v>4854</v>
      </c>
      <c r="BM841" s="100" t="s">
        <v>4854</v>
      </c>
      <c r="BN841" s="91">
        <v>1</v>
      </c>
      <c r="BO841" s="100" t="s">
        <v>4854</v>
      </c>
      <c r="BP841" s="100" t="s">
        <v>4854</v>
      </c>
      <c r="BQ841" s="100" t="s">
        <v>4854</v>
      </c>
      <c r="BR841" s="100" t="s">
        <v>4854</v>
      </c>
      <c r="BS841" s="10" t="s">
        <v>4857</v>
      </c>
    </row>
    <row r="842" spans="1:71" s="30" customFormat="1" ht="17.100000000000001" customHeight="1">
      <c r="A842" s="14">
        <v>831</v>
      </c>
      <c r="B842" s="5" t="s">
        <v>1748</v>
      </c>
      <c r="C842" s="3" t="s">
        <v>1803</v>
      </c>
      <c r="D842" s="3" t="s">
        <v>1738</v>
      </c>
      <c r="E842" s="3" t="s">
        <v>1739</v>
      </c>
      <c r="F842" s="5" t="s">
        <v>5135</v>
      </c>
      <c r="G842" s="3" t="s">
        <v>1740</v>
      </c>
      <c r="H842" s="6" t="s">
        <v>1741</v>
      </c>
      <c r="I842" s="3" t="s">
        <v>1742</v>
      </c>
      <c r="J842" s="5" t="s">
        <v>4662</v>
      </c>
      <c r="K842" s="3" t="s">
        <v>5845</v>
      </c>
      <c r="L842" s="3" t="s">
        <v>1749</v>
      </c>
      <c r="M842" s="5">
        <v>2</v>
      </c>
      <c r="N842" s="21">
        <v>751.9067</v>
      </c>
      <c r="O842" s="36" t="str">
        <f>HYPERLINK("http://ms.phosphosite.org:5080/cgi-bin/plot-msms.cgi?MassType=1&amp;NumAxis=1&amp;Mod8=170&amp;Pep=SISVQQEKETIAK&amp;Dta=/var/www/html/dta/S01/10558.6390.2.dta&amp;Global_Mod=CS57.0215", "6390")</f>
        <v>6390</v>
      </c>
      <c r="P842" s="35" t="s">
        <v>4854</v>
      </c>
      <c r="Q842" s="35" t="s">
        <v>4854</v>
      </c>
      <c r="R842" s="36" t="str">
        <f>HYPERLINK("http://ms.phosphosite.org:5080/cgi-bin/plot-msms.cgi?MassType=1&amp;NumAxis=1&amp;Mod8=170&amp;Pep=SISVQQEKETIAK&amp;Dta=/var/www/html/dta/S01/10561.6319.2.dta&amp;Global_Mod=CS57.0215", "6319")</f>
        <v>6319</v>
      </c>
      <c r="S842" s="36" t="str">
        <f>HYPERLINK("http://ms.phosphosite.org:5080/cgi-bin/plot-msms.cgi?MassType=1&amp;NumAxis=1&amp;Mod8=170&amp;Pep=SISVQQEKETIAK&amp;Dta=/var/www/html/dta/S01/10562.6440.2.dta&amp;Global_Mod=CS57.0215", "6440")</f>
        <v>6440</v>
      </c>
      <c r="T842" s="36" t="str">
        <f>HYPERLINK("http://ms.phosphosite.org:5080/cgi-bin/plot-msms.cgi?MassType=1&amp;NumAxis=1&amp;Mod8=170&amp;Pep=SISVQQEKETIAK&amp;Dta=/var/www/html/dta/S01/10563.6403.2.dta&amp;Global_Mod=CS57.0215", "6403")</f>
        <v>6403</v>
      </c>
      <c r="U842" s="36" t="str">
        <f>HYPERLINK("http://ms.phosphosite.org:5080/cgi-bin/plot-msms.cgi?MassType=1&amp;NumAxis=1&amp;Mod8=170&amp;Pep=SISVQQEKETIAK&amp;Dta=/var/www/html/dta/S01/10564.6737.2.dta&amp;Global_Mod=CS57.0215", "6737")</f>
        <v>6737</v>
      </c>
      <c r="V842" s="36" t="str">
        <f>HYPERLINK("http://ms.phosphosite.org:5080/cgi-bin/plot-msms.cgi?MassType=1&amp;NumAxis=1&amp;Mod8=170&amp;Pep=SISVQQEKETIAK&amp;Dta=/var/www/html/dta/S01/10565.6820.2.dta&amp;Global_Mod=CS57.0215", "6820")</f>
        <v>6820</v>
      </c>
      <c r="W842" s="5">
        <v>6358</v>
      </c>
      <c r="X842" s="3" t="s">
        <v>4854</v>
      </c>
      <c r="Y842" s="3" t="s">
        <v>4854</v>
      </c>
      <c r="Z842" s="5">
        <v>6327</v>
      </c>
      <c r="AA842" s="5">
        <v>6455</v>
      </c>
      <c r="AB842" s="5">
        <v>6398</v>
      </c>
      <c r="AC842" s="5">
        <v>6727</v>
      </c>
      <c r="AD842" s="5">
        <v>6812</v>
      </c>
      <c r="AE842" s="90">
        <v>3.6139999999999999</v>
      </c>
      <c r="AF842" s="99" t="s">
        <v>4854</v>
      </c>
      <c r="AG842" s="99" t="s">
        <v>4854</v>
      </c>
      <c r="AH842" s="90">
        <v>3.194</v>
      </c>
      <c r="AI842" s="90">
        <v>3.5350000000000001</v>
      </c>
      <c r="AJ842" s="90">
        <v>3.8940000000000001</v>
      </c>
      <c r="AK842" s="90">
        <v>3.37</v>
      </c>
      <c r="AL842" s="90">
        <v>3.1680000000000001</v>
      </c>
      <c r="AM842" s="21">
        <v>0.53700000000000003</v>
      </c>
      <c r="AN842" s="102" t="s">
        <v>4854</v>
      </c>
      <c r="AO842" s="102" t="s">
        <v>4854</v>
      </c>
      <c r="AP842" s="21">
        <v>0.94420000000000004</v>
      </c>
      <c r="AQ842" s="21">
        <v>0.43380000000000002</v>
      </c>
      <c r="AR842" s="21">
        <v>0.875</v>
      </c>
      <c r="AS842" s="21">
        <v>0.49309999999999998</v>
      </c>
      <c r="AT842" s="21">
        <v>5.1200000000000002E-2</v>
      </c>
      <c r="AU842" s="21">
        <v>0.32900000000000001</v>
      </c>
      <c r="AV842" s="102" t="s">
        <v>4854</v>
      </c>
      <c r="AW842" s="102" t="s">
        <v>4854</v>
      </c>
      <c r="AX842" s="21">
        <v>0.23699999999999999</v>
      </c>
      <c r="AY842" s="21">
        <v>0.31900000000000001</v>
      </c>
      <c r="AZ842" s="21">
        <v>0.29899999999999999</v>
      </c>
      <c r="BA842" s="21">
        <v>0.34100000000000003</v>
      </c>
      <c r="BB842" s="21">
        <v>0.373</v>
      </c>
      <c r="BC842" s="5">
        <v>1</v>
      </c>
      <c r="BD842" s="3" t="s">
        <v>4854</v>
      </c>
      <c r="BE842" s="3" t="s">
        <v>4854</v>
      </c>
      <c r="BF842" s="5">
        <v>1</v>
      </c>
      <c r="BG842" s="5">
        <v>1</v>
      </c>
      <c r="BH842" s="5">
        <v>1</v>
      </c>
      <c r="BI842" s="5">
        <v>1</v>
      </c>
      <c r="BJ842" s="5">
        <v>1</v>
      </c>
      <c r="BK842" s="90">
        <v>1</v>
      </c>
      <c r="BL842" s="99" t="s">
        <v>4854</v>
      </c>
      <c r="BM842" s="99" t="s">
        <v>4854</v>
      </c>
      <c r="BN842" s="90">
        <v>0.999</v>
      </c>
      <c r="BO842" s="90">
        <v>1</v>
      </c>
      <c r="BP842" s="90">
        <v>1</v>
      </c>
      <c r="BQ842" s="90">
        <v>1</v>
      </c>
      <c r="BR842" s="90">
        <v>1</v>
      </c>
      <c r="BS842" s="5" t="s">
        <v>4857</v>
      </c>
    </row>
    <row r="843" spans="1:71" s="30" customFormat="1" ht="17.100000000000001" customHeight="1">
      <c r="A843" s="10">
        <v>832</v>
      </c>
      <c r="B843" s="10" t="s">
        <v>1750</v>
      </c>
      <c r="C843" s="4" t="s">
        <v>1803</v>
      </c>
      <c r="D843" s="4" t="s">
        <v>1738</v>
      </c>
      <c r="E843" s="4" t="s">
        <v>1739</v>
      </c>
      <c r="F843" s="10" t="s">
        <v>5063</v>
      </c>
      <c r="G843" s="4" t="s">
        <v>1740</v>
      </c>
      <c r="H843" s="7" t="s">
        <v>1741</v>
      </c>
      <c r="I843" s="4" t="s">
        <v>1742</v>
      </c>
      <c r="J843" s="10" t="s">
        <v>4662</v>
      </c>
      <c r="K843" s="4" t="s">
        <v>5846</v>
      </c>
      <c r="L843" s="4" t="s">
        <v>1751</v>
      </c>
      <c r="M843" s="10">
        <v>2</v>
      </c>
      <c r="N843" s="95">
        <v>622.84960000000001</v>
      </c>
      <c r="O843" s="37" t="str">
        <f>HYPERLINK("http://ms.phosphosite.org:5080/cgi-bin/plot-msms.cgi?MassType=1&amp;NumAxis=1&amp;Mod1=160&amp;Mod6=170&amp;Pep=CIEDLKLLAK&amp;Dta=/var/www/html/dta/S01/10558.9343.2.dta&amp;Global_Mod=CS57.0215", "9343")</f>
        <v>9343</v>
      </c>
      <c r="P843" s="37" t="str">
        <f>HYPERLINK("http://ms.phosphosite.org:5080/cgi-bin/plot-msms.cgi?MassType=1&amp;NumAxis=1&amp;Mod1=160&amp;Mod6=170&amp;Pep=CIEDLKLLAK&amp;Dta=/var/www/html/dta/S01/10559.9299.2.dta&amp;Global_Mod=CS57.0215", "9299")</f>
        <v>9299</v>
      </c>
      <c r="Q843" s="37" t="str">
        <f>HYPERLINK("http://ms.phosphosite.org:5080/cgi-bin/plot-msms.cgi?MassType=1&amp;NumAxis=1&amp;Mod1=160&amp;Mod6=170&amp;Pep=CIEDLKLLAK&amp;Dta=/var/www/html/dta/S01/10560.9322.2.dta&amp;Global_Mod=CS57.0215", "9322")</f>
        <v>9322</v>
      </c>
      <c r="R843" s="37" t="str">
        <f>HYPERLINK("http://ms.phosphosite.org:5080/cgi-bin/plot-msms.cgi?MassType=1&amp;NumAxis=1&amp;Mod1=160&amp;Mod6=170&amp;Pep=CIEDLKLLAK&amp;Dta=/var/www/html/dta/S01/10561.9349.2.dta&amp;Global_Mod=CS57.0215", "9349")</f>
        <v>9349</v>
      </c>
      <c r="S843" s="37" t="str">
        <f>HYPERLINK("http://ms.phosphosite.org:5080/cgi-bin/plot-msms.cgi?MassType=1&amp;NumAxis=1&amp;Mod1=160&amp;Mod6=170&amp;Pep=CIEDLKLLAK&amp;Dta=/var/www/html/dta/S01/10562.9487.2.dta&amp;Global_Mod=CS57.0215", "9487")</f>
        <v>9487</v>
      </c>
      <c r="T843" s="37" t="str">
        <f>HYPERLINK("http://ms.phosphosite.org:5080/cgi-bin/plot-msms.cgi?MassType=1&amp;NumAxis=1&amp;Mod1=160&amp;Mod6=170&amp;Pep=CIEDLKLLAK&amp;Dta=/var/www/html/dta/S01/10563.9450.2.dta&amp;Global_Mod=CS57.0215", "9450")</f>
        <v>9450</v>
      </c>
      <c r="U843" s="37" t="str">
        <f>HYPERLINK("http://ms.phosphosite.org:5080/cgi-bin/plot-msms.cgi?MassType=1&amp;NumAxis=1&amp;Mod1=160&amp;Mod6=170&amp;Pep=CIEDLKLLAK&amp;Dta=/var/www/html/dta/S01/10564.9955.2.dta&amp;Global_Mod=CS57.0215", "9955")</f>
        <v>9955</v>
      </c>
      <c r="V843" s="37" t="str">
        <f>HYPERLINK("http://ms.phosphosite.org:5080/cgi-bin/plot-msms.cgi?MassType=1&amp;NumAxis=1&amp;Mod1=160&amp;Mod6=170&amp;Pep=CIEDLKLLAK&amp;Dta=/var/www/html/dta/S01/10565.9913.2.dta&amp;Global_Mod=CS57.0215", "9913")</f>
        <v>9913</v>
      </c>
      <c r="W843" s="10">
        <v>9349</v>
      </c>
      <c r="X843" s="10">
        <v>9308</v>
      </c>
      <c r="Y843" s="10">
        <v>9336</v>
      </c>
      <c r="Z843" s="10">
        <v>9363</v>
      </c>
      <c r="AA843" s="10">
        <v>9502</v>
      </c>
      <c r="AB843" s="10">
        <v>9456</v>
      </c>
      <c r="AC843" s="10">
        <v>9983</v>
      </c>
      <c r="AD843" s="10">
        <v>9914</v>
      </c>
      <c r="AE843" s="91">
        <v>3.472</v>
      </c>
      <c r="AF843" s="91">
        <v>2.61</v>
      </c>
      <c r="AG843" s="91">
        <v>3.3490000000000002</v>
      </c>
      <c r="AH843" s="91">
        <v>3.363</v>
      </c>
      <c r="AI843" s="91">
        <v>3.3109999999999999</v>
      </c>
      <c r="AJ843" s="91">
        <v>1.8859999999999999</v>
      </c>
      <c r="AK843" s="91">
        <v>3.2290000000000001</v>
      </c>
      <c r="AL843" s="91">
        <v>3.16</v>
      </c>
      <c r="AM843" s="95">
        <v>0.19289999999999999</v>
      </c>
      <c r="AN843" s="95">
        <v>0.1993</v>
      </c>
      <c r="AO843" s="95">
        <v>0.33510000000000001</v>
      </c>
      <c r="AP843" s="95">
        <v>0.17599999999999999</v>
      </c>
      <c r="AQ843" s="95">
        <v>-0.1598</v>
      </c>
      <c r="AR843" s="95">
        <v>-8.0000000000000002E-3</v>
      </c>
      <c r="AS843" s="95">
        <v>0.28449999999999998</v>
      </c>
      <c r="AT843" s="95">
        <v>-0.1903</v>
      </c>
      <c r="AU843" s="95">
        <v>0.26300000000000001</v>
      </c>
      <c r="AV843" s="95">
        <v>0.35</v>
      </c>
      <c r="AW843" s="95">
        <v>0.26800000000000002</v>
      </c>
      <c r="AX843" s="95">
        <v>0.30599999999999999</v>
      </c>
      <c r="AY843" s="95">
        <v>0.27800000000000002</v>
      </c>
      <c r="AZ843" s="95">
        <v>0.153</v>
      </c>
      <c r="BA843" s="95">
        <v>0.25</v>
      </c>
      <c r="BB843" s="95">
        <v>0.28799999999999998</v>
      </c>
      <c r="BC843" s="10">
        <v>1</v>
      </c>
      <c r="BD843" s="10">
        <v>1</v>
      </c>
      <c r="BE843" s="10">
        <v>1</v>
      </c>
      <c r="BF843" s="10">
        <v>1</v>
      </c>
      <c r="BG843" s="10">
        <v>1</v>
      </c>
      <c r="BH843" s="10">
        <v>8</v>
      </c>
      <c r="BI843" s="10">
        <v>1</v>
      </c>
      <c r="BJ843" s="10">
        <v>2</v>
      </c>
      <c r="BK843" s="91">
        <v>1</v>
      </c>
      <c r="BL843" s="91">
        <v>1</v>
      </c>
      <c r="BM843" s="91">
        <v>1</v>
      </c>
      <c r="BN843" s="91">
        <v>1</v>
      </c>
      <c r="BO843" s="91">
        <v>1</v>
      </c>
      <c r="BP843" s="91">
        <v>0.97299999999999998</v>
      </c>
      <c r="BQ843" s="91">
        <v>1</v>
      </c>
      <c r="BR843" s="91">
        <v>1</v>
      </c>
      <c r="BS843" s="10" t="s">
        <v>4857</v>
      </c>
    </row>
    <row r="844" spans="1:71" s="30" customFormat="1" ht="17.100000000000001" customHeight="1">
      <c r="A844" s="14">
        <v>833</v>
      </c>
      <c r="B844" s="5" t="s">
        <v>1752</v>
      </c>
      <c r="C844" s="3" t="s">
        <v>1803</v>
      </c>
      <c r="D844" s="3" t="s">
        <v>1753</v>
      </c>
      <c r="E844" s="3" t="s">
        <v>1754</v>
      </c>
      <c r="F844" s="5" t="s">
        <v>5078</v>
      </c>
      <c r="G844" s="3" t="s">
        <v>1755</v>
      </c>
      <c r="H844" s="6" t="s">
        <v>1756</v>
      </c>
      <c r="I844" s="3" t="s">
        <v>1757</v>
      </c>
      <c r="J844" s="5" t="s">
        <v>4747</v>
      </c>
      <c r="K844" s="3" t="s">
        <v>5847</v>
      </c>
      <c r="L844" s="3" t="s">
        <v>1626</v>
      </c>
      <c r="M844" s="5">
        <v>2</v>
      </c>
      <c r="N844" s="21">
        <v>675.351</v>
      </c>
      <c r="O844" s="36" t="str">
        <f>HYPERLINK("http://ms.phosphosite.org:5080/cgi-bin/plot-msms.cgi?MassType=1&amp;NumAxis=1&amp;Mod6=170&amp;Pep=IQEYEKQLEK&amp;Dta=/var/www/html/dta/S01/10558.4440.2.dta&amp;Global_Mod=CS57.0215", "4440")</f>
        <v>4440</v>
      </c>
      <c r="P844" s="36" t="str">
        <f>HYPERLINK("http://ms.phosphosite.org:5080/cgi-bin/plot-msms.cgi?MassType=1&amp;NumAxis=1&amp;Mod6=170&amp;Pep=IQEYEKQLEK&amp;Dta=/var/www/html/dta/S01/10559.4355.2.dta&amp;Global_Mod=CS57.0215", "4355")</f>
        <v>4355</v>
      </c>
      <c r="Q844" s="36" t="str">
        <f>HYPERLINK("http://ms.phosphosite.org:5080/cgi-bin/plot-msms.cgi?MassType=1&amp;NumAxis=1&amp;Mod6=170&amp;Pep=IQEYEKQLEK&amp;Dta=/var/www/html/dta/S01/10560.4338.2.dta&amp;Global_Mod=CS57.0215", "4338")</f>
        <v>4338</v>
      </c>
      <c r="R844" s="36" t="str">
        <f>HYPERLINK("http://ms.phosphosite.org:5080/cgi-bin/plot-msms.cgi?MassType=1&amp;NumAxis=1&amp;Mod6=170&amp;Pep=IQEYEKQLEK&amp;Dta=/var/www/html/dta/S01/10561.4363.2.dta&amp;Global_Mod=CS57.0215", "4363")</f>
        <v>4363</v>
      </c>
      <c r="S844" s="36" t="str">
        <f>HYPERLINK("http://ms.phosphosite.org:5080/cgi-bin/plot-msms.cgi?MassType=1&amp;NumAxis=1&amp;Mod6=170&amp;Pep=IQEYEKQLEK&amp;Dta=/var/www/html/dta/S01/10562.4488.2.dta&amp;Global_Mod=CS57.0215", "4488")</f>
        <v>4488</v>
      </c>
      <c r="T844" s="36" t="str">
        <f>HYPERLINK("http://ms.phosphosite.org:5080/cgi-bin/plot-msms.cgi?MassType=1&amp;NumAxis=1&amp;Mod6=170&amp;Pep=IQEYEKQLEK&amp;Dta=/var/www/html/dta/S01/10563.4408.2.dta&amp;Global_Mod=CS57.0215", "4408")</f>
        <v>4408</v>
      </c>
      <c r="U844" s="36" t="str">
        <f>HYPERLINK("http://ms.phosphosite.org:5080/cgi-bin/plot-msms.cgi?MassType=1&amp;NumAxis=1&amp;Mod6=170&amp;Pep=IQEYEKQLEK&amp;Dta=/var/www/html/dta/S01/10564.4737.2.dta&amp;Global_Mod=CS57.0215", "4737")</f>
        <v>4737</v>
      </c>
      <c r="V844" s="36" t="str">
        <f>HYPERLINK("http://ms.phosphosite.org:5080/cgi-bin/plot-msms.cgi?MassType=1&amp;NumAxis=1&amp;Mod6=170&amp;Pep=IQEYEKQLEK&amp;Dta=/var/www/html/dta/S01/10565.4850.2.dta&amp;Global_Mod=CS57.0215", "4850")</f>
        <v>4850</v>
      </c>
      <c r="W844" s="5">
        <v>4476</v>
      </c>
      <c r="X844" s="5">
        <v>4371</v>
      </c>
      <c r="Y844" s="5">
        <v>4367</v>
      </c>
      <c r="Z844" s="5">
        <v>4391</v>
      </c>
      <c r="AA844" s="5">
        <v>4509</v>
      </c>
      <c r="AB844" s="5">
        <v>4442</v>
      </c>
      <c r="AC844" s="5">
        <v>4758</v>
      </c>
      <c r="AD844" s="5">
        <v>4880</v>
      </c>
      <c r="AE844" s="90">
        <v>3.379</v>
      </c>
      <c r="AF844" s="90">
        <v>3.319</v>
      </c>
      <c r="AG844" s="90">
        <v>3.5329999999999999</v>
      </c>
      <c r="AH844" s="90">
        <v>3.242</v>
      </c>
      <c r="AI844" s="90">
        <v>3.4590000000000001</v>
      </c>
      <c r="AJ844" s="90">
        <v>3.214</v>
      </c>
      <c r="AK844" s="90">
        <v>3.4590000000000001</v>
      </c>
      <c r="AL844" s="90">
        <v>3.4580000000000002</v>
      </c>
      <c r="AM844" s="21">
        <v>0.2203</v>
      </c>
      <c r="AN844" s="21">
        <v>0.1336</v>
      </c>
      <c r="AO844" s="21">
        <v>3.8800000000000001E-2</v>
      </c>
      <c r="AP844" s="21">
        <v>0.1195</v>
      </c>
      <c r="AQ844" s="21">
        <v>0.26989999999999997</v>
      </c>
      <c r="AR844" s="21">
        <v>0.22470000000000001</v>
      </c>
      <c r="AS844" s="21">
        <v>3.5799999999999998E-2</v>
      </c>
      <c r="AT844" s="21">
        <v>-0.125</v>
      </c>
      <c r="AU844" s="21">
        <v>0.23400000000000001</v>
      </c>
      <c r="AV844" s="21">
        <v>0.28699999999999998</v>
      </c>
      <c r="AW844" s="21">
        <v>0.186</v>
      </c>
      <c r="AX844" s="21">
        <v>0.22</v>
      </c>
      <c r="AY844" s="21">
        <v>0.26700000000000002</v>
      </c>
      <c r="AZ844" s="21">
        <v>0.25900000000000001</v>
      </c>
      <c r="BA844" s="21">
        <v>0.26600000000000001</v>
      </c>
      <c r="BB844" s="21">
        <v>0.26</v>
      </c>
      <c r="BC844" s="5">
        <v>1</v>
      </c>
      <c r="BD844" s="5">
        <v>1</v>
      </c>
      <c r="BE844" s="5">
        <v>1</v>
      </c>
      <c r="BF844" s="5">
        <v>1</v>
      </c>
      <c r="BG844" s="5">
        <v>1</v>
      </c>
      <c r="BH844" s="5">
        <v>2</v>
      </c>
      <c r="BI844" s="5">
        <v>1</v>
      </c>
      <c r="BJ844" s="5">
        <v>1</v>
      </c>
      <c r="BK844" s="90">
        <v>1</v>
      </c>
      <c r="BL844" s="90">
        <v>1</v>
      </c>
      <c r="BM844" s="90">
        <v>1</v>
      </c>
      <c r="BN844" s="90">
        <v>1</v>
      </c>
      <c r="BO844" s="90">
        <v>1</v>
      </c>
      <c r="BP844" s="90">
        <v>1</v>
      </c>
      <c r="BQ844" s="90">
        <v>1</v>
      </c>
      <c r="BR844" s="90">
        <v>1</v>
      </c>
      <c r="BS844" s="5" t="s">
        <v>4857</v>
      </c>
    </row>
    <row r="845" spans="1:71" s="30" customFormat="1" ht="17.100000000000001" customHeight="1">
      <c r="A845" s="14">
        <v>834</v>
      </c>
      <c r="B845" s="5" t="s">
        <v>1627</v>
      </c>
      <c r="C845" s="3" t="s">
        <v>1803</v>
      </c>
      <c r="D845" s="3" t="s">
        <v>1753</v>
      </c>
      <c r="E845" s="3" t="s">
        <v>1754</v>
      </c>
      <c r="F845" s="5" t="s">
        <v>5078</v>
      </c>
      <c r="G845" s="3" t="s">
        <v>1755</v>
      </c>
      <c r="H845" s="6" t="s">
        <v>1756</v>
      </c>
      <c r="I845" s="3" t="s">
        <v>1757</v>
      </c>
      <c r="J845" s="5" t="s">
        <v>4747</v>
      </c>
      <c r="K845" s="3" t="s">
        <v>5847</v>
      </c>
      <c r="L845" s="3" t="s">
        <v>1626</v>
      </c>
      <c r="M845" s="5">
        <v>3</v>
      </c>
      <c r="N845" s="21">
        <v>450.56979999999999</v>
      </c>
      <c r="O845" s="35" t="s">
        <v>4854</v>
      </c>
      <c r="P845" s="35" t="s">
        <v>4854</v>
      </c>
      <c r="Q845" s="35" t="s">
        <v>4854</v>
      </c>
      <c r="R845" s="36" t="str">
        <f>HYPERLINK("http://ms.phosphosite.org:5080/cgi-bin/plot-msms.cgi?MassType=1&amp;NumAxis=1&amp;Mod6=170&amp;Pep=IQEYEKQLEK&amp;Dta=/var/www/html/dta/S01/10561.4393.3.dta&amp;Global_Mod=CS57.0215", "4393")</f>
        <v>4393</v>
      </c>
      <c r="S845" s="35" t="s">
        <v>4854</v>
      </c>
      <c r="T845" s="35" t="s">
        <v>4854</v>
      </c>
      <c r="U845" s="35" t="s">
        <v>4854</v>
      </c>
      <c r="V845" s="35" t="s">
        <v>4854</v>
      </c>
      <c r="W845" s="3" t="s">
        <v>4854</v>
      </c>
      <c r="X845" s="3" t="s">
        <v>4854</v>
      </c>
      <c r="Y845" s="3" t="s">
        <v>4854</v>
      </c>
      <c r="Z845" s="3" t="s">
        <v>4854</v>
      </c>
      <c r="AA845" s="3" t="s">
        <v>4854</v>
      </c>
      <c r="AB845" s="3" t="s">
        <v>4854</v>
      </c>
      <c r="AC845" s="3" t="s">
        <v>4854</v>
      </c>
      <c r="AD845" s="3" t="s">
        <v>4854</v>
      </c>
      <c r="AE845" s="99" t="s">
        <v>4854</v>
      </c>
      <c r="AF845" s="99" t="s">
        <v>4854</v>
      </c>
      <c r="AG845" s="99" t="s">
        <v>4854</v>
      </c>
      <c r="AH845" s="90">
        <v>1.976</v>
      </c>
      <c r="AI845" s="99" t="s">
        <v>4854</v>
      </c>
      <c r="AJ845" s="99" t="s">
        <v>4854</v>
      </c>
      <c r="AK845" s="99" t="s">
        <v>4854</v>
      </c>
      <c r="AL845" s="99" t="s">
        <v>4854</v>
      </c>
      <c r="AM845" s="102" t="s">
        <v>4854</v>
      </c>
      <c r="AN845" s="102" t="s">
        <v>4854</v>
      </c>
      <c r="AO845" s="102" t="s">
        <v>4854</v>
      </c>
      <c r="AP845" s="21">
        <v>-9.4000000000000004E-3</v>
      </c>
      <c r="AQ845" s="102" t="s">
        <v>4854</v>
      </c>
      <c r="AR845" s="102" t="s">
        <v>4854</v>
      </c>
      <c r="AS845" s="102" t="s">
        <v>4854</v>
      </c>
      <c r="AT845" s="102" t="s">
        <v>4854</v>
      </c>
      <c r="AU845" s="102" t="s">
        <v>4854</v>
      </c>
      <c r="AV845" s="102" t="s">
        <v>4854</v>
      </c>
      <c r="AW845" s="102" t="s">
        <v>4854</v>
      </c>
      <c r="AX845" s="21">
        <v>3.5999999999999997E-2</v>
      </c>
      <c r="AY845" s="102" t="s">
        <v>4854</v>
      </c>
      <c r="AZ845" s="102" t="s">
        <v>4854</v>
      </c>
      <c r="BA845" s="102" t="s">
        <v>4854</v>
      </c>
      <c r="BB845" s="102" t="s">
        <v>4854</v>
      </c>
      <c r="BC845" s="3" t="s">
        <v>4854</v>
      </c>
      <c r="BD845" s="3" t="s">
        <v>4854</v>
      </c>
      <c r="BE845" s="3" t="s">
        <v>4854</v>
      </c>
      <c r="BF845" s="5">
        <v>775</v>
      </c>
      <c r="BG845" s="3" t="s">
        <v>4854</v>
      </c>
      <c r="BH845" s="3" t="s">
        <v>4854</v>
      </c>
      <c r="BI845" s="3" t="s">
        <v>4854</v>
      </c>
      <c r="BJ845" s="3" t="s">
        <v>4854</v>
      </c>
      <c r="BK845" s="99" t="s">
        <v>4854</v>
      </c>
      <c r="BL845" s="99" t="s">
        <v>4854</v>
      </c>
      <c r="BM845" s="99" t="s">
        <v>4854</v>
      </c>
      <c r="BN845" s="90">
        <v>0.79900000000000004</v>
      </c>
      <c r="BO845" s="99" t="s">
        <v>4854</v>
      </c>
      <c r="BP845" s="99" t="s">
        <v>4854</v>
      </c>
      <c r="BQ845" s="99" t="s">
        <v>4854</v>
      </c>
      <c r="BR845" s="99" t="s">
        <v>4854</v>
      </c>
      <c r="BS845" s="5" t="s">
        <v>4857</v>
      </c>
    </row>
    <row r="846" spans="1:71" s="30" customFormat="1" ht="17.100000000000001" customHeight="1">
      <c r="A846" s="10">
        <v>835</v>
      </c>
      <c r="B846" s="10" t="s">
        <v>1628</v>
      </c>
      <c r="C846" s="4" t="s">
        <v>1803</v>
      </c>
      <c r="D846" s="4" t="s">
        <v>1753</v>
      </c>
      <c r="E846" s="4" t="s">
        <v>1754</v>
      </c>
      <c r="F846" s="10" t="s">
        <v>5088</v>
      </c>
      <c r="G846" s="4" t="s">
        <v>1755</v>
      </c>
      <c r="H846" s="7" t="s">
        <v>1756</v>
      </c>
      <c r="I846" s="4" t="s">
        <v>1757</v>
      </c>
      <c r="J846" s="10" t="s">
        <v>4747</v>
      </c>
      <c r="K846" s="4" t="s">
        <v>5848</v>
      </c>
      <c r="L846" s="4" t="s">
        <v>1629</v>
      </c>
      <c r="M846" s="10">
        <v>2</v>
      </c>
      <c r="N846" s="95">
        <v>863.93299999999999</v>
      </c>
      <c r="O846" s="37" t="str">
        <f>HYPERLINK("http://ms.phosphosite.org:5080/cgi-bin/plot-msms.cgi?MassType=1&amp;NumAxis=1&amp;Mod1=170&amp;Pep=KYPYWPHQPIENL&amp;Dta=/var/www/html/dta/S01/10558.10280.2.dta&amp;Global_Mod=CS57.0215", "10280")</f>
        <v>10280</v>
      </c>
      <c r="P846" s="37" t="str">
        <f>HYPERLINK("http://ms.phosphosite.org:5080/cgi-bin/plot-msms.cgi?MassType=1&amp;NumAxis=1&amp;Mod1=170&amp;Pep=KYPYWPHQPIENL&amp;Dta=/var/www/html/dta/S01/10559.10243.2.dta&amp;Global_Mod=CS57.0215", "10243")</f>
        <v>10243</v>
      </c>
      <c r="Q846" s="37" t="str">
        <f>HYPERLINK("http://ms.phosphosite.org:5080/cgi-bin/plot-msms.cgi?MassType=1&amp;NumAxis=1&amp;Mod1=170&amp;Pep=KYPYWPHQPIENL&amp;Dta=/var/www/html/dta/S01/10560.10280.2.dta&amp;Global_Mod=CS57.0215", "10280")</f>
        <v>10280</v>
      </c>
      <c r="R846" s="37" t="str">
        <f>HYPERLINK("http://ms.phosphosite.org:5080/cgi-bin/plot-msms.cgi?MassType=1&amp;NumAxis=1&amp;Mod1=170&amp;Pep=KYPYWPHQPIENL&amp;Dta=/var/www/html/dta/S01/10561.10285.2.dta&amp;Global_Mod=CS57.0215", "10285")</f>
        <v>10285</v>
      </c>
      <c r="S846" s="37" t="str">
        <f>HYPERLINK("http://ms.phosphosite.org:5080/cgi-bin/plot-msms.cgi?MassType=1&amp;NumAxis=1&amp;Mod1=170&amp;Pep=KYPYWPHQPIENL&amp;Dta=/var/www/html/dta/S01/10562.10454.2.dta&amp;Global_Mod=CS57.0215", "10454")</f>
        <v>10454</v>
      </c>
      <c r="T846" s="37" t="str">
        <f>HYPERLINK("http://ms.phosphosite.org:5080/cgi-bin/plot-msms.cgi?MassType=1&amp;NumAxis=1&amp;Mod1=170&amp;Pep=KYPYWPHQPIENL&amp;Dta=/var/www/html/dta/S01/10563.10412.2.dta&amp;Global_Mod=CS57.0215", "10412")</f>
        <v>10412</v>
      </c>
      <c r="U846" s="37" t="str">
        <f>HYPERLINK("http://ms.phosphosite.org:5080/cgi-bin/plot-msms.cgi?MassType=1&amp;NumAxis=1&amp;Mod1=170&amp;Pep=KYPYWPHQPIENL&amp;Dta=/var/www/html/dta/S01/10564.10903.2.dta&amp;Global_Mod=CS57.0215", "10903")</f>
        <v>10903</v>
      </c>
      <c r="V846" s="38" t="s">
        <v>4854</v>
      </c>
      <c r="W846" s="10">
        <v>10295</v>
      </c>
      <c r="X846" s="10">
        <v>10267</v>
      </c>
      <c r="Y846" s="10">
        <v>10304</v>
      </c>
      <c r="Z846" s="10">
        <v>10308</v>
      </c>
      <c r="AA846" s="10">
        <v>10499</v>
      </c>
      <c r="AB846" s="10">
        <v>10446</v>
      </c>
      <c r="AC846" s="10">
        <v>10940</v>
      </c>
      <c r="AD846" s="4" t="s">
        <v>4854</v>
      </c>
      <c r="AE846" s="91">
        <v>3.242</v>
      </c>
      <c r="AF846" s="91">
        <v>3.1640000000000001</v>
      </c>
      <c r="AG846" s="91">
        <v>3.2080000000000002</v>
      </c>
      <c r="AH846" s="91">
        <v>3.2770000000000001</v>
      </c>
      <c r="AI846" s="91">
        <v>3.456</v>
      </c>
      <c r="AJ846" s="91">
        <v>3.5419999999999998</v>
      </c>
      <c r="AK846" s="91">
        <v>3.4119999999999999</v>
      </c>
      <c r="AL846" s="100" t="s">
        <v>4854</v>
      </c>
      <c r="AM846" s="95">
        <v>1.0254000000000001</v>
      </c>
      <c r="AN846" s="95">
        <v>0.85860000000000003</v>
      </c>
      <c r="AO846" s="95">
        <v>1.0891</v>
      </c>
      <c r="AP846" s="95">
        <v>0.99639999999999995</v>
      </c>
      <c r="AQ846" s="95">
        <v>0.69069999999999998</v>
      </c>
      <c r="AR846" s="95">
        <v>0.4834</v>
      </c>
      <c r="AS846" s="95">
        <v>0.74099999999999999</v>
      </c>
      <c r="AT846" s="103" t="s">
        <v>4854</v>
      </c>
      <c r="AU846" s="95">
        <v>0.26100000000000001</v>
      </c>
      <c r="AV846" s="95">
        <v>0.34</v>
      </c>
      <c r="AW846" s="95">
        <v>0.28899999999999998</v>
      </c>
      <c r="AX846" s="95">
        <v>0.36299999999999999</v>
      </c>
      <c r="AY846" s="95">
        <v>0.441</v>
      </c>
      <c r="AZ846" s="95">
        <v>0.32400000000000001</v>
      </c>
      <c r="BA846" s="95">
        <v>0.314</v>
      </c>
      <c r="BB846" s="103" t="s">
        <v>4854</v>
      </c>
      <c r="BC846" s="10">
        <v>1</v>
      </c>
      <c r="BD846" s="10">
        <v>1</v>
      </c>
      <c r="BE846" s="10">
        <v>1</v>
      </c>
      <c r="BF846" s="10">
        <v>1</v>
      </c>
      <c r="BG846" s="10">
        <v>1</v>
      </c>
      <c r="BH846" s="10">
        <v>1</v>
      </c>
      <c r="BI846" s="10">
        <v>1</v>
      </c>
      <c r="BJ846" s="4" t="s">
        <v>4854</v>
      </c>
      <c r="BK846" s="91">
        <v>1</v>
      </c>
      <c r="BL846" s="91">
        <v>1</v>
      </c>
      <c r="BM846" s="91">
        <v>1</v>
      </c>
      <c r="BN846" s="91">
        <v>1</v>
      </c>
      <c r="BO846" s="91">
        <v>1</v>
      </c>
      <c r="BP846" s="91">
        <v>1</v>
      </c>
      <c r="BQ846" s="91">
        <v>1</v>
      </c>
      <c r="BR846" s="100" t="s">
        <v>4854</v>
      </c>
      <c r="BS846" s="10" t="s">
        <v>4857</v>
      </c>
    </row>
    <row r="847" spans="1:71" s="30" customFormat="1" ht="17.100000000000001" customHeight="1">
      <c r="A847" s="14">
        <v>836</v>
      </c>
      <c r="B847" s="5" t="s">
        <v>1630</v>
      </c>
      <c r="C847" s="3" t="s">
        <v>1803</v>
      </c>
      <c r="D847" s="3" t="s">
        <v>1753</v>
      </c>
      <c r="E847" s="3" t="s">
        <v>1754</v>
      </c>
      <c r="F847" s="5" t="s">
        <v>5077</v>
      </c>
      <c r="G847" s="3" t="s">
        <v>1755</v>
      </c>
      <c r="H847" s="6" t="s">
        <v>1756</v>
      </c>
      <c r="I847" s="3" t="s">
        <v>1757</v>
      </c>
      <c r="J847" s="5" t="s">
        <v>4747</v>
      </c>
      <c r="K847" s="3" t="s">
        <v>5849</v>
      </c>
      <c r="L847" s="3" t="s">
        <v>1631</v>
      </c>
      <c r="M847" s="5">
        <v>2</v>
      </c>
      <c r="N847" s="21">
        <v>836.94889999999998</v>
      </c>
      <c r="O847" s="35" t="s">
        <v>4854</v>
      </c>
      <c r="P847" s="35" t="s">
        <v>4854</v>
      </c>
      <c r="Q847" s="35" t="s">
        <v>4854</v>
      </c>
      <c r="R847" s="35" t="s">
        <v>4854</v>
      </c>
      <c r="S847" s="35" t="s">
        <v>4854</v>
      </c>
      <c r="T847" s="35" t="s">
        <v>4854</v>
      </c>
      <c r="U847" s="35" t="s">
        <v>4854</v>
      </c>
      <c r="V847" s="36" t="str">
        <f>HYPERLINK("http://ms.phosphosite.org:5080/cgi-bin/plot-msms.cgi?MassType=1&amp;NumAxis=1&amp;Mod14=170&amp;Pep=ANVAKPGLVDDFEKK&amp;Dta=/var/www/html/dta/S01/10565.6598.2.dta&amp;Global_Mod=CS57.0215", "6598")</f>
        <v>6598</v>
      </c>
      <c r="W847" s="3" t="s">
        <v>4854</v>
      </c>
      <c r="X847" s="3" t="s">
        <v>4854</v>
      </c>
      <c r="Y847" s="3" t="s">
        <v>4854</v>
      </c>
      <c r="Z847" s="3" t="s">
        <v>4854</v>
      </c>
      <c r="AA847" s="3" t="s">
        <v>4854</v>
      </c>
      <c r="AB847" s="3" t="s">
        <v>4854</v>
      </c>
      <c r="AC847" s="3" t="s">
        <v>4854</v>
      </c>
      <c r="AD847" s="5">
        <v>6603</v>
      </c>
      <c r="AE847" s="99" t="s">
        <v>4854</v>
      </c>
      <c r="AF847" s="99" t="s">
        <v>4854</v>
      </c>
      <c r="AG847" s="99" t="s">
        <v>4854</v>
      </c>
      <c r="AH847" s="99" t="s">
        <v>4854</v>
      </c>
      <c r="AI847" s="99" t="s">
        <v>4854</v>
      </c>
      <c r="AJ847" s="99" t="s">
        <v>4854</v>
      </c>
      <c r="AK847" s="99" t="s">
        <v>4854</v>
      </c>
      <c r="AL847" s="90">
        <v>3.5579999999999998</v>
      </c>
      <c r="AM847" s="102" t="s">
        <v>4854</v>
      </c>
      <c r="AN847" s="102" t="s">
        <v>4854</v>
      </c>
      <c r="AO847" s="102" t="s">
        <v>4854</v>
      </c>
      <c r="AP847" s="102" t="s">
        <v>4854</v>
      </c>
      <c r="AQ847" s="102" t="s">
        <v>4854</v>
      </c>
      <c r="AR847" s="102" t="s">
        <v>4854</v>
      </c>
      <c r="AS847" s="102" t="s">
        <v>4854</v>
      </c>
      <c r="AT847" s="21">
        <v>0.20300000000000001</v>
      </c>
      <c r="AU847" s="102" t="s">
        <v>4854</v>
      </c>
      <c r="AV847" s="102" t="s">
        <v>4854</v>
      </c>
      <c r="AW847" s="102" t="s">
        <v>4854</v>
      </c>
      <c r="AX847" s="102" t="s">
        <v>4854</v>
      </c>
      <c r="AY847" s="102" t="s">
        <v>4854</v>
      </c>
      <c r="AZ847" s="102" t="s">
        <v>4854</v>
      </c>
      <c r="BA847" s="102" t="s">
        <v>4854</v>
      </c>
      <c r="BB847" s="21">
        <v>0.41</v>
      </c>
      <c r="BC847" s="3" t="s">
        <v>4854</v>
      </c>
      <c r="BD847" s="3" t="s">
        <v>4854</v>
      </c>
      <c r="BE847" s="3" t="s">
        <v>4854</v>
      </c>
      <c r="BF847" s="3" t="s">
        <v>4854</v>
      </c>
      <c r="BG847" s="3" t="s">
        <v>4854</v>
      </c>
      <c r="BH847" s="3" t="s">
        <v>4854</v>
      </c>
      <c r="BI847" s="3" t="s">
        <v>4854</v>
      </c>
      <c r="BJ847" s="5">
        <v>1</v>
      </c>
      <c r="BK847" s="99" t="s">
        <v>4854</v>
      </c>
      <c r="BL847" s="99" t="s">
        <v>4854</v>
      </c>
      <c r="BM847" s="99" t="s">
        <v>4854</v>
      </c>
      <c r="BN847" s="99" t="s">
        <v>4854</v>
      </c>
      <c r="BO847" s="99" t="s">
        <v>4854</v>
      </c>
      <c r="BP847" s="99" t="s">
        <v>4854</v>
      </c>
      <c r="BQ847" s="99" t="s">
        <v>4854</v>
      </c>
      <c r="BR847" s="90">
        <v>1</v>
      </c>
      <c r="BS847" s="5" t="s">
        <v>4857</v>
      </c>
    </row>
    <row r="848" spans="1:71" s="30" customFormat="1" ht="17.100000000000001" customHeight="1">
      <c r="A848" s="10">
        <v>837</v>
      </c>
      <c r="B848" s="10" t="s">
        <v>1632</v>
      </c>
      <c r="C848" s="4" t="s">
        <v>1803</v>
      </c>
      <c r="D848" s="4" t="s">
        <v>1753</v>
      </c>
      <c r="E848" s="4" t="s">
        <v>1754</v>
      </c>
      <c r="F848" s="10" t="s">
        <v>5129</v>
      </c>
      <c r="G848" s="4" t="s">
        <v>1755</v>
      </c>
      <c r="H848" s="7" t="s">
        <v>1756</v>
      </c>
      <c r="I848" s="4" t="s">
        <v>1757</v>
      </c>
      <c r="J848" s="10" t="s">
        <v>4747</v>
      </c>
      <c r="K848" s="4" t="s">
        <v>5850</v>
      </c>
      <c r="L848" s="4" t="s">
        <v>1633</v>
      </c>
      <c r="M848" s="10">
        <v>3</v>
      </c>
      <c r="N848" s="95">
        <v>829.75490000000002</v>
      </c>
      <c r="O848" s="37" t="str">
        <f>HYPERLINK("http://ms.phosphosite.org:5080/cgi-bin/plot-msms.cgi?MassType=1&amp;NumAxis=1&amp;Mod7=170&amp;Pep=IPVPEDKYTALVDQEEKEDVK&amp;Dta=/var/www/html/dta/S01/10558.9420.3.dta&amp;Global_Mod=CS57.0215", "9420")</f>
        <v>9420</v>
      </c>
      <c r="P848" s="37" t="str">
        <f>HYPERLINK("http://ms.phosphosite.org:5080/cgi-bin/plot-msms.cgi?MassType=1&amp;NumAxis=1&amp;Mod7=170&amp;Pep=IPVPEDKYTALVDQEEKEDVK&amp;Dta=/var/www/html/dta/S01/10559.9398.3.dta&amp;Global_Mod=CS57.0215", "9398")</f>
        <v>9398</v>
      </c>
      <c r="Q848" s="38" t="s">
        <v>4854</v>
      </c>
      <c r="R848" s="37" t="str">
        <f>HYPERLINK("http://ms.phosphosite.org:5080/cgi-bin/plot-msms.cgi?MassType=1&amp;NumAxis=1&amp;Mod7=170&amp;Pep=IPVPEDKYTALVDQEEKEDVK&amp;Dta=/var/www/html/dta/S01/10561.9411.3.dta&amp;Global_Mod=CS57.0215", "9411")</f>
        <v>9411</v>
      </c>
      <c r="S848" s="37" t="str">
        <f>HYPERLINK("http://ms.phosphosite.org:5080/cgi-bin/plot-msms.cgi?MassType=1&amp;NumAxis=1&amp;Mod7=170&amp;Pep=IPVPEDKYTALVDQEEKEDVK&amp;Dta=/var/www/html/dta/S01/10562.9580.3.dta&amp;Global_Mod=CS57.0215", "9580")</f>
        <v>9580</v>
      </c>
      <c r="T848" s="37" t="str">
        <f>HYPERLINK("http://ms.phosphosite.org:5080/cgi-bin/plot-msms.cgi?MassType=1&amp;NumAxis=1&amp;Mod7=170&amp;Pep=IPVPEDKYTALVDQEEKEDVK&amp;Dta=/var/www/html/dta/S01/10563.9517.3.dta&amp;Global_Mod=CS57.0215", "9517")</f>
        <v>9517</v>
      </c>
      <c r="U848" s="37" t="str">
        <f>HYPERLINK("http://ms.phosphosite.org:5080/cgi-bin/plot-msms.cgi?MassType=1&amp;NumAxis=1&amp;Mod7=170&amp;Pep=IPVPEDKYTALVDQEEKEDVK&amp;Dta=/var/www/html/dta/S01/10564.9988.3.dta&amp;Global_Mod=CS57.0215", "9988")</f>
        <v>9988</v>
      </c>
      <c r="V848" s="37" t="str">
        <f>HYPERLINK("http://ms.phosphosite.org:5080/cgi-bin/plot-msms.cgi?MassType=1&amp;NumAxis=1&amp;Mod7=170&amp;Pep=IPVPEDKYTALVDQEEKEDVK&amp;Dta=/var/www/html/dta/S01/10565.9927.3.dta&amp;Global_Mod=CS57.0215", "9927")</f>
        <v>9927</v>
      </c>
      <c r="W848" s="10">
        <v>9459</v>
      </c>
      <c r="X848" s="10">
        <v>9418</v>
      </c>
      <c r="Y848" s="4" t="s">
        <v>4854</v>
      </c>
      <c r="Z848" s="10">
        <v>9429</v>
      </c>
      <c r="AA848" s="10">
        <v>9590</v>
      </c>
      <c r="AB848" s="10">
        <v>9533</v>
      </c>
      <c r="AC848" s="10">
        <v>10005</v>
      </c>
      <c r="AD848" s="10">
        <v>9969</v>
      </c>
      <c r="AE848" s="91">
        <v>2.7120000000000002</v>
      </c>
      <c r="AF848" s="91">
        <v>3.4489999999999998</v>
      </c>
      <c r="AG848" s="100" t="s">
        <v>4854</v>
      </c>
      <c r="AH848" s="91">
        <v>3.7069999999999999</v>
      </c>
      <c r="AI848" s="91">
        <v>3.339</v>
      </c>
      <c r="AJ848" s="91">
        <v>3.4060000000000001</v>
      </c>
      <c r="AK848" s="91">
        <v>3.39</v>
      </c>
      <c r="AL848" s="91">
        <v>3.0630000000000002</v>
      </c>
      <c r="AM848" s="95">
        <v>-0.18740000000000001</v>
      </c>
      <c r="AN848" s="95">
        <v>0.76470000000000005</v>
      </c>
      <c r="AO848" s="103" t="s">
        <v>4854</v>
      </c>
      <c r="AP848" s="95">
        <v>0.61950000000000005</v>
      </c>
      <c r="AQ848" s="95">
        <v>0.7056</v>
      </c>
      <c r="AR848" s="95">
        <v>0.22270000000000001</v>
      </c>
      <c r="AS848" s="95">
        <v>0.2215</v>
      </c>
      <c r="AT848" s="95">
        <v>0.2271</v>
      </c>
      <c r="AU848" s="95">
        <v>8.1000000000000003E-2</v>
      </c>
      <c r="AV848" s="95">
        <v>0.3</v>
      </c>
      <c r="AW848" s="103" t="s">
        <v>4854</v>
      </c>
      <c r="AX848" s="95">
        <v>0.40600000000000003</v>
      </c>
      <c r="AY848" s="95">
        <v>0.29799999999999999</v>
      </c>
      <c r="AZ848" s="95">
        <v>0.29099999999999998</v>
      </c>
      <c r="BA848" s="95">
        <v>0.27500000000000002</v>
      </c>
      <c r="BB848" s="95">
        <v>0.35799999999999998</v>
      </c>
      <c r="BC848" s="10">
        <v>1</v>
      </c>
      <c r="BD848" s="10">
        <v>1</v>
      </c>
      <c r="BE848" s="4" t="s">
        <v>4854</v>
      </c>
      <c r="BF848" s="10">
        <v>1</v>
      </c>
      <c r="BG848" s="10">
        <v>1</v>
      </c>
      <c r="BH848" s="10">
        <v>1</v>
      </c>
      <c r="BI848" s="10">
        <v>1</v>
      </c>
      <c r="BJ848" s="10">
        <v>1</v>
      </c>
      <c r="BK848" s="91">
        <v>0.98499999999999999</v>
      </c>
      <c r="BL848" s="91">
        <v>1</v>
      </c>
      <c r="BM848" s="100" t="s">
        <v>4854</v>
      </c>
      <c r="BN848" s="91">
        <v>1</v>
      </c>
      <c r="BO848" s="91">
        <v>1</v>
      </c>
      <c r="BP848" s="91">
        <v>1</v>
      </c>
      <c r="BQ848" s="91">
        <v>1</v>
      </c>
      <c r="BR848" s="91">
        <v>1</v>
      </c>
      <c r="BS848" s="10" t="s">
        <v>4857</v>
      </c>
    </row>
    <row r="849" spans="1:71" s="30" customFormat="1" ht="17.100000000000001" customHeight="1">
      <c r="A849" s="10">
        <v>838</v>
      </c>
      <c r="B849" s="10" t="s">
        <v>1634</v>
      </c>
      <c r="C849" s="4" t="s">
        <v>1803</v>
      </c>
      <c r="D849" s="4" t="s">
        <v>1753</v>
      </c>
      <c r="E849" s="4" t="s">
        <v>1754</v>
      </c>
      <c r="F849" s="10" t="s">
        <v>5129</v>
      </c>
      <c r="G849" s="4" t="s">
        <v>1755</v>
      </c>
      <c r="H849" s="7" t="s">
        <v>1756</v>
      </c>
      <c r="I849" s="4" t="s">
        <v>1757</v>
      </c>
      <c r="J849" s="10" t="s">
        <v>4747</v>
      </c>
      <c r="K849" s="4" t="s">
        <v>5850</v>
      </c>
      <c r="L849" s="4" t="s">
        <v>1635</v>
      </c>
      <c r="M849" s="10">
        <v>4</v>
      </c>
      <c r="N849" s="95">
        <v>769.89859999999999</v>
      </c>
      <c r="O849" s="38" t="s">
        <v>4854</v>
      </c>
      <c r="P849" s="38" t="s">
        <v>4854</v>
      </c>
      <c r="Q849" s="38" t="s">
        <v>4854</v>
      </c>
      <c r="R849" s="37" t="str">
        <f>HYPERLINK("http://ms.phosphosite.org:5080/cgi-bin/plot-msms.cgi?MassType=1&amp;NumAxis=1&amp;Mod12=170&amp;Pep=YNALKIPVPEDKYTALVDQEEKEDVK&amp;Dta=/var/www/html/dta/S01/10561.10365.4.dta&amp;Global_Mod=CS57.0215", "10365")</f>
        <v>10365</v>
      </c>
      <c r="S849" s="38" t="s">
        <v>4854</v>
      </c>
      <c r="T849" s="38" t="s">
        <v>4854</v>
      </c>
      <c r="U849" s="38" t="s">
        <v>4854</v>
      </c>
      <c r="V849" s="38" t="s">
        <v>4854</v>
      </c>
      <c r="W849" s="4" t="s">
        <v>4854</v>
      </c>
      <c r="X849" s="4" t="s">
        <v>4854</v>
      </c>
      <c r="Y849" s="4" t="s">
        <v>4854</v>
      </c>
      <c r="Z849" s="4" t="s">
        <v>4854</v>
      </c>
      <c r="AA849" s="4" t="s">
        <v>4854</v>
      </c>
      <c r="AB849" s="4" t="s">
        <v>4854</v>
      </c>
      <c r="AC849" s="4" t="s">
        <v>4854</v>
      </c>
      <c r="AD849" s="4" t="s">
        <v>4854</v>
      </c>
      <c r="AE849" s="100" t="s">
        <v>4854</v>
      </c>
      <c r="AF849" s="100" t="s">
        <v>4854</v>
      </c>
      <c r="AG849" s="100" t="s">
        <v>4854</v>
      </c>
      <c r="AH849" s="91">
        <v>2.2530000000000001</v>
      </c>
      <c r="AI849" s="100" t="s">
        <v>4854</v>
      </c>
      <c r="AJ849" s="100" t="s">
        <v>4854</v>
      </c>
      <c r="AK849" s="100" t="s">
        <v>4854</v>
      </c>
      <c r="AL849" s="100" t="s">
        <v>4854</v>
      </c>
      <c r="AM849" s="103" t="s">
        <v>4854</v>
      </c>
      <c r="AN849" s="103" t="s">
        <v>4854</v>
      </c>
      <c r="AO849" s="103" t="s">
        <v>4854</v>
      </c>
      <c r="AP849" s="95">
        <v>0.54059999999999997</v>
      </c>
      <c r="AQ849" s="103" t="s">
        <v>4854</v>
      </c>
      <c r="AR849" s="103" t="s">
        <v>4854</v>
      </c>
      <c r="AS849" s="103" t="s">
        <v>4854</v>
      </c>
      <c r="AT849" s="103" t="s">
        <v>4854</v>
      </c>
      <c r="AU849" s="103" t="s">
        <v>4854</v>
      </c>
      <c r="AV849" s="103" t="s">
        <v>4854</v>
      </c>
      <c r="AW849" s="103" t="s">
        <v>4854</v>
      </c>
      <c r="AX849" s="95">
        <v>2.5999999999999999E-2</v>
      </c>
      <c r="AY849" s="103" t="s">
        <v>4854</v>
      </c>
      <c r="AZ849" s="103" t="s">
        <v>4854</v>
      </c>
      <c r="BA849" s="103" t="s">
        <v>4854</v>
      </c>
      <c r="BB849" s="103" t="s">
        <v>4854</v>
      </c>
      <c r="BC849" s="4" t="s">
        <v>4854</v>
      </c>
      <c r="BD849" s="4" t="s">
        <v>4854</v>
      </c>
      <c r="BE849" s="4" t="s">
        <v>4854</v>
      </c>
      <c r="BF849" s="10">
        <v>51</v>
      </c>
      <c r="BG849" s="4" t="s">
        <v>4854</v>
      </c>
      <c r="BH849" s="4" t="s">
        <v>4854</v>
      </c>
      <c r="BI849" s="4" t="s">
        <v>4854</v>
      </c>
      <c r="BJ849" s="4" t="s">
        <v>4854</v>
      </c>
      <c r="BK849" s="100" t="s">
        <v>4854</v>
      </c>
      <c r="BL849" s="100" t="s">
        <v>4854</v>
      </c>
      <c r="BM849" s="100" t="s">
        <v>4854</v>
      </c>
      <c r="BN849" s="91">
        <v>0.45800000000000002</v>
      </c>
      <c r="BO849" s="100" t="s">
        <v>4854</v>
      </c>
      <c r="BP849" s="100" t="s">
        <v>4854</v>
      </c>
      <c r="BQ849" s="100" t="s">
        <v>4854</v>
      </c>
      <c r="BR849" s="100" t="s">
        <v>4854</v>
      </c>
      <c r="BS849" s="10" t="s">
        <v>4857</v>
      </c>
    </row>
    <row r="850" spans="1:71" s="30" customFormat="1" ht="17.100000000000001" customHeight="1">
      <c r="A850" s="14">
        <v>839</v>
      </c>
      <c r="B850" s="5" t="s">
        <v>1636</v>
      </c>
      <c r="C850" s="3" t="s">
        <v>1803</v>
      </c>
      <c r="D850" s="3" t="s">
        <v>1753</v>
      </c>
      <c r="E850" s="3" t="s">
        <v>1754</v>
      </c>
      <c r="F850" s="5" t="s">
        <v>5034</v>
      </c>
      <c r="G850" s="3" t="s">
        <v>1755</v>
      </c>
      <c r="H850" s="6" t="s">
        <v>1756</v>
      </c>
      <c r="I850" s="3" t="s">
        <v>1757</v>
      </c>
      <c r="J850" s="5" t="s">
        <v>4747</v>
      </c>
      <c r="K850" s="3" t="s">
        <v>5851</v>
      </c>
      <c r="L850" s="3" t="s">
        <v>1637</v>
      </c>
      <c r="M850" s="5">
        <v>4</v>
      </c>
      <c r="N850" s="21">
        <v>769.89859999999999</v>
      </c>
      <c r="O850" s="36" t="str">
        <f>HYPERLINK("http://ms.phosphosite.org:5080/cgi-bin/plot-msms.cgi?MassType=1&amp;NumAxis=1&amp;Mod22=170&amp;Pep=YNALKIPVPEDKYTALVDQEEKEDVK&amp;Dta=/var/www/html/dta/S01/10558.10358.4.dta&amp;Global_Mod=CS57.0215", "10358")</f>
        <v>10358</v>
      </c>
      <c r="P850" s="36" t="str">
        <f>HYPERLINK("http://ms.phosphosite.org:5080/cgi-bin/plot-msms.cgi?MassType=1&amp;NumAxis=1&amp;Mod22=170&amp;Pep=YNALKIPVPEDKYTALVDQEEKEDVK&amp;Dta=/var/www/html/dta/S01/10559.10330.4.dta&amp;Global_Mod=CS57.0215", "10330")</f>
        <v>10330</v>
      </c>
      <c r="Q850" s="35" t="s">
        <v>4854</v>
      </c>
      <c r="R850" s="35" t="s">
        <v>4854</v>
      </c>
      <c r="S850" s="35" t="s">
        <v>4854</v>
      </c>
      <c r="T850" s="35" t="s">
        <v>4854</v>
      </c>
      <c r="U850" s="35" t="s">
        <v>4854</v>
      </c>
      <c r="V850" s="35" t="s">
        <v>4854</v>
      </c>
      <c r="W850" s="5">
        <v>10350</v>
      </c>
      <c r="X850" s="3" t="s">
        <v>4854</v>
      </c>
      <c r="Y850" s="3" t="s">
        <v>4854</v>
      </c>
      <c r="Z850" s="3" t="s">
        <v>4854</v>
      </c>
      <c r="AA850" s="3" t="s">
        <v>4854</v>
      </c>
      <c r="AB850" s="3" t="s">
        <v>4854</v>
      </c>
      <c r="AC850" s="3" t="s">
        <v>4854</v>
      </c>
      <c r="AD850" s="3" t="s">
        <v>4854</v>
      </c>
      <c r="AE850" s="90">
        <v>3.1080000000000001</v>
      </c>
      <c r="AF850" s="90">
        <v>3.0680000000000001</v>
      </c>
      <c r="AG850" s="99" t="s">
        <v>4854</v>
      </c>
      <c r="AH850" s="99" t="s">
        <v>4854</v>
      </c>
      <c r="AI850" s="99" t="s">
        <v>4854</v>
      </c>
      <c r="AJ850" s="99" t="s">
        <v>4854</v>
      </c>
      <c r="AK850" s="99" t="s">
        <v>4854</v>
      </c>
      <c r="AL850" s="99" t="s">
        <v>4854</v>
      </c>
      <c r="AM850" s="21">
        <v>0.99399999999999999</v>
      </c>
      <c r="AN850" s="21">
        <v>0.86950000000000005</v>
      </c>
      <c r="AO850" s="102" t="s">
        <v>4854</v>
      </c>
      <c r="AP850" s="102" t="s">
        <v>4854</v>
      </c>
      <c r="AQ850" s="102" t="s">
        <v>4854</v>
      </c>
      <c r="AR850" s="102" t="s">
        <v>4854</v>
      </c>
      <c r="AS850" s="102" t="s">
        <v>4854</v>
      </c>
      <c r="AT850" s="102" t="s">
        <v>4854</v>
      </c>
      <c r="AU850" s="21">
        <v>0.14899999999999999</v>
      </c>
      <c r="AV850" s="21">
        <v>8.5999999999999993E-2</v>
      </c>
      <c r="AW850" s="102" t="s">
        <v>4854</v>
      </c>
      <c r="AX850" s="102" t="s">
        <v>4854</v>
      </c>
      <c r="AY850" s="102" t="s">
        <v>4854</v>
      </c>
      <c r="AZ850" s="102" t="s">
        <v>4854</v>
      </c>
      <c r="BA850" s="102" t="s">
        <v>4854</v>
      </c>
      <c r="BB850" s="102" t="s">
        <v>4854</v>
      </c>
      <c r="BC850" s="5">
        <v>3</v>
      </c>
      <c r="BD850" s="5">
        <v>7</v>
      </c>
      <c r="BE850" s="3" t="s">
        <v>4854</v>
      </c>
      <c r="BF850" s="3" t="s">
        <v>4854</v>
      </c>
      <c r="BG850" s="3" t="s">
        <v>4854</v>
      </c>
      <c r="BH850" s="3" t="s">
        <v>4854</v>
      </c>
      <c r="BI850" s="3" t="s">
        <v>4854</v>
      </c>
      <c r="BJ850" s="3" t="s">
        <v>4854</v>
      </c>
      <c r="BK850" s="90">
        <v>0.98099999999999998</v>
      </c>
      <c r="BL850" s="90">
        <v>0.90500000000000003</v>
      </c>
      <c r="BM850" s="99" t="s">
        <v>4854</v>
      </c>
      <c r="BN850" s="99" t="s">
        <v>4854</v>
      </c>
      <c r="BO850" s="99" t="s">
        <v>4854</v>
      </c>
      <c r="BP850" s="99" t="s">
        <v>4854</v>
      </c>
      <c r="BQ850" s="99" t="s">
        <v>4854</v>
      </c>
      <c r="BR850" s="99" t="s">
        <v>4854</v>
      </c>
      <c r="BS850" s="5" t="s">
        <v>4857</v>
      </c>
    </row>
    <row r="851" spans="1:71" s="30" customFormat="1" ht="17.100000000000001" customHeight="1">
      <c r="A851" s="10">
        <v>840</v>
      </c>
      <c r="B851" s="10" t="s">
        <v>1638</v>
      </c>
      <c r="C851" s="4" t="s">
        <v>1803</v>
      </c>
      <c r="D851" s="4" t="s">
        <v>1639</v>
      </c>
      <c r="E851" s="4" t="s">
        <v>1640</v>
      </c>
      <c r="F851" s="10" t="s">
        <v>5251</v>
      </c>
      <c r="G851" s="4" t="s">
        <v>1641</v>
      </c>
      <c r="H851" s="7" t="s">
        <v>1642</v>
      </c>
      <c r="I851" s="4" t="s">
        <v>1643</v>
      </c>
      <c r="J851" s="10" t="s">
        <v>4834</v>
      </c>
      <c r="K851" s="4" t="s">
        <v>5852</v>
      </c>
      <c r="L851" s="4" t="s">
        <v>1644</v>
      </c>
      <c r="M851" s="10">
        <v>2</v>
      </c>
      <c r="N851" s="95">
        <v>556.80089999999996</v>
      </c>
      <c r="O851" s="38" t="s">
        <v>4854</v>
      </c>
      <c r="P851" s="37" t="str">
        <f>HYPERLINK("http://ms.phosphosite.org:5080/cgi-bin/plot-msms.cgi?MassType=1&amp;NumAxis=1&amp;Mod2=170&amp;Pep=NKELDPVQK&amp;Dta=/var/www/html/dta/S01/10559.3477.2.dta&amp;Global_Mod=CS57.0215", "3477")</f>
        <v>3477</v>
      </c>
      <c r="Q851" s="38" t="s">
        <v>4854</v>
      </c>
      <c r="R851" s="38" t="s">
        <v>4854</v>
      </c>
      <c r="S851" s="38" t="s">
        <v>4854</v>
      </c>
      <c r="T851" s="38" t="s">
        <v>4854</v>
      </c>
      <c r="U851" s="38" t="s">
        <v>4854</v>
      </c>
      <c r="V851" s="37" t="str">
        <f>HYPERLINK("http://ms.phosphosite.org:5080/cgi-bin/plot-msms.cgi?MassType=1&amp;NumAxis=1&amp;Mod2=170&amp;Pep=NKELDPVQK&amp;Dta=/var/www/html/dta/S01/10565.3921.2.dta&amp;Global_Mod=CS57.0215", "3921")</f>
        <v>3921</v>
      </c>
      <c r="W851" s="4" t="s">
        <v>4854</v>
      </c>
      <c r="X851" s="4" t="s">
        <v>4854</v>
      </c>
      <c r="Y851" s="4" t="s">
        <v>4854</v>
      </c>
      <c r="Z851" s="4" t="s">
        <v>4854</v>
      </c>
      <c r="AA851" s="4" t="s">
        <v>4854</v>
      </c>
      <c r="AB851" s="4" t="s">
        <v>4854</v>
      </c>
      <c r="AC851" s="4" t="s">
        <v>4854</v>
      </c>
      <c r="AD851" s="4" t="s">
        <v>4854</v>
      </c>
      <c r="AE851" s="100" t="s">
        <v>4854</v>
      </c>
      <c r="AF851" s="91">
        <v>2.0710000000000002</v>
      </c>
      <c r="AG851" s="100" t="s">
        <v>4854</v>
      </c>
      <c r="AH851" s="100" t="s">
        <v>4854</v>
      </c>
      <c r="AI851" s="100" t="s">
        <v>4854</v>
      </c>
      <c r="AJ851" s="100" t="s">
        <v>4854</v>
      </c>
      <c r="AK851" s="100" t="s">
        <v>4854</v>
      </c>
      <c r="AL851" s="91">
        <v>2.56</v>
      </c>
      <c r="AM851" s="103" t="s">
        <v>4854</v>
      </c>
      <c r="AN851" s="95">
        <v>0.28699999999999998</v>
      </c>
      <c r="AO851" s="103" t="s">
        <v>4854</v>
      </c>
      <c r="AP851" s="103" t="s">
        <v>4854</v>
      </c>
      <c r="AQ851" s="103" t="s">
        <v>4854</v>
      </c>
      <c r="AR851" s="103" t="s">
        <v>4854</v>
      </c>
      <c r="AS851" s="103" t="s">
        <v>4854</v>
      </c>
      <c r="AT851" s="95">
        <v>0.41909999999999997</v>
      </c>
      <c r="AU851" s="103" t="s">
        <v>4854</v>
      </c>
      <c r="AV851" s="95">
        <v>0.20499999999999999</v>
      </c>
      <c r="AW851" s="103" t="s">
        <v>4854</v>
      </c>
      <c r="AX851" s="103" t="s">
        <v>4854</v>
      </c>
      <c r="AY851" s="103" t="s">
        <v>4854</v>
      </c>
      <c r="AZ851" s="103" t="s">
        <v>4854</v>
      </c>
      <c r="BA851" s="103" t="s">
        <v>4854</v>
      </c>
      <c r="BB851" s="95">
        <v>0.21199999999999999</v>
      </c>
      <c r="BC851" s="4" t="s">
        <v>4854</v>
      </c>
      <c r="BD851" s="10">
        <v>7</v>
      </c>
      <c r="BE851" s="4" t="s">
        <v>4854</v>
      </c>
      <c r="BF851" s="4" t="s">
        <v>4854</v>
      </c>
      <c r="BG851" s="4" t="s">
        <v>4854</v>
      </c>
      <c r="BH851" s="4" t="s">
        <v>4854</v>
      </c>
      <c r="BI851" s="4" t="s">
        <v>4854</v>
      </c>
      <c r="BJ851" s="10">
        <v>3</v>
      </c>
      <c r="BK851" s="100" t="s">
        <v>4854</v>
      </c>
      <c r="BL851" s="91">
        <v>0.51700000000000002</v>
      </c>
      <c r="BM851" s="100" t="s">
        <v>4854</v>
      </c>
      <c r="BN851" s="100" t="s">
        <v>4854</v>
      </c>
      <c r="BO851" s="100" t="s">
        <v>4854</v>
      </c>
      <c r="BP851" s="100" t="s">
        <v>4854</v>
      </c>
      <c r="BQ851" s="100" t="s">
        <v>4854</v>
      </c>
      <c r="BR851" s="91">
        <v>0.81699999999999995</v>
      </c>
      <c r="BS851" s="10" t="s">
        <v>4857</v>
      </c>
    </row>
    <row r="852" spans="1:71" s="30" customFormat="1" ht="17.100000000000001" customHeight="1">
      <c r="A852" s="14">
        <v>841</v>
      </c>
      <c r="B852" s="5" t="s">
        <v>1645</v>
      </c>
      <c r="C852" s="3" t="s">
        <v>1803</v>
      </c>
      <c r="D852" s="3" t="s">
        <v>1639</v>
      </c>
      <c r="E852" s="3" t="s">
        <v>1640</v>
      </c>
      <c r="F852" s="5" t="s">
        <v>5039</v>
      </c>
      <c r="G852" s="3" t="s">
        <v>1641</v>
      </c>
      <c r="H852" s="6" t="s">
        <v>1642</v>
      </c>
      <c r="I852" s="3" t="s">
        <v>1643</v>
      </c>
      <c r="J852" s="5" t="s">
        <v>4834</v>
      </c>
      <c r="K852" s="3" t="s">
        <v>5853</v>
      </c>
      <c r="L852" s="3" t="s">
        <v>1646</v>
      </c>
      <c r="M852" s="5">
        <v>2</v>
      </c>
      <c r="N852" s="21">
        <v>853.91719999999998</v>
      </c>
      <c r="O852" s="36" t="str">
        <f>HYPERLINK("http://ms.phosphosite.org:5080/cgi-bin/plot-msms.cgi?MassType=1&amp;NumAxis=1&amp;Mod5=170&amp;Pep=FDDPKFEVIDKPQS&amp;Dta=/var/www/html/dta/S01/10558.8859.2.dta&amp;Global_Mod=CS57.0215", "8859")</f>
        <v>8859</v>
      </c>
      <c r="P852" s="36" t="str">
        <f>HYPERLINK("http://ms.phosphosite.org:5080/cgi-bin/plot-msms.cgi?MassType=1&amp;NumAxis=1&amp;Mod5=170&amp;Pep=FDDPKFEVIDKPQS&amp;Dta=/var/www/html/dta/S01/10559.8811.2.dta&amp;Global_Mod=CS57.0215", "8811")</f>
        <v>8811</v>
      </c>
      <c r="Q852" s="36" t="str">
        <f>HYPERLINK("http://ms.phosphosite.org:5080/cgi-bin/plot-msms.cgi?MassType=1&amp;NumAxis=1&amp;Mod5=170&amp;Pep=FDDPKFEVIDKPQS&amp;Dta=/var/www/html/dta/S01/10560.8814.2.dta&amp;Global_Mod=CS57.0215", "8814")</f>
        <v>8814</v>
      </c>
      <c r="R852" s="36" t="str">
        <f>HYPERLINK("http://ms.phosphosite.org:5080/cgi-bin/plot-msms.cgi?MassType=1&amp;NumAxis=1&amp;Mod5=170&amp;Pep=FDDPKFEVIDKPQS&amp;Dta=/var/www/html/dta/S01/10561.8861.2.dta&amp;Global_Mod=CS57.0215", "8861")</f>
        <v>8861</v>
      </c>
      <c r="S852" s="36" t="str">
        <f>HYPERLINK("http://ms.phosphosite.org:5080/cgi-bin/plot-msms.cgi?MassType=1&amp;NumAxis=1&amp;Mod5=170&amp;Pep=FDDPKFEVIDKPQS&amp;Dta=/var/www/html/dta/S01/10562.8981.2.dta&amp;Global_Mod=CS57.0215", "8981")</f>
        <v>8981</v>
      </c>
      <c r="T852" s="36" t="str">
        <f>HYPERLINK("http://ms.phosphosite.org:5080/cgi-bin/plot-msms.cgi?MassType=1&amp;NumAxis=1&amp;Mod5=170&amp;Pep=FDDPKFEVIDKPQS&amp;Dta=/var/www/html/dta/S01/10563.8956.2.dta&amp;Global_Mod=CS57.0215", "8956")</f>
        <v>8956</v>
      </c>
      <c r="U852" s="36" t="str">
        <f>HYPERLINK("http://ms.phosphosite.org:5080/cgi-bin/plot-msms.cgi?MassType=1&amp;NumAxis=1&amp;Mod5=170&amp;Pep=FDDPKFEVIDKPQS&amp;Dta=/var/www/html/dta/S01/10564.9408.2.dta&amp;Global_Mod=CS57.0215", "9408")</f>
        <v>9408</v>
      </c>
      <c r="V852" s="36" t="str">
        <f>HYPERLINK("http://ms.phosphosite.org:5080/cgi-bin/plot-msms.cgi?MassType=1&amp;NumAxis=1&amp;Mod5=170&amp;Pep=FDDPKFEVIDKPQS&amp;Dta=/var/www/html/dta/S01/10565.9384.2.dta&amp;Global_Mod=CS57.0215", "9384")</f>
        <v>9384</v>
      </c>
      <c r="W852" s="5">
        <v>8876</v>
      </c>
      <c r="X852" s="5">
        <v>8824</v>
      </c>
      <c r="Y852" s="5">
        <v>8830</v>
      </c>
      <c r="Z852" s="5">
        <v>8879</v>
      </c>
      <c r="AA852" s="5">
        <v>8996</v>
      </c>
      <c r="AB852" s="5">
        <v>8983</v>
      </c>
      <c r="AC852" s="5">
        <v>9433</v>
      </c>
      <c r="AD852" s="5">
        <v>9397</v>
      </c>
      <c r="AE852" s="90">
        <v>3.0289999999999999</v>
      </c>
      <c r="AF852" s="90">
        <v>3.141</v>
      </c>
      <c r="AG852" s="90">
        <v>3.0720000000000001</v>
      </c>
      <c r="AH852" s="90">
        <v>3.218</v>
      </c>
      <c r="AI852" s="90">
        <v>3.149</v>
      </c>
      <c r="AJ852" s="90">
        <v>3.1760000000000002</v>
      </c>
      <c r="AK852" s="90">
        <v>3.423</v>
      </c>
      <c r="AL852" s="90">
        <v>3.3650000000000002</v>
      </c>
      <c r="AM852" s="21">
        <v>0.47960000000000003</v>
      </c>
      <c r="AN852" s="21">
        <v>0.61899999999999999</v>
      </c>
      <c r="AO852" s="21">
        <v>0.91320000000000001</v>
      </c>
      <c r="AP852" s="21">
        <v>1.0983000000000001</v>
      </c>
      <c r="AQ852" s="21">
        <v>0.26750000000000002</v>
      </c>
      <c r="AR852" s="21">
        <v>0.37940000000000002</v>
      </c>
      <c r="AS852" s="21">
        <v>0.50419999999999998</v>
      </c>
      <c r="AT852" s="21">
        <v>0.18720000000000001</v>
      </c>
      <c r="AU852" s="21">
        <v>0.34899999999999998</v>
      </c>
      <c r="AV852" s="21">
        <v>0.316</v>
      </c>
      <c r="AW852" s="21">
        <v>0.33500000000000002</v>
      </c>
      <c r="AX852" s="21">
        <v>0.32300000000000001</v>
      </c>
      <c r="AY852" s="21">
        <v>0.378</v>
      </c>
      <c r="AZ852" s="21">
        <v>0.23599999999999999</v>
      </c>
      <c r="BA852" s="21">
        <v>0.376</v>
      </c>
      <c r="BB852" s="21">
        <v>0.33400000000000002</v>
      </c>
      <c r="BC852" s="5">
        <v>1</v>
      </c>
      <c r="BD852" s="5">
        <v>1</v>
      </c>
      <c r="BE852" s="5">
        <v>1</v>
      </c>
      <c r="BF852" s="5">
        <v>1</v>
      </c>
      <c r="BG852" s="5">
        <v>1</v>
      </c>
      <c r="BH852" s="5">
        <v>1</v>
      </c>
      <c r="BI852" s="5">
        <v>1</v>
      </c>
      <c r="BJ852" s="5">
        <v>1</v>
      </c>
      <c r="BK852" s="90">
        <v>1</v>
      </c>
      <c r="BL852" s="90">
        <v>1</v>
      </c>
      <c r="BM852" s="90">
        <v>1</v>
      </c>
      <c r="BN852" s="90">
        <v>1</v>
      </c>
      <c r="BO852" s="90">
        <v>1</v>
      </c>
      <c r="BP852" s="90">
        <v>0.999</v>
      </c>
      <c r="BQ852" s="90">
        <v>1</v>
      </c>
      <c r="BR852" s="90">
        <v>1</v>
      </c>
      <c r="BS852" s="5" t="s">
        <v>4857</v>
      </c>
    </row>
    <row r="853" spans="1:71" s="30" customFormat="1" ht="17.100000000000001" customHeight="1">
      <c r="A853" s="14">
        <v>842</v>
      </c>
      <c r="B853" s="5" t="s">
        <v>1647</v>
      </c>
      <c r="C853" s="3" t="s">
        <v>1803</v>
      </c>
      <c r="D853" s="3" t="s">
        <v>1639</v>
      </c>
      <c r="E853" s="3" t="s">
        <v>1640</v>
      </c>
      <c r="F853" s="5" t="s">
        <v>5039</v>
      </c>
      <c r="G853" s="3" t="s">
        <v>1641</v>
      </c>
      <c r="H853" s="6" t="s">
        <v>1642</v>
      </c>
      <c r="I853" s="3" t="s">
        <v>1643</v>
      </c>
      <c r="J853" s="5" t="s">
        <v>4834</v>
      </c>
      <c r="K853" s="3" t="s">
        <v>5853</v>
      </c>
      <c r="L853" s="3" t="s">
        <v>1648</v>
      </c>
      <c r="M853" s="5">
        <v>3</v>
      </c>
      <c r="N853" s="21">
        <v>959.44929999999999</v>
      </c>
      <c r="O853" s="35" t="s">
        <v>4854</v>
      </c>
      <c r="P853" s="35" t="s">
        <v>4854</v>
      </c>
      <c r="Q853" s="35" t="s">
        <v>4854</v>
      </c>
      <c r="R853" s="35" t="s">
        <v>4854</v>
      </c>
      <c r="S853" s="35" t="s">
        <v>4854</v>
      </c>
      <c r="T853" s="35" t="s">
        <v>4854</v>
      </c>
      <c r="U853" s="36" t="str">
        <f>HYPERLINK("http://ms.phosphosite.org:5080/cgi-bin/plot-msms.cgi?MassType=1&amp;NumAxis=1&amp;Mod3=147&amp;Mod15=170&amp;Pep=GEMDTFPTFKFDDPKFEVIDKPQS&amp;Dta=/var/www/html/dta/S01/10564.12514.3.dta&amp;Global_Mod=CS57.0215", "12514")</f>
        <v>12514</v>
      </c>
      <c r="V853" s="36" t="str">
        <f>HYPERLINK("http://ms.phosphosite.org:5080/cgi-bin/plot-msms.cgi?MassType=1&amp;NumAxis=1&amp;Mod3=147&amp;Mod15=170&amp;Pep=GEMDTFPTFKFDDPKFEVIDKPQS&amp;Dta=/var/www/html/dta/S01/10565.12473.3.dta&amp;Global_Mod=CS57.0215", "12473")</f>
        <v>12473</v>
      </c>
      <c r="W853" s="3" t="s">
        <v>4854</v>
      </c>
      <c r="X853" s="3" t="s">
        <v>4854</v>
      </c>
      <c r="Y853" s="3" t="s">
        <v>4854</v>
      </c>
      <c r="Z853" s="3" t="s">
        <v>4854</v>
      </c>
      <c r="AA853" s="3" t="s">
        <v>4854</v>
      </c>
      <c r="AB853" s="3" t="s">
        <v>4854</v>
      </c>
      <c r="AC853" s="5">
        <v>12516</v>
      </c>
      <c r="AD853" s="5">
        <v>12470</v>
      </c>
      <c r="AE853" s="99" t="s">
        <v>4854</v>
      </c>
      <c r="AF853" s="99" t="s">
        <v>4854</v>
      </c>
      <c r="AG853" s="99" t="s">
        <v>4854</v>
      </c>
      <c r="AH853" s="99" t="s">
        <v>4854</v>
      </c>
      <c r="AI853" s="99" t="s">
        <v>4854</v>
      </c>
      <c r="AJ853" s="99" t="s">
        <v>4854</v>
      </c>
      <c r="AK853" s="90">
        <v>4.6040000000000001</v>
      </c>
      <c r="AL853" s="90">
        <v>4.6539999999999999</v>
      </c>
      <c r="AM853" s="102" t="s">
        <v>4854</v>
      </c>
      <c r="AN853" s="102" t="s">
        <v>4854</v>
      </c>
      <c r="AO853" s="102" t="s">
        <v>4854</v>
      </c>
      <c r="AP853" s="102" t="s">
        <v>4854</v>
      </c>
      <c r="AQ853" s="102" t="s">
        <v>4854</v>
      </c>
      <c r="AR853" s="102" t="s">
        <v>4854</v>
      </c>
      <c r="AS853" s="21">
        <v>1.4893000000000001</v>
      </c>
      <c r="AT853" s="21">
        <v>0.36499999999999999</v>
      </c>
      <c r="AU853" s="102" t="s">
        <v>4854</v>
      </c>
      <c r="AV853" s="102" t="s">
        <v>4854</v>
      </c>
      <c r="AW853" s="102" t="s">
        <v>4854</v>
      </c>
      <c r="AX853" s="102" t="s">
        <v>4854</v>
      </c>
      <c r="AY853" s="102" t="s">
        <v>4854</v>
      </c>
      <c r="AZ853" s="102" t="s">
        <v>4854</v>
      </c>
      <c r="BA853" s="21">
        <v>0.39900000000000002</v>
      </c>
      <c r="BB853" s="21">
        <v>0.373</v>
      </c>
      <c r="BC853" s="3" t="s">
        <v>4854</v>
      </c>
      <c r="BD853" s="3" t="s">
        <v>4854</v>
      </c>
      <c r="BE853" s="3" t="s">
        <v>4854</v>
      </c>
      <c r="BF853" s="3" t="s">
        <v>4854</v>
      </c>
      <c r="BG853" s="3" t="s">
        <v>4854</v>
      </c>
      <c r="BH853" s="3" t="s">
        <v>4854</v>
      </c>
      <c r="BI853" s="5">
        <v>1</v>
      </c>
      <c r="BJ853" s="5">
        <v>1</v>
      </c>
      <c r="BK853" s="99" t="s">
        <v>4854</v>
      </c>
      <c r="BL853" s="99" t="s">
        <v>4854</v>
      </c>
      <c r="BM853" s="99" t="s">
        <v>4854</v>
      </c>
      <c r="BN853" s="99" t="s">
        <v>4854</v>
      </c>
      <c r="BO853" s="99" t="s">
        <v>4854</v>
      </c>
      <c r="BP853" s="99" t="s">
        <v>4854</v>
      </c>
      <c r="BQ853" s="90">
        <v>1</v>
      </c>
      <c r="BR853" s="90">
        <v>1</v>
      </c>
      <c r="BS853" s="5" t="s">
        <v>4857</v>
      </c>
    </row>
    <row r="854" spans="1:71" s="30" customFormat="1" ht="17.100000000000001" customHeight="1">
      <c r="A854" s="14">
        <v>843</v>
      </c>
      <c r="B854" s="5" t="s">
        <v>1649</v>
      </c>
      <c r="C854" s="3" t="s">
        <v>1803</v>
      </c>
      <c r="D854" s="3" t="s">
        <v>1639</v>
      </c>
      <c r="E854" s="3" t="s">
        <v>1640</v>
      </c>
      <c r="F854" s="5" t="s">
        <v>5039</v>
      </c>
      <c r="G854" s="3" t="s">
        <v>1641</v>
      </c>
      <c r="H854" s="6" t="s">
        <v>1642</v>
      </c>
      <c r="I854" s="3" t="s">
        <v>1643</v>
      </c>
      <c r="J854" s="5" t="s">
        <v>4834</v>
      </c>
      <c r="K854" s="3" t="s">
        <v>5853</v>
      </c>
      <c r="L854" s="3" t="s">
        <v>1648</v>
      </c>
      <c r="M854" s="5">
        <v>3</v>
      </c>
      <c r="N854" s="21">
        <v>959.44929999999999</v>
      </c>
      <c r="O854" s="35" t="s">
        <v>4854</v>
      </c>
      <c r="P854" s="35" t="s">
        <v>4854</v>
      </c>
      <c r="Q854" s="35" t="s">
        <v>4854</v>
      </c>
      <c r="R854" s="35" t="s">
        <v>4854</v>
      </c>
      <c r="S854" s="35" t="s">
        <v>4854</v>
      </c>
      <c r="T854" s="35" t="s">
        <v>4854</v>
      </c>
      <c r="U854" s="36" t="str">
        <f>HYPERLINK("http://ms.phosphosite.org:5080/cgi-bin/plot-msms.cgi?MassType=1&amp;NumAxis=1&amp;Mod3=147&amp;Mod15=170&amp;Pep=GEMDTFPTFKFDDPKFEVIDKPQS&amp;Dta=/var/www/html/dta/S01/10564.12525.3.dta&amp;Global_Mod=CS57.0215", "12525")</f>
        <v>12525</v>
      </c>
      <c r="V854" s="35" t="s">
        <v>4854</v>
      </c>
      <c r="W854" s="3" t="s">
        <v>4854</v>
      </c>
      <c r="X854" s="3" t="s">
        <v>4854</v>
      </c>
      <c r="Y854" s="3" t="s">
        <v>4854</v>
      </c>
      <c r="Z854" s="3" t="s">
        <v>4854</v>
      </c>
      <c r="AA854" s="3" t="s">
        <v>4854</v>
      </c>
      <c r="AB854" s="3" t="s">
        <v>4854</v>
      </c>
      <c r="AC854" s="5">
        <v>12516</v>
      </c>
      <c r="AD854" s="3" t="s">
        <v>4854</v>
      </c>
      <c r="AE854" s="99" t="s">
        <v>4854</v>
      </c>
      <c r="AF854" s="99" t="s">
        <v>4854</v>
      </c>
      <c r="AG854" s="99" t="s">
        <v>4854</v>
      </c>
      <c r="AH854" s="99" t="s">
        <v>4854</v>
      </c>
      <c r="AI854" s="99" t="s">
        <v>4854</v>
      </c>
      <c r="AJ854" s="99" t="s">
        <v>4854</v>
      </c>
      <c r="AK854" s="90">
        <v>2.8170000000000002</v>
      </c>
      <c r="AL854" s="99" t="s">
        <v>4854</v>
      </c>
      <c r="AM854" s="102" t="s">
        <v>4854</v>
      </c>
      <c r="AN854" s="102" t="s">
        <v>4854</v>
      </c>
      <c r="AO854" s="102" t="s">
        <v>4854</v>
      </c>
      <c r="AP854" s="102" t="s">
        <v>4854</v>
      </c>
      <c r="AQ854" s="102" t="s">
        <v>4854</v>
      </c>
      <c r="AR854" s="102" t="s">
        <v>4854</v>
      </c>
      <c r="AS854" s="21">
        <v>1.4893000000000001</v>
      </c>
      <c r="AT854" s="102" t="s">
        <v>4854</v>
      </c>
      <c r="AU854" s="102" t="s">
        <v>4854</v>
      </c>
      <c r="AV854" s="102" t="s">
        <v>4854</v>
      </c>
      <c r="AW854" s="102" t="s">
        <v>4854</v>
      </c>
      <c r="AX854" s="102" t="s">
        <v>4854</v>
      </c>
      <c r="AY854" s="102" t="s">
        <v>4854</v>
      </c>
      <c r="AZ854" s="102" t="s">
        <v>4854</v>
      </c>
      <c r="BA854" s="21">
        <v>0.19800000000000001</v>
      </c>
      <c r="BB854" s="102" t="s">
        <v>4854</v>
      </c>
      <c r="BC854" s="3" t="s">
        <v>4854</v>
      </c>
      <c r="BD854" s="3" t="s">
        <v>4854</v>
      </c>
      <c r="BE854" s="3" t="s">
        <v>4854</v>
      </c>
      <c r="BF854" s="3" t="s">
        <v>4854</v>
      </c>
      <c r="BG854" s="3" t="s">
        <v>4854</v>
      </c>
      <c r="BH854" s="3" t="s">
        <v>4854</v>
      </c>
      <c r="BI854" s="5">
        <v>8</v>
      </c>
      <c r="BJ854" s="3" t="s">
        <v>4854</v>
      </c>
      <c r="BK854" s="99" t="s">
        <v>4854</v>
      </c>
      <c r="BL854" s="99" t="s">
        <v>4854</v>
      </c>
      <c r="BM854" s="99" t="s">
        <v>4854</v>
      </c>
      <c r="BN854" s="99" t="s">
        <v>4854</v>
      </c>
      <c r="BO854" s="99" t="s">
        <v>4854</v>
      </c>
      <c r="BP854" s="99" t="s">
        <v>4854</v>
      </c>
      <c r="BQ854" s="90">
        <v>0.99399999999999999</v>
      </c>
      <c r="BR854" s="99" t="s">
        <v>4854</v>
      </c>
      <c r="BS854" s="5" t="s">
        <v>4857</v>
      </c>
    </row>
    <row r="855" spans="1:71" s="30" customFormat="1" ht="17.100000000000001" customHeight="1">
      <c r="A855" s="14">
        <v>844</v>
      </c>
      <c r="B855" s="5" t="s">
        <v>1650</v>
      </c>
      <c r="C855" s="3" t="s">
        <v>1803</v>
      </c>
      <c r="D855" s="3" t="s">
        <v>1639</v>
      </c>
      <c r="E855" s="3" t="s">
        <v>1640</v>
      </c>
      <c r="F855" s="5" t="s">
        <v>5039</v>
      </c>
      <c r="G855" s="3" t="s">
        <v>1641</v>
      </c>
      <c r="H855" s="6" t="s">
        <v>1642</v>
      </c>
      <c r="I855" s="3" t="s">
        <v>1643</v>
      </c>
      <c r="J855" s="5" t="s">
        <v>4834</v>
      </c>
      <c r="K855" s="3" t="s">
        <v>5853</v>
      </c>
      <c r="L855" s="3" t="s">
        <v>1651</v>
      </c>
      <c r="M855" s="5">
        <v>4</v>
      </c>
      <c r="N855" s="21">
        <v>875.65729999999996</v>
      </c>
      <c r="O855" s="35" t="s">
        <v>4854</v>
      </c>
      <c r="P855" s="35" t="s">
        <v>4854</v>
      </c>
      <c r="Q855" s="35" t="s">
        <v>4854</v>
      </c>
      <c r="R855" s="36" t="str">
        <f>HYPERLINK("http://ms.phosphosite.org:5080/cgi-bin/plot-msms.cgi?MassType=1&amp;NumAxis=1&amp;Mod2=147&amp;Mod8=147&amp;Mod20=170&amp;Pep=QMYGKGEMDTFPTFKFDDPKFEVIDKPQS&amp;Dta=/var/www/html/dta/S01/10561.10796.4.dta&amp;Global_Mod=CS57.0215", "10796")</f>
        <v>10796</v>
      </c>
      <c r="S855" s="35" t="s">
        <v>4854</v>
      </c>
      <c r="T855" s="35" t="s">
        <v>4854</v>
      </c>
      <c r="U855" s="35" t="s">
        <v>4854</v>
      </c>
      <c r="V855" s="35" t="s">
        <v>4854</v>
      </c>
      <c r="W855" s="3" t="s">
        <v>4854</v>
      </c>
      <c r="X855" s="3" t="s">
        <v>4854</v>
      </c>
      <c r="Y855" s="3" t="s">
        <v>4854</v>
      </c>
      <c r="Z855" s="5">
        <v>10352</v>
      </c>
      <c r="AA855" s="3" t="s">
        <v>4854</v>
      </c>
      <c r="AB855" s="3" t="s">
        <v>4854</v>
      </c>
      <c r="AC855" s="3" t="s">
        <v>4854</v>
      </c>
      <c r="AD855" s="3" t="s">
        <v>4854</v>
      </c>
      <c r="AE855" s="99" t="s">
        <v>4854</v>
      </c>
      <c r="AF855" s="99" t="s">
        <v>4854</v>
      </c>
      <c r="AG855" s="99" t="s">
        <v>4854</v>
      </c>
      <c r="AH855" s="90">
        <v>3.4289999999999998</v>
      </c>
      <c r="AI855" s="99" t="s">
        <v>4854</v>
      </c>
      <c r="AJ855" s="99" t="s">
        <v>4854</v>
      </c>
      <c r="AK855" s="99" t="s">
        <v>4854</v>
      </c>
      <c r="AL855" s="99" t="s">
        <v>4854</v>
      </c>
      <c r="AM855" s="102" t="s">
        <v>4854</v>
      </c>
      <c r="AN855" s="102" t="s">
        <v>4854</v>
      </c>
      <c r="AO855" s="102" t="s">
        <v>4854</v>
      </c>
      <c r="AP855" s="21">
        <v>0.86629999999999996</v>
      </c>
      <c r="AQ855" s="102" t="s">
        <v>4854</v>
      </c>
      <c r="AR855" s="102" t="s">
        <v>4854</v>
      </c>
      <c r="AS855" s="102" t="s">
        <v>4854</v>
      </c>
      <c r="AT855" s="102" t="s">
        <v>4854</v>
      </c>
      <c r="AU855" s="102" t="s">
        <v>4854</v>
      </c>
      <c r="AV855" s="102" t="s">
        <v>4854</v>
      </c>
      <c r="AW855" s="102" t="s">
        <v>4854</v>
      </c>
      <c r="AX855" s="21">
        <v>0.185</v>
      </c>
      <c r="AY855" s="102" t="s">
        <v>4854</v>
      </c>
      <c r="AZ855" s="102" t="s">
        <v>4854</v>
      </c>
      <c r="BA855" s="102" t="s">
        <v>4854</v>
      </c>
      <c r="BB855" s="102" t="s">
        <v>4854</v>
      </c>
      <c r="BC855" s="3" t="s">
        <v>4854</v>
      </c>
      <c r="BD855" s="3" t="s">
        <v>4854</v>
      </c>
      <c r="BE855" s="3" t="s">
        <v>4854</v>
      </c>
      <c r="BF855" s="5">
        <v>22</v>
      </c>
      <c r="BG855" s="3" t="s">
        <v>4854</v>
      </c>
      <c r="BH855" s="3" t="s">
        <v>4854</v>
      </c>
      <c r="BI855" s="3" t="s">
        <v>4854</v>
      </c>
      <c r="BJ855" s="3" t="s">
        <v>4854</v>
      </c>
      <c r="BK855" s="99" t="s">
        <v>4854</v>
      </c>
      <c r="BL855" s="99" t="s">
        <v>4854</v>
      </c>
      <c r="BM855" s="99" t="s">
        <v>4854</v>
      </c>
      <c r="BN855" s="90">
        <v>0.96399999999999997</v>
      </c>
      <c r="BO855" s="99" t="s">
        <v>4854</v>
      </c>
      <c r="BP855" s="99" t="s">
        <v>4854</v>
      </c>
      <c r="BQ855" s="99" t="s">
        <v>4854</v>
      </c>
      <c r="BR855" s="99" t="s">
        <v>4854</v>
      </c>
      <c r="BS855" s="5" t="s">
        <v>4857</v>
      </c>
    </row>
    <row r="856" spans="1:71" s="30" customFormat="1" ht="17.100000000000001" customHeight="1">
      <c r="A856" s="10">
        <v>845</v>
      </c>
      <c r="B856" s="10" t="s">
        <v>1652</v>
      </c>
      <c r="C856" s="4" t="s">
        <v>1803</v>
      </c>
      <c r="D856" s="4" t="s">
        <v>1653</v>
      </c>
      <c r="E856" s="4" t="s">
        <v>1654</v>
      </c>
      <c r="F856" s="10" t="s">
        <v>4692</v>
      </c>
      <c r="G856" s="4" t="s">
        <v>1655</v>
      </c>
      <c r="H856" s="7" t="s">
        <v>1656</v>
      </c>
      <c r="I856" s="4" t="s">
        <v>1657</v>
      </c>
      <c r="J856" s="10" t="s">
        <v>4865</v>
      </c>
      <c r="K856" s="4" t="s">
        <v>5854</v>
      </c>
      <c r="L856" s="4" t="s">
        <v>1658</v>
      </c>
      <c r="M856" s="10">
        <v>2</v>
      </c>
      <c r="N856" s="95">
        <v>484.7636</v>
      </c>
      <c r="O856" s="38" t="s">
        <v>4854</v>
      </c>
      <c r="P856" s="37" t="str">
        <f>HYPERLINK("http://ms.phosphosite.org:5080/cgi-bin/plot-msms.cgi?MassType=1&amp;NumAxis=1&amp;Mod5=170&amp;Pep=YSYLKPR&amp;Dta=/var/www/html/dta/S01/10559.4555.2.dta&amp;Global_Mod=CS57.0215", "4555")</f>
        <v>4555</v>
      </c>
      <c r="Q856" s="38" t="s">
        <v>4854</v>
      </c>
      <c r="R856" s="37" t="str">
        <f>HYPERLINK("http://ms.phosphosite.org:5080/cgi-bin/plot-msms.cgi?MassType=1&amp;NumAxis=1&amp;Mod5=170&amp;Pep=YSYLKPR&amp;Dta=/var/www/html/dta/S01/10561.4566.2.dta&amp;Global_Mod=CS57.0215", "4566")</f>
        <v>4566</v>
      </c>
      <c r="S856" s="37" t="str">
        <f>HYPERLINK("http://ms.phosphosite.org:5080/cgi-bin/plot-msms.cgi?MassType=1&amp;NumAxis=1&amp;Mod5=170&amp;Pep=YSYLKPR&amp;Dta=/var/www/html/dta/S01/10562.4678.2.dta&amp;Global_Mod=CS57.0215", "4678")</f>
        <v>4678</v>
      </c>
      <c r="T856" s="38" t="s">
        <v>4854</v>
      </c>
      <c r="U856" s="37" t="str">
        <f>HYPERLINK("http://ms.phosphosite.org:5080/cgi-bin/plot-msms.cgi?MassType=1&amp;NumAxis=1&amp;Mod5=170&amp;Pep=YSYLKPR&amp;Dta=/var/www/html/dta/S01/10564.4952.2.dta&amp;Global_Mod=CS57.0215", "4952")</f>
        <v>4952</v>
      </c>
      <c r="V856" s="38" t="s">
        <v>4854</v>
      </c>
      <c r="W856" s="4" t="s">
        <v>4854</v>
      </c>
      <c r="X856" s="10">
        <v>4536</v>
      </c>
      <c r="Y856" s="4" t="s">
        <v>4854</v>
      </c>
      <c r="Z856" s="10">
        <v>4578</v>
      </c>
      <c r="AA856" s="10">
        <v>4669</v>
      </c>
      <c r="AB856" s="4" t="s">
        <v>4854</v>
      </c>
      <c r="AC856" s="10">
        <v>4967</v>
      </c>
      <c r="AD856" s="4" t="s">
        <v>4854</v>
      </c>
      <c r="AE856" s="100" t="s">
        <v>4854</v>
      </c>
      <c r="AF856" s="91">
        <v>1.9419999999999999</v>
      </c>
      <c r="AG856" s="100" t="s">
        <v>4854</v>
      </c>
      <c r="AH856" s="91">
        <v>1.762</v>
      </c>
      <c r="AI856" s="91">
        <v>1.915</v>
      </c>
      <c r="AJ856" s="100" t="s">
        <v>4854</v>
      </c>
      <c r="AK856" s="91">
        <v>1.7250000000000001</v>
      </c>
      <c r="AL856" s="100" t="s">
        <v>4854</v>
      </c>
      <c r="AM856" s="103" t="s">
        <v>4854</v>
      </c>
      <c r="AN856" s="95">
        <v>0.49330000000000002</v>
      </c>
      <c r="AO856" s="103" t="s">
        <v>4854</v>
      </c>
      <c r="AP856" s="95">
        <v>0.39419999999999999</v>
      </c>
      <c r="AQ856" s="95">
        <v>0.29609999999999997</v>
      </c>
      <c r="AR856" s="103" t="s">
        <v>4854</v>
      </c>
      <c r="AS856" s="95">
        <v>7.9299999999999995E-2</v>
      </c>
      <c r="AT856" s="103" t="s">
        <v>4854</v>
      </c>
      <c r="AU856" s="103" t="s">
        <v>4854</v>
      </c>
      <c r="AV856" s="95">
        <v>3.0000000000000001E-3</v>
      </c>
      <c r="AW856" s="103" t="s">
        <v>4854</v>
      </c>
      <c r="AX856" s="95">
        <v>8.7999999999999995E-2</v>
      </c>
      <c r="AY856" s="95">
        <v>7.4999999999999997E-2</v>
      </c>
      <c r="AZ856" s="103" t="s">
        <v>4854</v>
      </c>
      <c r="BA856" s="95">
        <v>3.5999999999999997E-2</v>
      </c>
      <c r="BB856" s="103" t="s">
        <v>4854</v>
      </c>
      <c r="BC856" s="4" t="s">
        <v>4854</v>
      </c>
      <c r="BD856" s="10">
        <v>4</v>
      </c>
      <c r="BE856" s="4" t="s">
        <v>4854</v>
      </c>
      <c r="BF856" s="10">
        <v>1</v>
      </c>
      <c r="BG856" s="10">
        <v>1</v>
      </c>
      <c r="BH856" s="4" t="s">
        <v>4854</v>
      </c>
      <c r="BI856" s="10">
        <v>7</v>
      </c>
      <c r="BJ856" s="4" t="s">
        <v>4854</v>
      </c>
      <c r="BK856" s="100" t="s">
        <v>4854</v>
      </c>
      <c r="BL856" s="91">
        <v>0.98699999999999999</v>
      </c>
      <c r="BM856" s="100" t="s">
        <v>4854</v>
      </c>
      <c r="BN856" s="91">
        <v>0.995</v>
      </c>
      <c r="BO856" s="91">
        <v>0.996</v>
      </c>
      <c r="BP856" s="100" t="s">
        <v>4854</v>
      </c>
      <c r="BQ856" s="91">
        <v>0.98</v>
      </c>
      <c r="BR856" s="100" t="s">
        <v>4854</v>
      </c>
      <c r="BS856" s="10" t="s">
        <v>4857</v>
      </c>
    </row>
    <row r="857" spans="1:71" s="30" customFormat="1" ht="17.100000000000001" customHeight="1">
      <c r="A857" s="14">
        <v>846</v>
      </c>
      <c r="B857" s="5" t="s">
        <v>1659</v>
      </c>
      <c r="C857" s="3" t="s">
        <v>1803</v>
      </c>
      <c r="D857" s="3" t="s">
        <v>1660</v>
      </c>
      <c r="E857" s="3" t="s">
        <v>1661</v>
      </c>
      <c r="F857" s="5" t="s">
        <v>5280</v>
      </c>
      <c r="G857" s="3" t="s">
        <v>1662</v>
      </c>
      <c r="H857" s="6" t="s">
        <v>1663</v>
      </c>
      <c r="I857" s="3" t="s">
        <v>1664</v>
      </c>
      <c r="J857" s="5" t="s">
        <v>4780</v>
      </c>
      <c r="K857" s="3" t="s">
        <v>5855</v>
      </c>
      <c r="L857" s="3" t="s">
        <v>1665</v>
      </c>
      <c r="M857" s="5">
        <v>2</v>
      </c>
      <c r="N857" s="21">
        <v>836.48760000000004</v>
      </c>
      <c r="O857" s="35" t="s">
        <v>4854</v>
      </c>
      <c r="P857" s="36" t="str">
        <f>HYPERLINK("http://ms.phosphosite.org:5080/cgi-bin/plot-msms.cgi?MassType=1&amp;NumAxis=1&amp;Mod10=170&amp;Pep=SFLSPNQILKLEIK&amp;Dta=/var/www/html/dta/S01/10559.12679.2.dta&amp;Global_Mod=CS57.0215", "12679")</f>
        <v>12679</v>
      </c>
      <c r="Q857" s="35" t="s">
        <v>4854</v>
      </c>
      <c r="R857" s="35" t="s">
        <v>4854</v>
      </c>
      <c r="S857" s="35" t="s">
        <v>4854</v>
      </c>
      <c r="T857" s="35" t="s">
        <v>4854</v>
      </c>
      <c r="U857" s="36" t="str">
        <f>HYPERLINK("http://ms.phosphosite.org:5080/cgi-bin/plot-msms.cgi?MassType=1&amp;NumAxis=1&amp;Mod10=170&amp;Pep=SFLSPNQILKLEIK&amp;Dta=/var/www/html/dta/S01/10564.13464.2.dta&amp;Global_Mod=CS57.0215", "13464")</f>
        <v>13464</v>
      </c>
      <c r="V857" s="36" t="str">
        <f>HYPERLINK("http://ms.phosphosite.org:5080/cgi-bin/plot-msms.cgi?MassType=1&amp;NumAxis=1&amp;Mod10=170&amp;Pep=SFLSPNQILKLEIK&amp;Dta=/var/www/html/dta/S01/10565.13397.2.dta&amp;Global_Mod=CS57.0215", "13397")</f>
        <v>13397</v>
      </c>
      <c r="W857" s="3" t="s">
        <v>4854</v>
      </c>
      <c r="X857" s="5">
        <v>12681</v>
      </c>
      <c r="Y857" s="3" t="s">
        <v>4854</v>
      </c>
      <c r="Z857" s="3" t="s">
        <v>4854</v>
      </c>
      <c r="AA857" s="3" t="s">
        <v>4854</v>
      </c>
      <c r="AB857" s="3" t="s">
        <v>4854</v>
      </c>
      <c r="AC857" s="5">
        <v>13451</v>
      </c>
      <c r="AD857" s="5">
        <v>13383</v>
      </c>
      <c r="AE857" s="99" t="s">
        <v>4854</v>
      </c>
      <c r="AF857" s="90">
        <v>2.827</v>
      </c>
      <c r="AG857" s="99" t="s">
        <v>4854</v>
      </c>
      <c r="AH857" s="99" t="s">
        <v>4854</v>
      </c>
      <c r="AI857" s="99" t="s">
        <v>4854</v>
      </c>
      <c r="AJ857" s="99" t="s">
        <v>4854</v>
      </c>
      <c r="AK857" s="90">
        <v>4.0069999999999997</v>
      </c>
      <c r="AL857" s="90">
        <v>2.6930000000000001</v>
      </c>
      <c r="AM857" s="102" t="s">
        <v>4854</v>
      </c>
      <c r="AN857" s="21">
        <v>1.2706999999999999</v>
      </c>
      <c r="AO857" s="102" t="s">
        <v>4854</v>
      </c>
      <c r="AP857" s="102" t="s">
        <v>4854</v>
      </c>
      <c r="AQ857" s="102" t="s">
        <v>4854</v>
      </c>
      <c r="AR857" s="102" t="s">
        <v>4854</v>
      </c>
      <c r="AS857" s="21">
        <v>0.98419999999999996</v>
      </c>
      <c r="AT857" s="21">
        <v>1.2982</v>
      </c>
      <c r="AU857" s="102" t="s">
        <v>4854</v>
      </c>
      <c r="AV857" s="21">
        <v>0.27700000000000002</v>
      </c>
      <c r="AW857" s="102" t="s">
        <v>4854</v>
      </c>
      <c r="AX857" s="102" t="s">
        <v>4854</v>
      </c>
      <c r="AY857" s="102" t="s">
        <v>4854</v>
      </c>
      <c r="AZ857" s="102" t="s">
        <v>4854</v>
      </c>
      <c r="BA857" s="21">
        <v>0.41899999999999998</v>
      </c>
      <c r="BB857" s="21">
        <v>0.20300000000000001</v>
      </c>
      <c r="BC857" s="3" t="s">
        <v>4854</v>
      </c>
      <c r="BD857" s="5">
        <v>1</v>
      </c>
      <c r="BE857" s="3" t="s">
        <v>4854</v>
      </c>
      <c r="BF857" s="3" t="s">
        <v>4854</v>
      </c>
      <c r="BG857" s="3" t="s">
        <v>4854</v>
      </c>
      <c r="BH857" s="3" t="s">
        <v>4854</v>
      </c>
      <c r="BI857" s="5">
        <v>1</v>
      </c>
      <c r="BJ857" s="5">
        <v>1</v>
      </c>
      <c r="BK857" s="99" t="s">
        <v>4854</v>
      </c>
      <c r="BL857" s="90">
        <v>0.999</v>
      </c>
      <c r="BM857" s="99" t="s">
        <v>4854</v>
      </c>
      <c r="BN857" s="99" t="s">
        <v>4854</v>
      </c>
      <c r="BO857" s="99" t="s">
        <v>4854</v>
      </c>
      <c r="BP857" s="99" t="s">
        <v>4854</v>
      </c>
      <c r="BQ857" s="90">
        <v>1</v>
      </c>
      <c r="BR857" s="90">
        <v>0.998</v>
      </c>
      <c r="BS857" s="5" t="s">
        <v>4857</v>
      </c>
    </row>
    <row r="858" spans="1:71" s="30" customFormat="1" ht="17.100000000000001" customHeight="1">
      <c r="A858" s="14">
        <v>847</v>
      </c>
      <c r="B858" s="5" t="s">
        <v>1666</v>
      </c>
      <c r="C858" s="3" t="s">
        <v>1803</v>
      </c>
      <c r="D858" s="3" t="s">
        <v>1660</v>
      </c>
      <c r="E858" s="3" t="s">
        <v>1661</v>
      </c>
      <c r="F858" s="5" t="s">
        <v>5280</v>
      </c>
      <c r="G858" s="3" t="s">
        <v>1662</v>
      </c>
      <c r="H858" s="6" t="s">
        <v>1663</v>
      </c>
      <c r="I858" s="3" t="s">
        <v>1664</v>
      </c>
      <c r="J858" s="5" t="s">
        <v>4780</v>
      </c>
      <c r="K858" s="3" t="s">
        <v>5855</v>
      </c>
      <c r="L858" s="3" t="s">
        <v>1665</v>
      </c>
      <c r="M858" s="5">
        <v>3</v>
      </c>
      <c r="N858" s="21">
        <v>557.99419999999998</v>
      </c>
      <c r="O858" s="36" t="str">
        <f>HYPERLINK("http://ms.phosphosite.org:5080/cgi-bin/plot-msms.cgi?MassType=1&amp;NumAxis=1&amp;Mod10=170&amp;Pep=SFLSPNQILKLEIK&amp;Dta=/var/www/html/dta/S01/10558.12675.3.dta&amp;Global_Mod=CS57.0215", "12675")</f>
        <v>12675</v>
      </c>
      <c r="P858" s="36" t="str">
        <f>HYPERLINK("http://ms.phosphosite.org:5080/cgi-bin/plot-msms.cgi?MassType=1&amp;NumAxis=1&amp;Mod10=170&amp;Pep=SFLSPNQILKLEIK&amp;Dta=/var/www/html/dta/S01/10559.12682.3.dta&amp;Global_Mod=CS57.0215", "12682")</f>
        <v>12682</v>
      </c>
      <c r="Q858" s="36" t="str">
        <f>HYPERLINK("http://ms.phosphosite.org:5080/cgi-bin/plot-msms.cgi?MassType=1&amp;NumAxis=1&amp;Mod10=170&amp;Pep=SFLSPNQILKLEIK&amp;Dta=/var/www/html/dta/S01/10560.12742.3.dta&amp;Global_Mod=CS57.0215", "12742")</f>
        <v>12742</v>
      </c>
      <c r="R858" s="36" t="str">
        <f>HYPERLINK("http://ms.phosphosite.org:5080/cgi-bin/plot-msms.cgi?MassType=1&amp;NumAxis=1&amp;Mod10=170&amp;Pep=SFLSPNQILKLEIK&amp;Dta=/var/www/html/dta/S01/10561.12772.3.dta&amp;Global_Mod=CS57.0215", "12772")</f>
        <v>12772</v>
      </c>
      <c r="S858" s="35" t="s">
        <v>4854</v>
      </c>
      <c r="T858" s="36" t="str">
        <f>HYPERLINK("http://ms.phosphosite.org:5080/cgi-bin/plot-msms.cgi?MassType=1&amp;NumAxis=1&amp;Mod10=170&amp;Pep=SFLSPNQILKLEIK&amp;Dta=/var/www/html/dta/S01/10563.12868.3.dta&amp;Global_Mod=CS57.0215", "12868")</f>
        <v>12868</v>
      </c>
      <c r="U858" s="36" t="str">
        <f>HYPERLINK("http://ms.phosphosite.org:5080/cgi-bin/plot-msms.cgi?MassType=1&amp;NumAxis=1&amp;Mod10=170&amp;Pep=SFLSPNQILKLEIK&amp;Dta=/var/www/html/dta/S01/10564.13453.3.dta&amp;Global_Mod=CS57.0215", "13453")</f>
        <v>13453</v>
      </c>
      <c r="V858" s="35" t="s">
        <v>4854</v>
      </c>
      <c r="W858" s="5">
        <v>12681</v>
      </c>
      <c r="X858" s="5">
        <v>12703</v>
      </c>
      <c r="Y858" s="5">
        <v>12748</v>
      </c>
      <c r="Z858" s="5">
        <v>12776</v>
      </c>
      <c r="AA858" s="3" t="s">
        <v>4854</v>
      </c>
      <c r="AB858" s="5">
        <v>12873</v>
      </c>
      <c r="AC858" s="5">
        <v>13451</v>
      </c>
      <c r="AD858" s="3" t="s">
        <v>4854</v>
      </c>
      <c r="AE858" s="90">
        <v>4.2930000000000001</v>
      </c>
      <c r="AF858" s="90">
        <v>4.4989999999999997</v>
      </c>
      <c r="AG858" s="90">
        <v>4.5739999999999998</v>
      </c>
      <c r="AH858" s="90">
        <v>4.702</v>
      </c>
      <c r="AI858" s="99" t="s">
        <v>4854</v>
      </c>
      <c r="AJ858" s="90">
        <v>4.375</v>
      </c>
      <c r="AK858" s="90">
        <v>3.3969999999999998</v>
      </c>
      <c r="AL858" s="99" t="s">
        <v>4854</v>
      </c>
      <c r="AM858" s="21">
        <v>0.42620000000000002</v>
      </c>
      <c r="AN858" s="21">
        <v>0.60919999999999996</v>
      </c>
      <c r="AO858" s="21">
        <v>0.32450000000000001</v>
      </c>
      <c r="AP858" s="21">
        <v>0.51649999999999996</v>
      </c>
      <c r="AQ858" s="102" t="s">
        <v>4854</v>
      </c>
      <c r="AR858" s="21">
        <v>0.28270000000000001</v>
      </c>
      <c r="AS858" s="21">
        <v>0.13669999999999999</v>
      </c>
      <c r="AT858" s="102" t="s">
        <v>4854</v>
      </c>
      <c r="AU858" s="21">
        <v>0.29699999999999999</v>
      </c>
      <c r="AV858" s="21">
        <v>0.27500000000000002</v>
      </c>
      <c r="AW858" s="21">
        <v>0.313</v>
      </c>
      <c r="AX858" s="21">
        <v>0.26200000000000001</v>
      </c>
      <c r="AY858" s="102" t="s">
        <v>4854</v>
      </c>
      <c r="AZ858" s="21">
        <v>0.38400000000000001</v>
      </c>
      <c r="BA858" s="21">
        <v>0.33800000000000002</v>
      </c>
      <c r="BB858" s="102" t="s">
        <v>4854</v>
      </c>
      <c r="BC858" s="5">
        <v>1</v>
      </c>
      <c r="BD858" s="5">
        <v>2</v>
      </c>
      <c r="BE858" s="5">
        <v>1</v>
      </c>
      <c r="BF858" s="5">
        <v>1</v>
      </c>
      <c r="BG858" s="3" t="s">
        <v>4854</v>
      </c>
      <c r="BH858" s="5">
        <v>1</v>
      </c>
      <c r="BI858" s="5">
        <v>1</v>
      </c>
      <c r="BJ858" s="3" t="s">
        <v>4854</v>
      </c>
      <c r="BK858" s="90">
        <v>1</v>
      </c>
      <c r="BL858" s="90">
        <v>1</v>
      </c>
      <c r="BM858" s="90">
        <v>1</v>
      </c>
      <c r="BN858" s="90">
        <v>1</v>
      </c>
      <c r="BO858" s="99" t="s">
        <v>4854</v>
      </c>
      <c r="BP858" s="90">
        <v>1</v>
      </c>
      <c r="BQ858" s="90">
        <v>1</v>
      </c>
      <c r="BR858" s="99" t="s">
        <v>4854</v>
      </c>
      <c r="BS858" s="5" t="s">
        <v>4857</v>
      </c>
    </row>
    <row r="859" spans="1:71" s="30" customFormat="1" ht="17.100000000000001" customHeight="1">
      <c r="A859" s="10">
        <v>848</v>
      </c>
      <c r="B859" s="10" t="s">
        <v>1667</v>
      </c>
      <c r="C859" s="4" t="s">
        <v>1803</v>
      </c>
      <c r="D859" s="4" t="s">
        <v>1660</v>
      </c>
      <c r="E859" s="4" t="s">
        <v>1661</v>
      </c>
      <c r="F859" s="10" t="s">
        <v>5148</v>
      </c>
      <c r="G859" s="4" t="s">
        <v>1662</v>
      </c>
      <c r="H859" s="7" t="s">
        <v>1663</v>
      </c>
      <c r="I859" s="4" t="s">
        <v>1664</v>
      </c>
      <c r="J859" s="10" t="s">
        <v>4780</v>
      </c>
      <c r="K859" s="4" t="s">
        <v>5856</v>
      </c>
      <c r="L859" s="4" t="s">
        <v>1668</v>
      </c>
      <c r="M859" s="10">
        <v>2</v>
      </c>
      <c r="N859" s="95">
        <v>641.82100000000003</v>
      </c>
      <c r="O859" s="37" t="str">
        <f>HYPERLINK("http://ms.phosphosite.org:5080/cgi-bin/plot-msms.cgi?MassType=1&amp;NumAxis=1&amp;Mod4=170&amp;Pep=IGEKYVDMSAK&amp;Dta=/var/www/html/dta/S01/10558.5606.2.dta&amp;Global_Mod=CS57.0215", "5606")</f>
        <v>5606</v>
      </c>
      <c r="P859" s="37" t="str">
        <f>HYPERLINK("http://ms.phosphosite.org:5080/cgi-bin/plot-msms.cgi?MassType=1&amp;NumAxis=1&amp;Mod4=170&amp;Pep=IGEKYVDMSAK&amp;Dta=/var/www/html/dta/S01/10559.5527.2.dta&amp;Global_Mod=CS57.0215", "5527")</f>
        <v>5527</v>
      </c>
      <c r="Q859" s="37" t="str">
        <f>HYPERLINK("http://ms.phosphosite.org:5080/cgi-bin/plot-msms.cgi?MassType=1&amp;NumAxis=1&amp;Mod4=170&amp;Pep=IGEKYVDMSAK&amp;Dta=/var/www/html/dta/S01/10560.5491.2.dta&amp;Global_Mod=CS57.0215", "5491")</f>
        <v>5491</v>
      </c>
      <c r="R859" s="38" t="s">
        <v>4854</v>
      </c>
      <c r="S859" s="37" t="str">
        <f>HYPERLINK("http://ms.phosphosite.org:5080/cgi-bin/plot-msms.cgi?MassType=1&amp;NumAxis=1&amp;Mod4=170&amp;Pep=IGEKYVDMSAK&amp;Dta=/var/www/html/dta/S01/10562.5637.2.dta&amp;Global_Mod=CS57.0215", "5637")</f>
        <v>5637</v>
      </c>
      <c r="T859" s="38" t="s">
        <v>4854</v>
      </c>
      <c r="U859" s="37" t="str">
        <f>HYPERLINK("http://ms.phosphosite.org:5080/cgi-bin/plot-msms.cgi?MassType=1&amp;NumAxis=1&amp;Mod4=170&amp;Pep=IGEKYVDMSAK&amp;Dta=/var/www/html/dta/S01/10564.5960.2.dta&amp;Global_Mod=CS57.0215", "5960")</f>
        <v>5960</v>
      </c>
      <c r="V859" s="38" t="s">
        <v>4854</v>
      </c>
      <c r="W859" s="10">
        <v>5580</v>
      </c>
      <c r="X859" s="10">
        <v>5513</v>
      </c>
      <c r="Y859" s="10">
        <v>5508</v>
      </c>
      <c r="Z859" s="4" t="s">
        <v>4854</v>
      </c>
      <c r="AA859" s="10">
        <v>5633</v>
      </c>
      <c r="AB859" s="4" t="s">
        <v>4854</v>
      </c>
      <c r="AC859" s="10">
        <v>5924</v>
      </c>
      <c r="AD859" s="4" t="s">
        <v>4854</v>
      </c>
      <c r="AE859" s="91">
        <v>3.2869999999999999</v>
      </c>
      <c r="AF859" s="91">
        <v>3.1920000000000002</v>
      </c>
      <c r="AG859" s="91">
        <v>3.641</v>
      </c>
      <c r="AH859" s="100" t="s">
        <v>4854</v>
      </c>
      <c r="AI859" s="91">
        <v>3.84</v>
      </c>
      <c r="AJ859" s="100" t="s">
        <v>4854</v>
      </c>
      <c r="AK859" s="91">
        <v>3.161</v>
      </c>
      <c r="AL859" s="100" t="s">
        <v>4854</v>
      </c>
      <c r="AM859" s="95">
        <v>4.7000000000000002E-3</v>
      </c>
      <c r="AN859" s="95">
        <v>9.1999999999999998E-2</v>
      </c>
      <c r="AO859" s="95">
        <v>0.22070000000000001</v>
      </c>
      <c r="AP859" s="103" t="s">
        <v>4854</v>
      </c>
      <c r="AQ859" s="95">
        <v>-0.15590000000000001</v>
      </c>
      <c r="AR859" s="103" t="s">
        <v>4854</v>
      </c>
      <c r="AS859" s="95">
        <v>0.16689999999999999</v>
      </c>
      <c r="AT859" s="103" t="s">
        <v>4854</v>
      </c>
      <c r="AU859" s="95">
        <v>0.42199999999999999</v>
      </c>
      <c r="AV859" s="95">
        <v>0.40400000000000003</v>
      </c>
      <c r="AW859" s="95">
        <v>0.41699999999999998</v>
      </c>
      <c r="AX859" s="103" t="s">
        <v>4854</v>
      </c>
      <c r="AY859" s="95">
        <v>0.50700000000000001</v>
      </c>
      <c r="AZ859" s="103" t="s">
        <v>4854</v>
      </c>
      <c r="BA859" s="95">
        <v>0.39500000000000002</v>
      </c>
      <c r="BB859" s="103" t="s">
        <v>4854</v>
      </c>
      <c r="BC859" s="10">
        <v>1</v>
      </c>
      <c r="BD859" s="10">
        <v>1</v>
      </c>
      <c r="BE859" s="10">
        <v>1</v>
      </c>
      <c r="BF859" s="4" t="s">
        <v>4854</v>
      </c>
      <c r="BG859" s="10">
        <v>1</v>
      </c>
      <c r="BH859" s="4" t="s">
        <v>4854</v>
      </c>
      <c r="BI859" s="10">
        <v>1</v>
      </c>
      <c r="BJ859" s="4" t="s">
        <v>4854</v>
      </c>
      <c r="BK859" s="91">
        <v>1</v>
      </c>
      <c r="BL859" s="91">
        <v>1</v>
      </c>
      <c r="BM859" s="91">
        <v>1</v>
      </c>
      <c r="BN859" s="100" t="s">
        <v>4854</v>
      </c>
      <c r="BO859" s="91">
        <v>1</v>
      </c>
      <c r="BP859" s="100" t="s">
        <v>4854</v>
      </c>
      <c r="BQ859" s="91">
        <v>1</v>
      </c>
      <c r="BR859" s="100" t="s">
        <v>4854</v>
      </c>
      <c r="BS859" s="10" t="s">
        <v>4857</v>
      </c>
    </row>
    <row r="860" spans="1:71" s="30" customFormat="1" ht="17.100000000000001" customHeight="1">
      <c r="A860" s="10">
        <v>849</v>
      </c>
      <c r="B860" s="10" t="s">
        <v>1669</v>
      </c>
      <c r="C860" s="4" t="s">
        <v>1803</v>
      </c>
      <c r="D860" s="4" t="s">
        <v>1660</v>
      </c>
      <c r="E860" s="4" t="s">
        <v>1661</v>
      </c>
      <c r="F860" s="10" t="s">
        <v>5148</v>
      </c>
      <c r="G860" s="4" t="s">
        <v>1662</v>
      </c>
      <c r="H860" s="7" t="s">
        <v>1663</v>
      </c>
      <c r="I860" s="4" t="s">
        <v>1664</v>
      </c>
      <c r="J860" s="10" t="s">
        <v>4780</v>
      </c>
      <c r="K860" s="4" t="s">
        <v>5856</v>
      </c>
      <c r="L860" s="4" t="s">
        <v>1670</v>
      </c>
      <c r="M860" s="10">
        <v>2</v>
      </c>
      <c r="N860" s="95">
        <v>649.81849999999997</v>
      </c>
      <c r="O860" s="37" t="str">
        <f>HYPERLINK("http://ms.phosphosite.org:5080/cgi-bin/plot-msms.cgi?MassType=1&amp;NumAxis=1&amp;Mod4=170&amp;Mod8=147&amp;Pep=IGEKYVDMSAK&amp;Dta=/var/www/html/dta/S01/10558.3762.2.dta&amp;Global_Mod=CS57.0215", "3762")</f>
        <v>3762</v>
      </c>
      <c r="P860" s="38" t="s">
        <v>4854</v>
      </c>
      <c r="Q860" s="38" t="s">
        <v>4854</v>
      </c>
      <c r="R860" s="37" t="str">
        <f>HYPERLINK("http://ms.phosphosite.org:5080/cgi-bin/plot-msms.cgi?MassType=1&amp;NumAxis=1&amp;Mod4=170&amp;Mod8=147&amp;Pep=IGEKYVDMSAK&amp;Dta=/var/www/html/dta/S01/10561.3702.2.dta&amp;Global_Mod=CS57.0215", "3702")</f>
        <v>3702</v>
      </c>
      <c r="S860" s="37" t="str">
        <f>HYPERLINK("http://ms.phosphosite.org:5080/cgi-bin/plot-msms.cgi?MassType=1&amp;NumAxis=1&amp;Mod4=170&amp;Mod8=147&amp;Pep=IGEKYVDMSAK&amp;Dta=/var/www/html/dta/S01/10562.3813.2.dta&amp;Global_Mod=CS57.0215", "3813")</f>
        <v>3813</v>
      </c>
      <c r="T860" s="38" t="s">
        <v>4854</v>
      </c>
      <c r="U860" s="38" t="s">
        <v>4854</v>
      </c>
      <c r="V860" s="38" t="s">
        <v>4854</v>
      </c>
      <c r="W860" s="10">
        <v>3759</v>
      </c>
      <c r="X860" s="4" t="s">
        <v>4854</v>
      </c>
      <c r="Y860" s="4" t="s">
        <v>4854</v>
      </c>
      <c r="Z860" s="10">
        <v>3709</v>
      </c>
      <c r="AA860" s="10">
        <v>3796</v>
      </c>
      <c r="AB860" s="4" t="s">
        <v>4854</v>
      </c>
      <c r="AC860" s="4" t="s">
        <v>4854</v>
      </c>
      <c r="AD860" s="4" t="s">
        <v>4854</v>
      </c>
      <c r="AE860" s="91">
        <v>3.3570000000000002</v>
      </c>
      <c r="AF860" s="100" t="s">
        <v>4854</v>
      </c>
      <c r="AG860" s="100" t="s">
        <v>4854</v>
      </c>
      <c r="AH860" s="91">
        <v>3.641</v>
      </c>
      <c r="AI860" s="91">
        <v>2.8570000000000002</v>
      </c>
      <c r="AJ860" s="100" t="s">
        <v>4854</v>
      </c>
      <c r="AK860" s="100" t="s">
        <v>4854</v>
      </c>
      <c r="AL860" s="100" t="s">
        <v>4854</v>
      </c>
      <c r="AM860" s="95">
        <v>-0.14979999999999999</v>
      </c>
      <c r="AN860" s="103" t="s">
        <v>4854</v>
      </c>
      <c r="AO860" s="103" t="s">
        <v>4854</v>
      </c>
      <c r="AP860" s="95">
        <v>-0.23380000000000001</v>
      </c>
      <c r="AQ860" s="95">
        <v>-0.54559999999999997</v>
      </c>
      <c r="AR860" s="103" t="s">
        <v>4854</v>
      </c>
      <c r="AS860" s="103" t="s">
        <v>4854</v>
      </c>
      <c r="AT860" s="103" t="s">
        <v>4854</v>
      </c>
      <c r="AU860" s="95">
        <v>0.38400000000000001</v>
      </c>
      <c r="AV860" s="103" t="s">
        <v>4854</v>
      </c>
      <c r="AW860" s="103" t="s">
        <v>4854</v>
      </c>
      <c r="AX860" s="95">
        <v>0.42699999999999999</v>
      </c>
      <c r="AY860" s="95">
        <v>0.37</v>
      </c>
      <c r="AZ860" s="103" t="s">
        <v>4854</v>
      </c>
      <c r="BA860" s="103" t="s">
        <v>4854</v>
      </c>
      <c r="BB860" s="103" t="s">
        <v>4854</v>
      </c>
      <c r="BC860" s="10">
        <v>1</v>
      </c>
      <c r="BD860" s="4" t="s">
        <v>4854</v>
      </c>
      <c r="BE860" s="4" t="s">
        <v>4854</v>
      </c>
      <c r="BF860" s="10">
        <v>1</v>
      </c>
      <c r="BG860" s="10">
        <v>1</v>
      </c>
      <c r="BH860" s="4" t="s">
        <v>4854</v>
      </c>
      <c r="BI860" s="4" t="s">
        <v>4854</v>
      </c>
      <c r="BJ860" s="4" t="s">
        <v>4854</v>
      </c>
      <c r="BK860" s="91">
        <v>1</v>
      </c>
      <c r="BL860" s="100" t="s">
        <v>4854</v>
      </c>
      <c r="BM860" s="100" t="s">
        <v>4854</v>
      </c>
      <c r="BN860" s="91">
        <v>1</v>
      </c>
      <c r="BO860" s="91">
        <v>1</v>
      </c>
      <c r="BP860" s="100" t="s">
        <v>4854</v>
      </c>
      <c r="BQ860" s="100" t="s">
        <v>4854</v>
      </c>
      <c r="BR860" s="100" t="s">
        <v>4854</v>
      </c>
      <c r="BS860" s="10" t="s">
        <v>4857</v>
      </c>
    </row>
    <row r="861" spans="1:71" s="30" customFormat="1" ht="17.100000000000001" customHeight="1">
      <c r="A861" s="14">
        <v>850</v>
      </c>
      <c r="B861" s="5" t="s">
        <v>1671</v>
      </c>
      <c r="C861" s="3" t="s">
        <v>1803</v>
      </c>
      <c r="D861" s="3" t="s">
        <v>1660</v>
      </c>
      <c r="E861" s="3" t="s">
        <v>1661</v>
      </c>
      <c r="F861" s="5" t="s">
        <v>4666</v>
      </c>
      <c r="G861" s="3" t="s">
        <v>1662</v>
      </c>
      <c r="H861" s="6" t="s">
        <v>1663</v>
      </c>
      <c r="I861" s="3" t="s">
        <v>1664</v>
      </c>
      <c r="J861" s="5" t="s">
        <v>4780</v>
      </c>
      <c r="K861" s="3" t="s">
        <v>5857</v>
      </c>
      <c r="L861" s="3" t="s">
        <v>1672</v>
      </c>
      <c r="M861" s="5">
        <v>3</v>
      </c>
      <c r="N861" s="21">
        <v>657.71069999999997</v>
      </c>
      <c r="O861" s="35" t="s">
        <v>4854</v>
      </c>
      <c r="P861" s="35" t="s">
        <v>4854</v>
      </c>
      <c r="Q861" s="36" t="str">
        <f>HYPERLINK("http://ms.phosphosite.org:5080/cgi-bin/plot-msms.cgi?MassType=1&amp;NumAxis=1&amp;Mod3=170&amp;Pep=FAKLVRPPVQVYGIEGR&amp;Dta=/var/www/html/dta/S01/10560.9059.3.dta&amp;Global_Mod=CS57.0215", "9059")</f>
        <v>9059</v>
      </c>
      <c r="R861" s="35" t="s">
        <v>4854</v>
      </c>
      <c r="S861" s="35" t="s">
        <v>4854</v>
      </c>
      <c r="T861" s="35" t="s">
        <v>4854</v>
      </c>
      <c r="U861" s="35" t="s">
        <v>4854</v>
      </c>
      <c r="V861" s="35" t="s">
        <v>4854</v>
      </c>
      <c r="W861" s="3" t="s">
        <v>4854</v>
      </c>
      <c r="X861" s="3" t="s">
        <v>4854</v>
      </c>
      <c r="Y861" s="3" t="s">
        <v>4854</v>
      </c>
      <c r="Z861" s="3" t="s">
        <v>4854</v>
      </c>
      <c r="AA861" s="3" t="s">
        <v>4854</v>
      </c>
      <c r="AB861" s="3" t="s">
        <v>4854</v>
      </c>
      <c r="AC861" s="3" t="s">
        <v>4854</v>
      </c>
      <c r="AD861" s="3" t="s">
        <v>4854</v>
      </c>
      <c r="AE861" s="99" t="s">
        <v>4854</v>
      </c>
      <c r="AF861" s="99" t="s">
        <v>4854</v>
      </c>
      <c r="AG861" s="90">
        <v>2.1349999999999998</v>
      </c>
      <c r="AH861" s="99" t="s">
        <v>4854</v>
      </c>
      <c r="AI861" s="99" t="s">
        <v>4854</v>
      </c>
      <c r="AJ861" s="99" t="s">
        <v>4854</v>
      </c>
      <c r="AK861" s="99" t="s">
        <v>4854</v>
      </c>
      <c r="AL861" s="99" t="s">
        <v>4854</v>
      </c>
      <c r="AM861" s="102" t="s">
        <v>4854</v>
      </c>
      <c r="AN861" s="102" t="s">
        <v>4854</v>
      </c>
      <c r="AO861" s="21">
        <v>0.59940000000000004</v>
      </c>
      <c r="AP861" s="102" t="s">
        <v>4854</v>
      </c>
      <c r="AQ861" s="102" t="s">
        <v>4854</v>
      </c>
      <c r="AR861" s="102" t="s">
        <v>4854</v>
      </c>
      <c r="AS861" s="102" t="s">
        <v>4854</v>
      </c>
      <c r="AT861" s="102" t="s">
        <v>4854</v>
      </c>
      <c r="AU861" s="102" t="s">
        <v>4854</v>
      </c>
      <c r="AV861" s="102" t="s">
        <v>4854</v>
      </c>
      <c r="AW861" s="21">
        <v>6.2E-2</v>
      </c>
      <c r="AX861" s="102" t="s">
        <v>4854</v>
      </c>
      <c r="AY861" s="102" t="s">
        <v>4854</v>
      </c>
      <c r="AZ861" s="102" t="s">
        <v>4854</v>
      </c>
      <c r="BA861" s="102" t="s">
        <v>4854</v>
      </c>
      <c r="BB861" s="102" t="s">
        <v>4854</v>
      </c>
      <c r="BC861" s="3" t="s">
        <v>4854</v>
      </c>
      <c r="BD861" s="3" t="s">
        <v>4854</v>
      </c>
      <c r="BE861" s="5">
        <v>1</v>
      </c>
      <c r="BF861" s="3" t="s">
        <v>4854</v>
      </c>
      <c r="BG861" s="3" t="s">
        <v>4854</v>
      </c>
      <c r="BH861" s="3" t="s">
        <v>4854</v>
      </c>
      <c r="BI861" s="3" t="s">
        <v>4854</v>
      </c>
      <c r="BJ861" s="3" t="s">
        <v>4854</v>
      </c>
      <c r="BK861" s="99" t="s">
        <v>4854</v>
      </c>
      <c r="BL861" s="99" t="s">
        <v>4854</v>
      </c>
      <c r="BM861" s="90">
        <v>0.10199999999999999</v>
      </c>
      <c r="BN861" s="99" t="s">
        <v>4854</v>
      </c>
      <c r="BO861" s="99" t="s">
        <v>4854</v>
      </c>
      <c r="BP861" s="99" t="s">
        <v>4854</v>
      </c>
      <c r="BQ861" s="99" t="s">
        <v>4854</v>
      </c>
      <c r="BR861" s="99" t="s">
        <v>4854</v>
      </c>
      <c r="BS861" s="5" t="s">
        <v>4857</v>
      </c>
    </row>
    <row r="862" spans="1:71" s="30" customFormat="1" ht="17.100000000000001" customHeight="1">
      <c r="A862" s="10">
        <v>851</v>
      </c>
      <c r="B862" s="10" t="s">
        <v>1673</v>
      </c>
      <c r="C862" s="4" t="s">
        <v>1803</v>
      </c>
      <c r="D862" s="4" t="s">
        <v>1674</v>
      </c>
      <c r="E862" s="4" t="s">
        <v>1675</v>
      </c>
      <c r="F862" s="10" t="s">
        <v>1676</v>
      </c>
      <c r="G862" s="4" t="s">
        <v>1677</v>
      </c>
      <c r="H862" s="7" t="s">
        <v>1678</v>
      </c>
      <c r="I862" s="4" t="s">
        <v>1679</v>
      </c>
      <c r="J862" s="10" t="s">
        <v>4666</v>
      </c>
      <c r="K862" s="4" t="s">
        <v>5858</v>
      </c>
      <c r="L862" s="4" t="s">
        <v>1680</v>
      </c>
      <c r="M862" s="10">
        <v>3</v>
      </c>
      <c r="N862" s="95">
        <v>492.61450000000002</v>
      </c>
      <c r="O862" s="38" t="s">
        <v>4854</v>
      </c>
      <c r="P862" s="37" t="str">
        <f>HYPERLINK("http://ms.phosphosite.org:5080/cgi-bin/plot-msms.cgi?MassType=1&amp;NumAxis=1&amp;Mod8=170&amp;Mod12=170&amp;Pep=QKAIPMYKIATK&amp;Dta=/var/www/html/dta/S01/10559.8893.3.dta&amp;Global_Mod=CS57.0215", "8893")</f>
        <v>8893</v>
      </c>
      <c r="Q862" s="38" t="s">
        <v>4854</v>
      </c>
      <c r="R862" s="38" t="s">
        <v>4854</v>
      </c>
      <c r="S862" s="38" t="s">
        <v>4854</v>
      </c>
      <c r="T862" s="38" t="s">
        <v>4854</v>
      </c>
      <c r="U862" s="38" t="s">
        <v>4854</v>
      </c>
      <c r="V862" s="38" t="s">
        <v>4854</v>
      </c>
      <c r="W862" s="4" t="s">
        <v>4854</v>
      </c>
      <c r="X862" s="4" t="s">
        <v>4854</v>
      </c>
      <c r="Y862" s="4" t="s">
        <v>4854</v>
      </c>
      <c r="Z862" s="4" t="s">
        <v>4854</v>
      </c>
      <c r="AA862" s="4" t="s">
        <v>4854</v>
      </c>
      <c r="AB862" s="4" t="s">
        <v>4854</v>
      </c>
      <c r="AC862" s="4" t="s">
        <v>4854</v>
      </c>
      <c r="AD862" s="4" t="s">
        <v>4854</v>
      </c>
      <c r="AE862" s="100" t="s">
        <v>4854</v>
      </c>
      <c r="AF862" s="91">
        <v>1.952</v>
      </c>
      <c r="AG862" s="100" t="s">
        <v>4854</v>
      </c>
      <c r="AH862" s="100" t="s">
        <v>4854</v>
      </c>
      <c r="AI862" s="100" t="s">
        <v>4854</v>
      </c>
      <c r="AJ862" s="100" t="s">
        <v>4854</v>
      </c>
      <c r="AK862" s="100" t="s">
        <v>4854</v>
      </c>
      <c r="AL862" s="100" t="s">
        <v>4854</v>
      </c>
      <c r="AM862" s="103" t="s">
        <v>4854</v>
      </c>
      <c r="AN862" s="95">
        <v>2.8593999999999999</v>
      </c>
      <c r="AO862" s="103" t="s">
        <v>4854</v>
      </c>
      <c r="AP862" s="103" t="s">
        <v>4854</v>
      </c>
      <c r="AQ862" s="103" t="s">
        <v>4854</v>
      </c>
      <c r="AR862" s="103" t="s">
        <v>4854</v>
      </c>
      <c r="AS862" s="103" t="s">
        <v>4854</v>
      </c>
      <c r="AT862" s="103" t="s">
        <v>4854</v>
      </c>
      <c r="AU862" s="103" t="s">
        <v>4854</v>
      </c>
      <c r="AV862" s="95">
        <v>0.16500000000000001</v>
      </c>
      <c r="AW862" s="103" t="s">
        <v>4854</v>
      </c>
      <c r="AX862" s="103" t="s">
        <v>4854</v>
      </c>
      <c r="AY862" s="103" t="s">
        <v>4854</v>
      </c>
      <c r="AZ862" s="103" t="s">
        <v>4854</v>
      </c>
      <c r="BA862" s="103" t="s">
        <v>4854</v>
      </c>
      <c r="BB862" s="103" t="s">
        <v>4854</v>
      </c>
      <c r="BC862" s="4" t="s">
        <v>4854</v>
      </c>
      <c r="BD862" s="10">
        <v>11</v>
      </c>
      <c r="BE862" s="4" t="s">
        <v>4854</v>
      </c>
      <c r="BF862" s="4" t="s">
        <v>4854</v>
      </c>
      <c r="BG862" s="4" t="s">
        <v>4854</v>
      </c>
      <c r="BH862" s="4" t="s">
        <v>4854</v>
      </c>
      <c r="BI862" s="4" t="s">
        <v>4854</v>
      </c>
      <c r="BJ862" s="4" t="s">
        <v>4854</v>
      </c>
      <c r="BK862" s="100" t="s">
        <v>4854</v>
      </c>
      <c r="BL862" s="91">
        <v>0.155</v>
      </c>
      <c r="BM862" s="100" t="s">
        <v>4854</v>
      </c>
      <c r="BN862" s="100" t="s">
        <v>4854</v>
      </c>
      <c r="BO862" s="100" t="s">
        <v>4854</v>
      </c>
      <c r="BP862" s="100" t="s">
        <v>4854</v>
      </c>
      <c r="BQ862" s="100" t="s">
        <v>4854</v>
      </c>
      <c r="BR862" s="100" t="s">
        <v>4854</v>
      </c>
      <c r="BS862" s="10" t="s">
        <v>4857</v>
      </c>
    </row>
    <row r="863" spans="1:71" s="30" customFormat="1" ht="17.100000000000001" customHeight="1">
      <c r="A863" s="14">
        <v>852</v>
      </c>
      <c r="B863" s="5" t="s">
        <v>1681</v>
      </c>
      <c r="C863" s="3" t="s">
        <v>1803</v>
      </c>
      <c r="D863" s="3" t="s">
        <v>1682</v>
      </c>
      <c r="E863" s="3" t="s">
        <v>1683</v>
      </c>
      <c r="F863" s="5" t="s">
        <v>1684</v>
      </c>
      <c r="G863" s="3" t="s">
        <v>1685</v>
      </c>
      <c r="H863" s="6" t="s">
        <v>1686</v>
      </c>
      <c r="I863" s="3" t="s">
        <v>1687</v>
      </c>
      <c r="J863" s="5" t="s">
        <v>4594</v>
      </c>
      <c r="K863" s="3" t="s">
        <v>5859</v>
      </c>
      <c r="L863" s="3" t="s">
        <v>1688</v>
      </c>
      <c r="M863" s="5">
        <v>3</v>
      </c>
      <c r="N863" s="21">
        <v>550.64549999999997</v>
      </c>
      <c r="O863" s="35" t="s">
        <v>4854</v>
      </c>
      <c r="P863" s="35" t="s">
        <v>4854</v>
      </c>
      <c r="Q863" s="35" t="s">
        <v>4854</v>
      </c>
      <c r="R863" s="35" t="s">
        <v>4854</v>
      </c>
      <c r="S863" s="35" t="s">
        <v>4854</v>
      </c>
      <c r="T863" s="36" t="str">
        <f>HYPERLINK("http://ms.phosphosite.org:5080/cgi-bin/plot-msms.cgi?MassType=1&amp;NumAxis=1&amp;Mod8=170&amp;Mod13=170&amp;Pep=LLVDTHKKQIDQK&amp;Dta=/var/www/html/dta/S01/10563.1623.3.dta&amp;Global_Mod=CS57.0215", "1623")</f>
        <v>1623</v>
      </c>
      <c r="U863" s="35" t="s">
        <v>4854</v>
      </c>
      <c r="V863" s="35" t="s">
        <v>4854</v>
      </c>
      <c r="W863" s="3" t="s">
        <v>4854</v>
      </c>
      <c r="X863" s="3" t="s">
        <v>4854</v>
      </c>
      <c r="Y863" s="3" t="s">
        <v>4854</v>
      </c>
      <c r="Z863" s="3" t="s">
        <v>4854</v>
      </c>
      <c r="AA863" s="3" t="s">
        <v>4854</v>
      </c>
      <c r="AB863" s="3" t="s">
        <v>4854</v>
      </c>
      <c r="AC863" s="3" t="s">
        <v>4854</v>
      </c>
      <c r="AD863" s="3" t="s">
        <v>4854</v>
      </c>
      <c r="AE863" s="99" t="s">
        <v>4854</v>
      </c>
      <c r="AF863" s="99" t="s">
        <v>4854</v>
      </c>
      <c r="AG863" s="99" t="s">
        <v>4854</v>
      </c>
      <c r="AH863" s="99" t="s">
        <v>4854</v>
      </c>
      <c r="AI863" s="99" t="s">
        <v>4854</v>
      </c>
      <c r="AJ863" s="90">
        <v>2.383</v>
      </c>
      <c r="AK863" s="99" t="s">
        <v>4854</v>
      </c>
      <c r="AL863" s="99" t="s">
        <v>4854</v>
      </c>
      <c r="AM863" s="102" t="s">
        <v>4854</v>
      </c>
      <c r="AN863" s="102" t="s">
        <v>4854</v>
      </c>
      <c r="AO863" s="102" t="s">
        <v>4854</v>
      </c>
      <c r="AP863" s="102" t="s">
        <v>4854</v>
      </c>
      <c r="AQ863" s="102" t="s">
        <v>4854</v>
      </c>
      <c r="AR863" s="21">
        <v>0.62070000000000003</v>
      </c>
      <c r="AS863" s="102" t="s">
        <v>4854</v>
      </c>
      <c r="AT863" s="102" t="s">
        <v>4854</v>
      </c>
      <c r="AU863" s="102" t="s">
        <v>4854</v>
      </c>
      <c r="AV863" s="102" t="s">
        <v>4854</v>
      </c>
      <c r="AW863" s="102" t="s">
        <v>4854</v>
      </c>
      <c r="AX863" s="102" t="s">
        <v>4854</v>
      </c>
      <c r="AY863" s="102" t="s">
        <v>4854</v>
      </c>
      <c r="AZ863" s="21">
        <v>3.2000000000000001E-2</v>
      </c>
      <c r="BA863" s="102" t="s">
        <v>4854</v>
      </c>
      <c r="BB863" s="102" t="s">
        <v>4854</v>
      </c>
      <c r="BC863" s="3" t="s">
        <v>4854</v>
      </c>
      <c r="BD863" s="3" t="s">
        <v>4854</v>
      </c>
      <c r="BE863" s="3" t="s">
        <v>4854</v>
      </c>
      <c r="BF863" s="3" t="s">
        <v>4854</v>
      </c>
      <c r="BG863" s="3" t="s">
        <v>4854</v>
      </c>
      <c r="BH863" s="5">
        <v>3</v>
      </c>
      <c r="BI863" s="3" t="s">
        <v>4854</v>
      </c>
      <c r="BJ863" s="3" t="s">
        <v>4854</v>
      </c>
      <c r="BK863" s="99" t="s">
        <v>4854</v>
      </c>
      <c r="BL863" s="99" t="s">
        <v>4854</v>
      </c>
      <c r="BM863" s="99" t="s">
        <v>4854</v>
      </c>
      <c r="BN863" s="99" t="s">
        <v>4854</v>
      </c>
      <c r="BO863" s="99" t="s">
        <v>4854</v>
      </c>
      <c r="BP863" s="90">
        <v>9.0999999999999998E-2</v>
      </c>
      <c r="BQ863" s="99" t="s">
        <v>4854</v>
      </c>
      <c r="BR863" s="99" t="s">
        <v>4854</v>
      </c>
      <c r="BS863" s="5" t="s">
        <v>4857</v>
      </c>
    </row>
    <row r="864" spans="1:71" s="30" customFormat="1" ht="17.100000000000001" customHeight="1">
      <c r="A864" s="10">
        <v>853</v>
      </c>
      <c r="B864" s="10" t="s">
        <v>1689</v>
      </c>
      <c r="C864" s="4" t="s">
        <v>1803</v>
      </c>
      <c r="D864" s="4" t="s">
        <v>1690</v>
      </c>
      <c r="E864" s="7" t="s">
        <v>1691</v>
      </c>
      <c r="F864" s="10" t="s">
        <v>5061</v>
      </c>
      <c r="G864" s="4" t="s">
        <v>1692</v>
      </c>
      <c r="H864" s="7" t="s">
        <v>1693</v>
      </c>
      <c r="I864" s="4" t="s">
        <v>1694</v>
      </c>
      <c r="J864" s="10" t="s">
        <v>4756</v>
      </c>
      <c r="K864" s="4" t="s">
        <v>5860</v>
      </c>
      <c r="L864" s="4" t="s">
        <v>1553</v>
      </c>
      <c r="M864" s="10">
        <v>4</v>
      </c>
      <c r="N864" s="95">
        <v>578.53300000000002</v>
      </c>
      <c r="O864" s="38" t="s">
        <v>4854</v>
      </c>
      <c r="P864" s="38" t="s">
        <v>4854</v>
      </c>
      <c r="Q864" s="38" t="s">
        <v>4854</v>
      </c>
      <c r="R864" s="38" t="s">
        <v>4854</v>
      </c>
      <c r="S864" s="38" t="s">
        <v>4854</v>
      </c>
      <c r="T864" s="38" t="s">
        <v>4854</v>
      </c>
      <c r="U864" s="38" t="s">
        <v>4854</v>
      </c>
      <c r="V864" s="37" t="str">
        <f>HYPERLINK("http://ms.phosphosite.org:5080/cgi-bin/plot-msms.cgi?MassType=1&amp;NumAxis=1&amp;Mod7=170&amp;Pep=AHGSVVKSEDYAFPTYADRR&amp;Dta=/var/www/html/dta/S01/10565.6437.4.dta&amp;Global_Mod=CS57.0215", "6437")</f>
        <v>6437</v>
      </c>
      <c r="W864" s="4" t="s">
        <v>4854</v>
      </c>
      <c r="X864" s="4" t="s">
        <v>4854</v>
      </c>
      <c r="Y864" s="4" t="s">
        <v>4854</v>
      </c>
      <c r="Z864" s="4" t="s">
        <v>4854</v>
      </c>
      <c r="AA864" s="4" t="s">
        <v>4854</v>
      </c>
      <c r="AB864" s="4" t="s">
        <v>4854</v>
      </c>
      <c r="AC864" s="4" t="s">
        <v>4854</v>
      </c>
      <c r="AD864" s="10">
        <v>6438</v>
      </c>
      <c r="AE864" s="100" t="s">
        <v>4854</v>
      </c>
      <c r="AF864" s="100" t="s">
        <v>4854</v>
      </c>
      <c r="AG864" s="100" t="s">
        <v>4854</v>
      </c>
      <c r="AH864" s="100" t="s">
        <v>4854</v>
      </c>
      <c r="AI864" s="100" t="s">
        <v>4854</v>
      </c>
      <c r="AJ864" s="100" t="s">
        <v>4854</v>
      </c>
      <c r="AK864" s="100" t="s">
        <v>4854</v>
      </c>
      <c r="AL864" s="91">
        <v>3.0219999999999998</v>
      </c>
      <c r="AM864" s="103" t="s">
        <v>4854</v>
      </c>
      <c r="AN864" s="103" t="s">
        <v>4854</v>
      </c>
      <c r="AO864" s="103" t="s">
        <v>4854</v>
      </c>
      <c r="AP864" s="103" t="s">
        <v>4854</v>
      </c>
      <c r="AQ864" s="103" t="s">
        <v>4854</v>
      </c>
      <c r="AR864" s="103" t="s">
        <v>4854</v>
      </c>
      <c r="AS864" s="103" t="s">
        <v>4854</v>
      </c>
      <c r="AT864" s="95">
        <v>0.14499999999999999</v>
      </c>
      <c r="AU864" s="103" t="s">
        <v>4854</v>
      </c>
      <c r="AV864" s="103" t="s">
        <v>4854</v>
      </c>
      <c r="AW864" s="103" t="s">
        <v>4854</v>
      </c>
      <c r="AX864" s="103" t="s">
        <v>4854</v>
      </c>
      <c r="AY864" s="103" t="s">
        <v>4854</v>
      </c>
      <c r="AZ864" s="103" t="s">
        <v>4854</v>
      </c>
      <c r="BA864" s="103" t="s">
        <v>4854</v>
      </c>
      <c r="BB864" s="95">
        <v>0.182</v>
      </c>
      <c r="BC864" s="4" t="s">
        <v>4854</v>
      </c>
      <c r="BD864" s="4" t="s">
        <v>4854</v>
      </c>
      <c r="BE864" s="4" t="s">
        <v>4854</v>
      </c>
      <c r="BF864" s="4" t="s">
        <v>4854</v>
      </c>
      <c r="BG864" s="4" t="s">
        <v>4854</v>
      </c>
      <c r="BH864" s="4" t="s">
        <v>4854</v>
      </c>
      <c r="BI864" s="4" t="s">
        <v>4854</v>
      </c>
      <c r="BJ864" s="10">
        <v>5</v>
      </c>
      <c r="BK864" s="100" t="s">
        <v>4854</v>
      </c>
      <c r="BL864" s="100" t="s">
        <v>4854</v>
      </c>
      <c r="BM864" s="100" t="s">
        <v>4854</v>
      </c>
      <c r="BN864" s="100" t="s">
        <v>4854</v>
      </c>
      <c r="BO864" s="100" t="s">
        <v>4854</v>
      </c>
      <c r="BP864" s="100" t="s">
        <v>4854</v>
      </c>
      <c r="BQ864" s="100" t="s">
        <v>4854</v>
      </c>
      <c r="BR864" s="91">
        <v>0.998</v>
      </c>
      <c r="BS864" s="10" t="s">
        <v>4857</v>
      </c>
    </row>
    <row r="865" spans="1:71" s="30" customFormat="1" ht="17.100000000000001" customHeight="1">
      <c r="A865" s="14">
        <v>854</v>
      </c>
      <c r="B865" s="5" t="s">
        <v>1554</v>
      </c>
      <c r="C865" s="3" t="s">
        <v>1803</v>
      </c>
      <c r="D865" s="3" t="s">
        <v>1555</v>
      </c>
      <c r="E865" s="3" t="s">
        <v>1556</v>
      </c>
      <c r="F865" s="5" t="s">
        <v>5217</v>
      </c>
      <c r="G865" s="3" t="s">
        <v>1557</v>
      </c>
      <c r="H865" s="6" t="s">
        <v>1558</v>
      </c>
      <c r="I865" s="3" t="s">
        <v>1559</v>
      </c>
      <c r="J865" s="5" t="s">
        <v>4638</v>
      </c>
      <c r="K865" s="3" t="s">
        <v>5861</v>
      </c>
      <c r="L865" s="3" t="s">
        <v>1560</v>
      </c>
      <c r="M865" s="5">
        <v>2</v>
      </c>
      <c r="N865" s="21">
        <v>682.34130000000005</v>
      </c>
      <c r="O865" s="35" t="s">
        <v>4854</v>
      </c>
      <c r="P865" s="36" t="str">
        <f>HYPERLINK("http://ms.phosphosite.org:5080/cgi-bin/plot-msms.cgi?MassType=1&amp;NumAxis=1&amp;Mod5=170&amp;Pep=QGDGKWQLAYR&amp;Dta=/var/www/html/dta/S01/10559.7334.2.dta&amp;Global_Mod=CS57.0215", "7334")</f>
        <v>7334</v>
      </c>
      <c r="Q865" s="36" t="str">
        <f>HYPERLINK("http://ms.phosphosite.org:5080/cgi-bin/plot-msms.cgi?MassType=1&amp;NumAxis=1&amp;Mod5=170&amp;Pep=QGDGKWQLAYR&amp;Dta=/var/www/html/dta/S01/10560.7304.2.dta&amp;Global_Mod=CS57.0215", "7304")</f>
        <v>7304</v>
      </c>
      <c r="R865" s="36" t="str">
        <f>HYPERLINK("http://ms.phosphosite.org:5080/cgi-bin/plot-msms.cgi?MassType=1&amp;NumAxis=1&amp;Mod5=170&amp;Pep=QGDGKWQLAYR&amp;Dta=/var/www/html/dta/S01/10561.7359.2.dta&amp;Global_Mod=CS57.0215", "7359")</f>
        <v>7359</v>
      </c>
      <c r="S865" s="36" t="str">
        <f>HYPERLINK("http://ms.phosphosite.org:5080/cgi-bin/plot-msms.cgi?MassType=1&amp;NumAxis=1&amp;Mod5=170&amp;Pep=QGDGKWQLAYR&amp;Dta=/var/www/html/dta/S01/10562.7485.2.dta&amp;Global_Mod=CS57.0215", "7485")</f>
        <v>7485</v>
      </c>
      <c r="T865" s="36" t="str">
        <f>HYPERLINK("http://ms.phosphosite.org:5080/cgi-bin/plot-msms.cgi?MassType=1&amp;NumAxis=1&amp;Mod5=170&amp;Pep=QGDGKWQLAYR&amp;Dta=/var/www/html/dta/S01/10563.7434.2.dta&amp;Global_Mod=CS57.0215", "7434")</f>
        <v>7434</v>
      </c>
      <c r="U865" s="35" t="s">
        <v>4854</v>
      </c>
      <c r="V865" s="35" t="s">
        <v>4854</v>
      </c>
      <c r="W865" s="3" t="s">
        <v>4854</v>
      </c>
      <c r="X865" s="5">
        <v>7350</v>
      </c>
      <c r="Y865" s="5">
        <v>7334</v>
      </c>
      <c r="Z865" s="5">
        <v>7372</v>
      </c>
      <c r="AA865" s="5">
        <v>7500</v>
      </c>
      <c r="AB865" s="5">
        <v>7454</v>
      </c>
      <c r="AC865" s="3" t="s">
        <v>4854</v>
      </c>
      <c r="AD865" s="3" t="s">
        <v>4854</v>
      </c>
      <c r="AE865" s="99" t="s">
        <v>4854</v>
      </c>
      <c r="AF865" s="90">
        <v>2.9009999999999998</v>
      </c>
      <c r="AG865" s="90">
        <v>2.2989999999999999</v>
      </c>
      <c r="AH865" s="90">
        <v>2.5720000000000001</v>
      </c>
      <c r="AI865" s="90">
        <v>2.4489999999999998</v>
      </c>
      <c r="AJ865" s="90">
        <v>2.617</v>
      </c>
      <c r="AK865" s="99" t="s">
        <v>4854</v>
      </c>
      <c r="AL865" s="99" t="s">
        <v>4854</v>
      </c>
      <c r="AM865" s="102" t="s">
        <v>4854</v>
      </c>
      <c r="AN865" s="21">
        <v>0.56130000000000002</v>
      </c>
      <c r="AO865" s="21">
        <v>0.50629999999999997</v>
      </c>
      <c r="AP865" s="21">
        <v>0.57010000000000005</v>
      </c>
      <c r="AQ865" s="21">
        <v>0.52829999999999999</v>
      </c>
      <c r="AR865" s="21">
        <v>0.77170000000000005</v>
      </c>
      <c r="AS865" s="102" t="s">
        <v>4854</v>
      </c>
      <c r="AT865" s="102" t="s">
        <v>4854</v>
      </c>
      <c r="AU865" s="102" t="s">
        <v>4854</v>
      </c>
      <c r="AV865" s="21">
        <v>0.28899999999999998</v>
      </c>
      <c r="AW865" s="21">
        <v>0.33400000000000002</v>
      </c>
      <c r="AX865" s="21">
        <v>0.36899999999999999</v>
      </c>
      <c r="AY865" s="21">
        <v>0.22700000000000001</v>
      </c>
      <c r="AZ865" s="21">
        <v>0.34799999999999998</v>
      </c>
      <c r="BA865" s="102" t="s">
        <v>4854</v>
      </c>
      <c r="BB865" s="102" t="s">
        <v>4854</v>
      </c>
      <c r="BC865" s="3" t="s">
        <v>4854</v>
      </c>
      <c r="BD865" s="5">
        <v>1</v>
      </c>
      <c r="BE865" s="5">
        <v>1</v>
      </c>
      <c r="BF865" s="5">
        <v>1</v>
      </c>
      <c r="BG865" s="5">
        <v>1</v>
      </c>
      <c r="BH865" s="5">
        <v>1</v>
      </c>
      <c r="BI865" s="3" t="s">
        <v>4854</v>
      </c>
      <c r="BJ865" s="3" t="s">
        <v>4854</v>
      </c>
      <c r="BK865" s="99" t="s">
        <v>4854</v>
      </c>
      <c r="BL865" s="90">
        <v>1</v>
      </c>
      <c r="BM865" s="90">
        <v>0.999</v>
      </c>
      <c r="BN865" s="90">
        <v>1</v>
      </c>
      <c r="BO865" s="90">
        <v>0.998</v>
      </c>
      <c r="BP865" s="90">
        <v>1</v>
      </c>
      <c r="BQ865" s="99" t="s">
        <v>4854</v>
      </c>
      <c r="BR865" s="99" t="s">
        <v>4854</v>
      </c>
      <c r="BS865" s="5" t="s">
        <v>4857</v>
      </c>
    </row>
    <row r="866" spans="1:71" s="30" customFormat="1" ht="17.100000000000001" customHeight="1">
      <c r="A866" s="10">
        <v>855</v>
      </c>
      <c r="B866" s="10" t="s">
        <v>1561</v>
      </c>
      <c r="C866" s="4" t="s">
        <v>1803</v>
      </c>
      <c r="D866" s="4" t="s">
        <v>1562</v>
      </c>
      <c r="E866" s="7" t="s">
        <v>1563</v>
      </c>
      <c r="F866" s="10" t="s">
        <v>4384</v>
      </c>
      <c r="G866" s="4" t="s">
        <v>1564</v>
      </c>
      <c r="H866" s="7" t="s">
        <v>1565</v>
      </c>
      <c r="I866" s="4" t="s">
        <v>1566</v>
      </c>
      <c r="J866" s="10" t="s">
        <v>4782</v>
      </c>
      <c r="K866" s="4" t="s">
        <v>5862</v>
      </c>
      <c r="L866" s="4" t="s">
        <v>1567</v>
      </c>
      <c r="M866" s="10">
        <v>3</v>
      </c>
      <c r="N866" s="95">
        <v>715.32569999999998</v>
      </c>
      <c r="O866" s="37" t="str">
        <f>HYPERLINK("http://ms.phosphosite.org:5080/cgi-bin/plot-msms.cgi?MassType=1&amp;NumAxis=1&amp;Mod9=170&amp;Pep=AGDAPSEEKKGEGDAAPSEEK&amp;Dta=/var/www/html/dta/S01/10558.1927.3.dta&amp;Global_Mod=CS57.0215", "1927")</f>
        <v>1927</v>
      </c>
      <c r="P866" s="38" t="s">
        <v>4854</v>
      </c>
      <c r="Q866" s="37" t="str">
        <f>HYPERLINK("http://ms.phosphosite.org:5080/cgi-bin/plot-msms.cgi?MassType=1&amp;NumAxis=1&amp;Mod9=170&amp;Pep=AGDAPSEEKKGEGDAAPSEEK&amp;Dta=/var/www/html/dta/S01/10560.1844.3.dta&amp;Global_Mod=CS57.0215", "1844")</f>
        <v>1844</v>
      </c>
      <c r="R866" s="37" t="str">
        <f>HYPERLINK("http://ms.phosphosite.org:5080/cgi-bin/plot-msms.cgi?MassType=1&amp;NumAxis=1&amp;Mod9=170&amp;Pep=AGDAPSEEKKGEGDAAPSEEK&amp;Dta=/var/www/html/dta/S01/10561.1910.3.dta&amp;Global_Mod=CS57.0215", "1910")</f>
        <v>1910</v>
      </c>
      <c r="S866" s="37" t="str">
        <f>HYPERLINK("http://ms.phosphosite.org:5080/cgi-bin/plot-msms.cgi?MassType=1&amp;NumAxis=1&amp;Mod9=170&amp;Pep=AGDAPSEEKKGEGDAAPSEEK&amp;Dta=/var/www/html/dta/S01/10562.1982.3.dta&amp;Global_Mod=CS57.0215", "1982")</f>
        <v>1982</v>
      </c>
      <c r="T866" s="38" t="s">
        <v>4854</v>
      </c>
      <c r="U866" s="38" t="s">
        <v>4854</v>
      </c>
      <c r="V866" s="38" t="s">
        <v>4854</v>
      </c>
      <c r="W866" s="10">
        <v>1928</v>
      </c>
      <c r="X866" s="4" t="s">
        <v>4854</v>
      </c>
      <c r="Y866" s="10">
        <v>1836</v>
      </c>
      <c r="Z866" s="10">
        <v>1907</v>
      </c>
      <c r="AA866" s="10">
        <v>1974</v>
      </c>
      <c r="AB866" s="4" t="s">
        <v>4854</v>
      </c>
      <c r="AC866" s="4" t="s">
        <v>4854</v>
      </c>
      <c r="AD866" s="4" t="s">
        <v>4854</v>
      </c>
      <c r="AE866" s="91">
        <v>2.9830000000000001</v>
      </c>
      <c r="AF866" s="100" t="s">
        <v>4854</v>
      </c>
      <c r="AG866" s="91">
        <v>2.9220000000000002</v>
      </c>
      <c r="AH866" s="91">
        <v>2.617</v>
      </c>
      <c r="AI866" s="91">
        <v>2.6480000000000001</v>
      </c>
      <c r="AJ866" s="100" t="s">
        <v>4854</v>
      </c>
      <c r="AK866" s="100" t="s">
        <v>4854</v>
      </c>
      <c r="AL866" s="100" t="s">
        <v>4854</v>
      </c>
      <c r="AM866" s="95">
        <v>8.8499999999999995E-2</v>
      </c>
      <c r="AN866" s="103" t="s">
        <v>4854</v>
      </c>
      <c r="AO866" s="95">
        <v>-1.0263</v>
      </c>
      <c r="AP866" s="95">
        <v>0.7</v>
      </c>
      <c r="AQ866" s="95">
        <v>-1.0972</v>
      </c>
      <c r="AR866" s="103" t="s">
        <v>4854</v>
      </c>
      <c r="AS866" s="103" t="s">
        <v>4854</v>
      </c>
      <c r="AT866" s="103" t="s">
        <v>4854</v>
      </c>
      <c r="AU866" s="95">
        <v>0.222</v>
      </c>
      <c r="AV866" s="103" t="s">
        <v>4854</v>
      </c>
      <c r="AW866" s="95">
        <v>0.316</v>
      </c>
      <c r="AX866" s="95">
        <v>0.30099999999999999</v>
      </c>
      <c r="AY866" s="95">
        <v>0.36499999999999999</v>
      </c>
      <c r="AZ866" s="103" t="s">
        <v>4854</v>
      </c>
      <c r="BA866" s="103" t="s">
        <v>4854</v>
      </c>
      <c r="BB866" s="103" t="s">
        <v>4854</v>
      </c>
      <c r="BC866" s="10">
        <v>1</v>
      </c>
      <c r="BD866" s="4" t="s">
        <v>4854</v>
      </c>
      <c r="BE866" s="10">
        <v>1</v>
      </c>
      <c r="BF866" s="10">
        <v>1</v>
      </c>
      <c r="BG866" s="10">
        <v>1</v>
      </c>
      <c r="BH866" s="4" t="s">
        <v>4854</v>
      </c>
      <c r="BI866" s="4" t="s">
        <v>4854</v>
      </c>
      <c r="BJ866" s="4" t="s">
        <v>4854</v>
      </c>
      <c r="BK866" s="91">
        <v>0.999</v>
      </c>
      <c r="BL866" s="100" t="s">
        <v>4854</v>
      </c>
      <c r="BM866" s="91">
        <v>0.995</v>
      </c>
      <c r="BN866" s="91">
        <v>0.999</v>
      </c>
      <c r="BO866" s="91">
        <v>0.997</v>
      </c>
      <c r="BP866" s="100" t="s">
        <v>4854</v>
      </c>
      <c r="BQ866" s="100" t="s">
        <v>4854</v>
      </c>
      <c r="BR866" s="100" t="s">
        <v>4854</v>
      </c>
      <c r="BS866" s="10" t="s">
        <v>4857</v>
      </c>
    </row>
    <row r="867" spans="1:71" s="30" customFormat="1" ht="17.100000000000001" customHeight="1">
      <c r="A867" s="14">
        <v>856</v>
      </c>
      <c r="B867" s="5" t="s">
        <v>1568</v>
      </c>
      <c r="C867" s="3" t="s">
        <v>1803</v>
      </c>
      <c r="D867" s="3" t="s">
        <v>1562</v>
      </c>
      <c r="E867" s="6" t="s">
        <v>1563</v>
      </c>
      <c r="F867" s="5" t="s">
        <v>4386</v>
      </c>
      <c r="G867" s="3" t="s">
        <v>1564</v>
      </c>
      <c r="H867" s="6" t="s">
        <v>1565</v>
      </c>
      <c r="I867" s="3" t="s">
        <v>1566</v>
      </c>
      <c r="J867" s="5" t="s">
        <v>4782</v>
      </c>
      <c r="K867" s="3" t="s">
        <v>5863</v>
      </c>
      <c r="L867" s="3" t="s">
        <v>1569</v>
      </c>
      <c r="M867" s="5">
        <v>3</v>
      </c>
      <c r="N867" s="21">
        <v>715.32569999999998</v>
      </c>
      <c r="O867" s="35" t="s">
        <v>4854</v>
      </c>
      <c r="P867" s="36" t="str">
        <f>HYPERLINK("http://ms.phosphosite.org:5080/cgi-bin/plot-msms.cgi?MassType=1&amp;NumAxis=1&amp;Mod10=170&amp;Pep=AGDAPSEEKKGEGDAAPSEEK&amp;Dta=/var/www/html/dta/S01/10559.1913.3.dta&amp;Global_Mod=CS57.0215", "1913")</f>
        <v>1913</v>
      </c>
      <c r="Q867" s="35" t="s">
        <v>4854</v>
      </c>
      <c r="R867" s="35" t="s">
        <v>4854</v>
      </c>
      <c r="S867" s="35" t="s">
        <v>4854</v>
      </c>
      <c r="T867" s="35" t="s">
        <v>4854</v>
      </c>
      <c r="U867" s="36" t="str">
        <f>HYPERLINK("http://ms.phosphosite.org:5080/cgi-bin/plot-msms.cgi?MassType=1&amp;NumAxis=1&amp;Mod10=170&amp;Pep=AGDAPSEEKKGEGDAAPSEEK&amp;Dta=/var/www/html/dta/S01/10564.2140.3.dta&amp;Global_Mod=CS57.0215", "2140")</f>
        <v>2140</v>
      </c>
      <c r="V867" s="35" t="s">
        <v>4854</v>
      </c>
      <c r="W867" s="3" t="s">
        <v>4854</v>
      </c>
      <c r="X867" s="5">
        <v>1908</v>
      </c>
      <c r="Y867" s="3" t="s">
        <v>4854</v>
      </c>
      <c r="Z867" s="3" t="s">
        <v>4854</v>
      </c>
      <c r="AA867" s="3" t="s">
        <v>4854</v>
      </c>
      <c r="AB867" s="3" t="s">
        <v>4854</v>
      </c>
      <c r="AC867" s="5">
        <v>2144</v>
      </c>
      <c r="AD867" s="3" t="s">
        <v>4854</v>
      </c>
      <c r="AE867" s="99" t="s">
        <v>4854</v>
      </c>
      <c r="AF867" s="90">
        <v>2.9329999999999998</v>
      </c>
      <c r="AG867" s="99" t="s">
        <v>4854</v>
      </c>
      <c r="AH867" s="99" t="s">
        <v>4854</v>
      </c>
      <c r="AI867" s="99" t="s">
        <v>4854</v>
      </c>
      <c r="AJ867" s="99" t="s">
        <v>4854</v>
      </c>
      <c r="AK867" s="90">
        <v>3.1070000000000002</v>
      </c>
      <c r="AL867" s="99" t="s">
        <v>4854</v>
      </c>
      <c r="AM867" s="102" t="s">
        <v>4854</v>
      </c>
      <c r="AN867" s="21">
        <v>-1.1036999999999999</v>
      </c>
      <c r="AO867" s="102" t="s">
        <v>4854</v>
      </c>
      <c r="AP867" s="102" t="s">
        <v>4854</v>
      </c>
      <c r="AQ867" s="102" t="s">
        <v>4854</v>
      </c>
      <c r="AR867" s="102" t="s">
        <v>4854</v>
      </c>
      <c r="AS867" s="21">
        <v>0.28670000000000001</v>
      </c>
      <c r="AT867" s="102" t="s">
        <v>4854</v>
      </c>
      <c r="AU867" s="102" t="s">
        <v>4854</v>
      </c>
      <c r="AV867" s="21">
        <v>0.26</v>
      </c>
      <c r="AW867" s="102" t="s">
        <v>4854</v>
      </c>
      <c r="AX867" s="102" t="s">
        <v>4854</v>
      </c>
      <c r="AY867" s="102" t="s">
        <v>4854</v>
      </c>
      <c r="AZ867" s="102" t="s">
        <v>4854</v>
      </c>
      <c r="BA867" s="21">
        <v>0.33500000000000002</v>
      </c>
      <c r="BB867" s="102" t="s">
        <v>4854</v>
      </c>
      <c r="BC867" s="3" t="s">
        <v>4854</v>
      </c>
      <c r="BD867" s="5">
        <v>1</v>
      </c>
      <c r="BE867" s="3" t="s">
        <v>4854</v>
      </c>
      <c r="BF867" s="3" t="s">
        <v>4854</v>
      </c>
      <c r="BG867" s="3" t="s">
        <v>4854</v>
      </c>
      <c r="BH867" s="3" t="s">
        <v>4854</v>
      </c>
      <c r="BI867" s="5">
        <v>2</v>
      </c>
      <c r="BJ867" s="3" t="s">
        <v>4854</v>
      </c>
      <c r="BK867" s="99" t="s">
        <v>4854</v>
      </c>
      <c r="BL867" s="90">
        <v>0.99</v>
      </c>
      <c r="BM867" s="99" t="s">
        <v>4854</v>
      </c>
      <c r="BN867" s="99" t="s">
        <v>4854</v>
      </c>
      <c r="BO867" s="99" t="s">
        <v>4854</v>
      </c>
      <c r="BP867" s="99" t="s">
        <v>4854</v>
      </c>
      <c r="BQ867" s="90">
        <v>1</v>
      </c>
      <c r="BR867" s="99" t="s">
        <v>4854</v>
      </c>
      <c r="BS867" s="5" t="s">
        <v>4857</v>
      </c>
    </row>
    <row r="868" spans="1:71" s="30" customFormat="1" ht="17.100000000000001" customHeight="1">
      <c r="A868" s="10">
        <v>857</v>
      </c>
      <c r="B868" s="10" t="s">
        <v>1570</v>
      </c>
      <c r="C868" s="4" t="s">
        <v>1803</v>
      </c>
      <c r="D868" s="4" t="s">
        <v>1562</v>
      </c>
      <c r="E868" s="7" t="s">
        <v>1563</v>
      </c>
      <c r="F868" s="10" t="s">
        <v>4279</v>
      </c>
      <c r="G868" s="4" t="s">
        <v>1564</v>
      </c>
      <c r="H868" s="7" t="s">
        <v>1565</v>
      </c>
      <c r="I868" s="4" t="s">
        <v>1566</v>
      </c>
      <c r="J868" s="10" t="s">
        <v>4782</v>
      </c>
      <c r="K868" s="4" t="s">
        <v>5864</v>
      </c>
      <c r="L868" s="4" t="s">
        <v>1571</v>
      </c>
      <c r="M868" s="10">
        <v>3</v>
      </c>
      <c r="N868" s="95">
        <v>734.34500000000003</v>
      </c>
      <c r="O868" s="38" t="s">
        <v>4854</v>
      </c>
      <c r="P868" s="38" t="s">
        <v>4854</v>
      </c>
      <c r="Q868" s="38" t="s">
        <v>4854</v>
      </c>
      <c r="R868" s="38" t="s">
        <v>4854</v>
      </c>
      <c r="S868" s="38" t="s">
        <v>4854</v>
      </c>
      <c r="T868" s="38" t="s">
        <v>4854</v>
      </c>
      <c r="U868" s="38" t="s">
        <v>4854</v>
      </c>
      <c r="V868" s="37" t="str">
        <f>HYPERLINK("http://ms.phosphosite.org:5080/cgi-bin/plot-msms.cgi?MassType=1&amp;NumAxis=1&amp;Mod10=170&amp;Pep=ATTDNSPSSKAEDGPAKEEPK&amp;Dta=/var/www/html/dta/S01/10565.2696.3.dta&amp;Global_Mod=CS57.0215", "2696")</f>
        <v>2696</v>
      </c>
      <c r="W868" s="4" t="s">
        <v>4854</v>
      </c>
      <c r="X868" s="4" t="s">
        <v>4854</v>
      </c>
      <c r="Y868" s="4" t="s">
        <v>4854</v>
      </c>
      <c r="Z868" s="4" t="s">
        <v>4854</v>
      </c>
      <c r="AA868" s="4" t="s">
        <v>4854</v>
      </c>
      <c r="AB868" s="4" t="s">
        <v>4854</v>
      </c>
      <c r="AC868" s="4" t="s">
        <v>4854</v>
      </c>
      <c r="AD868" s="4" t="s">
        <v>4854</v>
      </c>
      <c r="AE868" s="100" t="s">
        <v>4854</v>
      </c>
      <c r="AF868" s="100" t="s">
        <v>4854</v>
      </c>
      <c r="AG868" s="100" t="s">
        <v>4854</v>
      </c>
      <c r="AH868" s="100" t="s">
        <v>4854</v>
      </c>
      <c r="AI868" s="100" t="s">
        <v>4854</v>
      </c>
      <c r="AJ868" s="100" t="s">
        <v>4854</v>
      </c>
      <c r="AK868" s="100" t="s">
        <v>4854</v>
      </c>
      <c r="AL868" s="91">
        <v>1.788</v>
      </c>
      <c r="AM868" s="103" t="s">
        <v>4854</v>
      </c>
      <c r="AN868" s="103" t="s">
        <v>4854</v>
      </c>
      <c r="AO868" s="103" t="s">
        <v>4854</v>
      </c>
      <c r="AP868" s="103" t="s">
        <v>4854</v>
      </c>
      <c r="AQ868" s="103" t="s">
        <v>4854</v>
      </c>
      <c r="AR868" s="103" t="s">
        <v>4854</v>
      </c>
      <c r="AS868" s="103" t="s">
        <v>4854</v>
      </c>
      <c r="AT868" s="95">
        <v>-0.81799999999999995</v>
      </c>
      <c r="AU868" s="103" t="s">
        <v>4854</v>
      </c>
      <c r="AV868" s="103" t="s">
        <v>4854</v>
      </c>
      <c r="AW868" s="103" t="s">
        <v>4854</v>
      </c>
      <c r="AX868" s="103" t="s">
        <v>4854</v>
      </c>
      <c r="AY868" s="103" t="s">
        <v>4854</v>
      </c>
      <c r="AZ868" s="103" t="s">
        <v>4854</v>
      </c>
      <c r="BA868" s="103" t="s">
        <v>4854</v>
      </c>
      <c r="BB868" s="95">
        <v>1E-3</v>
      </c>
      <c r="BC868" s="4" t="s">
        <v>4854</v>
      </c>
      <c r="BD868" s="4" t="s">
        <v>4854</v>
      </c>
      <c r="BE868" s="4" t="s">
        <v>4854</v>
      </c>
      <c r="BF868" s="4" t="s">
        <v>4854</v>
      </c>
      <c r="BG868" s="4" t="s">
        <v>4854</v>
      </c>
      <c r="BH868" s="4" t="s">
        <v>4854</v>
      </c>
      <c r="BI868" s="4" t="s">
        <v>4854</v>
      </c>
      <c r="BJ868" s="10">
        <v>114</v>
      </c>
      <c r="BK868" s="100" t="s">
        <v>4854</v>
      </c>
      <c r="BL868" s="100" t="s">
        <v>4854</v>
      </c>
      <c r="BM868" s="100" t="s">
        <v>4854</v>
      </c>
      <c r="BN868" s="100" t="s">
        <v>4854</v>
      </c>
      <c r="BO868" s="100" t="s">
        <v>4854</v>
      </c>
      <c r="BP868" s="100" t="s">
        <v>4854</v>
      </c>
      <c r="BQ868" s="100" t="s">
        <v>4854</v>
      </c>
      <c r="BR868" s="91">
        <v>0.16300000000000001</v>
      </c>
      <c r="BS868" s="10" t="s">
        <v>4857</v>
      </c>
    </row>
    <row r="869" spans="1:71" s="30" customFormat="1" ht="17.100000000000001" customHeight="1">
      <c r="A869" s="14">
        <v>858</v>
      </c>
      <c r="B869" s="5" t="s">
        <v>1572</v>
      </c>
      <c r="C869" s="3" t="s">
        <v>1803</v>
      </c>
      <c r="D869" s="3" t="s">
        <v>1562</v>
      </c>
      <c r="E869" s="6" t="s">
        <v>1563</v>
      </c>
      <c r="F869" s="5" t="s">
        <v>4750</v>
      </c>
      <c r="G869" s="3" t="s">
        <v>1564</v>
      </c>
      <c r="H869" s="6" t="s">
        <v>1565</v>
      </c>
      <c r="I869" s="3" t="s">
        <v>1566</v>
      </c>
      <c r="J869" s="5" t="s">
        <v>4782</v>
      </c>
      <c r="K869" s="3" t="s">
        <v>5865</v>
      </c>
      <c r="L869" s="3" t="s">
        <v>1573</v>
      </c>
      <c r="M869" s="5">
        <v>3</v>
      </c>
      <c r="N869" s="21">
        <v>966.78769999999997</v>
      </c>
      <c r="O869" s="35" t="s">
        <v>4854</v>
      </c>
      <c r="P869" s="36" t="str">
        <f>HYPERLINK("http://ms.phosphosite.org:5080/cgi-bin/plot-msms.cgi?MassType=1&amp;NumAxis=1&amp;Mod25=170&amp;Pep=AAQPPTETAESSQAEEEKDAVDEAKPK&amp;Dta=/var/www/html/dta/S01/10559.5493.3.dta&amp;Global_Mod=CS57.0215", "5493")</f>
        <v>5493</v>
      </c>
      <c r="Q869" s="36" t="str">
        <f>HYPERLINK("http://ms.phosphosite.org:5080/cgi-bin/plot-msms.cgi?MassType=1&amp;NumAxis=1&amp;Mod25=170&amp;Pep=AAQPPTETAESSQAEEEKDAVDEAKPK&amp;Dta=/var/www/html/dta/S01/10560.5395.3.dta&amp;Global_Mod=CS57.0215", "5395")</f>
        <v>5395</v>
      </c>
      <c r="R869" s="36" t="str">
        <f>HYPERLINK("http://ms.phosphosite.org:5080/cgi-bin/plot-msms.cgi?MassType=1&amp;NumAxis=1&amp;Mod25=170&amp;Pep=AAQPPTETAESSQAEEEKDAVDEAKPK&amp;Dta=/var/www/html/dta/S01/10561.5422.3.dta&amp;Global_Mod=CS57.0215", "5422")</f>
        <v>5422</v>
      </c>
      <c r="S869" s="36" t="str">
        <f>HYPERLINK("http://ms.phosphosite.org:5080/cgi-bin/plot-msms.cgi?MassType=1&amp;NumAxis=1&amp;Mod25=170&amp;Pep=AAQPPTETAESSQAEEEKDAVDEAKPK&amp;Dta=/var/www/html/dta/S01/10562.5527.3.dta&amp;Global_Mod=CS57.0215", "5527")</f>
        <v>5527</v>
      </c>
      <c r="T869" s="36" t="str">
        <f>HYPERLINK("http://ms.phosphosite.org:5080/cgi-bin/plot-msms.cgi?MassType=1&amp;NumAxis=1&amp;Mod25=170&amp;Pep=AAQPPTETAESSQAEEEKDAVDEAKPK&amp;Dta=/var/www/html/dta/S01/10563.5568.3.dta&amp;Global_Mod=CS57.0215", "5568")</f>
        <v>5568</v>
      </c>
      <c r="U869" s="36" t="str">
        <f>HYPERLINK("http://ms.phosphosite.org:5080/cgi-bin/plot-msms.cgi?MassType=1&amp;NumAxis=1&amp;Mod25=170&amp;Pep=AAQPPTETAESSQAEEEKDAVDEAKPK&amp;Dta=/var/www/html/dta/S01/10564.5794.3.dta&amp;Global_Mod=CS57.0215", "5794")</f>
        <v>5794</v>
      </c>
      <c r="V869" s="36" t="str">
        <f>HYPERLINK("http://ms.phosphosite.org:5080/cgi-bin/plot-msms.cgi?MassType=1&amp;NumAxis=1&amp;Mod25=170&amp;Pep=AAQPPTETAESSQAEEEKDAVDEAKPK&amp;Dta=/var/www/html/dta/S01/10565.5901.3.dta&amp;Global_Mod=CS57.0215", "5901")</f>
        <v>5901</v>
      </c>
      <c r="W869" s="3" t="s">
        <v>4854</v>
      </c>
      <c r="X869" s="5">
        <v>5436</v>
      </c>
      <c r="Y869" s="5">
        <v>5442</v>
      </c>
      <c r="Z869" s="5">
        <v>5513</v>
      </c>
      <c r="AA869" s="5">
        <v>5567</v>
      </c>
      <c r="AB869" s="5">
        <v>5529</v>
      </c>
      <c r="AC869" s="5">
        <v>5792</v>
      </c>
      <c r="AD869" s="5">
        <v>5888</v>
      </c>
      <c r="AE869" s="99" t="s">
        <v>4854</v>
      </c>
      <c r="AF869" s="90">
        <v>2.6179999999999999</v>
      </c>
      <c r="AG869" s="90">
        <v>1.651</v>
      </c>
      <c r="AH869" s="90">
        <v>2.1429999999999998</v>
      </c>
      <c r="AI869" s="90">
        <v>2.1139999999999999</v>
      </c>
      <c r="AJ869" s="90">
        <v>2.57</v>
      </c>
      <c r="AK869" s="90">
        <v>2.3039999999999998</v>
      </c>
      <c r="AL869" s="90">
        <v>1.74</v>
      </c>
      <c r="AM869" s="102" t="s">
        <v>4854</v>
      </c>
      <c r="AN869" s="21">
        <v>1.0801000000000001</v>
      </c>
      <c r="AO869" s="21">
        <v>1.333</v>
      </c>
      <c r="AP869" s="21">
        <v>1.1915</v>
      </c>
      <c r="AQ869" s="21">
        <v>0.91310000000000002</v>
      </c>
      <c r="AR869" s="21">
        <v>0.85129999999999995</v>
      </c>
      <c r="AS869" s="21">
        <v>0.74060000000000004</v>
      </c>
      <c r="AT869" s="21">
        <v>0.46800000000000003</v>
      </c>
      <c r="AU869" s="102" t="s">
        <v>4854</v>
      </c>
      <c r="AV869" s="21">
        <v>0.40699999999999997</v>
      </c>
      <c r="AW869" s="21">
        <v>0.20399999999999999</v>
      </c>
      <c r="AX869" s="21">
        <v>0.29799999999999999</v>
      </c>
      <c r="AY869" s="21">
        <v>0.35299999999999998</v>
      </c>
      <c r="AZ869" s="21">
        <v>0.32900000000000001</v>
      </c>
      <c r="BA869" s="21">
        <v>0.41599999999999998</v>
      </c>
      <c r="BB869" s="21">
        <v>0.14399999999999999</v>
      </c>
      <c r="BC869" s="3" t="s">
        <v>4854</v>
      </c>
      <c r="BD869" s="5">
        <v>1</v>
      </c>
      <c r="BE869" s="5">
        <v>2</v>
      </c>
      <c r="BF869" s="5">
        <v>1</v>
      </c>
      <c r="BG869" s="5">
        <v>1</v>
      </c>
      <c r="BH869" s="5">
        <v>7</v>
      </c>
      <c r="BI869" s="5">
        <v>1</v>
      </c>
      <c r="BJ869" s="5">
        <v>2</v>
      </c>
      <c r="BK869" s="99" t="s">
        <v>4854</v>
      </c>
      <c r="BL869" s="90">
        <v>1</v>
      </c>
      <c r="BM869" s="90">
        <v>0.97699999999999998</v>
      </c>
      <c r="BN869" s="90">
        <v>0.998</v>
      </c>
      <c r="BO869" s="90">
        <v>0.999</v>
      </c>
      <c r="BP869" s="90">
        <v>0.999</v>
      </c>
      <c r="BQ869" s="90">
        <v>1</v>
      </c>
      <c r="BR869" s="90">
        <v>0.96599999999999997</v>
      </c>
      <c r="BS869" s="5" t="s">
        <v>4857</v>
      </c>
    </row>
    <row r="870" spans="1:71" s="30" customFormat="1" ht="17.100000000000001" customHeight="1">
      <c r="A870" s="14">
        <v>859</v>
      </c>
      <c r="B870" s="5" t="s">
        <v>1574</v>
      </c>
      <c r="C870" s="3" t="s">
        <v>1803</v>
      </c>
      <c r="D870" s="3" t="s">
        <v>1562</v>
      </c>
      <c r="E870" s="6" t="s">
        <v>1563</v>
      </c>
      <c r="F870" s="5" t="s">
        <v>4750</v>
      </c>
      <c r="G870" s="3" t="s">
        <v>1564</v>
      </c>
      <c r="H870" s="6" t="s">
        <v>1565</v>
      </c>
      <c r="I870" s="3" t="s">
        <v>1566</v>
      </c>
      <c r="J870" s="5" t="s">
        <v>4782</v>
      </c>
      <c r="K870" s="3" t="s">
        <v>5865</v>
      </c>
      <c r="L870" s="3" t="s">
        <v>1573</v>
      </c>
      <c r="M870" s="5">
        <v>3</v>
      </c>
      <c r="N870" s="21">
        <v>966.78769999999997</v>
      </c>
      <c r="O870" s="35" t="s">
        <v>4854</v>
      </c>
      <c r="P870" s="36" t="str">
        <f>HYPERLINK("http://ms.phosphosite.org:5080/cgi-bin/plot-msms.cgi?MassType=1&amp;NumAxis=1&amp;Mod25=170&amp;Pep=AAQPPTETAESSQAEEEKDAVDEAKPK&amp;Dta=/var/www/html/dta/S01/10559.5404.3.dta&amp;Global_Mod=CS57.0215", "5404")</f>
        <v>5404</v>
      </c>
      <c r="Q870" s="36" t="str">
        <f>HYPERLINK("http://ms.phosphosite.org:5080/cgi-bin/plot-msms.cgi?MassType=1&amp;NumAxis=1&amp;Mod25=170&amp;Pep=AAQPPTETAESSQAEEEKDAVDEAKPK&amp;Dta=/var/www/html/dta/S01/10560.5478.3.dta&amp;Global_Mod=CS57.0215", "5478")</f>
        <v>5478</v>
      </c>
      <c r="R870" s="36" t="str">
        <f>HYPERLINK("http://ms.phosphosite.org:5080/cgi-bin/plot-msms.cgi?MassType=1&amp;NumAxis=1&amp;Mod25=170&amp;Pep=AAQPPTETAESSQAEEEKDAVDEAKPK&amp;Dta=/var/www/html/dta/S01/10561.5527.3.dta&amp;Global_Mod=CS57.0215", "5527")</f>
        <v>5527</v>
      </c>
      <c r="S870" s="36" t="str">
        <f>HYPERLINK("http://ms.phosphosite.org:5080/cgi-bin/plot-msms.cgi?MassType=1&amp;NumAxis=1&amp;Mod25=170&amp;Pep=AAQPPTETAESSQAEEEKDAVDEAKPK&amp;Dta=/var/www/html/dta/S01/10562.5516.3.dta&amp;Global_Mod=CS57.0215", "5516")</f>
        <v>5516</v>
      </c>
      <c r="T870" s="35" t="s">
        <v>4854</v>
      </c>
      <c r="U870" s="35" t="s">
        <v>4854</v>
      </c>
      <c r="V870" s="35" t="s">
        <v>4854</v>
      </c>
      <c r="W870" s="3" t="s">
        <v>4854</v>
      </c>
      <c r="X870" s="5">
        <v>5436</v>
      </c>
      <c r="Y870" s="3" t="s">
        <v>4854</v>
      </c>
      <c r="Z870" s="5">
        <v>5513</v>
      </c>
      <c r="AA870" s="5">
        <v>5567</v>
      </c>
      <c r="AB870" s="3" t="s">
        <v>4854</v>
      </c>
      <c r="AC870" s="3" t="s">
        <v>4854</v>
      </c>
      <c r="AD870" s="3" t="s">
        <v>4854</v>
      </c>
      <c r="AE870" s="99" t="s">
        <v>4854</v>
      </c>
      <c r="AF870" s="90">
        <v>1.962</v>
      </c>
      <c r="AG870" s="90">
        <v>1.3759999999999999</v>
      </c>
      <c r="AH870" s="90">
        <v>1.9990000000000001</v>
      </c>
      <c r="AI870" s="90">
        <v>1.952</v>
      </c>
      <c r="AJ870" s="99" t="s">
        <v>4854</v>
      </c>
      <c r="AK870" s="99" t="s">
        <v>4854</v>
      </c>
      <c r="AL870" s="99" t="s">
        <v>4854</v>
      </c>
      <c r="AM870" s="102" t="s">
        <v>4854</v>
      </c>
      <c r="AN870" s="21">
        <v>1.0076000000000001</v>
      </c>
      <c r="AO870" s="21">
        <v>1.2864</v>
      </c>
      <c r="AP870" s="21">
        <v>1.1791</v>
      </c>
      <c r="AQ870" s="21">
        <v>0.94730000000000003</v>
      </c>
      <c r="AR870" s="102" t="s">
        <v>4854</v>
      </c>
      <c r="AS870" s="102" t="s">
        <v>4854</v>
      </c>
      <c r="AT870" s="102" t="s">
        <v>4854</v>
      </c>
      <c r="AU870" s="102" t="s">
        <v>4854</v>
      </c>
      <c r="AV870" s="21">
        <v>0.30399999999999999</v>
      </c>
      <c r="AW870" s="21">
        <v>4.3999999999999997E-2</v>
      </c>
      <c r="AX870" s="21">
        <v>0.33900000000000002</v>
      </c>
      <c r="AY870" s="21">
        <v>0.23499999999999999</v>
      </c>
      <c r="AZ870" s="102" t="s">
        <v>4854</v>
      </c>
      <c r="BA870" s="102" t="s">
        <v>4854</v>
      </c>
      <c r="BB870" s="102" t="s">
        <v>4854</v>
      </c>
      <c r="BC870" s="3" t="s">
        <v>4854</v>
      </c>
      <c r="BD870" s="5">
        <v>2</v>
      </c>
      <c r="BE870" s="5">
        <v>1</v>
      </c>
      <c r="BF870" s="5">
        <v>1</v>
      </c>
      <c r="BG870" s="5">
        <v>2</v>
      </c>
      <c r="BH870" s="3" t="s">
        <v>4854</v>
      </c>
      <c r="BI870" s="3" t="s">
        <v>4854</v>
      </c>
      <c r="BJ870" s="3" t="s">
        <v>4854</v>
      </c>
      <c r="BK870" s="99" t="s">
        <v>4854</v>
      </c>
      <c r="BL870" s="90">
        <v>0.998</v>
      </c>
      <c r="BM870" s="90">
        <v>0.77100000000000002</v>
      </c>
      <c r="BN870" s="90">
        <v>0.999</v>
      </c>
      <c r="BO870" s="90">
        <v>0.99399999999999999</v>
      </c>
      <c r="BP870" s="99" t="s">
        <v>4854</v>
      </c>
      <c r="BQ870" s="99" t="s">
        <v>4854</v>
      </c>
      <c r="BR870" s="99" t="s">
        <v>4854</v>
      </c>
      <c r="BS870" s="5" t="s">
        <v>4857</v>
      </c>
    </row>
    <row r="871" spans="1:71" s="30" customFormat="1" ht="17.100000000000001" customHeight="1">
      <c r="A871" s="14">
        <v>860</v>
      </c>
      <c r="B871" s="5" t="s">
        <v>1575</v>
      </c>
      <c r="C871" s="3" t="s">
        <v>1803</v>
      </c>
      <c r="D871" s="3" t="s">
        <v>1562</v>
      </c>
      <c r="E871" s="6" t="s">
        <v>1563</v>
      </c>
      <c r="F871" s="5" t="s">
        <v>4750</v>
      </c>
      <c r="G871" s="3" t="s">
        <v>1564</v>
      </c>
      <c r="H871" s="6" t="s">
        <v>1565</v>
      </c>
      <c r="I871" s="3" t="s">
        <v>1566</v>
      </c>
      <c r="J871" s="5" t="s">
        <v>4782</v>
      </c>
      <c r="K871" s="3" t="s">
        <v>5865</v>
      </c>
      <c r="L871" s="3" t="s">
        <v>1573</v>
      </c>
      <c r="M871" s="5">
        <v>3</v>
      </c>
      <c r="N871" s="21">
        <v>966.78769999999997</v>
      </c>
      <c r="O871" s="35" t="s">
        <v>4854</v>
      </c>
      <c r="P871" s="35" t="s">
        <v>4854</v>
      </c>
      <c r="Q871" s="36" t="str">
        <f>HYPERLINK("http://ms.phosphosite.org:5080/cgi-bin/plot-msms.cgi?MassType=1&amp;NumAxis=1&amp;Mod25=170&amp;Pep=AAQPPTETAESSQAEEEKDAVDEAKPK&amp;Dta=/var/www/html/dta/S01/10560.5363.3.dta&amp;Global_Mod=CS57.0215", "5363")</f>
        <v>5363</v>
      </c>
      <c r="R871" s="35" t="s">
        <v>4854</v>
      </c>
      <c r="S871" s="35" t="s">
        <v>4854</v>
      </c>
      <c r="T871" s="35" t="s">
        <v>4854</v>
      </c>
      <c r="U871" s="35" t="s">
        <v>4854</v>
      </c>
      <c r="V871" s="35" t="s">
        <v>4854</v>
      </c>
      <c r="W871" s="3" t="s">
        <v>4854</v>
      </c>
      <c r="X871" s="3" t="s">
        <v>4854</v>
      </c>
      <c r="Y871" s="3" t="s">
        <v>4854</v>
      </c>
      <c r="Z871" s="3" t="s">
        <v>4854</v>
      </c>
      <c r="AA871" s="3" t="s">
        <v>4854</v>
      </c>
      <c r="AB871" s="3" t="s">
        <v>4854</v>
      </c>
      <c r="AC871" s="3" t="s">
        <v>4854</v>
      </c>
      <c r="AD871" s="3" t="s">
        <v>4854</v>
      </c>
      <c r="AE871" s="99" t="s">
        <v>4854</v>
      </c>
      <c r="AF871" s="99" t="s">
        <v>4854</v>
      </c>
      <c r="AG871" s="90">
        <v>1.274</v>
      </c>
      <c r="AH871" s="99" t="s">
        <v>4854</v>
      </c>
      <c r="AI871" s="99" t="s">
        <v>4854</v>
      </c>
      <c r="AJ871" s="99" t="s">
        <v>4854</v>
      </c>
      <c r="AK871" s="99" t="s">
        <v>4854</v>
      </c>
      <c r="AL871" s="99" t="s">
        <v>4854</v>
      </c>
      <c r="AM871" s="102" t="s">
        <v>4854</v>
      </c>
      <c r="AN871" s="102" t="s">
        <v>4854</v>
      </c>
      <c r="AO871" s="21">
        <v>1.3337000000000001</v>
      </c>
      <c r="AP871" s="102" t="s">
        <v>4854</v>
      </c>
      <c r="AQ871" s="102" t="s">
        <v>4854</v>
      </c>
      <c r="AR871" s="102" t="s">
        <v>4854</v>
      </c>
      <c r="AS871" s="102" t="s">
        <v>4854</v>
      </c>
      <c r="AT871" s="102" t="s">
        <v>4854</v>
      </c>
      <c r="AU871" s="102" t="s">
        <v>4854</v>
      </c>
      <c r="AV871" s="102" t="s">
        <v>4854</v>
      </c>
      <c r="AW871" s="21">
        <v>8.9999999999999993E-3</v>
      </c>
      <c r="AX871" s="102" t="s">
        <v>4854</v>
      </c>
      <c r="AY871" s="102" t="s">
        <v>4854</v>
      </c>
      <c r="AZ871" s="102" t="s">
        <v>4854</v>
      </c>
      <c r="BA871" s="102" t="s">
        <v>4854</v>
      </c>
      <c r="BB871" s="102" t="s">
        <v>4854</v>
      </c>
      <c r="BC871" s="3" t="s">
        <v>4854</v>
      </c>
      <c r="BD871" s="3" t="s">
        <v>4854</v>
      </c>
      <c r="BE871" s="5">
        <v>1</v>
      </c>
      <c r="BF871" s="3" t="s">
        <v>4854</v>
      </c>
      <c r="BG871" s="3" t="s">
        <v>4854</v>
      </c>
      <c r="BH871" s="3" t="s">
        <v>4854</v>
      </c>
      <c r="BI871" s="3" t="s">
        <v>4854</v>
      </c>
      <c r="BJ871" s="3" t="s">
        <v>4854</v>
      </c>
      <c r="BK871" s="99" t="s">
        <v>4854</v>
      </c>
      <c r="BL871" s="99" t="s">
        <v>4854</v>
      </c>
      <c r="BM871" s="90">
        <v>0.66100000000000003</v>
      </c>
      <c r="BN871" s="99" t="s">
        <v>4854</v>
      </c>
      <c r="BO871" s="99" t="s">
        <v>4854</v>
      </c>
      <c r="BP871" s="99" t="s">
        <v>4854</v>
      </c>
      <c r="BQ871" s="99" t="s">
        <v>4854</v>
      </c>
      <c r="BR871" s="99" t="s">
        <v>4854</v>
      </c>
      <c r="BS871" s="5" t="s">
        <v>4857</v>
      </c>
    </row>
    <row r="872" spans="1:71" s="30" customFormat="1" ht="17.100000000000001" customHeight="1">
      <c r="A872" s="14">
        <v>861</v>
      </c>
      <c r="B872" s="5" t="s">
        <v>1576</v>
      </c>
      <c r="C872" s="3" t="s">
        <v>1803</v>
      </c>
      <c r="D872" s="3" t="s">
        <v>1562</v>
      </c>
      <c r="E872" s="6" t="s">
        <v>1563</v>
      </c>
      <c r="F872" s="5" t="s">
        <v>4750</v>
      </c>
      <c r="G872" s="3" t="s">
        <v>1564</v>
      </c>
      <c r="H872" s="6" t="s">
        <v>1565</v>
      </c>
      <c r="I872" s="3" t="s">
        <v>1566</v>
      </c>
      <c r="J872" s="5" t="s">
        <v>4782</v>
      </c>
      <c r="K872" s="3" t="s">
        <v>5865</v>
      </c>
      <c r="L872" s="3" t="s">
        <v>1573</v>
      </c>
      <c r="M872" s="5">
        <v>4</v>
      </c>
      <c r="N872" s="21">
        <v>725.34259999999995</v>
      </c>
      <c r="O872" s="35" t="s">
        <v>4854</v>
      </c>
      <c r="P872" s="35" t="s">
        <v>4854</v>
      </c>
      <c r="Q872" s="36" t="str">
        <f>HYPERLINK("http://ms.phosphosite.org:5080/cgi-bin/plot-msms.cgi?MassType=1&amp;NumAxis=1&amp;Mod25=170&amp;Pep=AAQPPTETAESSQAEEEKDAVDEAKPK&amp;Dta=/var/www/html/dta/S01/10560.5447.4.dta&amp;Global_Mod=CS57.0215", "5447")</f>
        <v>5447</v>
      </c>
      <c r="R872" s="36" t="str">
        <f>HYPERLINK("http://ms.phosphosite.org:5080/cgi-bin/plot-msms.cgi?MassType=1&amp;NumAxis=1&amp;Mod25=170&amp;Pep=AAQPPTETAESSQAEEEKDAVDEAKPK&amp;Dta=/var/www/html/dta/S01/10561.5467.4.dta&amp;Global_Mod=CS57.0215", "5467")</f>
        <v>5467</v>
      </c>
      <c r="S872" s="35" t="s">
        <v>4854</v>
      </c>
      <c r="T872" s="36" t="str">
        <f>HYPERLINK("http://ms.phosphosite.org:5080/cgi-bin/plot-msms.cgi?MassType=1&amp;NumAxis=1&amp;Mod25=170&amp;Pep=AAQPPTETAESSQAEEEKDAVDEAKPK&amp;Dta=/var/www/html/dta/S01/10563.5505.4.dta&amp;Global_Mod=CS57.0215", "5505")</f>
        <v>5505</v>
      </c>
      <c r="U872" s="35" t="s">
        <v>4854</v>
      </c>
      <c r="V872" s="35" t="s">
        <v>4854</v>
      </c>
      <c r="W872" s="3" t="s">
        <v>4854</v>
      </c>
      <c r="X872" s="3" t="s">
        <v>4854</v>
      </c>
      <c r="Y872" s="5">
        <v>5420</v>
      </c>
      <c r="Z872" s="5">
        <v>5480</v>
      </c>
      <c r="AA872" s="3" t="s">
        <v>4854</v>
      </c>
      <c r="AB872" s="3" t="s">
        <v>4854</v>
      </c>
      <c r="AC872" s="3" t="s">
        <v>4854</v>
      </c>
      <c r="AD872" s="3" t="s">
        <v>4854</v>
      </c>
      <c r="AE872" s="99" t="s">
        <v>4854</v>
      </c>
      <c r="AF872" s="99" t="s">
        <v>4854</v>
      </c>
      <c r="AG872" s="90">
        <v>2.9180000000000001</v>
      </c>
      <c r="AH872" s="90">
        <v>2.5470000000000002</v>
      </c>
      <c r="AI872" s="99" t="s">
        <v>4854</v>
      </c>
      <c r="AJ872" s="90">
        <v>2.5169999999999999</v>
      </c>
      <c r="AK872" s="99" t="s">
        <v>4854</v>
      </c>
      <c r="AL872" s="99" t="s">
        <v>4854</v>
      </c>
      <c r="AM872" s="102" t="s">
        <v>4854</v>
      </c>
      <c r="AN872" s="102" t="s">
        <v>4854</v>
      </c>
      <c r="AO872" s="21">
        <v>0.91590000000000005</v>
      </c>
      <c r="AP872" s="21">
        <v>1.2823</v>
      </c>
      <c r="AQ872" s="102" t="s">
        <v>4854</v>
      </c>
      <c r="AR872" s="21">
        <v>1.4661999999999999</v>
      </c>
      <c r="AS872" s="102" t="s">
        <v>4854</v>
      </c>
      <c r="AT872" s="102" t="s">
        <v>4854</v>
      </c>
      <c r="AU872" s="102" t="s">
        <v>4854</v>
      </c>
      <c r="AV872" s="102" t="s">
        <v>4854</v>
      </c>
      <c r="AW872" s="21">
        <v>0.14399999999999999</v>
      </c>
      <c r="AX872" s="21">
        <v>2.9000000000000001E-2</v>
      </c>
      <c r="AY872" s="102" t="s">
        <v>4854</v>
      </c>
      <c r="AZ872" s="21">
        <v>2.3E-2</v>
      </c>
      <c r="BA872" s="102" t="s">
        <v>4854</v>
      </c>
      <c r="BB872" s="102" t="s">
        <v>4854</v>
      </c>
      <c r="BC872" s="3" t="s">
        <v>4854</v>
      </c>
      <c r="BD872" s="3" t="s">
        <v>4854</v>
      </c>
      <c r="BE872" s="5">
        <v>1</v>
      </c>
      <c r="BF872" s="5">
        <v>1</v>
      </c>
      <c r="BG872" s="3" t="s">
        <v>4854</v>
      </c>
      <c r="BH872" s="5">
        <v>133</v>
      </c>
      <c r="BI872" s="3" t="s">
        <v>4854</v>
      </c>
      <c r="BJ872" s="3" t="s">
        <v>4854</v>
      </c>
      <c r="BK872" s="99" t="s">
        <v>4854</v>
      </c>
      <c r="BL872" s="99" t="s">
        <v>4854</v>
      </c>
      <c r="BM872" s="90">
        <v>0.998</v>
      </c>
      <c r="BN872" s="90">
        <v>0.98699999999999999</v>
      </c>
      <c r="BO872" s="99" t="s">
        <v>4854</v>
      </c>
      <c r="BP872" s="90">
        <v>0.77100000000000002</v>
      </c>
      <c r="BQ872" s="99" t="s">
        <v>4854</v>
      </c>
      <c r="BR872" s="99" t="s">
        <v>4854</v>
      </c>
      <c r="BS872" s="5" t="s">
        <v>4857</v>
      </c>
    </row>
    <row r="873" spans="1:71" s="30" customFormat="1" ht="17.100000000000001" customHeight="1">
      <c r="A873" s="10">
        <v>862</v>
      </c>
      <c r="B873" s="10" t="s">
        <v>1577</v>
      </c>
      <c r="C873" s="4" t="s">
        <v>1803</v>
      </c>
      <c r="D873" s="4" t="s">
        <v>1562</v>
      </c>
      <c r="E873" s="7" t="s">
        <v>1563</v>
      </c>
      <c r="F873" s="10" t="s">
        <v>3986</v>
      </c>
      <c r="G873" s="4" t="s">
        <v>1564</v>
      </c>
      <c r="H873" s="7" t="s">
        <v>1565</v>
      </c>
      <c r="I873" s="4" t="s">
        <v>1566</v>
      </c>
      <c r="J873" s="10" t="s">
        <v>4782</v>
      </c>
      <c r="K873" s="4" t="s">
        <v>5866</v>
      </c>
      <c r="L873" s="4" t="s">
        <v>1578</v>
      </c>
      <c r="M873" s="10">
        <v>3</v>
      </c>
      <c r="N873" s="95">
        <v>966.78769999999997</v>
      </c>
      <c r="O873" s="37" t="str">
        <f>HYPERLINK("http://ms.phosphosite.org:5080/cgi-bin/plot-msms.cgi?MassType=1&amp;NumAxis=1&amp;Mod27=170&amp;Pep=AAQPPTETAESSQAEEEKDAVDEAKPK&amp;Dta=/var/www/html/dta/S01/10558.5561.3.dta&amp;Global_Mod=CS57.0215", "5561")</f>
        <v>5561</v>
      </c>
      <c r="P873" s="37" t="str">
        <f>HYPERLINK("http://ms.phosphosite.org:5080/cgi-bin/plot-msms.cgi?MassType=1&amp;NumAxis=1&amp;Mod27=170&amp;Pep=AAQPPTETAESSQAEEEKDAVDEAKPK&amp;Dta=/var/www/html/dta/S01/10559.5401.3.dta&amp;Global_Mod=CS57.0215", "5401")</f>
        <v>5401</v>
      </c>
      <c r="Q873" s="38" t="s">
        <v>4854</v>
      </c>
      <c r="R873" s="37" t="str">
        <f>HYPERLINK("http://ms.phosphosite.org:5080/cgi-bin/plot-msms.cgi?MassType=1&amp;NumAxis=1&amp;Mod27=170&amp;Pep=AAQPPTETAESSQAEEEKDAVDEAKPK&amp;Dta=/var/www/html/dta/S01/10561.5437.3.dta&amp;Global_Mod=CS57.0215", "5437")</f>
        <v>5437</v>
      </c>
      <c r="S873" s="38" t="s">
        <v>4854</v>
      </c>
      <c r="T873" s="37" t="str">
        <f>HYPERLINK("http://ms.phosphosite.org:5080/cgi-bin/plot-msms.cgi?MassType=1&amp;NumAxis=1&amp;Mod27=170&amp;Pep=AAQPPTETAESSQAEEEKDAVDEAKPK&amp;Dta=/var/www/html/dta/S01/10563.5473.3.dta&amp;Global_Mod=CS57.0215", "5473")</f>
        <v>5473</v>
      </c>
      <c r="U873" s="38" t="s">
        <v>4854</v>
      </c>
      <c r="V873" s="37" t="str">
        <f>HYPERLINK("http://ms.phosphosite.org:5080/cgi-bin/plot-msms.cgi?MassType=1&amp;NumAxis=1&amp;Mod27=170&amp;Pep=AAQPPTETAESSQAEEEKDAVDEAKPK&amp;Dta=/var/www/html/dta/S01/10565.5830.3.dta&amp;Global_Mod=CS57.0215", "5830")</f>
        <v>5830</v>
      </c>
      <c r="W873" s="4" t="s">
        <v>4854</v>
      </c>
      <c r="X873" s="10">
        <v>5436</v>
      </c>
      <c r="Y873" s="4" t="s">
        <v>4854</v>
      </c>
      <c r="Z873" s="10">
        <v>5513</v>
      </c>
      <c r="AA873" s="4" t="s">
        <v>4854</v>
      </c>
      <c r="AB873" s="10">
        <v>5529</v>
      </c>
      <c r="AC873" s="4" t="s">
        <v>4854</v>
      </c>
      <c r="AD873" s="4" t="s">
        <v>4854</v>
      </c>
      <c r="AE873" s="91">
        <v>1.9379999999999999</v>
      </c>
      <c r="AF873" s="91">
        <v>1.615</v>
      </c>
      <c r="AG873" s="100" t="s">
        <v>4854</v>
      </c>
      <c r="AH873" s="91">
        <v>2.3220000000000001</v>
      </c>
      <c r="AI873" s="100" t="s">
        <v>4854</v>
      </c>
      <c r="AJ873" s="91">
        <v>1.5740000000000001</v>
      </c>
      <c r="AK873" s="100" t="s">
        <v>4854</v>
      </c>
      <c r="AL873" s="91">
        <v>1.651</v>
      </c>
      <c r="AM873" s="95">
        <v>0.98</v>
      </c>
      <c r="AN873" s="95">
        <v>1.0169999999999999</v>
      </c>
      <c r="AO873" s="103" t="s">
        <v>4854</v>
      </c>
      <c r="AP873" s="95">
        <v>1.2133</v>
      </c>
      <c r="AQ873" s="103" t="s">
        <v>4854</v>
      </c>
      <c r="AR873" s="95">
        <v>0.81930000000000003</v>
      </c>
      <c r="AS873" s="103" t="s">
        <v>4854</v>
      </c>
      <c r="AT873" s="95">
        <v>0.42080000000000001</v>
      </c>
      <c r="AU873" s="95">
        <v>9.8000000000000004E-2</v>
      </c>
      <c r="AV873" s="95">
        <v>0.16400000000000001</v>
      </c>
      <c r="AW873" s="103" t="s">
        <v>4854</v>
      </c>
      <c r="AX873" s="95">
        <v>0.312</v>
      </c>
      <c r="AY873" s="103" t="s">
        <v>4854</v>
      </c>
      <c r="AZ873" s="95">
        <v>0.20200000000000001</v>
      </c>
      <c r="BA873" s="103" t="s">
        <v>4854</v>
      </c>
      <c r="BB873" s="95">
        <v>8.1000000000000003E-2</v>
      </c>
      <c r="BC873" s="10">
        <v>3</v>
      </c>
      <c r="BD873" s="10">
        <v>2</v>
      </c>
      <c r="BE873" s="4" t="s">
        <v>4854</v>
      </c>
      <c r="BF873" s="10">
        <v>1</v>
      </c>
      <c r="BG873" s="4" t="s">
        <v>4854</v>
      </c>
      <c r="BH873" s="10">
        <v>1</v>
      </c>
      <c r="BI873" s="4" t="s">
        <v>4854</v>
      </c>
      <c r="BJ873" s="10">
        <v>4</v>
      </c>
      <c r="BK873" s="91">
        <v>0.94899999999999995</v>
      </c>
      <c r="BL873" s="91">
        <v>0.96799999999999997</v>
      </c>
      <c r="BM873" s="100" t="s">
        <v>4854</v>
      </c>
      <c r="BN873" s="91">
        <v>0.999</v>
      </c>
      <c r="BO873" s="100" t="s">
        <v>4854</v>
      </c>
      <c r="BP873" s="91">
        <v>0.98299999999999998</v>
      </c>
      <c r="BQ873" s="100" t="s">
        <v>4854</v>
      </c>
      <c r="BR873" s="91">
        <v>0.89500000000000002</v>
      </c>
      <c r="BS873" s="10" t="s">
        <v>4857</v>
      </c>
    </row>
    <row r="874" spans="1:71" s="30" customFormat="1" ht="17.100000000000001" customHeight="1">
      <c r="A874" s="10">
        <v>863</v>
      </c>
      <c r="B874" s="10" t="s">
        <v>1579</v>
      </c>
      <c r="C874" s="4" t="s">
        <v>1803</v>
      </c>
      <c r="D874" s="4" t="s">
        <v>1562</v>
      </c>
      <c r="E874" s="7" t="s">
        <v>1563</v>
      </c>
      <c r="F874" s="10" t="s">
        <v>3986</v>
      </c>
      <c r="G874" s="4" t="s">
        <v>1564</v>
      </c>
      <c r="H874" s="7" t="s">
        <v>1565</v>
      </c>
      <c r="I874" s="4" t="s">
        <v>1566</v>
      </c>
      <c r="J874" s="10" t="s">
        <v>4782</v>
      </c>
      <c r="K874" s="4" t="s">
        <v>5866</v>
      </c>
      <c r="L874" s="4" t="s">
        <v>1578</v>
      </c>
      <c r="M874" s="10">
        <v>4</v>
      </c>
      <c r="N874" s="95">
        <v>725.34259999999995</v>
      </c>
      <c r="O874" s="38" t="s">
        <v>4854</v>
      </c>
      <c r="P874" s="38" t="s">
        <v>4854</v>
      </c>
      <c r="Q874" s="38" t="s">
        <v>4854</v>
      </c>
      <c r="R874" s="38" t="s">
        <v>4854</v>
      </c>
      <c r="S874" s="38" t="s">
        <v>4854</v>
      </c>
      <c r="T874" s="38" t="s">
        <v>4854</v>
      </c>
      <c r="U874" s="37" t="str">
        <f>HYPERLINK("http://ms.phosphosite.org:5080/cgi-bin/plot-msms.cgi?MassType=1&amp;NumAxis=1&amp;Mod27=170&amp;Pep=AAQPPTETAESSQAEEEKDAVDEAKPK&amp;Dta=/var/www/html/dta/S01/10564.5767.4.dta&amp;Global_Mod=CS57.0215", "5767")</f>
        <v>5767</v>
      </c>
      <c r="V874" s="38" t="s">
        <v>4854</v>
      </c>
      <c r="W874" s="4" t="s">
        <v>4854</v>
      </c>
      <c r="X874" s="4" t="s">
        <v>4854</v>
      </c>
      <c r="Y874" s="4" t="s">
        <v>4854</v>
      </c>
      <c r="Z874" s="4" t="s">
        <v>4854</v>
      </c>
      <c r="AA874" s="4" t="s">
        <v>4854</v>
      </c>
      <c r="AB874" s="4" t="s">
        <v>4854</v>
      </c>
      <c r="AC874" s="10">
        <v>5803</v>
      </c>
      <c r="AD874" s="4" t="s">
        <v>4854</v>
      </c>
      <c r="AE874" s="100" t="s">
        <v>4854</v>
      </c>
      <c r="AF874" s="100" t="s">
        <v>4854</v>
      </c>
      <c r="AG874" s="100" t="s">
        <v>4854</v>
      </c>
      <c r="AH874" s="100" t="s">
        <v>4854</v>
      </c>
      <c r="AI874" s="100" t="s">
        <v>4854</v>
      </c>
      <c r="AJ874" s="100" t="s">
        <v>4854</v>
      </c>
      <c r="AK874" s="91">
        <v>3.78</v>
      </c>
      <c r="AL874" s="100" t="s">
        <v>4854</v>
      </c>
      <c r="AM874" s="103" t="s">
        <v>4854</v>
      </c>
      <c r="AN874" s="103" t="s">
        <v>4854</v>
      </c>
      <c r="AO874" s="103" t="s">
        <v>4854</v>
      </c>
      <c r="AP874" s="103" t="s">
        <v>4854</v>
      </c>
      <c r="AQ874" s="103" t="s">
        <v>4854</v>
      </c>
      <c r="AR874" s="103" t="s">
        <v>4854</v>
      </c>
      <c r="AS874" s="95">
        <v>0.4849</v>
      </c>
      <c r="AT874" s="103" t="s">
        <v>4854</v>
      </c>
      <c r="AU874" s="103" t="s">
        <v>4854</v>
      </c>
      <c r="AV874" s="103" t="s">
        <v>4854</v>
      </c>
      <c r="AW874" s="103" t="s">
        <v>4854</v>
      </c>
      <c r="AX874" s="103" t="s">
        <v>4854</v>
      </c>
      <c r="AY874" s="103" t="s">
        <v>4854</v>
      </c>
      <c r="AZ874" s="103" t="s">
        <v>4854</v>
      </c>
      <c r="BA874" s="95">
        <v>0.24399999999999999</v>
      </c>
      <c r="BB874" s="103" t="s">
        <v>4854</v>
      </c>
      <c r="BC874" s="4" t="s">
        <v>4854</v>
      </c>
      <c r="BD874" s="4" t="s">
        <v>4854</v>
      </c>
      <c r="BE874" s="4" t="s">
        <v>4854</v>
      </c>
      <c r="BF874" s="4" t="s">
        <v>4854</v>
      </c>
      <c r="BG874" s="4" t="s">
        <v>4854</v>
      </c>
      <c r="BH874" s="4" t="s">
        <v>4854</v>
      </c>
      <c r="BI874" s="10">
        <v>2</v>
      </c>
      <c r="BJ874" s="4" t="s">
        <v>4854</v>
      </c>
      <c r="BK874" s="100" t="s">
        <v>4854</v>
      </c>
      <c r="BL874" s="100" t="s">
        <v>4854</v>
      </c>
      <c r="BM874" s="100" t="s">
        <v>4854</v>
      </c>
      <c r="BN874" s="100" t="s">
        <v>4854</v>
      </c>
      <c r="BO874" s="100" t="s">
        <v>4854</v>
      </c>
      <c r="BP874" s="100" t="s">
        <v>4854</v>
      </c>
      <c r="BQ874" s="91">
        <v>1</v>
      </c>
      <c r="BR874" s="100" t="s">
        <v>4854</v>
      </c>
      <c r="BS874" s="10" t="s">
        <v>4857</v>
      </c>
    </row>
    <row r="875" spans="1:71" s="30" customFormat="1" ht="17.100000000000001" customHeight="1">
      <c r="A875" s="14">
        <v>864</v>
      </c>
      <c r="B875" s="5" t="s">
        <v>1580</v>
      </c>
      <c r="C875" s="3" t="s">
        <v>1803</v>
      </c>
      <c r="D875" s="3" t="s">
        <v>1562</v>
      </c>
      <c r="E875" s="6" t="s">
        <v>1563</v>
      </c>
      <c r="F875" s="5" t="s">
        <v>3892</v>
      </c>
      <c r="G875" s="3" t="s">
        <v>1564</v>
      </c>
      <c r="H875" s="6" t="s">
        <v>1565</v>
      </c>
      <c r="I875" s="3" t="s">
        <v>1566</v>
      </c>
      <c r="J875" s="5" t="s">
        <v>4782</v>
      </c>
      <c r="K875" s="3" t="s">
        <v>5867</v>
      </c>
      <c r="L875" s="3" t="s">
        <v>1581</v>
      </c>
      <c r="M875" s="5">
        <v>3</v>
      </c>
      <c r="N875" s="21">
        <v>728.30880000000002</v>
      </c>
      <c r="O875" s="36" t="str">
        <f>HYPERLINK("http://ms.phosphosite.org:5080/cgi-bin/plot-msms.cgi?MassType=1&amp;NumAxis=1&amp;Mod9=170&amp;Pep=ESARQDEGKEDPEADQEHA&amp;Dta=/var/www/html/dta/S01/10558.2184.3.dta&amp;Global_Mod=CS57.0215", "2184")</f>
        <v>2184</v>
      </c>
      <c r="P875" s="36" t="str">
        <f>HYPERLINK("http://ms.phosphosite.org:5080/cgi-bin/plot-msms.cgi?MassType=1&amp;NumAxis=1&amp;Mod9=170&amp;Pep=ESARQDEGKEDPEADQEHA&amp;Dta=/var/www/html/dta/S01/10559.2147.3.dta&amp;Global_Mod=CS57.0215", "2147")</f>
        <v>2147</v>
      </c>
      <c r="Q875" s="36" t="str">
        <f>HYPERLINK("http://ms.phosphosite.org:5080/cgi-bin/plot-msms.cgi?MassType=1&amp;NumAxis=1&amp;Mod9=170&amp;Pep=ESARQDEGKEDPEADQEHA&amp;Dta=/var/www/html/dta/S01/10560.2097.3.dta&amp;Global_Mod=CS57.0215", "2097")</f>
        <v>2097</v>
      </c>
      <c r="R875" s="36" t="str">
        <f>HYPERLINK("http://ms.phosphosite.org:5080/cgi-bin/plot-msms.cgi?MassType=1&amp;NumAxis=1&amp;Mod9=170&amp;Pep=ESARQDEGKEDPEADQEHA&amp;Dta=/var/www/html/dta/S01/10561.2150.3.dta&amp;Global_Mod=CS57.0215", "2150")</f>
        <v>2150</v>
      </c>
      <c r="S875" s="36" t="str">
        <f>HYPERLINK("http://ms.phosphosite.org:5080/cgi-bin/plot-msms.cgi?MassType=1&amp;NumAxis=1&amp;Mod9=170&amp;Pep=ESARQDEGKEDPEADQEHA&amp;Dta=/var/www/html/dta/S01/10562.2226.3.dta&amp;Global_Mod=CS57.0215", "2226")</f>
        <v>2226</v>
      </c>
      <c r="T875" s="36" t="str">
        <f>HYPERLINK("http://ms.phosphosite.org:5080/cgi-bin/plot-msms.cgi?MassType=1&amp;NumAxis=1&amp;Mod9=170&amp;Pep=ESARQDEGKEDPEADQEHA&amp;Dta=/var/www/html/dta/S01/10563.2141.3.dta&amp;Global_Mod=CS57.0215", "2141")</f>
        <v>2141</v>
      </c>
      <c r="U875" s="36" t="str">
        <f>HYPERLINK("http://ms.phosphosite.org:5080/cgi-bin/plot-msms.cgi?MassType=1&amp;NumAxis=1&amp;Mod9=170&amp;Pep=ESARQDEGKEDPEADQEHA&amp;Dta=/var/www/html/dta/S01/10564.2391.3.dta&amp;Global_Mod=CS57.0215", "2391")</f>
        <v>2391</v>
      </c>
      <c r="V875" s="36" t="str">
        <f>HYPERLINK("http://ms.phosphosite.org:5080/cgi-bin/plot-msms.cgi?MassType=1&amp;NumAxis=1&amp;Mod9=170&amp;Pep=ESARQDEGKEDPEADQEHA&amp;Dta=/var/www/html/dta/S01/10565.2479.3.dta&amp;Global_Mod=CS57.0215", "2479")</f>
        <v>2479</v>
      </c>
      <c r="W875" s="5">
        <v>2193</v>
      </c>
      <c r="X875" s="5">
        <v>2156</v>
      </c>
      <c r="Y875" s="5">
        <v>2113</v>
      </c>
      <c r="Z875" s="5">
        <v>2169</v>
      </c>
      <c r="AA875" s="3" t="s">
        <v>4854</v>
      </c>
      <c r="AB875" s="5">
        <v>2137</v>
      </c>
      <c r="AC875" s="5">
        <v>2398</v>
      </c>
      <c r="AD875" s="5">
        <v>2498</v>
      </c>
      <c r="AE875" s="90">
        <v>3.0990000000000002</v>
      </c>
      <c r="AF875" s="90">
        <v>3.4550000000000001</v>
      </c>
      <c r="AG875" s="90">
        <v>2.371</v>
      </c>
      <c r="AH875" s="90">
        <v>3.0830000000000002</v>
      </c>
      <c r="AI875" s="90">
        <v>3.3889999999999998</v>
      </c>
      <c r="AJ875" s="90">
        <v>3.2370000000000001</v>
      </c>
      <c r="AK875" s="90">
        <v>3.1890000000000001</v>
      </c>
      <c r="AL875" s="90">
        <v>3.2</v>
      </c>
      <c r="AM875" s="21">
        <v>-0.76490000000000002</v>
      </c>
      <c r="AN875" s="21">
        <v>-0.80469999999999997</v>
      </c>
      <c r="AO875" s="21">
        <v>-0.22520000000000001</v>
      </c>
      <c r="AP875" s="21">
        <v>0.33179999999999998</v>
      </c>
      <c r="AQ875" s="21">
        <v>0.30109999999999998</v>
      </c>
      <c r="AR875" s="21">
        <v>0.28739999999999999</v>
      </c>
      <c r="AS875" s="21">
        <v>-0.11990000000000001</v>
      </c>
      <c r="AT875" s="21">
        <v>-0.86570000000000003</v>
      </c>
      <c r="AU875" s="21">
        <v>0.28299999999999997</v>
      </c>
      <c r="AV875" s="21">
        <v>0.32700000000000001</v>
      </c>
      <c r="AW875" s="21">
        <v>0.19</v>
      </c>
      <c r="AX875" s="21">
        <v>0.221</v>
      </c>
      <c r="AY875" s="21">
        <v>0.20399999999999999</v>
      </c>
      <c r="AZ875" s="21">
        <v>0.186</v>
      </c>
      <c r="BA875" s="21">
        <v>0.14299999999999999</v>
      </c>
      <c r="BB875" s="21">
        <v>0.28999999999999998</v>
      </c>
      <c r="BC875" s="5">
        <v>1</v>
      </c>
      <c r="BD875" s="5">
        <v>2</v>
      </c>
      <c r="BE875" s="5">
        <v>2</v>
      </c>
      <c r="BF875" s="5">
        <v>1</v>
      </c>
      <c r="BG875" s="5">
        <v>3</v>
      </c>
      <c r="BH875" s="5">
        <v>1</v>
      </c>
      <c r="BI875" s="5">
        <v>5</v>
      </c>
      <c r="BJ875" s="5">
        <v>1</v>
      </c>
      <c r="BK875" s="90">
        <v>0.99399999999999999</v>
      </c>
      <c r="BL875" s="90">
        <v>0.997</v>
      </c>
      <c r="BM875" s="90">
        <v>0.995</v>
      </c>
      <c r="BN875" s="90">
        <v>0.999</v>
      </c>
      <c r="BO875" s="90">
        <v>0.999</v>
      </c>
      <c r="BP875" s="90">
        <v>0.998</v>
      </c>
      <c r="BQ875" s="90">
        <v>0.995</v>
      </c>
      <c r="BR875" s="90">
        <v>0.995</v>
      </c>
      <c r="BS875" s="5" t="s">
        <v>4857</v>
      </c>
    </row>
    <row r="876" spans="1:71" s="30" customFormat="1" ht="17.100000000000001" customHeight="1">
      <c r="A876" s="14">
        <v>865</v>
      </c>
      <c r="B876" s="5" t="s">
        <v>1582</v>
      </c>
      <c r="C876" s="3" t="s">
        <v>1803</v>
      </c>
      <c r="D876" s="3" t="s">
        <v>1562</v>
      </c>
      <c r="E876" s="6" t="s">
        <v>1563</v>
      </c>
      <c r="F876" s="5" t="s">
        <v>3892</v>
      </c>
      <c r="G876" s="3" t="s">
        <v>1564</v>
      </c>
      <c r="H876" s="6" t="s">
        <v>1565</v>
      </c>
      <c r="I876" s="3" t="s">
        <v>1566</v>
      </c>
      <c r="J876" s="5" t="s">
        <v>4782</v>
      </c>
      <c r="K876" s="3" t="s">
        <v>5867</v>
      </c>
      <c r="L876" s="3" t="s">
        <v>1583</v>
      </c>
      <c r="M876" s="5">
        <v>2</v>
      </c>
      <c r="N876" s="21">
        <v>870.35320000000002</v>
      </c>
      <c r="O876" s="36" t="str">
        <f>HYPERLINK("http://ms.phosphosite.org:5080/cgi-bin/plot-msms.cgi?MassType=1&amp;NumAxis=1&amp;Mod5=170&amp;Pep=QDEGKEDPEADQEHA&amp;Dta=/var/www/html/dta/S01/10558.2523.2.dta&amp;Global_Mod=CS57.0215", "2523")</f>
        <v>2523</v>
      </c>
      <c r="P876" s="35" t="s">
        <v>4854</v>
      </c>
      <c r="Q876" s="36" t="str">
        <f>HYPERLINK("http://ms.phosphosite.org:5080/cgi-bin/plot-msms.cgi?MassType=1&amp;NumAxis=1&amp;Mod5=170&amp;Pep=QDEGKEDPEADQEHA&amp;Dta=/var/www/html/dta/S01/10560.2434.2.dta&amp;Global_Mod=CS57.0215", "2434")</f>
        <v>2434</v>
      </c>
      <c r="R876" s="35" t="s">
        <v>4854</v>
      </c>
      <c r="S876" s="35" t="s">
        <v>4854</v>
      </c>
      <c r="T876" s="36" t="str">
        <f>HYPERLINK("http://ms.phosphosite.org:5080/cgi-bin/plot-msms.cgi?MassType=1&amp;NumAxis=1&amp;Mod5=170&amp;Pep=QDEGKEDPEADQEHA&amp;Dta=/var/www/html/dta/S01/10563.2499.2.dta&amp;Global_Mod=CS57.0215", "2499")</f>
        <v>2499</v>
      </c>
      <c r="U876" s="36" t="str">
        <f>HYPERLINK("http://ms.phosphosite.org:5080/cgi-bin/plot-msms.cgi?MassType=1&amp;NumAxis=1&amp;Mod5=170&amp;Pep=QDEGKEDPEADQEHA&amp;Dta=/var/www/html/dta/S01/10564.2784.2.dta&amp;Global_Mod=CS57.0215", "2784")</f>
        <v>2784</v>
      </c>
      <c r="V876" s="36" t="str">
        <f>HYPERLINK("http://ms.phosphosite.org:5080/cgi-bin/plot-msms.cgi?MassType=1&amp;NumAxis=1&amp;Mod5=170&amp;Pep=QDEGKEDPEADQEHA&amp;Dta=/var/www/html/dta/S01/10565.2857.2.dta&amp;Global_Mod=CS57.0215", "2857")</f>
        <v>2857</v>
      </c>
      <c r="W876" s="5">
        <v>2519</v>
      </c>
      <c r="X876" s="3" t="s">
        <v>4854</v>
      </c>
      <c r="Y876" s="5">
        <v>2428</v>
      </c>
      <c r="Z876" s="3" t="s">
        <v>4854</v>
      </c>
      <c r="AA876" s="3" t="s">
        <v>4854</v>
      </c>
      <c r="AB876" s="5">
        <v>2478</v>
      </c>
      <c r="AC876" s="5">
        <v>2775</v>
      </c>
      <c r="AD876" s="5">
        <v>2851</v>
      </c>
      <c r="AE876" s="90">
        <v>2.8079999999999998</v>
      </c>
      <c r="AF876" s="99" t="s">
        <v>4854</v>
      </c>
      <c r="AG876" s="90">
        <v>2.7349999999999999</v>
      </c>
      <c r="AH876" s="99" t="s">
        <v>4854</v>
      </c>
      <c r="AI876" s="99" t="s">
        <v>4854</v>
      </c>
      <c r="AJ876" s="90">
        <v>2.2719999999999998</v>
      </c>
      <c r="AK876" s="90">
        <v>3.5950000000000002</v>
      </c>
      <c r="AL876" s="90">
        <v>1.7889999999999999</v>
      </c>
      <c r="AM876" s="21">
        <v>0.9839</v>
      </c>
      <c r="AN876" s="102" t="s">
        <v>4854</v>
      </c>
      <c r="AO876" s="21">
        <v>0.75509999999999999</v>
      </c>
      <c r="AP876" s="102" t="s">
        <v>4854</v>
      </c>
      <c r="AQ876" s="102" t="s">
        <v>4854</v>
      </c>
      <c r="AR876" s="21">
        <v>0.74590000000000001</v>
      </c>
      <c r="AS876" s="21">
        <v>1.3178000000000001</v>
      </c>
      <c r="AT876" s="21">
        <v>0.5091</v>
      </c>
      <c r="AU876" s="21">
        <v>0.29899999999999999</v>
      </c>
      <c r="AV876" s="102" t="s">
        <v>4854</v>
      </c>
      <c r="AW876" s="21">
        <v>0.39300000000000002</v>
      </c>
      <c r="AX876" s="102" t="s">
        <v>4854</v>
      </c>
      <c r="AY876" s="102" t="s">
        <v>4854</v>
      </c>
      <c r="AZ876" s="21">
        <v>0.315</v>
      </c>
      <c r="BA876" s="21">
        <v>0.39400000000000002</v>
      </c>
      <c r="BB876" s="21">
        <v>0.28100000000000003</v>
      </c>
      <c r="BC876" s="5">
        <v>1</v>
      </c>
      <c r="BD876" s="3" t="s">
        <v>4854</v>
      </c>
      <c r="BE876" s="5">
        <v>1</v>
      </c>
      <c r="BF876" s="3" t="s">
        <v>4854</v>
      </c>
      <c r="BG876" s="3" t="s">
        <v>4854</v>
      </c>
      <c r="BH876" s="5">
        <v>1</v>
      </c>
      <c r="BI876" s="5">
        <v>1</v>
      </c>
      <c r="BJ876" s="5">
        <v>1</v>
      </c>
      <c r="BK876" s="90">
        <v>0.999</v>
      </c>
      <c r="BL876" s="99" t="s">
        <v>4854</v>
      </c>
      <c r="BM876" s="90">
        <v>1</v>
      </c>
      <c r="BN876" s="99" t="s">
        <v>4854</v>
      </c>
      <c r="BO876" s="99" t="s">
        <v>4854</v>
      </c>
      <c r="BP876" s="90">
        <v>0.999</v>
      </c>
      <c r="BQ876" s="90">
        <v>1</v>
      </c>
      <c r="BR876" s="90">
        <v>0.995</v>
      </c>
      <c r="BS876" s="5" t="s">
        <v>4857</v>
      </c>
    </row>
    <row r="877" spans="1:71" s="30" customFormat="1" ht="17.100000000000001" customHeight="1">
      <c r="A877" s="10">
        <v>866</v>
      </c>
      <c r="B877" s="10" t="s">
        <v>1584</v>
      </c>
      <c r="C877" s="4" t="s">
        <v>1803</v>
      </c>
      <c r="D877" s="4" t="s">
        <v>1562</v>
      </c>
      <c r="E877" s="7" t="s">
        <v>1563</v>
      </c>
      <c r="F877" s="10" t="s">
        <v>4666</v>
      </c>
      <c r="G877" s="4" t="s">
        <v>1564</v>
      </c>
      <c r="H877" s="7" t="s">
        <v>1565</v>
      </c>
      <c r="I877" s="4" t="s">
        <v>1566</v>
      </c>
      <c r="J877" s="10" t="s">
        <v>4782</v>
      </c>
      <c r="K877" s="4" t="s">
        <v>5868</v>
      </c>
      <c r="L877" s="4" t="s">
        <v>1585</v>
      </c>
      <c r="M877" s="10">
        <v>2</v>
      </c>
      <c r="N877" s="95">
        <v>650.32500000000005</v>
      </c>
      <c r="O877" s="37" t="str">
        <f>HYPERLINK("http://ms.phosphosite.org:5080/cgi-bin/plot-msms.cgi?MassType=1&amp;NumAxis=1&amp;Mod7=170&amp;Pep=IEQDGVKPEDK&amp;Dta=/var/www/html/dta/S01/10558.2448.2.dta&amp;Global_Mod=CS57.0215", "2448")</f>
        <v>2448</v>
      </c>
      <c r="P877" s="37" t="str">
        <f>HYPERLINK("http://ms.phosphosite.org:5080/cgi-bin/plot-msms.cgi?MassType=1&amp;NumAxis=1&amp;Mod7=170&amp;Pep=IEQDGVKPEDK&amp;Dta=/var/www/html/dta/S01/10559.2414.2.dta&amp;Global_Mod=CS57.0215", "2414")</f>
        <v>2414</v>
      </c>
      <c r="Q877" s="38" t="s">
        <v>4854</v>
      </c>
      <c r="R877" s="37" t="str">
        <f>HYPERLINK("http://ms.phosphosite.org:5080/cgi-bin/plot-msms.cgi?MassType=1&amp;NumAxis=1&amp;Mod7=170&amp;Pep=IEQDGVKPEDK&amp;Dta=/var/www/html/dta/S01/10561.2435.2.dta&amp;Global_Mod=CS57.0215", "2435")</f>
        <v>2435</v>
      </c>
      <c r="S877" s="37" t="str">
        <f>HYPERLINK("http://ms.phosphosite.org:5080/cgi-bin/plot-msms.cgi?MassType=1&amp;NumAxis=1&amp;Mod7=170&amp;Pep=IEQDGVKPEDK&amp;Dta=/var/www/html/dta/S01/10562.2507.2.dta&amp;Global_Mod=CS57.0215", "2507")</f>
        <v>2507</v>
      </c>
      <c r="T877" s="37" t="str">
        <f>HYPERLINK("http://ms.phosphosite.org:5080/cgi-bin/plot-msms.cgi?MassType=1&amp;NumAxis=1&amp;Mod7=170&amp;Pep=IEQDGVKPEDK&amp;Dta=/var/www/html/dta/S01/10563.2420.2.dta&amp;Global_Mod=CS57.0215", "2420")</f>
        <v>2420</v>
      </c>
      <c r="U877" s="37" t="str">
        <f>HYPERLINK("http://ms.phosphosite.org:5080/cgi-bin/plot-msms.cgi?MassType=1&amp;NumAxis=1&amp;Mod7=170&amp;Pep=IEQDGVKPEDK&amp;Dta=/var/www/html/dta/S01/10564.2716.2.dta&amp;Global_Mod=CS57.0215", "2716")</f>
        <v>2716</v>
      </c>
      <c r="V877" s="37" t="str">
        <f>HYPERLINK("http://ms.phosphosite.org:5080/cgi-bin/plot-msms.cgi?MassType=1&amp;NumAxis=1&amp;Mod7=170&amp;Pep=IEQDGVKPEDK&amp;Dta=/var/www/html/dta/S01/10565.2770.2.dta&amp;Global_Mod=CS57.0215", "2770")</f>
        <v>2770</v>
      </c>
      <c r="W877" s="10">
        <v>2455</v>
      </c>
      <c r="X877" s="10">
        <v>2417</v>
      </c>
      <c r="Y877" s="4" t="s">
        <v>4854</v>
      </c>
      <c r="Z877" s="10">
        <v>2432</v>
      </c>
      <c r="AA877" s="10">
        <v>2503</v>
      </c>
      <c r="AB877" s="10">
        <v>2423</v>
      </c>
      <c r="AC877" s="10">
        <v>2720</v>
      </c>
      <c r="AD877" s="10">
        <v>2775</v>
      </c>
      <c r="AE877" s="91">
        <v>3.2330000000000001</v>
      </c>
      <c r="AF877" s="91">
        <v>2.5710000000000002</v>
      </c>
      <c r="AG877" s="100" t="s">
        <v>4854</v>
      </c>
      <c r="AH877" s="91">
        <v>3.105</v>
      </c>
      <c r="AI877" s="91">
        <v>3.0830000000000002</v>
      </c>
      <c r="AJ877" s="91">
        <v>3.0630000000000002</v>
      </c>
      <c r="AK877" s="91">
        <v>3.036</v>
      </c>
      <c r="AL877" s="91">
        <v>3.2189999999999999</v>
      </c>
      <c r="AM877" s="95">
        <v>-0.36559999999999998</v>
      </c>
      <c r="AN877" s="95">
        <v>0.13769999999999999</v>
      </c>
      <c r="AO877" s="103" t="s">
        <v>4854</v>
      </c>
      <c r="AP877" s="95">
        <v>-9.7799999999999998E-2</v>
      </c>
      <c r="AQ877" s="95">
        <v>0.4</v>
      </c>
      <c r="AR877" s="95">
        <v>0.1353</v>
      </c>
      <c r="AS877" s="95">
        <v>-6.6299999999999998E-2</v>
      </c>
      <c r="AT877" s="95">
        <v>5.9200000000000003E-2</v>
      </c>
      <c r="AU877" s="95">
        <v>0.29699999999999999</v>
      </c>
      <c r="AV877" s="95">
        <v>0.23200000000000001</v>
      </c>
      <c r="AW877" s="103" t="s">
        <v>4854</v>
      </c>
      <c r="AX877" s="95">
        <v>0.23699999999999999</v>
      </c>
      <c r="AY877" s="95">
        <v>0.224</v>
      </c>
      <c r="AZ877" s="95">
        <v>0.157</v>
      </c>
      <c r="BA877" s="95">
        <v>0.32</v>
      </c>
      <c r="BB877" s="95">
        <v>0.29699999999999999</v>
      </c>
      <c r="BC877" s="10">
        <v>1</v>
      </c>
      <c r="BD877" s="10">
        <v>2</v>
      </c>
      <c r="BE877" s="4" t="s">
        <v>4854</v>
      </c>
      <c r="BF877" s="10">
        <v>2</v>
      </c>
      <c r="BG877" s="10">
        <v>1</v>
      </c>
      <c r="BH877" s="10">
        <v>1</v>
      </c>
      <c r="BI877" s="10">
        <v>1</v>
      </c>
      <c r="BJ877" s="10">
        <v>1</v>
      </c>
      <c r="BK877" s="91">
        <v>1</v>
      </c>
      <c r="BL877" s="91">
        <v>1</v>
      </c>
      <c r="BM877" s="100" t="s">
        <v>4854</v>
      </c>
      <c r="BN877" s="91">
        <v>1</v>
      </c>
      <c r="BO877" s="91">
        <v>1</v>
      </c>
      <c r="BP877" s="91">
        <v>1</v>
      </c>
      <c r="BQ877" s="91">
        <v>1</v>
      </c>
      <c r="BR877" s="91">
        <v>1</v>
      </c>
      <c r="BS877" s="10" t="s">
        <v>4857</v>
      </c>
    </row>
    <row r="878" spans="1:71" s="30" customFormat="1" ht="17.100000000000001" customHeight="1">
      <c r="A878" s="10">
        <v>867</v>
      </c>
      <c r="B878" s="10" t="s">
        <v>1586</v>
      </c>
      <c r="C878" s="4" t="s">
        <v>1803</v>
      </c>
      <c r="D878" s="4" t="s">
        <v>1562</v>
      </c>
      <c r="E878" s="7" t="s">
        <v>1563</v>
      </c>
      <c r="F878" s="10" t="s">
        <v>4666</v>
      </c>
      <c r="G878" s="4" t="s">
        <v>1564</v>
      </c>
      <c r="H878" s="7" t="s">
        <v>1565</v>
      </c>
      <c r="I878" s="4" t="s">
        <v>1566</v>
      </c>
      <c r="J878" s="10" t="s">
        <v>4782</v>
      </c>
      <c r="K878" s="4" t="s">
        <v>5868</v>
      </c>
      <c r="L878" s="4" t="s">
        <v>1585</v>
      </c>
      <c r="M878" s="10">
        <v>2</v>
      </c>
      <c r="N878" s="95">
        <v>650.32500000000005</v>
      </c>
      <c r="O878" s="38" t="s">
        <v>4854</v>
      </c>
      <c r="P878" s="37" t="str">
        <f>HYPERLINK("http://ms.phosphosite.org:5080/cgi-bin/plot-msms.cgi?MassType=1&amp;NumAxis=1&amp;Mod7=170&amp;Pep=IEQDGVKPEDK&amp;Dta=/var/www/html/dta/S01/10559.2426.2.dta&amp;Global_Mod=CS57.0215", "2426")</f>
        <v>2426</v>
      </c>
      <c r="Q878" s="38" t="s">
        <v>4854</v>
      </c>
      <c r="R878" s="38" t="s">
        <v>4854</v>
      </c>
      <c r="S878" s="38" t="s">
        <v>4854</v>
      </c>
      <c r="T878" s="38" t="s">
        <v>4854</v>
      </c>
      <c r="U878" s="38" t="s">
        <v>4854</v>
      </c>
      <c r="V878" s="38" t="s">
        <v>4854</v>
      </c>
      <c r="W878" s="4" t="s">
        <v>4854</v>
      </c>
      <c r="X878" s="10">
        <v>2417</v>
      </c>
      <c r="Y878" s="4" t="s">
        <v>4854</v>
      </c>
      <c r="Z878" s="4" t="s">
        <v>4854</v>
      </c>
      <c r="AA878" s="4" t="s">
        <v>4854</v>
      </c>
      <c r="AB878" s="4" t="s">
        <v>4854</v>
      </c>
      <c r="AC878" s="4" t="s">
        <v>4854</v>
      </c>
      <c r="AD878" s="4" t="s">
        <v>4854</v>
      </c>
      <c r="AE878" s="100" t="s">
        <v>4854</v>
      </c>
      <c r="AF878" s="91">
        <v>2.5299999999999998</v>
      </c>
      <c r="AG878" s="100" t="s">
        <v>4854</v>
      </c>
      <c r="AH878" s="100" t="s">
        <v>4854</v>
      </c>
      <c r="AI878" s="100" t="s">
        <v>4854</v>
      </c>
      <c r="AJ878" s="100" t="s">
        <v>4854</v>
      </c>
      <c r="AK878" s="100" t="s">
        <v>4854</v>
      </c>
      <c r="AL878" s="100" t="s">
        <v>4854</v>
      </c>
      <c r="AM878" s="103" t="s">
        <v>4854</v>
      </c>
      <c r="AN878" s="95">
        <v>0.13769999999999999</v>
      </c>
      <c r="AO878" s="103" t="s">
        <v>4854</v>
      </c>
      <c r="AP878" s="103" t="s">
        <v>4854</v>
      </c>
      <c r="AQ878" s="103" t="s">
        <v>4854</v>
      </c>
      <c r="AR878" s="103" t="s">
        <v>4854</v>
      </c>
      <c r="AS878" s="103" t="s">
        <v>4854</v>
      </c>
      <c r="AT878" s="103" t="s">
        <v>4854</v>
      </c>
      <c r="AU878" s="103" t="s">
        <v>4854</v>
      </c>
      <c r="AV878" s="95">
        <v>0.14899999999999999</v>
      </c>
      <c r="AW878" s="103" t="s">
        <v>4854</v>
      </c>
      <c r="AX878" s="103" t="s">
        <v>4854</v>
      </c>
      <c r="AY878" s="103" t="s">
        <v>4854</v>
      </c>
      <c r="AZ878" s="103" t="s">
        <v>4854</v>
      </c>
      <c r="BA878" s="103" t="s">
        <v>4854</v>
      </c>
      <c r="BB878" s="103" t="s">
        <v>4854</v>
      </c>
      <c r="BC878" s="4" t="s">
        <v>4854</v>
      </c>
      <c r="BD878" s="10">
        <v>1</v>
      </c>
      <c r="BE878" s="4" t="s">
        <v>4854</v>
      </c>
      <c r="BF878" s="4" t="s">
        <v>4854</v>
      </c>
      <c r="BG878" s="4" t="s">
        <v>4854</v>
      </c>
      <c r="BH878" s="4" t="s">
        <v>4854</v>
      </c>
      <c r="BI878" s="4" t="s">
        <v>4854</v>
      </c>
      <c r="BJ878" s="4" t="s">
        <v>4854</v>
      </c>
      <c r="BK878" s="100" t="s">
        <v>4854</v>
      </c>
      <c r="BL878" s="91">
        <v>0.999</v>
      </c>
      <c r="BM878" s="100" t="s">
        <v>4854</v>
      </c>
      <c r="BN878" s="100" t="s">
        <v>4854</v>
      </c>
      <c r="BO878" s="100" t="s">
        <v>4854</v>
      </c>
      <c r="BP878" s="100" t="s">
        <v>4854</v>
      </c>
      <c r="BQ878" s="100" t="s">
        <v>4854</v>
      </c>
      <c r="BR878" s="100" t="s">
        <v>4854</v>
      </c>
      <c r="BS878" s="10" t="s">
        <v>4857</v>
      </c>
    </row>
    <row r="879" spans="1:71" s="30" customFormat="1" ht="17.100000000000001" customHeight="1">
      <c r="A879" s="10">
        <v>868</v>
      </c>
      <c r="B879" s="10" t="s">
        <v>1587</v>
      </c>
      <c r="C879" s="4" t="s">
        <v>1803</v>
      </c>
      <c r="D879" s="4" t="s">
        <v>1562</v>
      </c>
      <c r="E879" s="7" t="s">
        <v>1563</v>
      </c>
      <c r="F879" s="10" t="s">
        <v>4666</v>
      </c>
      <c r="G879" s="4" t="s">
        <v>1564</v>
      </c>
      <c r="H879" s="7" t="s">
        <v>1565</v>
      </c>
      <c r="I879" s="4" t="s">
        <v>1566</v>
      </c>
      <c r="J879" s="10" t="s">
        <v>4782</v>
      </c>
      <c r="K879" s="4" t="s">
        <v>5868</v>
      </c>
      <c r="L879" s="4" t="s">
        <v>1588</v>
      </c>
      <c r="M879" s="10">
        <v>3</v>
      </c>
      <c r="N879" s="95">
        <v>676.98339999999996</v>
      </c>
      <c r="O879" s="37" t="str">
        <f>HYPERLINK("http://ms.phosphosite.org:5080/cgi-bin/plot-msms.cgi?MassType=1&amp;NumAxis=1&amp;Mod13=170&amp;Pep=NDEDQKIEQDGVKPEDK&amp;Dta=/var/www/html/dta/S01/10558.3237.3.dta&amp;Global_Mod=CS57.0215", "3237")</f>
        <v>3237</v>
      </c>
      <c r="P879" s="37" t="str">
        <f>HYPERLINK("http://ms.phosphosite.org:5080/cgi-bin/plot-msms.cgi?MassType=1&amp;NumAxis=1&amp;Mod13=170&amp;Pep=NDEDQKIEQDGVKPEDK&amp;Dta=/var/www/html/dta/S01/10559.3183.3.dta&amp;Global_Mod=CS57.0215", "3183")</f>
        <v>3183</v>
      </c>
      <c r="Q879" s="37" t="str">
        <f>HYPERLINK("http://ms.phosphosite.org:5080/cgi-bin/plot-msms.cgi?MassType=1&amp;NumAxis=1&amp;Mod13=170&amp;Pep=NDEDQKIEQDGVKPEDK&amp;Dta=/var/www/html/dta/S01/10560.3145.3.dta&amp;Global_Mod=CS57.0215", "3145")</f>
        <v>3145</v>
      </c>
      <c r="R879" s="37" t="str">
        <f>HYPERLINK("http://ms.phosphosite.org:5080/cgi-bin/plot-msms.cgi?MassType=1&amp;NumAxis=1&amp;Mod13=170&amp;Pep=NDEDQKIEQDGVKPEDK&amp;Dta=/var/www/html/dta/S01/10561.3162.3.dta&amp;Global_Mod=CS57.0215", "3162")</f>
        <v>3162</v>
      </c>
      <c r="S879" s="37" t="str">
        <f>HYPERLINK("http://ms.phosphosite.org:5080/cgi-bin/plot-msms.cgi?MassType=1&amp;NumAxis=1&amp;Mod13=170&amp;Pep=NDEDQKIEQDGVKPEDK&amp;Dta=/var/www/html/dta/S01/10562.3269.3.dta&amp;Global_Mod=CS57.0215", "3269")</f>
        <v>3269</v>
      </c>
      <c r="T879" s="37" t="str">
        <f>HYPERLINK("http://ms.phosphosite.org:5080/cgi-bin/plot-msms.cgi?MassType=1&amp;NumAxis=1&amp;Mod13=170&amp;Pep=NDEDQKIEQDGVKPEDK&amp;Dta=/var/www/html/dta/S01/10563.3184.3.dta&amp;Global_Mod=CS57.0215", "3184")</f>
        <v>3184</v>
      </c>
      <c r="U879" s="38" t="s">
        <v>4854</v>
      </c>
      <c r="V879" s="38" t="s">
        <v>4854</v>
      </c>
      <c r="W879" s="10">
        <v>3228</v>
      </c>
      <c r="X879" s="10">
        <v>3178</v>
      </c>
      <c r="Y879" s="10">
        <v>3146</v>
      </c>
      <c r="Z879" s="10">
        <v>3152</v>
      </c>
      <c r="AA879" s="10">
        <v>3273</v>
      </c>
      <c r="AB879" s="10">
        <v>3196</v>
      </c>
      <c r="AC879" s="4" t="s">
        <v>4854</v>
      </c>
      <c r="AD879" s="4" t="s">
        <v>4854</v>
      </c>
      <c r="AE879" s="91">
        <v>3.2610000000000001</v>
      </c>
      <c r="AF879" s="91">
        <v>2.4020000000000001</v>
      </c>
      <c r="AG879" s="91">
        <v>3.3849999999999998</v>
      </c>
      <c r="AH879" s="91">
        <v>3.9649999999999999</v>
      </c>
      <c r="AI879" s="91">
        <v>3.5369999999999999</v>
      </c>
      <c r="AJ879" s="91">
        <v>3.7240000000000002</v>
      </c>
      <c r="AK879" s="100" t="s">
        <v>4854</v>
      </c>
      <c r="AL879" s="100" t="s">
        <v>4854</v>
      </c>
      <c r="AM879" s="95">
        <v>0.2651</v>
      </c>
      <c r="AN879" s="95">
        <v>6.59E-2</v>
      </c>
      <c r="AO879" s="95">
        <v>0.78849999999999998</v>
      </c>
      <c r="AP879" s="95">
        <v>0.71109999999999995</v>
      </c>
      <c r="AQ879" s="95">
        <v>-0.3377</v>
      </c>
      <c r="AR879" s="95">
        <v>0.1709</v>
      </c>
      <c r="AS879" s="103" t="s">
        <v>4854</v>
      </c>
      <c r="AT879" s="103" t="s">
        <v>4854</v>
      </c>
      <c r="AU879" s="95">
        <v>0.29899999999999999</v>
      </c>
      <c r="AV879" s="95">
        <v>0.106</v>
      </c>
      <c r="AW879" s="95">
        <v>0.28399999999999997</v>
      </c>
      <c r="AX879" s="95">
        <v>0.32800000000000001</v>
      </c>
      <c r="AY879" s="95">
        <v>0.378</v>
      </c>
      <c r="AZ879" s="95">
        <v>0.26100000000000001</v>
      </c>
      <c r="BA879" s="103" t="s">
        <v>4854</v>
      </c>
      <c r="BB879" s="103" t="s">
        <v>4854</v>
      </c>
      <c r="BC879" s="10">
        <v>4</v>
      </c>
      <c r="BD879" s="10">
        <v>40</v>
      </c>
      <c r="BE879" s="10">
        <v>1</v>
      </c>
      <c r="BF879" s="10">
        <v>1</v>
      </c>
      <c r="BG879" s="10">
        <v>1</v>
      </c>
      <c r="BH879" s="10">
        <v>2</v>
      </c>
      <c r="BI879" s="4" t="s">
        <v>4854</v>
      </c>
      <c r="BJ879" s="4" t="s">
        <v>4854</v>
      </c>
      <c r="BK879" s="91">
        <v>1</v>
      </c>
      <c r="BL879" s="91">
        <v>0.96499999999999997</v>
      </c>
      <c r="BM879" s="91">
        <v>1</v>
      </c>
      <c r="BN879" s="91">
        <v>1</v>
      </c>
      <c r="BO879" s="91">
        <v>1</v>
      </c>
      <c r="BP879" s="91">
        <v>1</v>
      </c>
      <c r="BQ879" s="100" t="s">
        <v>4854</v>
      </c>
      <c r="BR879" s="100" t="s">
        <v>4854</v>
      </c>
      <c r="BS879" s="10" t="s">
        <v>4857</v>
      </c>
    </row>
    <row r="880" spans="1:71" s="30" customFormat="1" ht="17.100000000000001" customHeight="1">
      <c r="A880" s="10">
        <v>869</v>
      </c>
      <c r="B880" s="10" t="s">
        <v>1589</v>
      </c>
      <c r="C880" s="4" t="s">
        <v>1803</v>
      </c>
      <c r="D880" s="4" t="s">
        <v>1562</v>
      </c>
      <c r="E880" s="7" t="s">
        <v>1563</v>
      </c>
      <c r="F880" s="10" t="s">
        <v>4666</v>
      </c>
      <c r="G880" s="4" t="s">
        <v>1564</v>
      </c>
      <c r="H880" s="7" t="s">
        <v>1565</v>
      </c>
      <c r="I880" s="4" t="s">
        <v>1566</v>
      </c>
      <c r="J880" s="10" t="s">
        <v>4782</v>
      </c>
      <c r="K880" s="4" t="s">
        <v>5868</v>
      </c>
      <c r="L880" s="4" t="s">
        <v>1590</v>
      </c>
      <c r="M880" s="10">
        <v>4</v>
      </c>
      <c r="N880" s="95">
        <v>629.05550000000005</v>
      </c>
      <c r="O880" s="38" t="s">
        <v>4854</v>
      </c>
      <c r="P880" s="38" t="s">
        <v>4854</v>
      </c>
      <c r="Q880" s="37" t="str">
        <f>HYPERLINK("http://ms.phosphosite.org:5080/cgi-bin/plot-msms.cgi?MassType=1&amp;NumAxis=1&amp;Mod17=170&amp;Pep=QVEKNDEDQKIEQDGVKPEDK&amp;Dta=/var/www/html/dta/S01/10560.2763.4.dta&amp;Global_Mod=CS57.0215", "2763")</f>
        <v>2763</v>
      </c>
      <c r="R880" s="38" t="s">
        <v>4854</v>
      </c>
      <c r="S880" s="38" t="s">
        <v>4854</v>
      </c>
      <c r="T880" s="37" t="str">
        <f>HYPERLINK("http://ms.phosphosite.org:5080/cgi-bin/plot-msms.cgi?MassType=1&amp;NumAxis=1&amp;Mod17=170&amp;Pep=QVEKNDEDQKIEQDGVKPEDK&amp;Dta=/var/www/html/dta/S01/10563.2813.4.dta&amp;Global_Mod=CS57.0215", "2813")</f>
        <v>2813</v>
      </c>
      <c r="U880" s="37" t="str">
        <f>HYPERLINK("http://ms.phosphosite.org:5080/cgi-bin/plot-msms.cgi?MassType=1&amp;NumAxis=1&amp;Mod17=170&amp;Pep=QVEKNDEDQKIEQDGVKPEDK&amp;Dta=/var/www/html/dta/S01/10564.3079.4.dta&amp;Global_Mod=CS57.0215", "3079")</f>
        <v>3079</v>
      </c>
      <c r="V880" s="37" t="str">
        <f>HYPERLINK("http://ms.phosphosite.org:5080/cgi-bin/plot-msms.cgi?MassType=1&amp;NumAxis=1&amp;Mod17=170&amp;Pep=QVEKNDEDQKIEQDGVKPEDK&amp;Dta=/var/www/html/dta/S01/10565.3173.4.dta&amp;Global_Mod=CS57.0215", "3173")</f>
        <v>3173</v>
      </c>
      <c r="W880" s="4" t="s">
        <v>4854</v>
      </c>
      <c r="X880" s="4" t="s">
        <v>4854</v>
      </c>
      <c r="Y880" s="4" t="s">
        <v>4854</v>
      </c>
      <c r="Z880" s="4" t="s">
        <v>4854</v>
      </c>
      <c r="AA880" s="4" t="s">
        <v>4854</v>
      </c>
      <c r="AB880" s="10">
        <v>2807</v>
      </c>
      <c r="AC880" s="10">
        <v>3072</v>
      </c>
      <c r="AD880" s="4" t="s">
        <v>4854</v>
      </c>
      <c r="AE880" s="100" t="s">
        <v>4854</v>
      </c>
      <c r="AF880" s="100" t="s">
        <v>4854</v>
      </c>
      <c r="AG880" s="91">
        <v>2.9940000000000002</v>
      </c>
      <c r="AH880" s="100" t="s">
        <v>4854</v>
      </c>
      <c r="AI880" s="100" t="s">
        <v>4854</v>
      </c>
      <c r="AJ880" s="91">
        <v>3.3410000000000002</v>
      </c>
      <c r="AK880" s="91">
        <v>3.0720000000000001</v>
      </c>
      <c r="AL880" s="91">
        <v>3.2229999999999999</v>
      </c>
      <c r="AM880" s="103" t="s">
        <v>4854</v>
      </c>
      <c r="AN880" s="103" t="s">
        <v>4854</v>
      </c>
      <c r="AO880" s="95">
        <v>2.4683000000000002</v>
      </c>
      <c r="AP880" s="103" t="s">
        <v>4854</v>
      </c>
      <c r="AQ880" s="103" t="s">
        <v>4854</v>
      </c>
      <c r="AR880" s="95">
        <v>-0.63649999999999995</v>
      </c>
      <c r="AS880" s="95">
        <v>0.30370000000000003</v>
      </c>
      <c r="AT880" s="95">
        <v>-1.0205</v>
      </c>
      <c r="AU880" s="103" t="s">
        <v>4854</v>
      </c>
      <c r="AV880" s="103" t="s">
        <v>4854</v>
      </c>
      <c r="AW880" s="95">
        <v>7.8E-2</v>
      </c>
      <c r="AX880" s="103" t="s">
        <v>4854</v>
      </c>
      <c r="AY880" s="103" t="s">
        <v>4854</v>
      </c>
      <c r="AZ880" s="95">
        <v>0.19600000000000001</v>
      </c>
      <c r="BA880" s="95">
        <v>0.13600000000000001</v>
      </c>
      <c r="BB880" s="95">
        <v>6.7000000000000004E-2</v>
      </c>
      <c r="BC880" s="4" t="s">
        <v>4854</v>
      </c>
      <c r="BD880" s="4" t="s">
        <v>4854</v>
      </c>
      <c r="BE880" s="10">
        <v>44</v>
      </c>
      <c r="BF880" s="4" t="s">
        <v>4854</v>
      </c>
      <c r="BG880" s="4" t="s">
        <v>4854</v>
      </c>
      <c r="BH880" s="10">
        <v>11</v>
      </c>
      <c r="BI880" s="10">
        <v>12</v>
      </c>
      <c r="BJ880" s="10">
        <v>65</v>
      </c>
      <c r="BK880" s="100" t="s">
        <v>4854</v>
      </c>
      <c r="BL880" s="100" t="s">
        <v>4854</v>
      </c>
      <c r="BM880" s="91">
        <v>0.91100000000000003</v>
      </c>
      <c r="BN880" s="100" t="s">
        <v>4854</v>
      </c>
      <c r="BO880" s="100" t="s">
        <v>4854</v>
      </c>
      <c r="BP880" s="91">
        <v>0.98</v>
      </c>
      <c r="BQ880" s="91">
        <v>0.99099999999999999</v>
      </c>
      <c r="BR880" s="91">
        <v>0.433</v>
      </c>
      <c r="BS880" s="10" t="s">
        <v>4857</v>
      </c>
    </row>
    <row r="881" spans="1:71" s="30" customFormat="1" ht="17.100000000000001" customHeight="1">
      <c r="A881" s="14">
        <v>870</v>
      </c>
      <c r="B881" s="5" t="s">
        <v>1591</v>
      </c>
      <c r="C881" s="3" t="s">
        <v>1803</v>
      </c>
      <c r="D881" s="3" t="s">
        <v>1592</v>
      </c>
      <c r="E881" s="3" t="s">
        <v>1593</v>
      </c>
      <c r="F881" s="5" t="s">
        <v>3608</v>
      </c>
      <c r="G881" s="3" t="s">
        <v>1594</v>
      </c>
      <c r="H881" s="6" t="s">
        <v>1595</v>
      </c>
      <c r="I881" s="3" t="s">
        <v>1596</v>
      </c>
      <c r="J881" s="5" t="s">
        <v>4592</v>
      </c>
      <c r="K881" s="3" t="s">
        <v>5869</v>
      </c>
      <c r="L881" s="3" t="s">
        <v>1597</v>
      </c>
      <c r="M881" s="5">
        <v>3</v>
      </c>
      <c r="N881" s="21">
        <v>399.54340000000002</v>
      </c>
      <c r="O881" s="35" t="s">
        <v>4854</v>
      </c>
      <c r="P881" s="35" t="s">
        <v>4854</v>
      </c>
      <c r="Q881" s="35" t="s">
        <v>4854</v>
      </c>
      <c r="R881" s="35" t="s">
        <v>4854</v>
      </c>
      <c r="S881" s="35" t="s">
        <v>4854</v>
      </c>
      <c r="T881" s="36" t="str">
        <f>HYPERLINK("http://ms.phosphosite.org:5080/cgi-bin/plot-msms.cgi?MassType=1&amp;NumAxis=1&amp;Mod10=170&amp;Pep=TEVKFSTNTK&amp;Dta=/var/www/html/dta/S01/10563.1885.3.dta&amp;Global_Mod=CS57.0215", "1885")</f>
        <v>1885</v>
      </c>
      <c r="U881" s="35" t="s">
        <v>4854</v>
      </c>
      <c r="V881" s="35" t="s">
        <v>4854</v>
      </c>
      <c r="W881" s="3" t="s">
        <v>4854</v>
      </c>
      <c r="X881" s="3" t="s">
        <v>4854</v>
      </c>
      <c r="Y881" s="3" t="s">
        <v>4854</v>
      </c>
      <c r="Z881" s="3" t="s">
        <v>4854</v>
      </c>
      <c r="AA881" s="3" t="s">
        <v>4854</v>
      </c>
      <c r="AB881" s="3" t="s">
        <v>4854</v>
      </c>
      <c r="AC881" s="3" t="s">
        <v>4854</v>
      </c>
      <c r="AD881" s="3" t="s">
        <v>4854</v>
      </c>
      <c r="AE881" s="99" t="s">
        <v>4854</v>
      </c>
      <c r="AF881" s="99" t="s">
        <v>4854</v>
      </c>
      <c r="AG881" s="99" t="s">
        <v>4854</v>
      </c>
      <c r="AH881" s="99" t="s">
        <v>4854</v>
      </c>
      <c r="AI881" s="99" t="s">
        <v>4854</v>
      </c>
      <c r="AJ881" s="90">
        <v>1.716</v>
      </c>
      <c r="AK881" s="99" t="s">
        <v>4854</v>
      </c>
      <c r="AL881" s="99" t="s">
        <v>4854</v>
      </c>
      <c r="AM881" s="102" t="s">
        <v>4854</v>
      </c>
      <c r="AN881" s="102" t="s">
        <v>4854</v>
      </c>
      <c r="AO881" s="102" t="s">
        <v>4854</v>
      </c>
      <c r="AP881" s="102" t="s">
        <v>4854</v>
      </c>
      <c r="AQ881" s="102" t="s">
        <v>4854</v>
      </c>
      <c r="AR881" s="21">
        <v>1.4907999999999999</v>
      </c>
      <c r="AS881" s="102" t="s">
        <v>4854</v>
      </c>
      <c r="AT881" s="102" t="s">
        <v>4854</v>
      </c>
      <c r="AU881" s="102" t="s">
        <v>4854</v>
      </c>
      <c r="AV881" s="102" t="s">
        <v>4854</v>
      </c>
      <c r="AW881" s="102" t="s">
        <v>4854</v>
      </c>
      <c r="AX881" s="102" t="s">
        <v>4854</v>
      </c>
      <c r="AY881" s="102" t="s">
        <v>4854</v>
      </c>
      <c r="AZ881" s="21">
        <v>9.2999999999999999E-2</v>
      </c>
      <c r="BA881" s="102" t="s">
        <v>4854</v>
      </c>
      <c r="BB881" s="102" t="s">
        <v>4854</v>
      </c>
      <c r="BC881" s="3" t="s">
        <v>4854</v>
      </c>
      <c r="BD881" s="3" t="s">
        <v>4854</v>
      </c>
      <c r="BE881" s="3" t="s">
        <v>4854</v>
      </c>
      <c r="BF881" s="3" t="s">
        <v>4854</v>
      </c>
      <c r="BG881" s="3" t="s">
        <v>4854</v>
      </c>
      <c r="BH881" s="5">
        <v>751</v>
      </c>
      <c r="BI881" s="3" t="s">
        <v>4854</v>
      </c>
      <c r="BJ881" s="3" t="s">
        <v>4854</v>
      </c>
      <c r="BK881" s="99" t="s">
        <v>4854</v>
      </c>
      <c r="BL881" s="99" t="s">
        <v>4854</v>
      </c>
      <c r="BM881" s="99" t="s">
        <v>4854</v>
      </c>
      <c r="BN881" s="99" t="s">
        <v>4854</v>
      </c>
      <c r="BO881" s="99" t="s">
        <v>4854</v>
      </c>
      <c r="BP881" s="90">
        <v>0.83099999999999996</v>
      </c>
      <c r="BQ881" s="99" t="s">
        <v>4854</v>
      </c>
      <c r="BR881" s="99" t="s">
        <v>4854</v>
      </c>
      <c r="BS881" s="5" t="s">
        <v>4857</v>
      </c>
    </row>
    <row r="882" spans="1:71" s="30" customFormat="1" ht="17.100000000000001" customHeight="1">
      <c r="A882" s="10">
        <v>871</v>
      </c>
      <c r="B882" s="10" t="s">
        <v>1598</v>
      </c>
      <c r="C882" s="4" t="s">
        <v>1803</v>
      </c>
      <c r="D882" s="4" t="s">
        <v>1599</v>
      </c>
      <c r="E882" s="4" t="s">
        <v>1600</v>
      </c>
      <c r="F882" s="10" t="s">
        <v>3866</v>
      </c>
      <c r="G882" s="4" t="s">
        <v>1601</v>
      </c>
      <c r="H882" s="7" t="s">
        <v>1602</v>
      </c>
      <c r="I882" s="4" t="s">
        <v>1603</v>
      </c>
      <c r="J882" s="10" t="s">
        <v>4682</v>
      </c>
      <c r="K882" s="4" t="s">
        <v>5870</v>
      </c>
      <c r="L882" s="4" t="s">
        <v>1604</v>
      </c>
      <c r="M882" s="10">
        <v>2</v>
      </c>
      <c r="N882" s="95">
        <v>556.76829999999995</v>
      </c>
      <c r="O882" s="37" t="str">
        <f>HYPERLINK("http://ms.phosphosite.org:5080/cgi-bin/plot-msms.cgi?MassType=1&amp;NumAxis=1&amp;Mod1=147&amp;Mod3=170&amp;Pep=MQKYEDIK&amp;Dta=/var/www/html/dta/S01/10558.3145.2.dta&amp;Global_Mod=CS57.0215", "3145")</f>
        <v>3145</v>
      </c>
      <c r="P882" s="38" t="s">
        <v>4854</v>
      </c>
      <c r="Q882" s="38" t="s">
        <v>4854</v>
      </c>
      <c r="R882" s="38" t="s">
        <v>4854</v>
      </c>
      <c r="S882" s="38" t="s">
        <v>4854</v>
      </c>
      <c r="T882" s="38" t="s">
        <v>4854</v>
      </c>
      <c r="U882" s="38" t="s">
        <v>4854</v>
      </c>
      <c r="V882" s="37" t="str">
        <f>HYPERLINK("http://ms.phosphosite.org:5080/cgi-bin/plot-msms.cgi?MassType=1&amp;NumAxis=1&amp;Mod1=147&amp;Mod3=170&amp;Pep=MQKYEDIK&amp;Dta=/var/www/html/dta/S01/10565.3524.2.dta&amp;Global_Mod=CS57.0215", "3524")</f>
        <v>3524</v>
      </c>
      <c r="W882" s="10">
        <v>3140</v>
      </c>
      <c r="X882" s="4" t="s">
        <v>4854</v>
      </c>
      <c r="Y882" s="4" t="s">
        <v>4854</v>
      </c>
      <c r="Z882" s="4" t="s">
        <v>4854</v>
      </c>
      <c r="AA882" s="4" t="s">
        <v>4854</v>
      </c>
      <c r="AB882" s="4" t="s">
        <v>4854</v>
      </c>
      <c r="AC882" s="4" t="s">
        <v>4854</v>
      </c>
      <c r="AD882" s="10">
        <v>3532</v>
      </c>
      <c r="AE882" s="91">
        <v>2.2759999999999998</v>
      </c>
      <c r="AF882" s="100" t="s">
        <v>4854</v>
      </c>
      <c r="AG882" s="100" t="s">
        <v>4854</v>
      </c>
      <c r="AH882" s="100" t="s">
        <v>4854</v>
      </c>
      <c r="AI882" s="100" t="s">
        <v>4854</v>
      </c>
      <c r="AJ882" s="100" t="s">
        <v>4854</v>
      </c>
      <c r="AK882" s="100" t="s">
        <v>4854</v>
      </c>
      <c r="AL882" s="91">
        <v>2.3820000000000001</v>
      </c>
      <c r="AM882" s="95">
        <v>0.62539999999999996</v>
      </c>
      <c r="AN882" s="103" t="s">
        <v>4854</v>
      </c>
      <c r="AO882" s="103" t="s">
        <v>4854</v>
      </c>
      <c r="AP882" s="103" t="s">
        <v>4854</v>
      </c>
      <c r="AQ882" s="103" t="s">
        <v>4854</v>
      </c>
      <c r="AR882" s="103" t="s">
        <v>4854</v>
      </c>
      <c r="AS882" s="103" t="s">
        <v>4854</v>
      </c>
      <c r="AT882" s="95">
        <v>-0.88649999999999995</v>
      </c>
      <c r="AU882" s="95">
        <v>0.114</v>
      </c>
      <c r="AV882" s="103" t="s">
        <v>4854</v>
      </c>
      <c r="AW882" s="103" t="s">
        <v>4854</v>
      </c>
      <c r="AX882" s="103" t="s">
        <v>4854</v>
      </c>
      <c r="AY882" s="103" t="s">
        <v>4854</v>
      </c>
      <c r="AZ882" s="103" t="s">
        <v>4854</v>
      </c>
      <c r="BA882" s="103" t="s">
        <v>4854</v>
      </c>
      <c r="BB882" s="95">
        <v>0.129</v>
      </c>
      <c r="BC882" s="10">
        <v>1</v>
      </c>
      <c r="BD882" s="4" t="s">
        <v>4854</v>
      </c>
      <c r="BE882" s="4" t="s">
        <v>4854</v>
      </c>
      <c r="BF882" s="4" t="s">
        <v>4854</v>
      </c>
      <c r="BG882" s="4" t="s">
        <v>4854</v>
      </c>
      <c r="BH882" s="4" t="s">
        <v>4854</v>
      </c>
      <c r="BI882" s="4" t="s">
        <v>4854</v>
      </c>
      <c r="BJ882" s="10">
        <v>1</v>
      </c>
      <c r="BK882" s="91">
        <v>0.99399999999999999</v>
      </c>
      <c r="BL882" s="100" t="s">
        <v>4854</v>
      </c>
      <c r="BM882" s="100" t="s">
        <v>4854</v>
      </c>
      <c r="BN882" s="100" t="s">
        <v>4854</v>
      </c>
      <c r="BO882" s="100" t="s">
        <v>4854</v>
      </c>
      <c r="BP882" s="100" t="s">
        <v>4854</v>
      </c>
      <c r="BQ882" s="100" t="s">
        <v>4854</v>
      </c>
      <c r="BR882" s="91">
        <v>0.99199999999999999</v>
      </c>
      <c r="BS882" s="10" t="s">
        <v>4857</v>
      </c>
    </row>
    <row r="883" spans="1:71" s="30" customFormat="1" ht="17.100000000000001" customHeight="1">
      <c r="A883" s="14">
        <v>872</v>
      </c>
      <c r="B883" s="5" t="s">
        <v>1605</v>
      </c>
      <c r="C883" s="3" t="s">
        <v>1803</v>
      </c>
      <c r="D883" s="3" t="s">
        <v>1606</v>
      </c>
      <c r="E883" s="3" t="s">
        <v>1607</v>
      </c>
      <c r="F883" s="5" t="s">
        <v>1608</v>
      </c>
      <c r="G883" s="3" t="s">
        <v>1609</v>
      </c>
      <c r="H883" s="6" t="s">
        <v>1610</v>
      </c>
      <c r="I883" s="3" t="s">
        <v>1611</v>
      </c>
      <c r="J883" s="5" t="s">
        <v>4320</v>
      </c>
      <c r="K883" s="3" t="s">
        <v>5871</v>
      </c>
      <c r="L883" s="3" t="s">
        <v>1612</v>
      </c>
      <c r="M883" s="5">
        <v>4</v>
      </c>
      <c r="N883" s="21">
        <v>662.84360000000004</v>
      </c>
      <c r="O883" s="35" t="s">
        <v>4854</v>
      </c>
      <c r="P883" s="35" t="s">
        <v>4854</v>
      </c>
      <c r="Q883" s="35" t="s">
        <v>4854</v>
      </c>
      <c r="R883" s="35" t="s">
        <v>4854</v>
      </c>
      <c r="S883" s="35" t="s">
        <v>4854</v>
      </c>
      <c r="T883" s="36" t="str">
        <f>HYPERLINK("http://ms.phosphosite.org:5080/cgi-bin/plot-msms.cgi?MassType=1&amp;NumAxis=1&amp;Mod16=170&amp;Pep=LADNSDWSKTATNIIKKSSDNLGK&amp;Dta=/var/www/html/dta/S01/10563.14024.4.dta&amp;Global_Mod=CS57.0215", "14024")</f>
        <v>14024</v>
      </c>
      <c r="U883" s="35" t="s">
        <v>4854</v>
      </c>
      <c r="V883" s="35" t="s">
        <v>4854</v>
      </c>
      <c r="W883" s="3" t="s">
        <v>4854</v>
      </c>
      <c r="X883" s="3" t="s">
        <v>4854</v>
      </c>
      <c r="Y883" s="3" t="s">
        <v>4854</v>
      </c>
      <c r="Z883" s="3" t="s">
        <v>4854</v>
      </c>
      <c r="AA883" s="3" t="s">
        <v>4854</v>
      </c>
      <c r="AB883" s="3" t="s">
        <v>4854</v>
      </c>
      <c r="AC883" s="3" t="s">
        <v>4854</v>
      </c>
      <c r="AD883" s="3" t="s">
        <v>4854</v>
      </c>
      <c r="AE883" s="99" t="s">
        <v>4854</v>
      </c>
      <c r="AF883" s="99" t="s">
        <v>4854</v>
      </c>
      <c r="AG883" s="99" t="s">
        <v>4854</v>
      </c>
      <c r="AH883" s="99" t="s">
        <v>4854</v>
      </c>
      <c r="AI883" s="99" t="s">
        <v>4854</v>
      </c>
      <c r="AJ883" s="90">
        <v>2.0579999999999998</v>
      </c>
      <c r="AK883" s="99" t="s">
        <v>4854</v>
      </c>
      <c r="AL883" s="99" t="s">
        <v>4854</v>
      </c>
      <c r="AM883" s="102" t="s">
        <v>4854</v>
      </c>
      <c r="AN883" s="102" t="s">
        <v>4854</v>
      </c>
      <c r="AO883" s="102" t="s">
        <v>4854</v>
      </c>
      <c r="AP883" s="102" t="s">
        <v>4854</v>
      </c>
      <c r="AQ883" s="102" t="s">
        <v>4854</v>
      </c>
      <c r="AR883" s="21">
        <v>1.5895999999999999</v>
      </c>
      <c r="AS883" s="102" t="s">
        <v>4854</v>
      </c>
      <c r="AT883" s="102" t="s">
        <v>4854</v>
      </c>
      <c r="AU883" s="102" t="s">
        <v>4854</v>
      </c>
      <c r="AV883" s="102" t="s">
        <v>4854</v>
      </c>
      <c r="AW883" s="102" t="s">
        <v>4854</v>
      </c>
      <c r="AX883" s="102" t="s">
        <v>4854</v>
      </c>
      <c r="AY883" s="102" t="s">
        <v>4854</v>
      </c>
      <c r="AZ883" s="21">
        <v>8.9999999999999993E-3</v>
      </c>
      <c r="BA883" s="102" t="s">
        <v>4854</v>
      </c>
      <c r="BB883" s="102" t="s">
        <v>4854</v>
      </c>
      <c r="BC883" s="3" t="s">
        <v>4854</v>
      </c>
      <c r="BD883" s="3" t="s">
        <v>4854</v>
      </c>
      <c r="BE883" s="3" t="s">
        <v>4854</v>
      </c>
      <c r="BF883" s="3" t="s">
        <v>4854</v>
      </c>
      <c r="BG883" s="3" t="s">
        <v>4854</v>
      </c>
      <c r="BH883" s="5">
        <v>30</v>
      </c>
      <c r="BI883" s="3" t="s">
        <v>4854</v>
      </c>
      <c r="BJ883" s="3" t="s">
        <v>4854</v>
      </c>
      <c r="BK883" s="99" t="s">
        <v>4854</v>
      </c>
      <c r="BL883" s="99" t="s">
        <v>4854</v>
      </c>
      <c r="BM883" s="99" t="s">
        <v>4854</v>
      </c>
      <c r="BN883" s="99" t="s">
        <v>4854</v>
      </c>
      <c r="BO883" s="99" t="s">
        <v>4854</v>
      </c>
      <c r="BP883" s="90">
        <v>0.84599999999999997</v>
      </c>
      <c r="BQ883" s="99" t="s">
        <v>4854</v>
      </c>
      <c r="BR883" s="99" t="s">
        <v>4854</v>
      </c>
      <c r="BS883" s="5" t="s">
        <v>4857</v>
      </c>
    </row>
    <row r="884" spans="1:71" s="30" customFormat="1" ht="17.100000000000001" customHeight="1">
      <c r="A884" s="10">
        <v>873</v>
      </c>
      <c r="B884" s="10" t="s">
        <v>1613</v>
      </c>
      <c r="C884" s="4" t="s">
        <v>1803</v>
      </c>
      <c r="D884" s="4" t="s">
        <v>1614</v>
      </c>
      <c r="E884" s="4" t="s">
        <v>1615</v>
      </c>
      <c r="F884" s="10" t="s">
        <v>5289</v>
      </c>
      <c r="G884" s="4" t="s">
        <v>1616</v>
      </c>
      <c r="H884" s="7" t="s">
        <v>1617</v>
      </c>
      <c r="I884" s="4" t="s">
        <v>1618</v>
      </c>
      <c r="J884" s="10" t="s">
        <v>1619</v>
      </c>
      <c r="K884" s="4" t="s">
        <v>5872</v>
      </c>
      <c r="L884" s="4" t="s">
        <v>1620</v>
      </c>
      <c r="M884" s="10">
        <v>3</v>
      </c>
      <c r="N884" s="95">
        <v>695.67650000000003</v>
      </c>
      <c r="O884" s="37" t="str">
        <f>HYPERLINK("http://ms.phosphosite.org:5080/cgi-bin/plot-msms.cgi?MassType=1&amp;NumAxis=1&amp;Mod5=170&amp;Pep=AAWGKIGGHGAEYGAEALER&amp;Dta=/var/www/html/dta/S01/10558.7763.3.dta&amp;Global_Mod=CS57.0215", "7763")</f>
        <v>7763</v>
      </c>
      <c r="P884" s="37" t="str">
        <f>HYPERLINK("http://ms.phosphosite.org:5080/cgi-bin/plot-msms.cgi?MassType=1&amp;NumAxis=1&amp;Mod5=170&amp;Pep=AAWGKIGGHGAEYGAEALER&amp;Dta=/var/www/html/dta/S01/10559.7709.3.dta&amp;Global_Mod=CS57.0215", "7709")</f>
        <v>7709</v>
      </c>
      <c r="Q884" s="38" t="s">
        <v>4854</v>
      </c>
      <c r="R884" s="38" t="s">
        <v>4854</v>
      </c>
      <c r="S884" s="38" t="s">
        <v>4854</v>
      </c>
      <c r="T884" s="37" t="str">
        <f>HYPERLINK("http://ms.phosphosite.org:5080/cgi-bin/plot-msms.cgi?MassType=1&amp;NumAxis=1&amp;Mod5=170&amp;Pep=AAWGKIGGHGAEYGAEALER&amp;Dta=/var/www/html/dta/S01/10563.7830.3.dta&amp;Global_Mod=CS57.0215", "7830")</f>
        <v>7830</v>
      </c>
      <c r="U884" s="37" t="str">
        <f>HYPERLINK("http://ms.phosphosite.org:5080/cgi-bin/plot-msms.cgi?MassType=1&amp;NumAxis=1&amp;Mod5=170&amp;Pep=AAWGKIGGHGAEYGAEALER&amp;Dta=/var/www/html/dta/S01/10564.8206.3.dta&amp;Global_Mod=CS57.0215", "8206")</f>
        <v>8206</v>
      </c>
      <c r="V884" s="37" t="str">
        <f>HYPERLINK("http://ms.phosphosite.org:5080/cgi-bin/plot-msms.cgi?MassType=1&amp;NumAxis=1&amp;Mod5=170&amp;Pep=AAWGKIGGHGAEYGAEALER&amp;Dta=/var/www/html/dta/S01/10565.8235.3.dta&amp;Global_Mod=CS57.0215", "8235")</f>
        <v>8235</v>
      </c>
      <c r="W884" s="10">
        <v>7765</v>
      </c>
      <c r="X884" s="10">
        <v>7713</v>
      </c>
      <c r="Y884" s="4" t="s">
        <v>4854</v>
      </c>
      <c r="Z884" s="4" t="s">
        <v>4854</v>
      </c>
      <c r="AA884" s="4" t="s">
        <v>4854</v>
      </c>
      <c r="AB884" s="10">
        <v>7839</v>
      </c>
      <c r="AC884" s="10">
        <v>8223</v>
      </c>
      <c r="AD884" s="10">
        <v>7505</v>
      </c>
      <c r="AE884" s="91">
        <v>3.4409999999999998</v>
      </c>
      <c r="AF884" s="91">
        <v>3.274</v>
      </c>
      <c r="AG884" s="100" t="s">
        <v>4854</v>
      </c>
      <c r="AH884" s="100" t="s">
        <v>4854</v>
      </c>
      <c r="AI884" s="100" t="s">
        <v>4854</v>
      </c>
      <c r="AJ884" s="91">
        <v>2.988</v>
      </c>
      <c r="AK884" s="91">
        <v>3.819</v>
      </c>
      <c r="AL884" s="91">
        <v>2.5590000000000002</v>
      </c>
      <c r="AM884" s="95">
        <v>0.85370000000000001</v>
      </c>
      <c r="AN884" s="95">
        <v>0.68579999999999997</v>
      </c>
      <c r="AO884" s="103" t="s">
        <v>4854</v>
      </c>
      <c r="AP884" s="103" t="s">
        <v>4854</v>
      </c>
      <c r="AQ884" s="103" t="s">
        <v>4854</v>
      </c>
      <c r="AR884" s="95">
        <v>0.70930000000000004</v>
      </c>
      <c r="AS884" s="95">
        <v>0.52659999999999996</v>
      </c>
      <c r="AT884" s="95">
        <v>6.2799999999999995E-2</v>
      </c>
      <c r="AU884" s="95">
        <v>0.26100000000000001</v>
      </c>
      <c r="AV884" s="95">
        <v>0.311</v>
      </c>
      <c r="AW884" s="103" t="s">
        <v>4854</v>
      </c>
      <c r="AX884" s="103" t="s">
        <v>4854</v>
      </c>
      <c r="AY884" s="103" t="s">
        <v>4854</v>
      </c>
      <c r="AZ884" s="95">
        <v>0.129</v>
      </c>
      <c r="BA884" s="95">
        <v>0.29099999999999998</v>
      </c>
      <c r="BB884" s="95">
        <v>0.111</v>
      </c>
      <c r="BC884" s="10">
        <v>1</v>
      </c>
      <c r="BD884" s="10">
        <v>1</v>
      </c>
      <c r="BE884" s="4" t="s">
        <v>4854</v>
      </c>
      <c r="BF884" s="4" t="s">
        <v>4854</v>
      </c>
      <c r="BG884" s="4" t="s">
        <v>4854</v>
      </c>
      <c r="BH884" s="10">
        <v>1</v>
      </c>
      <c r="BI884" s="10">
        <v>1</v>
      </c>
      <c r="BJ884" s="10">
        <v>2</v>
      </c>
      <c r="BK884" s="91">
        <v>1</v>
      </c>
      <c r="BL884" s="91">
        <v>1</v>
      </c>
      <c r="BM884" s="100" t="s">
        <v>4854</v>
      </c>
      <c r="BN884" s="100" t="s">
        <v>4854</v>
      </c>
      <c r="BO884" s="100" t="s">
        <v>4854</v>
      </c>
      <c r="BP884" s="91">
        <v>0.995</v>
      </c>
      <c r="BQ884" s="91">
        <v>1</v>
      </c>
      <c r="BR884" s="91">
        <v>0.98599999999999999</v>
      </c>
      <c r="BS884" s="10" t="s">
        <v>4857</v>
      </c>
    </row>
    <row r="885" spans="1:71" s="30" customFormat="1" ht="17.100000000000001" customHeight="1">
      <c r="A885" s="14">
        <v>874</v>
      </c>
      <c r="B885" s="5" t="s">
        <v>1621</v>
      </c>
      <c r="C885" s="3" t="s">
        <v>1803</v>
      </c>
      <c r="D885" s="3" t="s">
        <v>1622</v>
      </c>
      <c r="E885" s="3" t="s">
        <v>1623</v>
      </c>
      <c r="F885" s="5" t="s">
        <v>5152</v>
      </c>
      <c r="G885" s="3" t="s">
        <v>1624</v>
      </c>
      <c r="H885" s="6" t="s">
        <v>1625</v>
      </c>
      <c r="I885" s="3" t="s">
        <v>1485</v>
      </c>
      <c r="J885" s="5" t="s">
        <v>1486</v>
      </c>
      <c r="K885" s="3" t="s">
        <v>5873</v>
      </c>
      <c r="L885" s="3" t="s">
        <v>1487</v>
      </c>
      <c r="M885" s="5">
        <v>2</v>
      </c>
      <c r="N885" s="21">
        <v>640.84090000000003</v>
      </c>
      <c r="O885" s="36" t="str">
        <f>HYPERLINK("http://ms.phosphosite.org:5080/cgi-bin/plot-msms.cgi?MassType=1&amp;NumAxis=1&amp;Mod10=170&amp;Pep=AGVATALAHKYH&amp;Dta=/var/www/html/dta/S01/10558.7124.2.dta&amp;Global_Mod=CS57.0215", "7124")</f>
        <v>7124</v>
      </c>
      <c r="P885" s="36" t="str">
        <f>HYPERLINK("http://ms.phosphosite.org:5080/cgi-bin/plot-msms.cgi?MassType=1&amp;NumAxis=1&amp;Mod10=170&amp;Pep=AGVATALAHKYH&amp;Dta=/var/www/html/dta/S01/10559.7089.2.dta&amp;Global_Mod=CS57.0215", "7089")</f>
        <v>7089</v>
      </c>
      <c r="Q885" s="36" t="str">
        <f>HYPERLINK("http://ms.phosphosite.org:5080/cgi-bin/plot-msms.cgi?MassType=1&amp;NumAxis=1&amp;Mod10=170&amp;Pep=AGVATALAHKYH&amp;Dta=/var/www/html/dta/S01/10560.7069.2.dta&amp;Global_Mod=CS57.0215", "7069")</f>
        <v>7069</v>
      </c>
      <c r="R885" s="36" t="str">
        <f>HYPERLINK("http://ms.phosphosite.org:5080/cgi-bin/plot-msms.cgi?MassType=1&amp;NumAxis=1&amp;Mod10=170&amp;Pep=AGVATALAHKYH&amp;Dta=/var/www/html/dta/S01/10561.7116.2.dta&amp;Global_Mod=CS57.0215", "7116")</f>
        <v>7116</v>
      </c>
      <c r="S885" s="36" t="str">
        <f>HYPERLINK("http://ms.phosphosite.org:5080/cgi-bin/plot-msms.cgi?MassType=1&amp;NumAxis=1&amp;Mod10=170&amp;Pep=AGVATALAHKYH&amp;Dta=/var/www/html/dta/S01/10562.7239.2.dta&amp;Global_Mod=CS57.0215", "7239")</f>
        <v>7239</v>
      </c>
      <c r="T885" s="36" t="str">
        <f>HYPERLINK("http://ms.phosphosite.org:5080/cgi-bin/plot-msms.cgi?MassType=1&amp;NumAxis=1&amp;Mod10=170&amp;Pep=AGVATALAHKYH&amp;Dta=/var/www/html/dta/S01/10563.7182.2.dta&amp;Global_Mod=CS57.0215", "7182")</f>
        <v>7182</v>
      </c>
      <c r="U885" s="36" t="str">
        <f>HYPERLINK("http://ms.phosphosite.org:5080/cgi-bin/plot-msms.cgi?MassType=1&amp;NumAxis=1&amp;Mod10=170&amp;Pep=AGVATALAHKYH&amp;Dta=/var/www/html/dta/S01/10564.7556.2.dta&amp;Global_Mod=CS57.0215", "7556")</f>
        <v>7556</v>
      </c>
      <c r="V885" s="36" t="str">
        <f>HYPERLINK("http://ms.phosphosite.org:5080/cgi-bin/plot-msms.cgi?MassType=1&amp;NumAxis=1&amp;Mod10=170&amp;Pep=AGVATALAHKYH&amp;Dta=/var/www/html/dta/S01/10565.7627.2.dta&amp;Global_Mod=CS57.0215", "7627")</f>
        <v>7627</v>
      </c>
      <c r="W885" s="5">
        <v>7149</v>
      </c>
      <c r="X885" s="5">
        <v>7097</v>
      </c>
      <c r="Y885" s="5">
        <v>7092</v>
      </c>
      <c r="Z885" s="5">
        <v>7141</v>
      </c>
      <c r="AA885" s="5">
        <v>7247</v>
      </c>
      <c r="AB885" s="5">
        <v>7201</v>
      </c>
      <c r="AC885" s="5">
        <v>7574</v>
      </c>
      <c r="AD885" s="5">
        <v>7626</v>
      </c>
      <c r="AE885" s="90">
        <v>2.97</v>
      </c>
      <c r="AF885" s="90">
        <v>3.3220000000000001</v>
      </c>
      <c r="AG885" s="90">
        <v>2.5270000000000001</v>
      </c>
      <c r="AH885" s="90">
        <v>3.33</v>
      </c>
      <c r="AI885" s="90">
        <v>3.0720000000000001</v>
      </c>
      <c r="AJ885" s="90">
        <v>2.78</v>
      </c>
      <c r="AK885" s="90">
        <v>2.6480000000000001</v>
      </c>
      <c r="AL885" s="90">
        <v>2.7160000000000002</v>
      </c>
      <c r="AM885" s="21">
        <v>0.78920000000000001</v>
      </c>
      <c r="AN885" s="21">
        <v>9.7299999999999998E-2</v>
      </c>
      <c r="AO885" s="21">
        <v>0.1598</v>
      </c>
      <c r="AP885" s="21">
        <v>0.46039999999999998</v>
      </c>
      <c r="AQ885" s="21">
        <v>-0.1283</v>
      </c>
      <c r="AR885" s="21">
        <v>0.27150000000000002</v>
      </c>
      <c r="AS885" s="21">
        <v>0.17230000000000001</v>
      </c>
      <c r="AT885" s="21">
        <v>-0.2712</v>
      </c>
      <c r="AU885" s="21">
        <v>0.46</v>
      </c>
      <c r="AV885" s="21">
        <v>0.48899999999999999</v>
      </c>
      <c r="AW885" s="21">
        <v>0.48099999999999998</v>
      </c>
      <c r="AX885" s="21">
        <v>0.47899999999999998</v>
      </c>
      <c r="AY885" s="21">
        <v>0.5</v>
      </c>
      <c r="AZ885" s="21">
        <v>0.41599999999999998</v>
      </c>
      <c r="BA885" s="21">
        <v>0.435</v>
      </c>
      <c r="BB885" s="21">
        <v>0.41099999999999998</v>
      </c>
      <c r="BC885" s="5">
        <v>1</v>
      </c>
      <c r="BD885" s="5">
        <v>1</v>
      </c>
      <c r="BE885" s="5">
        <v>1</v>
      </c>
      <c r="BF885" s="5">
        <v>1</v>
      </c>
      <c r="BG885" s="5">
        <v>1</v>
      </c>
      <c r="BH885" s="5">
        <v>1</v>
      </c>
      <c r="BI885" s="5">
        <v>1</v>
      </c>
      <c r="BJ885" s="5">
        <v>1</v>
      </c>
      <c r="BK885" s="90">
        <v>0.98899999999999999</v>
      </c>
      <c r="BL885" s="90">
        <v>1</v>
      </c>
      <c r="BM885" s="90">
        <v>0.98399999999999999</v>
      </c>
      <c r="BN885" s="90">
        <v>1</v>
      </c>
      <c r="BO885" s="90">
        <v>1</v>
      </c>
      <c r="BP885" s="90">
        <v>0.97899999999999998</v>
      </c>
      <c r="BQ885" s="90">
        <v>0.97899999999999998</v>
      </c>
      <c r="BR885" s="90">
        <v>0.97699999999999998</v>
      </c>
      <c r="BS885" s="5" t="s">
        <v>4857</v>
      </c>
    </row>
    <row r="886" spans="1:71" s="30" customFormat="1" ht="17.100000000000001" customHeight="1">
      <c r="A886" s="14">
        <v>875</v>
      </c>
      <c r="B886" s="5" t="s">
        <v>1488</v>
      </c>
      <c r="C886" s="3" t="s">
        <v>1803</v>
      </c>
      <c r="D886" s="3" t="s">
        <v>1622</v>
      </c>
      <c r="E886" s="3" t="s">
        <v>1623</v>
      </c>
      <c r="F886" s="5" t="s">
        <v>5152</v>
      </c>
      <c r="G886" s="3" t="s">
        <v>1624</v>
      </c>
      <c r="H886" s="6" t="s">
        <v>1625</v>
      </c>
      <c r="I886" s="3" t="s">
        <v>1485</v>
      </c>
      <c r="J886" s="5" t="s">
        <v>1486</v>
      </c>
      <c r="K886" s="3" t="s">
        <v>5873</v>
      </c>
      <c r="L886" s="3" t="s">
        <v>1489</v>
      </c>
      <c r="M886" s="5">
        <v>2</v>
      </c>
      <c r="N886" s="21">
        <v>739.90940000000001</v>
      </c>
      <c r="O886" s="36" t="str">
        <f>HYPERLINK("http://ms.phosphosite.org:5080/cgi-bin/plot-msms.cgi?MassType=1&amp;NumAxis=1&amp;Mod12=170&amp;Pep=VVAGVATALAHKYH&amp;Dta=/var/www/html/dta/S01/10558.7173.2.dta&amp;Global_Mod=CS57.0215", "7173")</f>
        <v>7173</v>
      </c>
      <c r="P886" s="36" t="str">
        <f>HYPERLINK("http://ms.phosphosite.org:5080/cgi-bin/plot-msms.cgi?MassType=1&amp;NumAxis=1&amp;Mod12=170&amp;Pep=VVAGVATALAHKYH&amp;Dta=/var/www/html/dta/S01/10559.7132.2.dta&amp;Global_Mod=CS57.0215", "7132")</f>
        <v>7132</v>
      </c>
      <c r="Q886" s="36" t="str">
        <f>HYPERLINK("http://ms.phosphosite.org:5080/cgi-bin/plot-msms.cgi?MassType=1&amp;NumAxis=1&amp;Mod12=170&amp;Pep=VVAGVATALAHKYH&amp;Dta=/var/www/html/dta/S01/10560.7127.2.dta&amp;Global_Mod=CS57.0215", "7127")</f>
        <v>7127</v>
      </c>
      <c r="R886" s="36" t="str">
        <f>HYPERLINK("http://ms.phosphosite.org:5080/cgi-bin/plot-msms.cgi?MassType=1&amp;NumAxis=1&amp;Mod12=170&amp;Pep=VVAGVATALAHKYH&amp;Dta=/var/www/html/dta/S01/10561.7176.2.dta&amp;Global_Mod=CS57.0215", "7176")</f>
        <v>7176</v>
      </c>
      <c r="S886" s="36" t="str">
        <f>HYPERLINK("http://ms.phosphosite.org:5080/cgi-bin/plot-msms.cgi?MassType=1&amp;NumAxis=1&amp;Mod12=170&amp;Pep=VVAGVATALAHKYH&amp;Dta=/var/www/html/dta/S01/10562.7200.2.dta&amp;Global_Mod=CS57.0215", "7200")</f>
        <v>7200</v>
      </c>
      <c r="T886" s="36" t="str">
        <f>HYPERLINK("http://ms.phosphosite.org:5080/cgi-bin/plot-msms.cgi?MassType=1&amp;NumAxis=1&amp;Mod12=170&amp;Pep=VVAGVATALAHKYH&amp;Dta=/var/www/html/dta/S01/10563.7246.2.dta&amp;Global_Mod=CS57.0215", "7246")</f>
        <v>7246</v>
      </c>
      <c r="U886" s="36" t="str">
        <f>HYPERLINK("http://ms.phosphosite.org:5080/cgi-bin/plot-msms.cgi?MassType=1&amp;NumAxis=1&amp;Mod12=170&amp;Pep=VVAGVATALAHKYH&amp;Dta=/var/www/html/dta/S01/10564.7513.2.dta&amp;Global_Mod=CS57.0215", "7513")</f>
        <v>7513</v>
      </c>
      <c r="V886" s="36" t="str">
        <f>HYPERLINK("http://ms.phosphosite.org:5080/cgi-bin/plot-msms.cgi?MassType=1&amp;NumAxis=1&amp;Mod12=170&amp;Pep=VVAGVATALAHKYH&amp;Dta=/var/www/html/dta/S01/10565.7590.2.dta&amp;Global_Mod=CS57.0215", "7590")</f>
        <v>7590</v>
      </c>
      <c r="W886" s="5">
        <v>7149</v>
      </c>
      <c r="X886" s="5">
        <v>7097</v>
      </c>
      <c r="Y886" s="5">
        <v>7092</v>
      </c>
      <c r="Z886" s="5">
        <v>7141</v>
      </c>
      <c r="AA886" s="5">
        <v>7247</v>
      </c>
      <c r="AB886" s="5">
        <v>7201</v>
      </c>
      <c r="AC886" s="5">
        <v>7585</v>
      </c>
      <c r="AD886" s="5">
        <v>7626</v>
      </c>
      <c r="AE886" s="90">
        <v>4.09</v>
      </c>
      <c r="AF886" s="90">
        <v>4.3849999999999998</v>
      </c>
      <c r="AG886" s="90">
        <v>4.4039999999999999</v>
      </c>
      <c r="AH886" s="90">
        <v>4.1529999999999996</v>
      </c>
      <c r="AI886" s="90">
        <v>3.8780000000000001</v>
      </c>
      <c r="AJ886" s="90">
        <v>4.532</v>
      </c>
      <c r="AK886" s="90">
        <v>3.766</v>
      </c>
      <c r="AL886" s="90">
        <v>3.9420000000000002</v>
      </c>
      <c r="AM886" s="21">
        <v>0.28050000000000003</v>
      </c>
      <c r="AN886" s="21">
        <v>0.30280000000000001</v>
      </c>
      <c r="AO886" s="21">
        <v>0.248</v>
      </c>
      <c r="AP886" s="21">
        <v>0.34539999999999998</v>
      </c>
      <c r="AQ886" s="21">
        <v>-6.8400000000000002E-2</v>
      </c>
      <c r="AR886" s="21">
        <v>0.13439999999999999</v>
      </c>
      <c r="AS886" s="21">
        <v>0.2142</v>
      </c>
      <c r="AT886" s="21">
        <v>0.01</v>
      </c>
      <c r="AU886" s="21">
        <v>0.505</v>
      </c>
      <c r="AV886" s="21">
        <v>0.51600000000000001</v>
      </c>
      <c r="AW886" s="21">
        <v>0.54900000000000004</v>
      </c>
      <c r="AX886" s="21">
        <v>0.51800000000000002</v>
      </c>
      <c r="AY886" s="21">
        <v>0.499</v>
      </c>
      <c r="AZ886" s="21">
        <v>0.5</v>
      </c>
      <c r="BA886" s="21">
        <v>0.50800000000000001</v>
      </c>
      <c r="BB886" s="21">
        <v>0.47299999999999998</v>
      </c>
      <c r="BC886" s="5">
        <v>1</v>
      </c>
      <c r="BD886" s="5">
        <v>1</v>
      </c>
      <c r="BE886" s="5">
        <v>1</v>
      </c>
      <c r="BF886" s="5">
        <v>1</v>
      </c>
      <c r="BG886" s="5">
        <v>1</v>
      </c>
      <c r="BH886" s="5">
        <v>1</v>
      </c>
      <c r="BI886" s="5">
        <v>1</v>
      </c>
      <c r="BJ886" s="5">
        <v>1</v>
      </c>
      <c r="BK886" s="90">
        <v>1</v>
      </c>
      <c r="BL886" s="90">
        <v>1</v>
      </c>
      <c r="BM886" s="90">
        <v>1</v>
      </c>
      <c r="BN886" s="90">
        <v>1</v>
      </c>
      <c r="BO886" s="90">
        <v>1</v>
      </c>
      <c r="BP886" s="90">
        <v>1</v>
      </c>
      <c r="BQ886" s="90">
        <v>1</v>
      </c>
      <c r="BR886" s="90">
        <v>1</v>
      </c>
      <c r="BS886" s="5" t="s">
        <v>4857</v>
      </c>
    </row>
    <row r="887" spans="1:71" s="30" customFormat="1" ht="17.100000000000001" customHeight="1">
      <c r="A887" s="14">
        <v>876</v>
      </c>
      <c r="B887" s="5" t="s">
        <v>1490</v>
      </c>
      <c r="C887" s="3" t="s">
        <v>1803</v>
      </c>
      <c r="D887" s="3" t="s">
        <v>1622</v>
      </c>
      <c r="E887" s="3" t="s">
        <v>1623</v>
      </c>
      <c r="F887" s="5" t="s">
        <v>5152</v>
      </c>
      <c r="G887" s="3" t="s">
        <v>1624</v>
      </c>
      <c r="H887" s="6" t="s">
        <v>1625</v>
      </c>
      <c r="I887" s="3" t="s">
        <v>1485</v>
      </c>
      <c r="J887" s="5" t="s">
        <v>1486</v>
      </c>
      <c r="K887" s="3" t="s">
        <v>5873</v>
      </c>
      <c r="L887" s="3" t="s">
        <v>1489</v>
      </c>
      <c r="M887" s="5">
        <v>2</v>
      </c>
      <c r="N887" s="21">
        <v>739.90940000000001</v>
      </c>
      <c r="O887" s="36" t="str">
        <f>HYPERLINK("http://ms.phosphosite.org:5080/cgi-bin/plot-msms.cgi?MassType=1&amp;NumAxis=1&amp;Mod12=170&amp;Pep=VVAGVATALAHKYH&amp;Dta=/var/www/html/dta/S01/10558.7079.2.dta&amp;Global_Mod=CS57.0215", "7079")</f>
        <v>7079</v>
      </c>
      <c r="P887" s="36" t="str">
        <f>HYPERLINK("http://ms.phosphosite.org:5080/cgi-bin/plot-msms.cgi?MassType=1&amp;NumAxis=1&amp;Mod12=170&amp;Pep=VVAGVATALAHKYH&amp;Dta=/var/www/html/dta/S01/10559.7035.2.dta&amp;Global_Mod=CS57.0215", "7035")</f>
        <v>7035</v>
      </c>
      <c r="Q887" s="36" t="str">
        <f>HYPERLINK("http://ms.phosphosite.org:5080/cgi-bin/plot-msms.cgi?MassType=1&amp;NumAxis=1&amp;Mod12=170&amp;Pep=VVAGVATALAHKYH&amp;Dta=/var/www/html/dta/S01/10560.7034.2.dta&amp;Global_Mod=CS57.0215", "7034")</f>
        <v>7034</v>
      </c>
      <c r="R887" s="36" t="str">
        <f>HYPERLINK("http://ms.phosphosite.org:5080/cgi-bin/plot-msms.cgi?MassType=1&amp;NumAxis=1&amp;Mod12=170&amp;Pep=VVAGVATALAHKYH&amp;Dta=/var/www/html/dta/S01/10561.7080.2.dta&amp;Global_Mod=CS57.0215", "7080")</f>
        <v>7080</v>
      </c>
      <c r="S887" s="36" t="str">
        <f>HYPERLINK("http://ms.phosphosite.org:5080/cgi-bin/plot-msms.cgi?MassType=1&amp;NumAxis=1&amp;Mod12=170&amp;Pep=VVAGVATALAHKYH&amp;Dta=/var/www/html/dta/S01/10562.7295.2.dta&amp;Global_Mod=CS57.0215", "7295")</f>
        <v>7295</v>
      </c>
      <c r="T887" s="36" t="str">
        <f>HYPERLINK("http://ms.phosphosite.org:5080/cgi-bin/plot-msms.cgi?MassType=1&amp;NumAxis=1&amp;Mod12=170&amp;Pep=VVAGVATALAHKYH&amp;Dta=/var/www/html/dta/S01/10563.7148.2.dta&amp;Global_Mod=CS57.0215", "7148")</f>
        <v>7148</v>
      </c>
      <c r="U887" s="36" t="str">
        <f>HYPERLINK("http://ms.phosphosite.org:5080/cgi-bin/plot-msms.cgi?MassType=1&amp;NumAxis=1&amp;Mod12=170&amp;Pep=VVAGVATALAHKYH&amp;Dta=/var/www/html/dta/S01/10564.7609.2.dta&amp;Global_Mod=CS57.0215", "7609")</f>
        <v>7609</v>
      </c>
      <c r="V887" s="36" t="str">
        <f>HYPERLINK("http://ms.phosphosite.org:5080/cgi-bin/plot-msms.cgi?MassType=1&amp;NumAxis=1&amp;Mod12=170&amp;Pep=VVAGVATALAHKYH&amp;Dta=/var/www/html/dta/S01/10565.7683.2.dta&amp;Global_Mod=CS57.0215", "7683")</f>
        <v>7683</v>
      </c>
      <c r="W887" s="5">
        <v>7149</v>
      </c>
      <c r="X887" s="5">
        <v>7097</v>
      </c>
      <c r="Y887" s="5">
        <v>7092</v>
      </c>
      <c r="Z887" s="5">
        <v>7141</v>
      </c>
      <c r="AA887" s="5">
        <v>7247</v>
      </c>
      <c r="AB887" s="5">
        <v>7201</v>
      </c>
      <c r="AC887" s="5">
        <v>7585</v>
      </c>
      <c r="AD887" s="5">
        <v>7626</v>
      </c>
      <c r="AE887" s="90">
        <v>3.746</v>
      </c>
      <c r="AF887" s="90">
        <v>3.9620000000000002</v>
      </c>
      <c r="AG887" s="90">
        <v>4.0549999999999997</v>
      </c>
      <c r="AH887" s="90">
        <v>4.1130000000000004</v>
      </c>
      <c r="AI887" s="90">
        <v>3.5640000000000001</v>
      </c>
      <c r="AJ887" s="90">
        <v>4.056</v>
      </c>
      <c r="AK887" s="90">
        <v>3.6539999999999999</v>
      </c>
      <c r="AL887" s="90">
        <v>3.9289999999999998</v>
      </c>
      <c r="AM887" s="21">
        <v>0.2893</v>
      </c>
      <c r="AN887" s="21">
        <v>0.3049</v>
      </c>
      <c r="AO887" s="21">
        <v>0.2359</v>
      </c>
      <c r="AP887" s="21">
        <v>0.34200000000000003</v>
      </c>
      <c r="AQ887" s="21">
        <v>-6.8400000000000002E-2</v>
      </c>
      <c r="AR887" s="21">
        <v>0.13170000000000001</v>
      </c>
      <c r="AS887" s="21">
        <v>0.2142</v>
      </c>
      <c r="AT887" s="21">
        <v>1.14E-2</v>
      </c>
      <c r="AU887" s="21">
        <v>0.502</v>
      </c>
      <c r="AV887" s="21">
        <v>0.48</v>
      </c>
      <c r="AW887" s="21">
        <v>0.53200000000000003</v>
      </c>
      <c r="AX887" s="21">
        <v>0.505</v>
      </c>
      <c r="AY887" s="21">
        <v>0.54300000000000004</v>
      </c>
      <c r="AZ887" s="21">
        <v>0.53300000000000003</v>
      </c>
      <c r="BA887" s="21">
        <v>0.47599999999999998</v>
      </c>
      <c r="BB887" s="21">
        <v>0.495</v>
      </c>
      <c r="BC887" s="5">
        <v>1</v>
      </c>
      <c r="BD887" s="5">
        <v>1</v>
      </c>
      <c r="BE887" s="5">
        <v>1</v>
      </c>
      <c r="BF887" s="5">
        <v>1</v>
      </c>
      <c r="BG887" s="5">
        <v>1</v>
      </c>
      <c r="BH887" s="5">
        <v>1</v>
      </c>
      <c r="BI887" s="5">
        <v>1</v>
      </c>
      <c r="BJ887" s="5">
        <v>1</v>
      </c>
      <c r="BK887" s="90">
        <v>1</v>
      </c>
      <c r="BL887" s="90">
        <v>1</v>
      </c>
      <c r="BM887" s="90">
        <v>1</v>
      </c>
      <c r="BN887" s="90">
        <v>1</v>
      </c>
      <c r="BO887" s="90">
        <v>1</v>
      </c>
      <c r="BP887" s="90">
        <v>1</v>
      </c>
      <c r="BQ887" s="90">
        <v>1</v>
      </c>
      <c r="BR887" s="90">
        <v>1</v>
      </c>
      <c r="BS887" s="5" t="s">
        <v>4857</v>
      </c>
    </row>
    <row r="888" spans="1:71" s="30" customFormat="1" ht="17.100000000000001" customHeight="1">
      <c r="A888" s="14">
        <v>877</v>
      </c>
      <c r="B888" s="5" t="s">
        <v>1491</v>
      </c>
      <c r="C888" s="3" t="s">
        <v>1803</v>
      </c>
      <c r="D888" s="3" t="s">
        <v>1622</v>
      </c>
      <c r="E888" s="3" t="s">
        <v>1623</v>
      </c>
      <c r="F888" s="5" t="s">
        <v>5152</v>
      </c>
      <c r="G888" s="3" t="s">
        <v>1624</v>
      </c>
      <c r="H888" s="6" t="s">
        <v>1625</v>
      </c>
      <c r="I888" s="3" t="s">
        <v>1485</v>
      </c>
      <c r="J888" s="5" t="s">
        <v>1486</v>
      </c>
      <c r="K888" s="3" t="s">
        <v>5873</v>
      </c>
      <c r="L888" s="3" t="s">
        <v>1489</v>
      </c>
      <c r="M888" s="5">
        <v>3</v>
      </c>
      <c r="N888" s="21">
        <v>493.6087</v>
      </c>
      <c r="O888" s="36" t="str">
        <f>HYPERLINK("http://ms.phosphosite.org:5080/cgi-bin/plot-msms.cgi?MassType=1&amp;NumAxis=1&amp;Mod12=170&amp;Pep=VVAGVATALAHKYH&amp;Dta=/var/www/html/dta/S01/10558.7172.3.dta&amp;Global_Mod=CS57.0215", "7172")</f>
        <v>7172</v>
      </c>
      <c r="P888" s="36" t="str">
        <f>HYPERLINK("http://ms.phosphosite.org:5080/cgi-bin/plot-msms.cgi?MassType=1&amp;NumAxis=1&amp;Mod12=170&amp;Pep=VVAGVATALAHKYH&amp;Dta=/var/www/html/dta/S01/10559.7032.3.dta&amp;Global_Mod=CS57.0215", "7032")</f>
        <v>7032</v>
      </c>
      <c r="Q888" s="36" t="str">
        <f>HYPERLINK("http://ms.phosphosite.org:5080/cgi-bin/plot-msms.cgi?MassType=1&amp;NumAxis=1&amp;Mod12=170&amp;Pep=VVAGVATALAHKYH&amp;Dta=/var/www/html/dta/S01/10560.7027.3.dta&amp;Global_Mod=CS57.0215", "7027")</f>
        <v>7027</v>
      </c>
      <c r="R888" s="35" t="s">
        <v>4854</v>
      </c>
      <c r="S888" s="35" t="s">
        <v>4854</v>
      </c>
      <c r="T888" s="36" t="str">
        <f>HYPERLINK("http://ms.phosphosite.org:5080/cgi-bin/plot-msms.cgi?MassType=1&amp;NumAxis=1&amp;Mod12=170&amp;Pep=VVAGVATALAHKYH&amp;Dta=/var/www/html/dta/S01/10563.7235.3.dta&amp;Global_Mod=CS57.0215", "7235")</f>
        <v>7235</v>
      </c>
      <c r="U888" s="36" t="str">
        <f>HYPERLINK("http://ms.phosphosite.org:5080/cgi-bin/plot-msms.cgi?MassType=1&amp;NumAxis=1&amp;Mod12=170&amp;Pep=VVAGVATALAHKYH&amp;Dta=/var/www/html/dta/S01/10564.7575.3.dta&amp;Global_Mod=CS57.0215", "7575")</f>
        <v>7575</v>
      </c>
      <c r="V888" s="36" t="str">
        <f>HYPERLINK("http://ms.phosphosite.org:5080/cgi-bin/plot-msms.cgi?MassType=1&amp;NumAxis=1&amp;Mod12=170&amp;Pep=VVAGVATALAHKYH&amp;Dta=/var/www/html/dta/S01/10565.7671.3.dta&amp;Global_Mod=CS57.0215", "7671")</f>
        <v>7671</v>
      </c>
      <c r="W888" s="5">
        <v>7138</v>
      </c>
      <c r="X888" s="3" t="s">
        <v>4854</v>
      </c>
      <c r="Y888" s="3" t="s">
        <v>4854</v>
      </c>
      <c r="Z888" s="3" t="s">
        <v>4854</v>
      </c>
      <c r="AA888" s="3" t="s">
        <v>4854</v>
      </c>
      <c r="AB888" s="5">
        <v>7201</v>
      </c>
      <c r="AC888" s="5">
        <v>7585</v>
      </c>
      <c r="AD888" s="5">
        <v>7626</v>
      </c>
      <c r="AE888" s="90">
        <v>1.776</v>
      </c>
      <c r="AF888" s="90">
        <v>1.369</v>
      </c>
      <c r="AG888" s="90">
        <v>1.2789999999999999</v>
      </c>
      <c r="AH888" s="99" t="s">
        <v>4854</v>
      </c>
      <c r="AI888" s="99" t="s">
        <v>4854</v>
      </c>
      <c r="AJ888" s="90">
        <v>1.6519999999999999</v>
      </c>
      <c r="AK888" s="90">
        <v>1.7949999999999999</v>
      </c>
      <c r="AL888" s="90">
        <v>2.125</v>
      </c>
      <c r="AM888" s="21">
        <v>0.7288</v>
      </c>
      <c r="AN888" s="21">
        <v>0.81399999999999995</v>
      </c>
      <c r="AO888" s="21">
        <v>0.82689999999999997</v>
      </c>
      <c r="AP888" s="102" t="s">
        <v>4854</v>
      </c>
      <c r="AQ888" s="102" t="s">
        <v>4854</v>
      </c>
      <c r="AR888" s="21">
        <v>0.77010000000000001</v>
      </c>
      <c r="AS888" s="21">
        <v>0.8397</v>
      </c>
      <c r="AT888" s="21">
        <v>0.39479999999999998</v>
      </c>
      <c r="AU888" s="21">
        <v>0.23100000000000001</v>
      </c>
      <c r="AV888" s="21">
        <v>0.11700000000000001</v>
      </c>
      <c r="AW888" s="21">
        <v>5.0999999999999997E-2</v>
      </c>
      <c r="AX888" s="102" t="s">
        <v>4854</v>
      </c>
      <c r="AY888" s="102" t="s">
        <v>4854</v>
      </c>
      <c r="AZ888" s="21">
        <v>0.14099999999999999</v>
      </c>
      <c r="BA888" s="21">
        <v>0.155</v>
      </c>
      <c r="BB888" s="21">
        <v>0.19500000000000001</v>
      </c>
      <c r="BC888" s="5">
        <v>3</v>
      </c>
      <c r="BD888" s="5">
        <v>23</v>
      </c>
      <c r="BE888" s="5">
        <v>168</v>
      </c>
      <c r="BF888" s="3" t="s">
        <v>4854</v>
      </c>
      <c r="BG888" s="3" t="s">
        <v>4854</v>
      </c>
      <c r="BH888" s="5">
        <v>1</v>
      </c>
      <c r="BI888" s="5">
        <v>15</v>
      </c>
      <c r="BJ888" s="5">
        <v>12</v>
      </c>
      <c r="BK888" s="90">
        <v>0.99199999999999999</v>
      </c>
      <c r="BL888" s="90">
        <v>0.85799999999999998</v>
      </c>
      <c r="BM888" s="90">
        <v>0.65</v>
      </c>
      <c r="BN888" s="99" t="s">
        <v>4854</v>
      </c>
      <c r="BO888" s="99" t="s">
        <v>4854</v>
      </c>
      <c r="BP888" s="90">
        <v>0.97299999999999998</v>
      </c>
      <c r="BQ888" s="90">
        <v>0.96599999999999997</v>
      </c>
      <c r="BR888" s="90">
        <v>0.99</v>
      </c>
      <c r="BS888" s="5" t="s">
        <v>4857</v>
      </c>
    </row>
    <row r="889" spans="1:71" s="30" customFormat="1" ht="17.100000000000001" customHeight="1">
      <c r="A889" s="14">
        <v>878</v>
      </c>
      <c r="B889" s="5" t="s">
        <v>1492</v>
      </c>
      <c r="C889" s="3" t="s">
        <v>1803</v>
      </c>
      <c r="D889" s="3" t="s">
        <v>1622</v>
      </c>
      <c r="E889" s="3" t="s">
        <v>1623</v>
      </c>
      <c r="F889" s="5" t="s">
        <v>5152</v>
      </c>
      <c r="G889" s="3" t="s">
        <v>1624</v>
      </c>
      <c r="H889" s="6" t="s">
        <v>1625</v>
      </c>
      <c r="I889" s="3" t="s">
        <v>1485</v>
      </c>
      <c r="J889" s="5" t="s">
        <v>1486</v>
      </c>
      <c r="K889" s="3" t="s">
        <v>5873</v>
      </c>
      <c r="L889" s="3" t="s">
        <v>1489</v>
      </c>
      <c r="M889" s="5">
        <v>3</v>
      </c>
      <c r="N889" s="21">
        <v>493.6087</v>
      </c>
      <c r="O889" s="35" t="s">
        <v>4854</v>
      </c>
      <c r="P889" s="35" t="s">
        <v>4854</v>
      </c>
      <c r="Q889" s="35" t="s">
        <v>4854</v>
      </c>
      <c r="R889" s="35" t="s">
        <v>4854</v>
      </c>
      <c r="S889" s="35" t="s">
        <v>4854</v>
      </c>
      <c r="T889" s="35" t="s">
        <v>4854</v>
      </c>
      <c r="U889" s="35" t="s">
        <v>4854</v>
      </c>
      <c r="V889" s="36" t="str">
        <f>HYPERLINK("http://ms.phosphosite.org:5080/cgi-bin/plot-msms.cgi?MassType=1&amp;NumAxis=1&amp;Mod12=170&amp;Pep=VVAGVATALAHKYH&amp;Dta=/var/www/html/dta/S01/10565.7577.3.dta&amp;Global_Mod=CS57.0215", "7577")</f>
        <v>7577</v>
      </c>
      <c r="W889" s="3" t="s">
        <v>4854</v>
      </c>
      <c r="X889" s="3" t="s">
        <v>4854</v>
      </c>
      <c r="Y889" s="3" t="s">
        <v>4854</v>
      </c>
      <c r="Z889" s="3" t="s">
        <v>4854</v>
      </c>
      <c r="AA889" s="3" t="s">
        <v>4854</v>
      </c>
      <c r="AB889" s="3" t="s">
        <v>4854</v>
      </c>
      <c r="AC889" s="3" t="s">
        <v>4854</v>
      </c>
      <c r="AD889" s="3" t="s">
        <v>4854</v>
      </c>
      <c r="AE889" s="99" t="s">
        <v>4854</v>
      </c>
      <c r="AF889" s="99" t="s">
        <v>4854</v>
      </c>
      <c r="AG889" s="99" t="s">
        <v>4854</v>
      </c>
      <c r="AH889" s="99" t="s">
        <v>4854</v>
      </c>
      <c r="AI889" s="99" t="s">
        <v>4854</v>
      </c>
      <c r="AJ889" s="99" t="s">
        <v>4854</v>
      </c>
      <c r="AK889" s="99" t="s">
        <v>4854</v>
      </c>
      <c r="AL889" s="90">
        <v>1.736</v>
      </c>
      <c r="AM889" s="102" t="s">
        <v>4854</v>
      </c>
      <c r="AN889" s="102" t="s">
        <v>4854</v>
      </c>
      <c r="AO889" s="102" t="s">
        <v>4854</v>
      </c>
      <c r="AP889" s="102" t="s">
        <v>4854</v>
      </c>
      <c r="AQ889" s="102" t="s">
        <v>4854</v>
      </c>
      <c r="AR889" s="102" t="s">
        <v>4854</v>
      </c>
      <c r="AS889" s="102" t="s">
        <v>4854</v>
      </c>
      <c r="AT889" s="21">
        <v>0.40760000000000002</v>
      </c>
      <c r="AU889" s="102" t="s">
        <v>4854</v>
      </c>
      <c r="AV889" s="102" t="s">
        <v>4854</v>
      </c>
      <c r="AW889" s="102" t="s">
        <v>4854</v>
      </c>
      <c r="AX889" s="102" t="s">
        <v>4854</v>
      </c>
      <c r="AY889" s="102" t="s">
        <v>4854</v>
      </c>
      <c r="AZ889" s="102" t="s">
        <v>4854</v>
      </c>
      <c r="BA889" s="102" t="s">
        <v>4854</v>
      </c>
      <c r="BB889" s="21">
        <v>3.6999999999999998E-2</v>
      </c>
      <c r="BC889" s="3" t="s">
        <v>4854</v>
      </c>
      <c r="BD889" s="3" t="s">
        <v>4854</v>
      </c>
      <c r="BE889" s="3" t="s">
        <v>4854</v>
      </c>
      <c r="BF889" s="3" t="s">
        <v>4854</v>
      </c>
      <c r="BG889" s="3" t="s">
        <v>4854</v>
      </c>
      <c r="BH889" s="3" t="s">
        <v>4854</v>
      </c>
      <c r="BI889" s="3" t="s">
        <v>4854</v>
      </c>
      <c r="BJ889" s="5">
        <v>6</v>
      </c>
      <c r="BK889" s="99" t="s">
        <v>4854</v>
      </c>
      <c r="BL889" s="99" t="s">
        <v>4854</v>
      </c>
      <c r="BM889" s="99" t="s">
        <v>4854</v>
      </c>
      <c r="BN889" s="99" t="s">
        <v>4854</v>
      </c>
      <c r="BO889" s="99" t="s">
        <v>4854</v>
      </c>
      <c r="BP889" s="99" t="s">
        <v>4854</v>
      </c>
      <c r="BQ889" s="99" t="s">
        <v>4854</v>
      </c>
      <c r="BR889" s="90">
        <v>0.86599999999999999</v>
      </c>
      <c r="BS889" s="5" t="s">
        <v>4857</v>
      </c>
    </row>
    <row r="890" spans="1:71" s="30" customFormat="1" ht="17.100000000000001" customHeight="1">
      <c r="A890" s="10">
        <v>879</v>
      </c>
      <c r="B890" s="10" t="s">
        <v>1493</v>
      </c>
      <c r="C890" s="4" t="s">
        <v>1803</v>
      </c>
      <c r="D890" s="4" t="s">
        <v>1494</v>
      </c>
      <c r="E890" s="4" t="s">
        <v>1495</v>
      </c>
      <c r="F890" s="10" t="s">
        <v>4986</v>
      </c>
      <c r="G890" s="4" t="s">
        <v>1496</v>
      </c>
      <c r="H890" s="7" t="s">
        <v>1497</v>
      </c>
      <c r="I890" s="4" t="s">
        <v>1498</v>
      </c>
      <c r="J890" s="10" t="s">
        <v>4849</v>
      </c>
      <c r="K890" s="4" t="s">
        <v>5874</v>
      </c>
      <c r="L890" s="4" t="s">
        <v>1499</v>
      </c>
      <c r="M890" s="10">
        <v>3</v>
      </c>
      <c r="N890" s="95">
        <v>786.39</v>
      </c>
      <c r="O890" s="37" t="str">
        <f>HYPERLINK("http://ms.phosphosite.org:5080/cgi-bin/plot-msms.cgi?MassType=1&amp;NumAxis=1&amp;Mod5=160&amp;Mod9=170&amp;Pep=SAVSCLWAKVNPDEVGGEALGR&amp;Dta=/var/www/html/dta/S01/10558.12418.3.dta&amp;Global_Mod=CS57.0215", "12418")</f>
        <v>12418</v>
      </c>
      <c r="P890" s="37" t="str">
        <f>HYPERLINK("http://ms.phosphosite.org:5080/cgi-bin/plot-msms.cgi?MassType=1&amp;NumAxis=1&amp;Mod5=160&amp;Mod9=170&amp;Pep=SAVSCLWAKVNPDEVGGEALGR&amp;Dta=/var/www/html/dta/S01/10559.12440.3.dta&amp;Global_Mod=CS57.0215", "12440")</f>
        <v>12440</v>
      </c>
      <c r="Q890" s="37" t="str">
        <f>HYPERLINK("http://ms.phosphosite.org:5080/cgi-bin/plot-msms.cgi?MassType=1&amp;NumAxis=1&amp;Mod5=160&amp;Mod9=170&amp;Pep=SAVSCLWAKVNPDEVGGEALGR&amp;Dta=/var/www/html/dta/S01/10560.12463.3.dta&amp;Global_Mod=CS57.0215", "12463")</f>
        <v>12463</v>
      </c>
      <c r="R890" s="37" t="str">
        <f>HYPERLINK("http://ms.phosphosite.org:5080/cgi-bin/plot-msms.cgi?MassType=1&amp;NumAxis=1&amp;Mod5=160&amp;Mod9=170&amp;Pep=SAVSCLWAKVNPDEVGGEALGR&amp;Dta=/var/www/html/dta/S01/10561.12513.3.dta&amp;Global_Mod=CS57.0215", "12513")</f>
        <v>12513</v>
      </c>
      <c r="S890" s="37" t="str">
        <f>HYPERLINK("http://ms.phosphosite.org:5080/cgi-bin/plot-msms.cgi?MassType=1&amp;NumAxis=1&amp;Mod5=160&amp;Mod9=170&amp;Pep=SAVSCLWAKVNPDEVGGEALGR&amp;Dta=/var/www/html/dta/S01/10562.12689.3.dta&amp;Global_Mod=CS57.0215", "12689")</f>
        <v>12689</v>
      </c>
      <c r="T890" s="37" t="str">
        <f>HYPERLINK("http://ms.phosphosite.org:5080/cgi-bin/plot-msms.cgi?MassType=1&amp;NumAxis=1&amp;Mod5=160&amp;Mod9=170&amp;Pep=SAVSCLWAKVNPDEVGGEALGR&amp;Dta=/var/www/html/dta/S01/10563.12599.3.dta&amp;Global_Mod=CS57.0215", "12599")</f>
        <v>12599</v>
      </c>
      <c r="U890" s="37" t="str">
        <f>HYPERLINK("http://ms.phosphosite.org:5080/cgi-bin/plot-msms.cgi?MassType=1&amp;NumAxis=1&amp;Mod5=160&amp;Mod9=170&amp;Pep=SAVSCLWAKVNPDEVGGEALGR&amp;Dta=/var/www/html/dta/S01/10564.13188.3.dta&amp;Global_Mod=CS57.0215", "13188")</f>
        <v>13188</v>
      </c>
      <c r="V890" s="37" t="str">
        <f>HYPERLINK("http://ms.phosphosite.org:5080/cgi-bin/plot-msms.cgi?MassType=1&amp;NumAxis=1&amp;Mod5=160&amp;Mod9=170&amp;Pep=SAVSCLWAKVNPDEVGGEALGR&amp;Dta=/var/www/html/dta/S01/10565.13087.3.dta&amp;Global_Mod=CS57.0215", "13087")</f>
        <v>13087</v>
      </c>
      <c r="W890" s="10">
        <v>12395</v>
      </c>
      <c r="X890" s="10">
        <v>12417</v>
      </c>
      <c r="Y890" s="10">
        <v>12473</v>
      </c>
      <c r="Z890" s="10">
        <v>12501</v>
      </c>
      <c r="AA890" s="10">
        <v>12688</v>
      </c>
      <c r="AB890" s="10">
        <v>12565</v>
      </c>
      <c r="AC890" s="10">
        <v>13187</v>
      </c>
      <c r="AD890" s="10">
        <v>13097</v>
      </c>
      <c r="AE890" s="91">
        <v>6.585</v>
      </c>
      <c r="AF890" s="91">
        <v>5.9509999999999996</v>
      </c>
      <c r="AG890" s="91">
        <v>5.4089999999999998</v>
      </c>
      <c r="AH890" s="91">
        <v>5.7720000000000002</v>
      </c>
      <c r="AI890" s="91">
        <v>5.8879999999999999</v>
      </c>
      <c r="AJ890" s="91">
        <v>5.8929999999999998</v>
      </c>
      <c r="AK890" s="91">
        <v>5.6</v>
      </c>
      <c r="AL890" s="91">
        <v>5.12</v>
      </c>
      <c r="AM890" s="95">
        <v>1.1426000000000001</v>
      </c>
      <c r="AN890" s="95">
        <v>1.2415</v>
      </c>
      <c r="AO890" s="95">
        <v>1.2567999999999999</v>
      </c>
      <c r="AP890" s="95">
        <v>1.1443000000000001</v>
      </c>
      <c r="AQ890" s="95">
        <v>1.034</v>
      </c>
      <c r="AR890" s="95">
        <v>0.92120000000000002</v>
      </c>
      <c r="AS890" s="95">
        <v>0.86599999999999999</v>
      </c>
      <c r="AT890" s="95">
        <v>0.4834</v>
      </c>
      <c r="AU890" s="95">
        <v>0.51700000000000002</v>
      </c>
      <c r="AV890" s="95">
        <v>0.499</v>
      </c>
      <c r="AW890" s="95">
        <v>0.42699999999999999</v>
      </c>
      <c r="AX890" s="95">
        <v>0.48</v>
      </c>
      <c r="AY890" s="95">
        <v>0.46700000000000003</v>
      </c>
      <c r="AZ890" s="95">
        <v>0.495</v>
      </c>
      <c r="BA890" s="95">
        <v>0.49299999999999999</v>
      </c>
      <c r="BB890" s="95">
        <v>0.46800000000000003</v>
      </c>
      <c r="BC890" s="10">
        <v>1</v>
      </c>
      <c r="BD890" s="10">
        <v>1</v>
      </c>
      <c r="BE890" s="10">
        <v>1</v>
      </c>
      <c r="BF890" s="10">
        <v>1</v>
      </c>
      <c r="BG890" s="10">
        <v>1</v>
      </c>
      <c r="BH890" s="10">
        <v>1</v>
      </c>
      <c r="BI890" s="10">
        <v>1</v>
      </c>
      <c r="BJ890" s="10">
        <v>1</v>
      </c>
      <c r="BK890" s="91">
        <v>1</v>
      </c>
      <c r="BL890" s="91">
        <v>1</v>
      </c>
      <c r="BM890" s="91">
        <v>1</v>
      </c>
      <c r="BN890" s="91">
        <v>1</v>
      </c>
      <c r="BO890" s="91">
        <v>1</v>
      </c>
      <c r="BP890" s="91">
        <v>1</v>
      </c>
      <c r="BQ890" s="91">
        <v>1</v>
      </c>
      <c r="BR890" s="91">
        <v>1</v>
      </c>
      <c r="BS890" s="10" t="s">
        <v>4857</v>
      </c>
    </row>
    <row r="891" spans="1:71" s="30" customFormat="1" ht="17.100000000000001" customHeight="1">
      <c r="A891" s="10">
        <v>880</v>
      </c>
      <c r="B891" s="10" t="s">
        <v>1500</v>
      </c>
      <c r="C891" s="4" t="s">
        <v>1803</v>
      </c>
      <c r="D891" s="4" t="s">
        <v>1494</v>
      </c>
      <c r="E891" s="4" t="s">
        <v>1495</v>
      </c>
      <c r="F891" s="10" t="s">
        <v>4986</v>
      </c>
      <c r="G891" s="4" t="s">
        <v>1496</v>
      </c>
      <c r="H891" s="7" t="s">
        <v>1497</v>
      </c>
      <c r="I891" s="4" t="s">
        <v>1498</v>
      </c>
      <c r="J891" s="10" t="s">
        <v>4849</v>
      </c>
      <c r="K891" s="4" t="s">
        <v>5874</v>
      </c>
      <c r="L891" s="4" t="s">
        <v>1499</v>
      </c>
      <c r="M891" s="10">
        <v>3</v>
      </c>
      <c r="N891" s="95">
        <v>786.39</v>
      </c>
      <c r="O891" s="37" t="str">
        <f>HYPERLINK("http://ms.phosphosite.org:5080/cgi-bin/plot-msms.cgi?MassType=1&amp;NumAxis=1&amp;Mod5=160&amp;Mod9=170&amp;Pep=SAVSCLWAKVNPDEVGGEALGR&amp;Dta=/var/www/html/dta/S01/10558.12376.3.dta&amp;Global_Mod=CS57.0215", "12376")</f>
        <v>12376</v>
      </c>
      <c r="P891" s="37" t="str">
        <f>HYPERLINK("http://ms.phosphosite.org:5080/cgi-bin/plot-msms.cgi?MassType=1&amp;NumAxis=1&amp;Mod5=160&amp;Mod9=170&amp;Pep=SAVSCLWAKVNPDEVGGEALGR&amp;Dta=/var/www/html/dta/S01/10559.12390.3.dta&amp;Global_Mod=CS57.0215", "12390")</f>
        <v>12390</v>
      </c>
      <c r="Q891" s="37" t="str">
        <f>HYPERLINK("http://ms.phosphosite.org:5080/cgi-bin/plot-msms.cgi?MassType=1&amp;NumAxis=1&amp;Mod5=160&amp;Mod9=170&amp;Pep=SAVSCLWAKVNPDEVGGEALGR&amp;Dta=/var/www/html/dta/S01/10560.12435.3.dta&amp;Global_Mod=CS57.0215", "12435")</f>
        <v>12435</v>
      </c>
      <c r="R891" s="37" t="str">
        <f>HYPERLINK("http://ms.phosphosite.org:5080/cgi-bin/plot-msms.cgi?MassType=1&amp;NumAxis=1&amp;Mod5=160&amp;Mod9=170&amp;Pep=SAVSCLWAKVNPDEVGGEALGR&amp;Dta=/var/www/html/dta/S01/10561.12474.3.dta&amp;Global_Mod=CS57.0215", "12474")</f>
        <v>12474</v>
      </c>
      <c r="S891" s="37" t="str">
        <f>HYPERLINK("http://ms.phosphosite.org:5080/cgi-bin/plot-msms.cgi?MassType=1&amp;NumAxis=1&amp;Mod5=160&amp;Mod9=170&amp;Pep=SAVSCLWAKVNPDEVGGEALGR&amp;Dta=/var/www/html/dta/S01/10562.12652.3.dta&amp;Global_Mod=CS57.0215", "12652")</f>
        <v>12652</v>
      </c>
      <c r="T891" s="37" t="str">
        <f>HYPERLINK("http://ms.phosphosite.org:5080/cgi-bin/plot-msms.cgi?MassType=1&amp;NumAxis=1&amp;Mod5=160&amp;Mod9=170&amp;Pep=SAVSCLWAKVNPDEVGGEALGR&amp;Dta=/var/www/html/dta/S01/10563.12549.3.dta&amp;Global_Mod=CS57.0215", "12549")</f>
        <v>12549</v>
      </c>
      <c r="U891" s="38" t="s">
        <v>4854</v>
      </c>
      <c r="V891" s="38" t="s">
        <v>4854</v>
      </c>
      <c r="W891" s="10">
        <v>12395</v>
      </c>
      <c r="X891" s="10">
        <v>12417</v>
      </c>
      <c r="Y891" s="10">
        <v>12473</v>
      </c>
      <c r="Z891" s="10">
        <v>12501</v>
      </c>
      <c r="AA891" s="10">
        <v>12688</v>
      </c>
      <c r="AB891" s="10">
        <v>12565</v>
      </c>
      <c r="AC891" s="4" t="s">
        <v>4854</v>
      </c>
      <c r="AD891" s="4" t="s">
        <v>4854</v>
      </c>
      <c r="AE891" s="91">
        <v>5.4669999999999996</v>
      </c>
      <c r="AF891" s="91">
        <v>4.7380000000000004</v>
      </c>
      <c r="AG891" s="91">
        <v>4.5410000000000004</v>
      </c>
      <c r="AH891" s="91">
        <v>4.0780000000000003</v>
      </c>
      <c r="AI891" s="91">
        <v>5.7290000000000001</v>
      </c>
      <c r="AJ891" s="91">
        <v>5.0179999999999998</v>
      </c>
      <c r="AK891" s="100" t="s">
        <v>4854</v>
      </c>
      <c r="AL891" s="100" t="s">
        <v>4854</v>
      </c>
      <c r="AM891" s="95">
        <v>1.1459999999999999</v>
      </c>
      <c r="AN891" s="95">
        <v>1.2206999999999999</v>
      </c>
      <c r="AO891" s="95">
        <v>1.2563</v>
      </c>
      <c r="AP891" s="95">
        <v>1.1371</v>
      </c>
      <c r="AQ891" s="95">
        <v>1.006</v>
      </c>
      <c r="AR891" s="95">
        <v>0.875</v>
      </c>
      <c r="AS891" s="103" t="s">
        <v>4854</v>
      </c>
      <c r="AT891" s="103" t="s">
        <v>4854</v>
      </c>
      <c r="AU891" s="95">
        <v>0.38900000000000001</v>
      </c>
      <c r="AV891" s="95">
        <v>0.35899999999999999</v>
      </c>
      <c r="AW891" s="95">
        <v>0.219</v>
      </c>
      <c r="AX891" s="95">
        <v>0.35899999999999999</v>
      </c>
      <c r="AY891" s="95">
        <v>0.41599999999999998</v>
      </c>
      <c r="AZ891" s="95">
        <v>0.36299999999999999</v>
      </c>
      <c r="BA891" s="103" t="s">
        <v>4854</v>
      </c>
      <c r="BB891" s="103" t="s">
        <v>4854</v>
      </c>
      <c r="BC891" s="10">
        <v>1</v>
      </c>
      <c r="BD891" s="10">
        <v>1</v>
      </c>
      <c r="BE891" s="10">
        <v>1</v>
      </c>
      <c r="BF891" s="10">
        <v>1</v>
      </c>
      <c r="BG891" s="10">
        <v>1</v>
      </c>
      <c r="BH891" s="10">
        <v>1</v>
      </c>
      <c r="BI891" s="4" t="s">
        <v>4854</v>
      </c>
      <c r="BJ891" s="4" t="s">
        <v>4854</v>
      </c>
      <c r="BK891" s="91">
        <v>1</v>
      </c>
      <c r="BL891" s="91">
        <v>1</v>
      </c>
      <c r="BM891" s="91">
        <v>1</v>
      </c>
      <c r="BN891" s="91">
        <v>1</v>
      </c>
      <c r="BO891" s="91">
        <v>1</v>
      </c>
      <c r="BP891" s="91">
        <v>1</v>
      </c>
      <c r="BQ891" s="100" t="s">
        <v>4854</v>
      </c>
      <c r="BR891" s="100" t="s">
        <v>4854</v>
      </c>
      <c r="BS891" s="10" t="s">
        <v>4857</v>
      </c>
    </row>
    <row r="892" spans="1:71" s="30" customFormat="1" ht="17.100000000000001" customHeight="1">
      <c r="A892" s="14">
        <v>881</v>
      </c>
      <c r="B892" s="5" t="s">
        <v>1501</v>
      </c>
      <c r="C892" s="3" t="s">
        <v>1803</v>
      </c>
      <c r="D892" s="3" t="s">
        <v>1502</v>
      </c>
      <c r="E892" s="3" t="s">
        <v>1503</v>
      </c>
      <c r="F892" s="5" t="s">
        <v>1504</v>
      </c>
      <c r="G892" s="3" t="s">
        <v>1505</v>
      </c>
      <c r="H892" s="6" t="s">
        <v>1506</v>
      </c>
      <c r="I892" s="3" t="s">
        <v>1507</v>
      </c>
      <c r="J892" s="5" t="s">
        <v>4780</v>
      </c>
      <c r="K892" s="3" t="s">
        <v>5875</v>
      </c>
      <c r="L892" s="3" t="s">
        <v>1508</v>
      </c>
      <c r="M892" s="5">
        <v>2</v>
      </c>
      <c r="N892" s="21">
        <v>472.26960000000003</v>
      </c>
      <c r="O892" s="35" t="s">
        <v>4854</v>
      </c>
      <c r="P892" s="35" t="s">
        <v>4854</v>
      </c>
      <c r="Q892" s="35" t="s">
        <v>4854</v>
      </c>
      <c r="R892" s="35" t="s">
        <v>4854</v>
      </c>
      <c r="S892" s="35" t="s">
        <v>4854</v>
      </c>
      <c r="T892" s="35" t="s">
        <v>4854</v>
      </c>
      <c r="U892" s="35" t="s">
        <v>4854</v>
      </c>
      <c r="V892" s="36" t="str">
        <f>HYPERLINK("http://ms.phosphosite.org:5080/cgi-bin/plot-msms.cgi?MassType=1&amp;NumAxis=1&amp;Mod1=170&amp;Mod6=170&amp;Pep=KERNGKK&amp;Dta=/var/www/html/dta/S01/10565.969.2.dta&amp;Global_Mod=CS57.0215", "969")</f>
        <v>969</v>
      </c>
      <c r="W892" s="3" t="s">
        <v>4854</v>
      </c>
      <c r="X892" s="3" t="s">
        <v>4854</v>
      </c>
      <c r="Y892" s="3" t="s">
        <v>4854</v>
      </c>
      <c r="Z892" s="3" t="s">
        <v>4854</v>
      </c>
      <c r="AA892" s="3" t="s">
        <v>4854</v>
      </c>
      <c r="AB892" s="3" t="s">
        <v>4854</v>
      </c>
      <c r="AC892" s="3" t="s">
        <v>4854</v>
      </c>
      <c r="AD892" s="3" t="s">
        <v>4854</v>
      </c>
      <c r="AE892" s="99" t="s">
        <v>4854</v>
      </c>
      <c r="AF892" s="99" t="s">
        <v>4854</v>
      </c>
      <c r="AG892" s="99" t="s">
        <v>4854</v>
      </c>
      <c r="AH892" s="99" t="s">
        <v>4854</v>
      </c>
      <c r="AI892" s="99" t="s">
        <v>4854</v>
      </c>
      <c r="AJ892" s="99" t="s">
        <v>4854</v>
      </c>
      <c r="AK892" s="99" t="s">
        <v>4854</v>
      </c>
      <c r="AL892" s="90">
        <v>1.5049999999999999</v>
      </c>
      <c r="AM892" s="102" t="s">
        <v>4854</v>
      </c>
      <c r="AN892" s="102" t="s">
        <v>4854</v>
      </c>
      <c r="AO892" s="102" t="s">
        <v>4854</v>
      </c>
      <c r="AP892" s="102" t="s">
        <v>4854</v>
      </c>
      <c r="AQ892" s="102" t="s">
        <v>4854</v>
      </c>
      <c r="AR892" s="102" t="s">
        <v>4854</v>
      </c>
      <c r="AS892" s="102" t="s">
        <v>4854</v>
      </c>
      <c r="AT892" s="21">
        <v>-0.48530000000000001</v>
      </c>
      <c r="AU892" s="102" t="s">
        <v>4854</v>
      </c>
      <c r="AV892" s="102" t="s">
        <v>4854</v>
      </c>
      <c r="AW892" s="102" t="s">
        <v>4854</v>
      </c>
      <c r="AX892" s="102" t="s">
        <v>4854</v>
      </c>
      <c r="AY892" s="102" t="s">
        <v>4854</v>
      </c>
      <c r="AZ892" s="102" t="s">
        <v>4854</v>
      </c>
      <c r="BA892" s="102" t="s">
        <v>4854</v>
      </c>
      <c r="BB892" s="21">
        <v>2.9000000000000001E-2</v>
      </c>
      <c r="BC892" s="3" t="s">
        <v>4854</v>
      </c>
      <c r="BD892" s="3" t="s">
        <v>4854</v>
      </c>
      <c r="BE892" s="3" t="s">
        <v>4854</v>
      </c>
      <c r="BF892" s="3" t="s">
        <v>4854</v>
      </c>
      <c r="BG892" s="3" t="s">
        <v>4854</v>
      </c>
      <c r="BH892" s="3" t="s">
        <v>4854</v>
      </c>
      <c r="BI892" s="3" t="s">
        <v>4854</v>
      </c>
      <c r="BJ892" s="5">
        <v>1</v>
      </c>
      <c r="BK892" s="99" t="s">
        <v>4854</v>
      </c>
      <c r="BL892" s="99" t="s">
        <v>4854</v>
      </c>
      <c r="BM892" s="99" t="s">
        <v>4854</v>
      </c>
      <c r="BN892" s="99" t="s">
        <v>4854</v>
      </c>
      <c r="BO892" s="99" t="s">
        <v>4854</v>
      </c>
      <c r="BP892" s="99" t="s">
        <v>4854</v>
      </c>
      <c r="BQ892" s="99" t="s">
        <v>4854</v>
      </c>
      <c r="BR892" s="90">
        <v>5.1999999999999998E-2</v>
      </c>
      <c r="BS892" s="5" t="s">
        <v>4857</v>
      </c>
    </row>
    <row r="893" spans="1:71" s="30" customFormat="1" ht="17.100000000000001" customHeight="1">
      <c r="A893" s="10">
        <v>882</v>
      </c>
      <c r="B893" s="10" t="s">
        <v>1509</v>
      </c>
      <c r="C893" s="4" t="s">
        <v>1803</v>
      </c>
      <c r="D893" s="4" t="s">
        <v>1510</v>
      </c>
      <c r="E893" s="4" t="s">
        <v>1511</v>
      </c>
      <c r="F893" s="10" t="s">
        <v>3834</v>
      </c>
      <c r="G893" s="4" t="s">
        <v>1512</v>
      </c>
      <c r="H893" s="7" t="s">
        <v>1513</v>
      </c>
      <c r="I893" s="4" t="s">
        <v>1514</v>
      </c>
      <c r="J893" s="10" t="s">
        <v>4670</v>
      </c>
      <c r="K893" s="4" t="s">
        <v>5876</v>
      </c>
      <c r="L893" s="4" t="s">
        <v>1515</v>
      </c>
      <c r="M893" s="10">
        <v>2</v>
      </c>
      <c r="N893" s="95">
        <v>573.28790000000004</v>
      </c>
      <c r="O893" s="38" t="s">
        <v>4854</v>
      </c>
      <c r="P893" s="37" t="str">
        <f>HYPERLINK("http://ms.phosphosite.org:5080/cgi-bin/plot-msms.cgi?MassType=1&amp;NumAxis=1&amp;Mod7=170&amp;Pep=ADILEDKDGK&amp;Dta=/var/www/html/dta/S01/10559.4552.2.dta&amp;Global_Mod=CS57.0215", "4552")</f>
        <v>4552</v>
      </c>
      <c r="Q893" s="37" t="str">
        <f>HYPERLINK("http://ms.phosphosite.org:5080/cgi-bin/plot-msms.cgi?MassType=1&amp;NumAxis=1&amp;Mod7=170&amp;Pep=ADILEDKDGK&amp;Dta=/var/www/html/dta/S01/10560.4544.2.dta&amp;Global_Mod=CS57.0215", "4544")</f>
        <v>4544</v>
      </c>
      <c r="R893" s="38" t="s">
        <v>4854</v>
      </c>
      <c r="S893" s="38" t="s">
        <v>4854</v>
      </c>
      <c r="T893" s="37" t="str">
        <f>HYPERLINK("http://ms.phosphosite.org:5080/cgi-bin/plot-msms.cgi?MassType=1&amp;NumAxis=1&amp;Mod7=170&amp;Pep=ADILEDKDGK&amp;Dta=/var/www/html/dta/S01/10563.4602.2.dta&amp;Global_Mod=CS57.0215", "4602")</f>
        <v>4602</v>
      </c>
      <c r="U893" s="38" t="s">
        <v>4854</v>
      </c>
      <c r="V893" s="38" t="s">
        <v>4854</v>
      </c>
      <c r="W893" s="4" t="s">
        <v>4854</v>
      </c>
      <c r="X893" s="4" t="s">
        <v>4854</v>
      </c>
      <c r="Y893" s="4" t="s">
        <v>4854</v>
      </c>
      <c r="Z893" s="4" t="s">
        <v>4854</v>
      </c>
      <c r="AA893" s="4" t="s">
        <v>4854</v>
      </c>
      <c r="AB893" s="10">
        <v>4617</v>
      </c>
      <c r="AC893" s="4" t="s">
        <v>4854</v>
      </c>
      <c r="AD893" s="4" t="s">
        <v>4854</v>
      </c>
      <c r="AE893" s="100" t="s">
        <v>4854</v>
      </c>
      <c r="AF893" s="91">
        <v>2.2090000000000001</v>
      </c>
      <c r="AG893" s="91">
        <v>2.2909999999999999</v>
      </c>
      <c r="AH893" s="100" t="s">
        <v>4854</v>
      </c>
      <c r="AI893" s="100" t="s">
        <v>4854</v>
      </c>
      <c r="AJ893" s="91">
        <v>2.8439999999999999</v>
      </c>
      <c r="AK893" s="100" t="s">
        <v>4854</v>
      </c>
      <c r="AL893" s="100" t="s">
        <v>4854</v>
      </c>
      <c r="AM893" s="103" t="s">
        <v>4854</v>
      </c>
      <c r="AN893" s="95">
        <v>-1.3832</v>
      </c>
      <c r="AO893" s="95">
        <v>-2.0701999999999998</v>
      </c>
      <c r="AP893" s="103" t="s">
        <v>4854</v>
      </c>
      <c r="AQ893" s="103" t="s">
        <v>4854</v>
      </c>
      <c r="AR893" s="95">
        <v>-2.2054999999999998</v>
      </c>
      <c r="AS893" s="103" t="s">
        <v>4854</v>
      </c>
      <c r="AT893" s="103" t="s">
        <v>4854</v>
      </c>
      <c r="AU893" s="103" t="s">
        <v>4854</v>
      </c>
      <c r="AV893" s="95">
        <v>0.08</v>
      </c>
      <c r="AW893" s="95">
        <v>0.153</v>
      </c>
      <c r="AX893" s="103" t="s">
        <v>4854</v>
      </c>
      <c r="AY893" s="103" t="s">
        <v>4854</v>
      </c>
      <c r="AZ893" s="95">
        <v>0.22600000000000001</v>
      </c>
      <c r="BA893" s="103" t="s">
        <v>4854</v>
      </c>
      <c r="BB893" s="103" t="s">
        <v>4854</v>
      </c>
      <c r="BC893" s="4" t="s">
        <v>4854</v>
      </c>
      <c r="BD893" s="10">
        <v>1</v>
      </c>
      <c r="BE893" s="10">
        <v>2</v>
      </c>
      <c r="BF893" s="4" t="s">
        <v>4854</v>
      </c>
      <c r="BG893" s="4" t="s">
        <v>4854</v>
      </c>
      <c r="BH893" s="10">
        <v>1</v>
      </c>
      <c r="BI893" s="4" t="s">
        <v>4854</v>
      </c>
      <c r="BJ893" s="4" t="s">
        <v>4854</v>
      </c>
      <c r="BK893" s="100" t="s">
        <v>4854</v>
      </c>
      <c r="BL893" s="91">
        <v>0.84699999999999998</v>
      </c>
      <c r="BM893" s="91">
        <v>0.92700000000000005</v>
      </c>
      <c r="BN893" s="100" t="s">
        <v>4854</v>
      </c>
      <c r="BO893" s="100" t="s">
        <v>4854</v>
      </c>
      <c r="BP893" s="91">
        <v>0.95499999999999996</v>
      </c>
      <c r="BQ893" s="100" t="s">
        <v>4854</v>
      </c>
      <c r="BR893" s="100" t="s">
        <v>4854</v>
      </c>
      <c r="BS893" s="10" t="s">
        <v>4857</v>
      </c>
    </row>
    <row r="894" spans="1:71" s="30" customFormat="1" ht="17.100000000000001" customHeight="1">
      <c r="A894" s="14">
        <v>883</v>
      </c>
      <c r="B894" s="5" t="s">
        <v>1516</v>
      </c>
      <c r="C894" s="3" t="s">
        <v>1803</v>
      </c>
      <c r="D894" s="3" t="s">
        <v>1510</v>
      </c>
      <c r="E894" s="3" t="s">
        <v>1511</v>
      </c>
      <c r="F894" s="5" t="s">
        <v>5097</v>
      </c>
      <c r="G894" s="3" t="s">
        <v>1512</v>
      </c>
      <c r="H894" s="6" t="s">
        <v>1513</v>
      </c>
      <c r="I894" s="3" t="s">
        <v>1514</v>
      </c>
      <c r="J894" s="5" t="s">
        <v>4670</v>
      </c>
      <c r="K894" s="3" t="s">
        <v>5877</v>
      </c>
      <c r="L894" s="3" t="s">
        <v>1517</v>
      </c>
      <c r="M894" s="5">
        <v>2</v>
      </c>
      <c r="N894" s="21">
        <v>853.41430000000003</v>
      </c>
      <c r="O894" s="36" t="str">
        <f>HYPERLINK("http://ms.phosphosite.org:5080/cgi-bin/plot-msms.cgi?MassType=1&amp;NumAxis=1&amp;Mod2=160&amp;Mod6=170&amp;Pep=GCGVVKFESPEVAER&amp;Dta=/var/www/html/dta/S01/10558.7032.2.dta&amp;Global_Mod=CS57.0215", "7032")</f>
        <v>7032</v>
      </c>
      <c r="P894" s="36" t="str">
        <f>HYPERLINK("http://ms.phosphosite.org:5080/cgi-bin/plot-msms.cgi?MassType=1&amp;NumAxis=1&amp;Mod2=160&amp;Mod6=170&amp;Pep=GCGVVKFESPEVAER&amp;Dta=/var/www/html/dta/S01/10559.6995.2.dta&amp;Global_Mod=CS57.0215", "6995")</f>
        <v>6995</v>
      </c>
      <c r="Q894" s="36" t="str">
        <f>HYPERLINK("http://ms.phosphosite.org:5080/cgi-bin/plot-msms.cgi?MassType=1&amp;NumAxis=1&amp;Mod2=160&amp;Mod6=170&amp;Pep=GCGVVKFESPEVAER&amp;Dta=/var/www/html/dta/S01/10560.6987.2.dta&amp;Global_Mod=CS57.0215", "6987")</f>
        <v>6987</v>
      </c>
      <c r="R894" s="36" t="str">
        <f>HYPERLINK("http://ms.phosphosite.org:5080/cgi-bin/plot-msms.cgi?MassType=1&amp;NumAxis=1&amp;Mod2=160&amp;Mod6=170&amp;Pep=GCGVVKFESPEVAER&amp;Dta=/var/www/html/dta/S01/10561.7035.2.dta&amp;Global_Mod=CS57.0215", "7035")</f>
        <v>7035</v>
      </c>
      <c r="S894" s="36" t="str">
        <f>HYPERLINK("http://ms.phosphosite.org:5080/cgi-bin/plot-msms.cgi?MassType=1&amp;NumAxis=1&amp;Mod2=160&amp;Mod6=170&amp;Pep=GCGVVKFESPEVAER&amp;Dta=/var/www/html/dta/S01/10562.7145.2.dta&amp;Global_Mod=CS57.0215", "7145")</f>
        <v>7145</v>
      </c>
      <c r="T894" s="36" t="str">
        <f>HYPERLINK("http://ms.phosphosite.org:5080/cgi-bin/plot-msms.cgi?MassType=1&amp;NumAxis=1&amp;Mod2=160&amp;Mod6=170&amp;Pep=GCGVVKFESPEVAER&amp;Dta=/var/www/html/dta/S01/10563.7108.2.dta&amp;Global_Mod=CS57.0215", "7108")</f>
        <v>7108</v>
      </c>
      <c r="U894" s="36" t="str">
        <f>HYPERLINK("http://ms.phosphosite.org:5080/cgi-bin/plot-msms.cgi?MassType=1&amp;NumAxis=1&amp;Mod2=160&amp;Mod6=170&amp;Pep=GCGVVKFESPEVAER&amp;Dta=/var/www/html/dta/S01/10564.7457.2.dta&amp;Global_Mod=CS57.0215", "7457")</f>
        <v>7457</v>
      </c>
      <c r="V894" s="36" t="str">
        <f>HYPERLINK("http://ms.phosphosite.org:5080/cgi-bin/plot-msms.cgi?MassType=1&amp;NumAxis=1&amp;Mod2=160&amp;Mod6=170&amp;Pep=GCGVVKFESPEVAER&amp;Dta=/var/www/html/dta/S01/10565.7534.2.dta&amp;Global_Mod=CS57.0215", "7534")</f>
        <v>7534</v>
      </c>
      <c r="W894" s="5">
        <v>7083</v>
      </c>
      <c r="X894" s="5">
        <v>7042</v>
      </c>
      <c r="Y894" s="5">
        <v>7026</v>
      </c>
      <c r="Z894" s="5">
        <v>7064</v>
      </c>
      <c r="AA894" s="5">
        <v>7181</v>
      </c>
      <c r="AB894" s="5">
        <v>7135</v>
      </c>
      <c r="AC894" s="5">
        <v>7486</v>
      </c>
      <c r="AD894" s="5">
        <v>7571</v>
      </c>
      <c r="AE894" s="90">
        <v>4.109</v>
      </c>
      <c r="AF894" s="90">
        <v>4.5640000000000001</v>
      </c>
      <c r="AG894" s="90">
        <v>4.7649999999999997</v>
      </c>
      <c r="AH894" s="90">
        <v>4.077</v>
      </c>
      <c r="AI894" s="90">
        <v>4.649</v>
      </c>
      <c r="AJ894" s="90">
        <v>5.0940000000000003</v>
      </c>
      <c r="AK894" s="90">
        <v>4.3639999999999999</v>
      </c>
      <c r="AL894" s="90">
        <v>4.99</v>
      </c>
      <c r="AM894" s="21">
        <v>0.64629999999999999</v>
      </c>
      <c r="AN894" s="21">
        <v>0.81340000000000001</v>
      </c>
      <c r="AO894" s="21">
        <v>0.75360000000000005</v>
      </c>
      <c r="AP894" s="21">
        <v>0.93179999999999996</v>
      </c>
      <c r="AQ894" s="21">
        <v>0.46460000000000001</v>
      </c>
      <c r="AR894" s="21">
        <v>0.79930000000000001</v>
      </c>
      <c r="AS894" s="21">
        <v>0.40360000000000001</v>
      </c>
      <c r="AT894" s="21">
        <v>0.38719999999999999</v>
      </c>
      <c r="AU894" s="21">
        <v>0.41</v>
      </c>
      <c r="AV894" s="21">
        <v>0.376</v>
      </c>
      <c r="AW894" s="21">
        <v>0.42199999999999999</v>
      </c>
      <c r="AX894" s="21">
        <v>0.40400000000000003</v>
      </c>
      <c r="AY894" s="21">
        <v>0.41399999999999998</v>
      </c>
      <c r="AZ894" s="21">
        <v>0.39700000000000002</v>
      </c>
      <c r="BA894" s="21">
        <v>0.41</v>
      </c>
      <c r="BB894" s="21">
        <v>0.47</v>
      </c>
      <c r="BC894" s="5">
        <v>1</v>
      </c>
      <c r="BD894" s="5">
        <v>1</v>
      </c>
      <c r="BE894" s="5">
        <v>1</v>
      </c>
      <c r="BF894" s="5">
        <v>1</v>
      </c>
      <c r="BG894" s="5">
        <v>1</v>
      </c>
      <c r="BH894" s="5">
        <v>1</v>
      </c>
      <c r="BI894" s="5">
        <v>1</v>
      </c>
      <c r="BJ894" s="5">
        <v>1</v>
      </c>
      <c r="BK894" s="90">
        <v>1</v>
      </c>
      <c r="BL894" s="90">
        <v>1</v>
      </c>
      <c r="BM894" s="90">
        <v>1</v>
      </c>
      <c r="BN894" s="90">
        <v>1</v>
      </c>
      <c r="BO894" s="90">
        <v>1</v>
      </c>
      <c r="BP894" s="90">
        <v>1</v>
      </c>
      <c r="BQ894" s="90">
        <v>1</v>
      </c>
      <c r="BR894" s="90">
        <v>1</v>
      </c>
      <c r="BS894" s="5" t="s">
        <v>4857</v>
      </c>
    </row>
    <row r="895" spans="1:71" s="30" customFormat="1" ht="17.100000000000001" customHeight="1">
      <c r="A895" s="14">
        <v>884</v>
      </c>
      <c r="B895" s="5" t="s">
        <v>1518</v>
      </c>
      <c r="C895" s="3" t="s">
        <v>1803</v>
      </c>
      <c r="D895" s="3" t="s">
        <v>1510</v>
      </c>
      <c r="E895" s="3" t="s">
        <v>1511</v>
      </c>
      <c r="F895" s="5" t="s">
        <v>5097</v>
      </c>
      <c r="G895" s="3" t="s">
        <v>1512</v>
      </c>
      <c r="H895" s="6" t="s">
        <v>1513</v>
      </c>
      <c r="I895" s="3" t="s">
        <v>1514</v>
      </c>
      <c r="J895" s="5" t="s">
        <v>4670</v>
      </c>
      <c r="K895" s="3" t="s">
        <v>5877</v>
      </c>
      <c r="L895" s="3" t="s">
        <v>1517</v>
      </c>
      <c r="M895" s="5">
        <v>3</v>
      </c>
      <c r="N895" s="21">
        <v>569.27859999999998</v>
      </c>
      <c r="O895" s="35" t="s">
        <v>4854</v>
      </c>
      <c r="P895" s="36" t="str">
        <f>HYPERLINK("http://ms.phosphosite.org:5080/cgi-bin/plot-msms.cgi?MassType=1&amp;NumAxis=1&amp;Mod2=160&amp;Mod6=170&amp;Pep=GCGVVKFESPEVAER&amp;Dta=/var/www/html/dta/S01/10559.7056.3.dta&amp;Global_Mod=CS57.0215", "7056")</f>
        <v>7056</v>
      </c>
      <c r="Q895" s="36" t="str">
        <f>HYPERLINK("http://ms.phosphosite.org:5080/cgi-bin/plot-msms.cgi?MassType=1&amp;NumAxis=1&amp;Mod2=160&amp;Mod6=170&amp;Pep=GCGVVKFESPEVAER&amp;Dta=/var/www/html/dta/S01/10560.7021.3.dta&amp;Global_Mod=CS57.0215", "7021")</f>
        <v>7021</v>
      </c>
      <c r="R895" s="36" t="str">
        <f>HYPERLINK("http://ms.phosphosite.org:5080/cgi-bin/plot-msms.cgi?MassType=1&amp;NumAxis=1&amp;Mod2=160&amp;Mod6=170&amp;Pep=GCGVVKFESPEVAER&amp;Dta=/var/www/html/dta/S01/10561.7070.3.dta&amp;Global_Mod=CS57.0215", "7070")</f>
        <v>7070</v>
      </c>
      <c r="S895" s="36" t="str">
        <f>HYPERLINK("http://ms.phosphosite.org:5080/cgi-bin/plot-msms.cgi?MassType=1&amp;NumAxis=1&amp;Mod2=160&amp;Mod6=170&amp;Pep=GCGVVKFESPEVAER&amp;Dta=/var/www/html/dta/S01/10562.7195.3.dta&amp;Global_Mod=CS57.0215", "7195")</f>
        <v>7195</v>
      </c>
      <c r="T895" s="36" t="str">
        <f>HYPERLINK("http://ms.phosphosite.org:5080/cgi-bin/plot-msms.cgi?MassType=1&amp;NumAxis=1&amp;Mod2=160&amp;Mod6=170&amp;Pep=GCGVVKFESPEVAER&amp;Dta=/var/www/html/dta/S01/10563.7149.3.dta&amp;Global_Mod=CS57.0215", "7149")</f>
        <v>7149</v>
      </c>
      <c r="U895" s="35" t="s">
        <v>4854</v>
      </c>
      <c r="V895" s="36" t="str">
        <f>HYPERLINK("http://ms.phosphosite.org:5080/cgi-bin/plot-msms.cgi?MassType=1&amp;NumAxis=1&amp;Mod2=160&amp;Mod6=170&amp;Pep=GCGVVKFESPEVAER&amp;Dta=/var/www/html/dta/S01/10565.7563.3.dta&amp;Global_Mod=CS57.0215", "7563")</f>
        <v>7563</v>
      </c>
      <c r="W895" s="3" t="s">
        <v>4854</v>
      </c>
      <c r="X895" s="5">
        <v>7031</v>
      </c>
      <c r="Y895" s="5">
        <v>7026</v>
      </c>
      <c r="Z895" s="5">
        <v>7086</v>
      </c>
      <c r="AA895" s="5">
        <v>7181</v>
      </c>
      <c r="AB895" s="3" t="s">
        <v>4854</v>
      </c>
      <c r="AC895" s="3" t="s">
        <v>4854</v>
      </c>
      <c r="AD895" s="5">
        <v>7582</v>
      </c>
      <c r="AE895" s="99" t="s">
        <v>4854</v>
      </c>
      <c r="AF895" s="90">
        <v>3.657</v>
      </c>
      <c r="AG895" s="90">
        <v>3.3769999999999998</v>
      </c>
      <c r="AH895" s="90">
        <v>3.0619999999999998</v>
      </c>
      <c r="AI895" s="90">
        <v>3.4350000000000001</v>
      </c>
      <c r="AJ895" s="90">
        <v>2.4580000000000002</v>
      </c>
      <c r="AK895" s="99" t="s">
        <v>4854</v>
      </c>
      <c r="AL895" s="90">
        <v>3.383</v>
      </c>
      <c r="AM895" s="102" t="s">
        <v>4854</v>
      </c>
      <c r="AN895" s="21">
        <v>0.3679</v>
      </c>
      <c r="AO895" s="21">
        <v>0.44169999999999998</v>
      </c>
      <c r="AP895" s="21">
        <v>0.56599999999999995</v>
      </c>
      <c r="AQ895" s="21">
        <v>3.2000000000000002E-3</v>
      </c>
      <c r="AR895" s="21">
        <v>0.65449999999999997</v>
      </c>
      <c r="AS895" s="102" t="s">
        <v>4854</v>
      </c>
      <c r="AT895" s="21">
        <v>-3.6700000000000003E-2</v>
      </c>
      <c r="AU895" s="102" t="s">
        <v>4854</v>
      </c>
      <c r="AV895" s="21">
        <v>0.218</v>
      </c>
      <c r="AW895" s="21">
        <v>0.2</v>
      </c>
      <c r="AX895" s="21">
        <v>0.183</v>
      </c>
      <c r="AY895" s="21">
        <v>0.19</v>
      </c>
      <c r="AZ895" s="21">
        <v>2.4E-2</v>
      </c>
      <c r="BA895" s="102" t="s">
        <v>4854</v>
      </c>
      <c r="BB895" s="21">
        <v>0.23899999999999999</v>
      </c>
      <c r="BC895" s="3" t="s">
        <v>4854</v>
      </c>
      <c r="BD895" s="5">
        <v>1</v>
      </c>
      <c r="BE895" s="5">
        <v>1</v>
      </c>
      <c r="BF895" s="5">
        <v>7</v>
      </c>
      <c r="BG895" s="5">
        <v>1</v>
      </c>
      <c r="BH895" s="5">
        <v>6</v>
      </c>
      <c r="BI895" s="3" t="s">
        <v>4854</v>
      </c>
      <c r="BJ895" s="5">
        <v>1</v>
      </c>
      <c r="BK895" s="99" t="s">
        <v>4854</v>
      </c>
      <c r="BL895" s="90">
        <v>1</v>
      </c>
      <c r="BM895" s="90">
        <v>0.999</v>
      </c>
      <c r="BN895" s="90">
        <v>0.997</v>
      </c>
      <c r="BO895" s="90">
        <v>0.999</v>
      </c>
      <c r="BP895" s="90">
        <v>0.94299999999999995</v>
      </c>
      <c r="BQ895" s="99" t="s">
        <v>4854</v>
      </c>
      <c r="BR895" s="90">
        <v>1</v>
      </c>
      <c r="BS895" s="5" t="s">
        <v>4857</v>
      </c>
    </row>
    <row r="896" spans="1:71" s="30" customFormat="1" ht="17.100000000000001" customHeight="1">
      <c r="A896" s="14">
        <v>885</v>
      </c>
      <c r="B896" s="5" t="s">
        <v>1519</v>
      </c>
      <c r="C896" s="3" t="s">
        <v>1803</v>
      </c>
      <c r="D896" s="3" t="s">
        <v>1510</v>
      </c>
      <c r="E896" s="3" t="s">
        <v>1511</v>
      </c>
      <c r="F896" s="5" t="s">
        <v>5097</v>
      </c>
      <c r="G896" s="3" t="s">
        <v>1512</v>
      </c>
      <c r="H896" s="6" t="s">
        <v>1513</v>
      </c>
      <c r="I896" s="3" t="s">
        <v>1514</v>
      </c>
      <c r="J896" s="5" t="s">
        <v>4670</v>
      </c>
      <c r="K896" s="3" t="s">
        <v>5877</v>
      </c>
      <c r="L896" s="3" t="s">
        <v>1520</v>
      </c>
      <c r="M896" s="5">
        <v>3</v>
      </c>
      <c r="N896" s="21">
        <v>640.98770000000002</v>
      </c>
      <c r="O896" s="35" t="s">
        <v>4854</v>
      </c>
      <c r="P896" s="36" t="str">
        <f>HYPERLINK("http://ms.phosphosite.org:5080/cgi-bin/plot-msms.cgi?MassType=1&amp;NumAxis=1&amp;Mod4=160&amp;Mod8=170&amp;Pep=SKGCGVVKFESPEVAER&amp;Dta=/var/www/html/dta/S01/10559.5674.3.dta&amp;Global_Mod=CS57.0215", "5674")</f>
        <v>5674</v>
      </c>
      <c r="Q896" s="36" t="str">
        <f>HYPERLINK("http://ms.phosphosite.org:5080/cgi-bin/plot-msms.cgi?MassType=1&amp;NumAxis=1&amp;Mod4=160&amp;Mod8=170&amp;Pep=SKGCGVVKFESPEVAER&amp;Dta=/var/www/html/dta/S01/10560.5646.3.dta&amp;Global_Mod=CS57.0215", "5646")</f>
        <v>5646</v>
      </c>
      <c r="R896" s="35" t="s">
        <v>4854</v>
      </c>
      <c r="S896" s="36" t="str">
        <f>HYPERLINK("http://ms.phosphosite.org:5080/cgi-bin/plot-msms.cgi?MassType=1&amp;NumAxis=1&amp;Mod4=160&amp;Mod8=170&amp;Pep=SKGCGVVKFESPEVAER&amp;Dta=/var/www/html/dta/S01/10562.5768.3.dta&amp;Global_Mod=CS57.0215", "5768")</f>
        <v>5768</v>
      </c>
      <c r="T896" s="36" t="str">
        <f>HYPERLINK("http://ms.phosphosite.org:5080/cgi-bin/plot-msms.cgi?MassType=1&amp;NumAxis=1&amp;Mod4=160&amp;Mod8=170&amp;Pep=SKGCGVVKFESPEVAER&amp;Dta=/var/www/html/dta/S01/10563.5730.3.dta&amp;Global_Mod=CS57.0215", "5730")</f>
        <v>5730</v>
      </c>
      <c r="U896" s="35" t="s">
        <v>4854</v>
      </c>
      <c r="V896" s="35" t="s">
        <v>4854</v>
      </c>
      <c r="W896" s="3" t="s">
        <v>4854</v>
      </c>
      <c r="X896" s="5">
        <v>5645</v>
      </c>
      <c r="Y896" s="5">
        <v>5629</v>
      </c>
      <c r="Z896" s="3" t="s">
        <v>4854</v>
      </c>
      <c r="AA896" s="5">
        <v>5765</v>
      </c>
      <c r="AB896" s="5">
        <v>5716</v>
      </c>
      <c r="AC896" s="3" t="s">
        <v>4854</v>
      </c>
      <c r="AD896" s="3" t="s">
        <v>4854</v>
      </c>
      <c r="AE896" s="99" t="s">
        <v>4854</v>
      </c>
      <c r="AF896" s="90">
        <v>3.3380000000000001</v>
      </c>
      <c r="AG896" s="90">
        <v>4.1970000000000001</v>
      </c>
      <c r="AH896" s="99" t="s">
        <v>4854</v>
      </c>
      <c r="AI896" s="90">
        <v>3.9020000000000001</v>
      </c>
      <c r="AJ896" s="90">
        <v>4.5369999999999999</v>
      </c>
      <c r="AK896" s="99" t="s">
        <v>4854</v>
      </c>
      <c r="AL896" s="99" t="s">
        <v>4854</v>
      </c>
      <c r="AM896" s="102" t="s">
        <v>4854</v>
      </c>
      <c r="AN896" s="21">
        <v>0.66059999999999997</v>
      </c>
      <c r="AO896" s="21">
        <v>0.32329999999999998</v>
      </c>
      <c r="AP896" s="102" t="s">
        <v>4854</v>
      </c>
      <c r="AQ896" s="21">
        <v>0.4279</v>
      </c>
      <c r="AR896" s="21">
        <v>0.443</v>
      </c>
      <c r="AS896" s="102" t="s">
        <v>4854</v>
      </c>
      <c r="AT896" s="102" t="s">
        <v>4854</v>
      </c>
      <c r="AU896" s="102" t="s">
        <v>4854</v>
      </c>
      <c r="AV896" s="21">
        <v>0.2</v>
      </c>
      <c r="AW896" s="21">
        <v>0.28599999999999998</v>
      </c>
      <c r="AX896" s="102" t="s">
        <v>4854</v>
      </c>
      <c r="AY896" s="21">
        <v>0.28799999999999998</v>
      </c>
      <c r="AZ896" s="21">
        <v>0.28100000000000003</v>
      </c>
      <c r="BA896" s="102" t="s">
        <v>4854</v>
      </c>
      <c r="BB896" s="102" t="s">
        <v>4854</v>
      </c>
      <c r="BC896" s="3" t="s">
        <v>4854</v>
      </c>
      <c r="BD896" s="5">
        <v>1</v>
      </c>
      <c r="BE896" s="5">
        <v>1</v>
      </c>
      <c r="BF896" s="3" t="s">
        <v>4854</v>
      </c>
      <c r="BG896" s="5">
        <v>1</v>
      </c>
      <c r="BH896" s="5">
        <v>1</v>
      </c>
      <c r="BI896" s="3" t="s">
        <v>4854</v>
      </c>
      <c r="BJ896" s="3" t="s">
        <v>4854</v>
      </c>
      <c r="BK896" s="99" t="s">
        <v>4854</v>
      </c>
      <c r="BL896" s="90">
        <v>0.999</v>
      </c>
      <c r="BM896" s="90">
        <v>1</v>
      </c>
      <c r="BN896" s="99" t="s">
        <v>4854</v>
      </c>
      <c r="BO896" s="90">
        <v>1</v>
      </c>
      <c r="BP896" s="90">
        <v>1</v>
      </c>
      <c r="BQ896" s="99" t="s">
        <v>4854</v>
      </c>
      <c r="BR896" s="99" t="s">
        <v>4854</v>
      </c>
      <c r="BS896" s="5" t="s">
        <v>4857</v>
      </c>
    </row>
    <row r="897" spans="1:71" s="30" customFormat="1" ht="17.100000000000001" customHeight="1">
      <c r="A897" s="10">
        <v>886</v>
      </c>
      <c r="B897" s="10" t="s">
        <v>1521</v>
      </c>
      <c r="C897" s="4" t="s">
        <v>1803</v>
      </c>
      <c r="D897" s="4" t="s">
        <v>1522</v>
      </c>
      <c r="E897" s="4" t="s">
        <v>1523</v>
      </c>
      <c r="F897" s="10" t="s">
        <v>5300</v>
      </c>
      <c r="G897" s="4" t="s">
        <v>1524</v>
      </c>
      <c r="H897" s="7" t="s">
        <v>1525</v>
      </c>
      <c r="I897" s="4" t="s">
        <v>1526</v>
      </c>
      <c r="J897" s="10" t="s">
        <v>4590</v>
      </c>
      <c r="K897" s="4" t="s">
        <v>5878</v>
      </c>
      <c r="L897" s="4" t="s">
        <v>1527</v>
      </c>
      <c r="M897" s="10">
        <v>3</v>
      </c>
      <c r="N897" s="95">
        <v>694.68370000000004</v>
      </c>
      <c r="O897" s="38" t="s">
        <v>4854</v>
      </c>
      <c r="P897" s="38" t="s">
        <v>4854</v>
      </c>
      <c r="Q897" s="37" t="str">
        <f>HYPERLINK("http://ms.phosphosite.org:5080/cgi-bin/plot-msms.cgi?MassType=1&amp;NumAxis=1&amp;Mod3=170&amp;Mod15=147&amp;Pep=FAKPVYPGQTLQTEMWK&amp;Dta=/var/www/html/dta/S01/10560.9268.3.dta&amp;Global_Mod=CS57.0215", "9268")</f>
        <v>9268</v>
      </c>
      <c r="R897" s="38" t="s">
        <v>4854</v>
      </c>
      <c r="S897" s="38" t="s">
        <v>4854</v>
      </c>
      <c r="T897" s="37" t="str">
        <f>HYPERLINK("http://ms.phosphosite.org:5080/cgi-bin/plot-msms.cgi?MassType=1&amp;NumAxis=1&amp;Mod3=170&amp;Mod15=147&amp;Pep=FAKPVYPGQTLQTEMWK&amp;Dta=/var/www/html/dta/S01/10563.9389.3.dta&amp;Global_Mod=CS57.0215", "9389")</f>
        <v>9389</v>
      </c>
      <c r="U897" s="37" t="str">
        <f>HYPERLINK("http://ms.phosphosite.org:5080/cgi-bin/plot-msms.cgi?MassType=1&amp;NumAxis=1&amp;Mod3=170&amp;Mod15=147&amp;Pep=FAKPVYPGQTLQTEMWK&amp;Dta=/var/www/html/dta/S01/10564.9849.3.dta&amp;Global_Mod=CS57.0215", "9849")</f>
        <v>9849</v>
      </c>
      <c r="V897" s="37" t="str">
        <f>HYPERLINK("http://ms.phosphosite.org:5080/cgi-bin/plot-msms.cgi?MassType=1&amp;NumAxis=1&amp;Mod3=170&amp;Mod15=147&amp;Pep=FAKPVYPGQTLQTEMWK&amp;Dta=/var/www/html/dta/S01/10565.9791.3.dta&amp;Global_Mod=CS57.0215", "9791")</f>
        <v>9791</v>
      </c>
      <c r="W897" s="4" t="s">
        <v>4854</v>
      </c>
      <c r="X897" s="4" t="s">
        <v>4854</v>
      </c>
      <c r="Y897" s="10">
        <v>9259</v>
      </c>
      <c r="Z897" s="4" t="s">
        <v>4854</v>
      </c>
      <c r="AA897" s="4" t="s">
        <v>4854</v>
      </c>
      <c r="AB897" s="10">
        <v>9390</v>
      </c>
      <c r="AC897" s="10">
        <v>9840</v>
      </c>
      <c r="AD897" s="10">
        <v>9771</v>
      </c>
      <c r="AE897" s="100" t="s">
        <v>4854</v>
      </c>
      <c r="AF897" s="100" t="s">
        <v>4854</v>
      </c>
      <c r="AG897" s="91">
        <v>2.0139999999999998</v>
      </c>
      <c r="AH897" s="100" t="s">
        <v>4854</v>
      </c>
      <c r="AI897" s="100" t="s">
        <v>4854</v>
      </c>
      <c r="AJ897" s="91">
        <v>2.82</v>
      </c>
      <c r="AK897" s="91">
        <v>3.1230000000000002</v>
      </c>
      <c r="AL897" s="91">
        <v>2.15</v>
      </c>
      <c r="AM897" s="103" t="s">
        <v>4854</v>
      </c>
      <c r="AN897" s="103" t="s">
        <v>4854</v>
      </c>
      <c r="AO897" s="95">
        <v>1.0482</v>
      </c>
      <c r="AP897" s="103" t="s">
        <v>4854</v>
      </c>
      <c r="AQ897" s="103" t="s">
        <v>4854</v>
      </c>
      <c r="AR897" s="95">
        <v>0.52180000000000004</v>
      </c>
      <c r="AS897" s="95">
        <v>0.93240000000000001</v>
      </c>
      <c r="AT897" s="95">
        <v>0.83199999999999996</v>
      </c>
      <c r="AU897" s="103" t="s">
        <v>4854</v>
      </c>
      <c r="AV897" s="103" t="s">
        <v>4854</v>
      </c>
      <c r="AW897" s="95">
        <v>3.1E-2</v>
      </c>
      <c r="AX897" s="103" t="s">
        <v>4854</v>
      </c>
      <c r="AY897" s="103" t="s">
        <v>4854</v>
      </c>
      <c r="AZ897" s="95">
        <v>0.218</v>
      </c>
      <c r="BA897" s="95">
        <v>0.316</v>
      </c>
      <c r="BB897" s="95">
        <v>1.9E-2</v>
      </c>
      <c r="BC897" s="4" t="s">
        <v>4854</v>
      </c>
      <c r="BD897" s="4" t="s">
        <v>4854</v>
      </c>
      <c r="BE897" s="10">
        <v>3</v>
      </c>
      <c r="BF897" s="4" t="s">
        <v>4854</v>
      </c>
      <c r="BG897" s="4" t="s">
        <v>4854</v>
      </c>
      <c r="BH897" s="10">
        <v>1</v>
      </c>
      <c r="BI897" s="10">
        <v>1</v>
      </c>
      <c r="BJ897" s="10">
        <v>5</v>
      </c>
      <c r="BK897" s="100" t="s">
        <v>4854</v>
      </c>
      <c r="BL897" s="100" t="s">
        <v>4854</v>
      </c>
      <c r="BM897" s="91">
        <v>0.98299999999999998</v>
      </c>
      <c r="BN897" s="100" t="s">
        <v>4854</v>
      </c>
      <c r="BO897" s="100" t="s">
        <v>4854</v>
      </c>
      <c r="BP897" s="91">
        <v>1</v>
      </c>
      <c r="BQ897" s="91">
        <v>1</v>
      </c>
      <c r="BR897" s="91">
        <v>0.98099999999999998</v>
      </c>
      <c r="BS897" s="10" t="s">
        <v>4857</v>
      </c>
    </row>
    <row r="898" spans="1:71" s="30" customFormat="1" ht="17.100000000000001" customHeight="1">
      <c r="A898" s="14">
        <v>887</v>
      </c>
      <c r="B898" s="5" t="s">
        <v>1528</v>
      </c>
      <c r="C898" s="3" t="s">
        <v>1803</v>
      </c>
      <c r="D898" s="3" t="s">
        <v>1529</v>
      </c>
      <c r="E898" s="3" t="s">
        <v>1530</v>
      </c>
      <c r="F898" s="5" t="s">
        <v>2558</v>
      </c>
      <c r="G898" s="3" t="s">
        <v>1531</v>
      </c>
      <c r="H898" s="6" t="s">
        <v>1532</v>
      </c>
      <c r="I898" s="3" t="s">
        <v>1533</v>
      </c>
      <c r="J898" s="5" t="s">
        <v>4305</v>
      </c>
      <c r="K898" s="3" t="s">
        <v>5879</v>
      </c>
      <c r="L898" s="3" t="s">
        <v>1534</v>
      </c>
      <c r="M898" s="5">
        <v>3</v>
      </c>
      <c r="N898" s="21">
        <v>629.99519999999995</v>
      </c>
      <c r="O898" s="35" t="s">
        <v>4854</v>
      </c>
      <c r="P898" s="36" t="str">
        <f>HYPERLINK("http://ms.phosphosite.org:5080/cgi-bin/plot-msms.cgi?MassType=1&amp;NumAxis=1&amp;Mod16=170&amp;Pep=LQAHAQYQFSVLAQNK&amp;Dta=/var/www/html/dta/S01/10559.11777.3.dta&amp;Global_Mod=CS57.0215", "11777")</f>
        <v>11777</v>
      </c>
      <c r="Q898" s="35" t="s">
        <v>4854</v>
      </c>
      <c r="R898" s="35" t="s">
        <v>4854</v>
      </c>
      <c r="S898" s="35" t="s">
        <v>4854</v>
      </c>
      <c r="T898" s="35" t="s">
        <v>4854</v>
      </c>
      <c r="U898" s="35" t="s">
        <v>4854</v>
      </c>
      <c r="V898" s="35" t="s">
        <v>4854</v>
      </c>
      <c r="W898" s="3" t="s">
        <v>4854</v>
      </c>
      <c r="X898" s="3" t="s">
        <v>4854</v>
      </c>
      <c r="Y898" s="3" t="s">
        <v>4854</v>
      </c>
      <c r="Z898" s="3" t="s">
        <v>4854</v>
      </c>
      <c r="AA898" s="3" t="s">
        <v>4854</v>
      </c>
      <c r="AB898" s="3" t="s">
        <v>4854</v>
      </c>
      <c r="AC898" s="3" t="s">
        <v>4854</v>
      </c>
      <c r="AD898" s="3" t="s">
        <v>4854</v>
      </c>
      <c r="AE898" s="99" t="s">
        <v>4854</v>
      </c>
      <c r="AF898" s="90">
        <v>1.671</v>
      </c>
      <c r="AG898" s="99" t="s">
        <v>4854</v>
      </c>
      <c r="AH898" s="99" t="s">
        <v>4854</v>
      </c>
      <c r="AI898" s="99" t="s">
        <v>4854</v>
      </c>
      <c r="AJ898" s="99" t="s">
        <v>4854</v>
      </c>
      <c r="AK898" s="99" t="s">
        <v>4854</v>
      </c>
      <c r="AL898" s="99" t="s">
        <v>4854</v>
      </c>
      <c r="AM898" s="102" t="s">
        <v>4854</v>
      </c>
      <c r="AN898" s="21">
        <v>1.9024000000000001</v>
      </c>
      <c r="AO898" s="102" t="s">
        <v>4854</v>
      </c>
      <c r="AP898" s="102" t="s">
        <v>4854</v>
      </c>
      <c r="AQ898" s="102" t="s">
        <v>4854</v>
      </c>
      <c r="AR898" s="102" t="s">
        <v>4854</v>
      </c>
      <c r="AS898" s="102" t="s">
        <v>4854</v>
      </c>
      <c r="AT898" s="102" t="s">
        <v>4854</v>
      </c>
      <c r="AU898" s="102" t="s">
        <v>4854</v>
      </c>
      <c r="AV898" s="21">
        <v>9.1999999999999998E-2</v>
      </c>
      <c r="AW898" s="102" t="s">
        <v>4854</v>
      </c>
      <c r="AX898" s="102" t="s">
        <v>4854</v>
      </c>
      <c r="AY898" s="102" t="s">
        <v>4854</v>
      </c>
      <c r="AZ898" s="102" t="s">
        <v>4854</v>
      </c>
      <c r="BA898" s="102" t="s">
        <v>4854</v>
      </c>
      <c r="BB898" s="102" t="s">
        <v>4854</v>
      </c>
      <c r="BC898" s="3" t="s">
        <v>4854</v>
      </c>
      <c r="BD898" s="5">
        <v>14</v>
      </c>
      <c r="BE898" s="3" t="s">
        <v>4854</v>
      </c>
      <c r="BF898" s="3" t="s">
        <v>4854</v>
      </c>
      <c r="BG898" s="3" t="s">
        <v>4854</v>
      </c>
      <c r="BH898" s="3" t="s">
        <v>4854</v>
      </c>
      <c r="BI898" s="3" t="s">
        <v>4854</v>
      </c>
      <c r="BJ898" s="3" t="s">
        <v>4854</v>
      </c>
      <c r="BK898" s="99" t="s">
        <v>4854</v>
      </c>
      <c r="BL898" s="90">
        <v>0.14199999999999999</v>
      </c>
      <c r="BM898" s="99" t="s">
        <v>4854</v>
      </c>
      <c r="BN898" s="99" t="s">
        <v>4854</v>
      </c>
      <c r="BO898" s="99" t="s">
        <v>4854</v>
      </c>
      <c r="BP898" s="99" t="s">
        <v>4854</v>
      </c>
      <c r="BQ898" s="99" t="s">
        <v>4854</v>
      </c>
      <c r="BR898" s="99" t="s">
        <v>4854</v>
      </c>
      <c r="BS898" s="5" t="s">
        <v>4857</v>
      </c>
    </row>
    <row r="899" spans="1:71" s="30" customFormat="1" ht="17.100000000000001" customHeight="1">
      <c r="A899" s="10">
        <v>888</v>
      </c>
      <c r="B899" s="10" t="s">
        <v>3887</v>
      </c>
      <c r="C899" s="4" t="s">
        <v>1803</v>
      </c>
      <c r="D899" s="4" t="s">
        <v>1535</v>
      </c>
      <c r="E899" s="4" t="s">
        <v>1536</v>
      </c>
      <c r="F899" s="10" t="s">
        <v>3389</v>
      </c>
      <c r="G899" s="4" t="s">
        <v>1537</v>
      </c>
      <c r="H899" s="7" t="s">
        <v>1538</v>
      </c>
      <c r="I899" s="4" t="s">
        <v>1539</v>
      </c>
      <c r="J899" s="10" t="s">
        <v>3662</v>
      </c>
      <c r="K899" s="4" t="s">
        <v>5880</v>
      </c>
      <c r="L899" s="4" t="s">
        <v>1540</v>
      </c>
      <c r="M899" s="10">
        <v>5</v>
      </c>
      <c r="N899" s="95">
        <v>596.09969999999998</v>
      </c>
      <c r="O899" s="38" t="s">
        <v>4854</v>
      </c>
      <c r="P899" s="38" t="s">
        <v>4854</v>
      </c>
      <c r="Q899" s="38" t="s">
        <v>4854</v>
      </c>
      <c r="R899" s="38" t="s">
        <v>4854</v>
      </c>
      <c r="S899" s="38" t="s">
        <v>4854</v>
      </c>
      <c r="T899" s="37" t="str">
        <f>HYPERLINK("http://ms.phosphosite.org:5080/cgi-bin/plot-msms.cgi?MassType=1&amp;NumAxis=1&amp;Mod2=160&amp;Mod25=170&amp;Pep=LCTNTWVTSTTIPIDTEEERPVMLK&amp;Dta=/var/www/html/dta/S01/10563.11886.5.dta&amp;Global_Mod=CS57.0215", "11886")</f>
        <v>11886</v>
      </c>
      <c r="U899" s="38" t="s">
        <v>4854</v>
      </c>
      <c r="V899" s="38" t="s">
        <v>4854</v>
      </c>
      <c r="W899" s="4" t="s">
        <v>4854</v>
      </c>
      <c r="X899" s="4" t="s">
        <v>4854</v>
      </c>
      <c r="Y899" s="4" t="s">
        <v>4854</v>
      </c>
      <c r="Z899" s="4" t="s">
        <v>4854</v>
      </c>
      <c r="AA899" s="4" t="s">
        <v>4854</v>
      </c>
      <c r="AB899" s="4" t="s">
        <v>4854</v>
      </c>
      <c r="AC899" s="4" t="s">
        <v>4854</v>
      </c>
      <c r="AD899" s="4" t="s">
        <v>4854</v>
      </c>
      <c r="AE899" s="100" t="s">
        <v>4854</v>
      </c>
      <c r="AF899" s="100" t="s">
        <v>4854</v>
      </c>
      <c r="AG899" s="100" t="s">
        <v>4854</v>
      </c>
      <c r="AH899" s="100" t="s">
        <v>4854</v>
      </c>
      <c r="AI899" s="100" t="s">
        <v>4854</v>
      </c>
      <c r="AJ899" s="91">
        <v>2.4380000000000002</v>
      </c>
      <c r="AK899" s="100" t="s">
        <v>4854</v>
      </c>
      <c r="AL899" s="100" t="s">
        <v>4854</v>
      </c>
      <c r="AM899" s="103" t="s">
        <v>4854</v>
      </c>
      <c r="AN899" s="103" t="s">
        <v>4854</v>
      </c>
      <c r="AO899" s="103" t="s">
        <v>4854</v>
      </c>
      <c r="AP899" s="103" t="s">
        <v>4854</v>
      </c>
      <c r="AQ899" s="103" t="s">
        <v>4854</v>
      </c>
      <c r="AR899" s="95">
        <v>-0.87360000000000004</v>
      </c>
      <c r="AS899" s="103" t="s">
        <v>4854</v>
      </c>
      <c r="AT899" s="103" t="s">
        <v>4854</v>
      </c>
      <c r="AU899" s="103" t="s">
        <v>4854</v>
      </c>
      <c r="AV899" s="103" t="s">
        <v>4854</v>
      </c>
      <c r="AW899" s="103" t="s">
        <v>4854</v>
      </c>
      <c r="AX899" s="103" t="s">
        <v>4854</v>
      </c>
      <c r="AY899" s="103" t="s">
        <v>4854</v>
      </c>
      <c r="AZ899" s="95">
        <v>0.04</v>
      </c>
      <c r="BA899" s="103" t="s">
        <v>4854</v>
      </c>
      <c r="BB899" s="103" t="s">
        <v>4854</v>
      </c>
      <c r="BC899" s="4" t="s">
        <v>4854</v>
      </c>
      <c r="BD899" s="4" t="s">
        <v>4854</v>
      </c>
      <c r="BE899" s="4" t="s">
        <v>4854</v>
      </c>
      <c r="BF899" s="4" t="s">
        <v>4854</v>
      </c>
      <c r="BG899" s="4" t="s">
        <v>4854</v>
      </c>
      <c r="BH899" s="10">
        <v>10</v>
      </c>
      <c r="BI899" s="4" t="s">
        <v>4854</v>
      </c>
      <c r="BJ899" s="4" t="s">
        <v>4854</v>
      </c>
      <c r="BK899" s="100" t="s">
        <v>4854</v>
      </c>
      <c r="BL899" s="100" t="s">
        <v>4854</v>
      </c>
      <c r="BM899" s="100" t="s">
        <v>4854</v>
      </c>
      <c r="BN899" s="100" t="s">
        <v>4854</v>
      </c>
      <c r="BO899" s="100" t="s">
        <v>4854</v>
      </c>
      <c r="BP899" s="91">
        <v>9.8000000000000004E-2</v>
      </c>
      <c r="BQ899" s="100" t="s">
        <v>4854</v>
      </c>
      <c r="BR899" s="100" t="s">
        <v>4854</v>
      </c>
      <c r="BS899" s="10" t="s">
        <v>4857</v>
      </c>
    </row>
    <row r="900" spans="1:71" s="30" customFormat="1" ht="17.100000000000001" customHeight="1">
      <c r="A900" s="14">
        <v>889</v>
      </c>
      <c r="B900" s="5" t="s">
        <v>1541</v>
      </c>
      <c r="C900" s="3" t="s">
        <v>1803</v>
      </c>
      <c r="D900" s="3" t="s">
        <v>1542</v>
      </c>
      <c r="E900" s="3" t="s">
        <v>1543</v>
      </c>
      <c r="F900" s="5" t="s">
        <v>3278</v>
      </c>
      <c r="G900" s="3" t="s">
        <v>1544</v>
      </c>
      <c r="H900" s="6" t="s">
        <v>1545</v>
      </c>
      <c r="I900" s="3" t="s">
        <v>1546</v>
      </c>
      <c r="J900" s="5" t="s">
        <v>4571</v>
      </c>
      <c r="K900" s="3" t="s">
        <v>5881</v>
      </c>
      <c r="L900" s="3" t="s">
        <v>1547</v>
      </c>
      <c r="M900" s="5">
        <v>3</v>
      </c>
      <c r="N900" s="21">
        <v>627.32429999999999</v>
      </c>
      <c r="O900" s="35" t="s">
        <v>4854</v>
      </c>
      <c r="P900" s="35" t="s">
        <v>4854</v>
      </c>
      <c r="Q900" s="35" t="s">
        <v>4854</v>
      </c>
      <c r="R900" s="35" t="s">
        <v>4854</v>
      </c>
      <c r="S900" s="36" t="str">
        <f>HYPERLINK("http://ms.phosphosite.org:5080/cgi-bin/plot-msms.cgi?MassType=1&amp;NumAxis=1&amp;Mod4=170&amp;Mod11=147&amp;Pep=KKFKLDKDNGMSPGEK&amp;Dta=/var/www/html/dta/S01/10562.10938.3.dta&amp;Global_Mod=CS57.0215", "10938")</f>
        <v>10938</v>
      </c>
      <c r="T900" s="35" t="s">
        <v>4854</v>
      </c>
      <c r="U900" s="35" t="s">
        <v>4854</v>
      </c>
      <c r="V900" s="35" t="s">
        <v>4854</v>
      </c>
      <c r="W900" s="3" t="s">
        <v>4854</v>
      </c>
      <c r="X900" s="3" t="s">
        <v>4854</v>
      </c>
      <c r="Y900" s="3" t="s">
        <v>4854</v>
      </c>
      <c r="Z900" s="3" t="s">
        <v>4854</v>
      </c>
      <c r="AA900" s="3" t="s">
        <v>4854</v>
      </c>
      <c r="AB900" s="3" t="s">
        <v>4854</v>
      </c>
      <c r="AC900" s="3" t="s">
        <v>4854</v>
      </c>
      <c r="AD900" s="3" t="s">
        <v>4854</v>
      </c>
      <c r="AE900" s="99" t="s">
        <v>4854</v>
      </c>
      <c r="AF900" s="99" t="s">
        <v>4854</v>
      </c>
      <c r="AG900" s="99" t="s">
        <v>4854</v>
      </c>
      <c r="AH900" s="99" t="s">
        <v>4854</v>
      </c>
      <c r="AI900" s="90">
        <v>2.0289999999999999</v>
      </c>
      <c r="AJ900" s="99" t="s">
        <v>4854</v>
      </c>
      <c r="AK900" s="99" t="s">
        <v>4854</v>
      </c>
      <c r="AL900" s="99" t="s">
        <v>4854</v>
      </c>
      <c r="AM900" s="102" t="s">
        <v>4854</v>
      </c>
      <c r="AN900" s="102" t="s">
        <v>4854</v>
      </c>
      <c r="AO900" s="102" t="s">
        <v>4854</v>
      </c>
      <c r="AP900" s="102" t="s">
        <v>4854</v>
      </c>
      <c r="AQ900" s="21">
        <v>2.1328</v>
      </c>
      <c r="AR900" s="102" t="s">
        <v>4854</v>
      </c>
      <c r="AS900" s="102" t="s">
        <v>4854</v>
      </c>
      <c r="AT900" s="102" t="s">
        <v>4854</v>
      </c>
      <c r="AU900" s="102" t="s">
        <v>4854</v>
      </c>
      <c r="AV900" s="102" t="s">
        <v>4854</v>
      </c>
      <c r="AW900" s="102" t="s">
        <v>4854</v>
      </c>
      <c r="AX900" s="102" t="s">
        <v>4854</v>
      </c>
      <c r="AY900" s="21">
        <v>0.126</v>
      </c>
      <c r="AZ900" s="102" t="s">
        <v>4854</v>
      </c>
      <c r="BA900" s="102" t="s">
        <v>4854</v>
      </c>
      <c r="BB900" s="102" t="s">
        <v>4854</v>
      </c>
      <c r="BC900" s="3" t="s">
        <v>4854</v>
      </c>
      <c r="BD900" s="3" t="s">
        <v>4854</v>
      </c>
      <c r="BE900" s="3" t="s">
        <v>4854</v>
      </c>
      <c r="BF900" s="3" t="s">
        <v>4854</v>
      </c>
      <c r="BG900" s="5">
        <v>102</v>
      </c>
      <c r="BH900" s="3" t="s">
        <v>4854</v>
      </c>
      <c r="BI900" s="3" t="s">
        <v>4854</v>
      </c>
      <c r="BJ900" s="3" t="s">
        <v>4854</v>
      </c>
      <c r="BK900" s="99" t="s">
        <v>4854</v>
      </c>
      <c r="BL900" s="99" t="s">
        <v>4854</v>
      </c>
      <c r="BM900" s="99" t="s">
        <v>4854</v>
      </c>
      <c r="BN900" s="99" t="s">
        <v>4854</v>
      </c>
      <c r="BO900" s="90">
        <v>0.47499999999999998</v>
      </c>
      <c r="BP900" s="99" t="s">
        <v>4854</v>
      </c>
      <c r="BQ900" s="99" t="s">
        <v>4854</v>
      </c>
      <c r="BR900" s="99" t="s">
        <v>4854</v>
      </c>
      <c r="BS900" s="5" t="s">
        <v>4857</v>
      </c>
    </row>
    <row r="901" spans="1:71" s="30" customFormat="1" ht="17.100000000000001" customHeight="1">
      <c r="A901" s="10">
        <v>890</v>
      </c>
      <c r="B901" s="10" t="s">
        <v>1548</v>
      </c>
      <c r="C901" s="4" t="s">
        <v>1803</v>
      </c>
      <c r="D901" s="4" t="s">
        <v>1549</v>
      </c>
      <c r="E901" s="4" t="s">
        <v>1550</v>
      </c>
      <c r="F901" s="10" t="s">
        <v>3418</v>
      </c>
      <c r="G901" s="4" t="s">
        <v>1551</v>
      </c>
      <c r="H901" s="7" t="s">
        <v>1552</v>
      </c>
      <c r="I901" s="4" t="s">
        <v>1420</v>
      </c>
      <c r="J901" s="10" t="s">
        <v>4592</v>
      </c>
      <c r="K901" s="4" t="s">
        <v>5882</v>
      </c>
      <c r="L901" s="4" t="s">
        <v>1421</v>
      </c>
      <c r="M901" s="10">
        <v>2</v>
      </c>
      <c r="N901" s="95">
        <v>430.26600000000002</v>
      </c>
      <c r="O901" s="38" t="s">
        <v>4854</v>
      </c>
      <c r="P901" s="38" t="s">
        <v>4854</v>
      </c>
      <c r="Q901" s="38" t="s">
        <v>4854</v>
      </c>
      <c r="R901" s="38" t="s">
        <v>4854</v>
      </c>
      <c r="S901" s="38" t="s">
        <v>4854</v>
      </c>
      <c r="T901" s="38" t="s">
        <v>4854</v>
      </c>
      <c r="U901" s="38" t="s">
        <v>4854</v>
      </c>
      <c r="V901" s="37" t="str">
        <f>HYPERLINK("http://ms.phosphosite.org:5080/cgi-bin/plot-msms.cgi?MassType=1&amp;NumAxis=1&amp;Mod6=170&amp;Pep=TLQVTKK&amp;Dta=/var/www/html/dta/S01/10565.3871.2.dta&amp;Global_Mod=CS57.0215", "3871")</f>
        <v>3871</v>
      </c>
      <c r="W901" s="4" t="s">
        <v>4854</v>
      </c>
      <c r="X901" s="4" t="s">
        <v>4854</v>
      </c>
      <c r="Y901" s="4" t="s">
        <v>4854</v>
      </c>
      <c r="Z901" s="4" t="s">
        <v>4854</v>
      </c>
      <c r="AA901" s="4" t="s">
        <v>4854</v>
      </c>
      <c r="AB901" s="4" t="s">
        <v>4854</v>
      </c>
      <c r="AC901" s="4" t="s">
        <v>4854</v>
      </c>
      <c r="AD901" s="4" t="s">
        <v>4854</v>
      </c>
      <c r="AE901" s="100" t="s">
        <v>4854</v>
      </c>
      <c r="AF901" s="100" t="s">
        <v>4854</v>
      </c>
      <c r="AG901" s="100" t="s">
        <v>4854</v>
      </c>
      <c r="AH901" s="100" t="s">
        <v>4854</v>
      </c>
      <c r="AI901" s="100" t="s">
        <v>4854</v>
      </c>
      <c r="AJ901" s="100" t="s">
        <v>4854</v>
      </c>
      <c r="AK901" s="100" t="s">
        <v>4854</v>
      </c>
      <c r="AL901" s="91">
        <v>1.8069999999999999</v>
      </c>
      <c r="AM901" s="103" t="s">
        <v>4854</v>
      </c>
      <c r="AN901" s="103" t="s">
        <v>4854</v>
      </c>
      <c r="AO901" s="103" t="s">
        <v>4854</v>
      </c>
      <c r="AP901" s="103" t="s">
        <v>4854</v>
      </c>
      <c r="AQ901" s="103" t="s">
        <v>4854</v>
      </c>
      <c r="AR901" s="103" t="s">
        <v>4854</v>
      </c>
      <c r="AS901" s="103" t="s">
        <v>4854</v>
      </c>
      <c r="AT901" s="95">
        <v>9.8599999999999993E-2</v>
      </c>
      <c r="AU901" s="103" t="s">
        <v>4854</v>
      </c>
      <c r="AV901" s="103" t="s">
        <v>4854</v>
      </c>
      <c r="AW901" s="103" t="s">
        <v>4854</v>
      </c>
      <c r="AX901" s="103" t="s">
        <v>4854</v>
      </c>
      <c r="AY901" s="103" t="s">
        <v>4854</v>
      </c>
      <c r="AZ901" s="103" t="s">
        <v>4854</v>
      </c>
      <c r="BA901" s="103" t="s">
        <v>4854</v>
      </c>
      <c r="BB901" s="95">
        <v>0.02</v>
      </c>
      <c r="BC901" s="4" t="s">
        <v>4854</v>
      </c>
      <c r="BD901" s="4" t="s">
        <v>4854</v>
      </c>
      <c r="BE901" s="4" t="s">
        <v>4854</v>
      </c>
      <c r="BF901" s="4" t="s">
        <v>4854</v>
      </c>
      <c r="BG901" s="4" t="s">
        <v>4854</v>
      </c>
      <c r="BH901" s="4" t="s">
        <v>4854</v>
      </c>
      <c r="BI901" s="4" t="s">
        <v>4854</v>
      </c>
      <c r="BJ901" s="10">
        <v>489</v>
      </c>
      <c r="BK901" s="100" t="s">
        <v>4854</v>
      </c>
      <c r="BL901" s="100" t="s">
        <v>4854</v>
      </c>
      <c r="BM901" s="100" t="s">
        <v>4854</v>
      </c>
      <c r="BN901" s="100" t="s">
        <v>4854</v>
      </c>
      <c r="BO901" s="100" t="s">
        <v>4854</v>
      </c>
      <c r="BP901" s="100" t="s">
        <v>4854</v>
      </c>
      <c r="BQ901" s="100" t="s">
        <v>4854</v>
      </c>
      <c r="BR901" s="91">
        <v>0.10100000000000001</v>
      </c>
      <c r="BS901" s="10" t="s">
        <v>4857</v>
      </c>
    </row>
    <row r="902" spans="1:71" s="30" customFormat="1" ht="17.100000000000001" customHeight="1">
      <c r="A902" s="14">
        <v>891</v>
      </c>
      <c r="B902" s="5" t="s">
        <v>1422</v>
      </c>
      <c r="C902" s="3" t="s">
        <v>1803</v>
      </c>
      <c r="D902" s="3" t="s">
        <v>1423</v>
      </c>
      <c r="E902" s="3" t="s">
        <v>1424</v>
      </c>
      <c r="F902" s="5" t="s">
        <v>2366</v>
      </c>
      <c r="G902" s="3" t="s">
        <v>1425</v>
      </c>
      <c r="H902" s="6" t="s">
        <v>1426</v>
      </c>
      <c r="I902" s="3" t="s">
        <v>1427</v>
      </c>
      <c r="J902" s="5" t="s">
        <v>4203</v>
      </c>
      <c r="K902" s="3" t="s">
        <v>5883</v>
      </c>
      <c r="L902" s="3" t="s">
        <v>1428</v>
      </c>
      <c r="M902" s="5">
        <v>2</v>
      </c>
      <c r="N902" s="21">
        <v>803.81039999999996</v>
      </c>
      <c r="O902" s="36" t="str">
        <f>HYPERLINK("http://ms.phosphosite.org:5080/cgi-bin/plot-msms.cgi?MassType=1&amp;NumAxis=1&amp;Mod2=147&amp;Mod10=147&amp;Mod12=170&amp;Pep=EMDYETEVEMEK&amp;Dta=/var/www/html/dta/S01/10558.16271.2.dta&amp;Global_Mod=CS57.0215", "16271")</f>
        <v>16271</v>
      </c>
      <c r="P902" s="35" t="s">
        <v>4854</v>
      </c>
      <c r="Q902" s="35" t="s">
        <v>4854</v>
      </c>
      <c r="R902" s="35" t="s">
        <v>4854</v>
      </c>
      <c r="S902" s="35" t="s">
        <v>4854</v>
      </c>
      <c r="T902" s="35" t="s">
        <v>4854</v>
      </c>
      <c r="U902" s="35" t="s">
        <v>4854</v>
      </c>
      <c r="V902" s="35" t="s">
        <v>4854</v>
      </c>
      <c r="W902" s="3" t="s">
        <v>4854</v>
      </c>
      <c r="X902" s="3" t="s">
        <v>4854</v>
      </c>
      <c r="Y902" s="3" t="s">
        <v>4854</v>
      </c>
      <c r="Z902" s="3" t="s">
        <v>4854</v>
      </c>
      <c r="AA902" s="3" t="s">
        <v>4854</v>
      </c>
      <c r="AB902" s="3" t="s">
        <v>4854</v>
      </c>
      <c r="AC902" s="3" t="s">
        <v>4854</v>
      </c>
      <c r="AD902" s="3" t="s">
        <v>4854</v>
      </c>
      <c r="AE902" s="90">
        <v>1.0169999999999999</v>
      </c>
      <c r="AF902" s="99" t="s">
        <v>4854</v>
      </c>
      <c r="AG902" s="99" t="s">
        <v>4854</v>
      </c>
      <c r="AH902" s="99" t="s">
        <v>4854</v>
      </c>
      <c r="AI902" s="99" t="s">
        <v>4854</v>
      </c>
      <c r="AJ902" s="99" t="s">
        <v>4854</v>
      </c>
      <c r="AK902" s="99" t="s">
        <v>4854</v>
      </c>
      <c r="AL902" s="99" t="s">
        <v>4854</v>
      </c>
      <c r="AM902" s="21">
        <v>2.1899000000000002</v>
      </c>
      <c r="AN902" s="102" t="s">
        <v>4854</v>
      </c>
      <c r="AO902" s="102" t="s">
        <v>4854</v>
      </c>
      <c r="AP902" s="102" t="s">
        <v>4854</v>
      </c>
      <c r="AQ902" s="102" t="s">
        <v>4854</v>
      </c>
      <c r="AR902" s="102" t="s">
        <v>4854</v>
      </c>
      <c r="AS902" s="102" t="s">
        <v>4854</v>
      </c>
      <c r="AT902" s="102" t="s">
        <v>4854</v>
      </c>
      <c r="AU902" s="21">
        <v>2.1999999999999999E-2</v>
      </c>
      <c r="AV902" s="102" t="s">
        <v>4854</v>
      </c>
      <c r="AW902" s="102" t="s">
        <v>4854</v>
      </c>
      <c r="AX902" s="102" t="s">
        <v>4854</v>
      </c>
      <c r="AY902" s="102" t="s">
        <v>4854</v>
      </c>
      <c r="AZ902" s="102" t="s">
        <v>4854</v>
      </c>
      <c r="BA902" s="102" t="s">
        <v>4854</v>
      </c>
      <c r="BB902" s="102" t="s">
        <v>4854</v>
      </c>
      <c r="BC902" s="5">
        <v>2</v>
      </c>
      <c r="BD902" s="3" t="s">
        <v>4854</v>
      </c>
      <c r="BE902" s="3" t="s">
        <v>4854</v>
      </c>
      <c r="BF902" s="3" t="s">
        <v>4854</v>
      </c>
      <c r="BG902" s="3" t="s">
        <v>4854</v>
      </c>
      <c r="BH902" s="3" t="s">
        <v>4854</v>
      </c>
      <c r="BI902" s="3" t="s">
        <v>4854</v>
      </c>
      <c r="BJ902" s="3" t="s">
        <v>4854</v>
      </c>
      <c r="BK902" s="90">
        <v>0.11899999999999999</v>
      </c>
      <c r="BL902" s="99" t="s">
        <v>4854</v>
      </c>
      <c r="BM902" s="99" t="s">
        <v>4854</v>
      </c>
      <c r="BN902" s="99" t="s">
        <v>4854</v>
      </c>
      <c r="BO902" s="99" t="s">
        <v>4854</v>
      </c>
      <c r="BP902" s="99" t="s">
        <v>4854</v>
      </c>
      <c r="BQ902" s="99" t="s">
        <v>4854</v>
      </c>
      <c r="BR902" s="99" t="s">
        <v>4854</v>
      </c>
      <c r="BS902" s="5" t="s">
        <v>4857</v>
      </c>
    </row>
    <row r="903" spans="1:71" s="30" customFormat="1" ht="17.100000000000001" customHeight="1">
      <c r="A903" s="10">
        <v>892</v>
      </c>
      <c r="B903" s="10" t="s">
        <v>1429</v>
      </c>
      <c r="C903" s="4" t="s">
        <v>1803</v>
      </c>
      <c r="D903" s="4" t="s">
        <v>1430</v>
      </c>
      <c r="E903" s="4" t="s">
        <v>1430</v>
      </c>
      <c r="F903" s="10" t="s">
        <v>4252</v>
      </c>
      <c r="G903" s="4" t="s">
        <v>1431</v>
      </c>
      <c r="H903" s="7" t="s">
        <v>1432</v>
      </c>
      <c r="I903" s="4" t="s">
        <v>1433</v>
      </c>
      <c r="J903" s="10" t="s">
        <v>4695</v>
      </c>
      <c r="K903" s="4" t="s">
        <v>5884</v>
      </c>
      <c r="L903" s="4" t="s">
        <v>1434</v>
      </c>
      <c r="M903" s="10">
        <v>5</v>
      </c>
      <c r="N903" s="95">
        <v>742.59079999999994</v>
      </c>
      <c r="O903" s="38" t="s">
        <v>4854</v>
      </c>
      <c r="P903" s="37" t="str">
        <f>HYPERLINK("http://ms.phosphosite.org:5080/cgi-bin/plot-msms.cgi?MassType=1&amp;NumAxis=1&amp;Mod16=170&amp;Mod21=160&amp;Pep=IVSSIFKFPSFQGIRKAFSTCGSHLSVVSLFYG&amp;Dta=/var/www/html/dta/S01/10559.15452.5.dta&amp;Global_Mod=CS57.0215", "15452")</f>
        <v>15452</v>
      </c>
      <c r="Q903" s="38" t="s">
        <v>4854</v>
      </c>
      <c r="R903" s="38" t="s">
        <v>4854</v>
      </c>
      <c r="S903" s="38" t="s">
        <v>4854</v>
      </c>
      <c r="T903" s="38" t="s">
        <v>4854</v>
      </c>
      <c r="U903" s="38" t="s">
        <v>4854</v>
      </c>
      <c r="V903" s="38" t="s">
        <v>4854</v>
      </c>
      <c r="W903" s="4" t="s">
        <v>4854</v>
      </c>
      <c r="X903" s="4" t="s">
        <v>4854</v>
      </c>
      <c r="Y903" s="4" t="s">
        <v>4854</v>
      </c>
      <c r="Z903" s="4" t="s">
        <v>4854</v>
      </c>
      <c r="AA903" s="4" t="s">
        <v>4854</v>
      </c>
      <c r="AB903" s="4" t="s">
        <v>4854</v>
      </c>
      <c r="AC903" s="4" t="s">
        <v>4854</v>
      </c>
      <c r="AD903" s="4" t="s">
        <v>4854</v>
      </c>
      <c r="AE903" s="100" t="s">
        <v>4854</v>
      </c>
      <c r="AF903" s="91">
        <v>2.4569999999999999</v>
      </c>
      <c r="AG903" s="100" t="s">
        <v>4854</v>
      </c>
      <c r="AH903" s="100" t="s">
        <v>4854</v>
      </c>
      <c r="AI903" s="100" t="s">
        <v>4854</v>
      </c>
      <c r="AJ903" s="100" t="s">
        <v>4854</v>
      </c>
      <c r="AK903" s="100" t="s">
        <v>4854</v>
      </c>
      <c r="AL903" s="100" t="s">
        <v>4854</v>
      </c>
      <c r="AM903" s="103" t="s">
        <v>4854</v>
      </c>
      <c r="AN903" s="95">
        <v>-0.87370000000000003</v>
      </c>
      <c r="AO903" s="103" t="s">
        <v>4854</v>
      </c>
      <c r="AP903" s="103" t="s">
        <v>4854</v>
      </c>
      <c r="AQ903" s="103" t="s">
        <v>4854</v>
      </c>
      <c r="AR903" s="103" t="s">
        <v>4854</v>
      </c>
      <c r="AS903" s="103" t="s">
        <v>4854</v>
      </c>
      <c r="AT903" s="103" t="s">
        <v>4854</v>
      </c>
      <c r="AU903" s="103" t="s">
        <v>4854</v>
      </c>
      <c r="AV903" s="95">
        <v>5.6000000000000001E-2</v>
      </c>
      <c r="AW903" s="103" t="s">
        <v>4854</v>
      </c>
      <c r="AX903" s="103" t="s">
        <v>4854</v>
      </c>
      <c r="AY903" s="103" t="s">
        <v>4854</v>
      </c>
      <c r="AZ903" s="103" t="s">
        <v>4854</v>
      </c>
      <c r="BA903" s="103" t="s">
        <v>4854</v>
      </c>
      <c r="BB903" s="103" t="s">
        <v>4854</v>
      </c>
      <c r="BC903" s="4" t="s">
        <v>4854</v>
      </c>
      <c r="BD903" s="10">
        <v>2</v>
      </c>
      <c r="BE903" s="4" t="s">
        <v>4854</v>
      </c>
      <c r="BF903" s="4" t="s">
        <v>4854</v>
      </c>
      <c r="BG903" s="4" t="s">
        <v>4854</v>
      </c>
      <c r="BH903" s="4" t="s">
        <v>4854</v>
      </c>
      <c r="BI903" s="4" t="s">
        <v>4854</v>
      </c>
      <c r="BJ903" s="4" t="s">
        <v>4854</v>
      </c>
      <c r="BK903" s="100" t="s">
        <v>4854</v>
      </c>
      <c r="BL903" s="91">
        <v>7.8E-2</v>
      </c>
      <c r="BM903" s="100" t="s">
        <v>4854</v>
      </c>
      <c r="BN903" s="100" t="s">
        <v>4854</v>
      </c>
      <c r="BO903" s="100" t="s">
        <v>4854</v>
      </c>
      <c r="BP903" s="100" t="s">
        <v>4854</v>
      </c>
      <c r="BQ903" s="100" t="s">
        <v>4854</v>
      </c>
      <c r="BR903" s="100" t="s">
        <v>4854</v>
      </c>
      <c r="BS903" s="10" t="s">
        <v>4857</v>
      </c>
    </row>
    <row r="904" spans="1:71" s="30" customFormat="1" ht="17.100000000000001" customHeight="1">
      <c r="A904" s="14">
        <v>893</v>
      </c>
      <c r="B904" s="5" t="s">
        <v>1435</v>
      </c>
      <c r="C904" s="3" t="s">
        <v>1803</v>
      </c>
      <c r="D904" s="3" t="s">
        <v>1436</v>
      </c>
      <c r="E904" s="3" t="s">
        <v>1437</v>
      </c>
      <c r="F904" s="5" t="s">
        <v>4845</v>
      </c>
      <c r="G904" s="3" t="s">
        <v>1438</v>
      </c>
      <c r="H904" s="6" t="s">
        <v>1439</v>
      </c>
      <c r="I904" s="3" t="s">
        <v>1440</v>
      </c>
      <c r="J904" s="5" t="s">
        <v>4711</v>
      </c>
      <c r="K904" s="3" t="s">
        <v>5885</v>
      </c>
      <c r="L904" s="3" t="s">
        <v>1441</v>
      </c>
      <c r="M904" s="5">
        <v>4</v>
      </c>
      <c r="N904" s="21">
        <v>494.5059</v>
      </c>
      <c r="O904" s="35" t="s">
        <v>4854</v>
      </c>
      <c r="P904" s="35" t="s">
        <v>4854</v>
      </c>
      <c r="Q904" s="35" t="s">
        <v>4854</v>
      </c>
      <c r="R904" s="35" t="s">
        <v>4854</v>
      </c>
      <c r="S904" s="36" t="str">
        <f>HYPERLINK("http://ms.phosphosite.org:5080/cgi-bin/plot-msms.cgi?MassType=1&amp;NumAxis=1&amp;Mod3=170&amp;Pep=YEKGYQTSSGLISSVSVK&amp;Dta=/var/www/html/dta/S01/10562.1847.4.dta&amp;Global_Mod=CS57.0215", "1847")</f>
        <v>1847</v>
      </c>
      <c r="T904" s="35" t="s">
        <v>4854</v>
      </c>
      <c r="U904" s="35" t="s">
        <v>4854</v>
      </c>
      <c r="V904" s="35" t="s">
        <v>4854</v>
      </c>
      <c r="W904" s="3" t="s">
        <v>4854</v>
      </c>
      <c r="X904" s="3" t="s">
        <v>4854</v>
      </c>
      <c r="Y904" s="3" t="s">
        <v>4854</v>
      </c>
      <c r="Z904" s="3" t="s">
        <v>4854</v>
      </c>
      <c r="AA904" s="3" t="s">
        <v>4854</v>
      </c>
      <c r="AB904" s="3" t="s">
        <v>4854</v>
      </c>
      <c r="AC904" s="3" t="s">
        <v>4854</v>
      </c>
      <c r="AD904" s="3" t="s">
        <v>4854</v>
      </c>
      <c r="AE904" s="99" t="s">
        <v>4854</v>
      </c>
      <c r="AF904" s="99" t="s">
        <v>4854</v>
      </c>
      <c r="AG904" s="99" t="s">
        <v>4854</v>
      </c>
      <c r="AH904" s="99" t="s">
        <v>4854</v>
      </c>
      <c r="AI904" s="90">
        <v>2.6539999999999999</v>
      </c>
      <c r="AJ904" s="99" t="s">
        <v>4854</v>
      </c>
      <c r="AK904" s="99" t="s">
        <v>4854</v>
      </c>
      <c r="AL904" s="99" t="s">
        <v>4854</v>
      </c>
      <c r="AM904" s="102" t="s">
        <v>4854</v>
      </c>
      <c r="AN904" s="102" t="s">
        <v>4854</v>
      </c>
      <c r="AO904" s="102" t="s">
        <v>4854</v>
      </c>
      <c r="AP904" s="102" t="s">
        <v>4854</v>
      </c>
      <c r="AQ904" s="21">
        <v>-0.64570000000000005</v>
      </c>
      <c r="AR904" s="102" t="s">
        <v>4854</v>
      </c>
      <c r="AS904" s="102" t="s">
        <v>4854</v>
      </c>
      <c r="AT904" s="102" t="s">
        <v>4854</v>
      </c>
      <c r="AU904" s="102" t="s">
        <v>4854</v>
      </c>
      <c r="AV904" s="102" t="s">
        <v>4854</v>
      </c>
      <c r="AW904" s="102" t="s">
        <v>4854</v>
      </c>
      <c r="AX904" s="102" t="s">
        <v>4854</v>
      </c>
      <c r="AY904" s="21">
        <v>0.10100000000000001</v>
      </c>
      <c r="AZ904" s="102" t="s">
        <v>4854</v>
      </c>
      <c r="BA904" s="102" t="s">
        <v>4854</v>
      </c>
      <c r="BB904" s="102" t="s">
        <v>4854</v>
      </c>
      <c r="BC904" s="3" t="s">
        <v>4854</v>
      </c>
      <c r="BD904" s="3" t="s">
        <v>4854</v>
      </c>
      <c r="BE904" s="3" t="s">
        <v>4854</v>
      </c>
      <c r="BF904" s="3" t="s">
        <v>4854</v>
      </c>
      <c r="BG904" s="5">
        <v>10</v>
      </c>
      <c r="BH904" s="3" t="s">
        <v>4854</v>
      </c>
      <c r="BI904" s="3" t="s">
        <v>4854</v>
      </c>
      <c r="BJ904" s="3" t="s">
        <v>4854</v>
      </c>
      <c r="BK904" s="99" t="s">
        <v>4854</v>
      </c>
      <c r="BL904" s="99" t="s">
        <v>4854</v>
      </c>
      <c r="BM904" s="99" t="s">
        <v>4854</v>
      </c>
      <c r="BN904" s="99" t="s">
        <v>4854</v>
      </c>
      <c r="BO904" s="90">
        <v>0.08</v>
      </c>
      <c r="BP904" s="99" t="s">
        <v>4854</v>
      </c>
      <c r="BQ904" s="99" t="s">
        <v>4854</v>
      </c>
      <c r="BR904" s="99" t="s">
        <v>4854</v>
      </c>
      <c r="BS904" s="5" t="s">
        <v>4857</v>
      </c>
    </row>
    <row r="905" spans="1:71" s="30" customFormat="1" ht="17.100000000000001" customHeight="1">
      <c r="A905" s="10">
        <v>894</v>
      </c>
      <c r="B905" s="10" t="s">
        <v>1442</v>
      </c>
      <c r="C905" s="4" t="s">
        <v>1803</v>
      </c>
      <c r="D905" s="4" t="s">
        <v>1443</v>
      </c>
      <c r="E905" s="4" t="s">
        <v>1444</v>
      </c>
      <c r="F905" s="10" t="s">
        <v>5177</v>
      </c>
      <c r="G905" s="4" t="s">
        <v>1445</v>
      </c>
      <c r="H905" s="7" t="s">
        <v>1446</v>
      </c>
      <c r="I905" s="4" t="s">
        <v>1447</v>
      </c>
      <c r="J905" s="10" t="s">
        <v>4683</v>
      </c>
      <c r="K905" s="4" t="s">
        <v>5886</v>
      </c>
      <c r="L905" s="4" t="s">
        <v>1448</v>
      </c>
      <c r="M905" s="10">
        <v>3</v>
      </c>
      <c r="N905" s="95">
        <v>984.46640000000002</v>
      </c>
      <c r="O905" s="37" t="str">
        <f>HYPERLINK("http://ms.phosphosite.org:5080/cgi-bin/plot-msms.cgi?MassType=1&amp;NumAxis=1&amp;Mod15=170&amp;Pep=EGAPIEPDPPVSHWKPEAVYYEDGAR&amp;Dta=/var/www/html/dta/S01/10558.9548.3.dta&amp;Global_Mod=CS57.0215", "9548")</f>
        <v>9548</v>
      </c>
      <c r="P905" s="37" t="str">
        <f>HYPERLINK("http://ms.phosphosite.org:5080/cgi-bin/plot-msms.cgi?MassType=1&amp;NumAxis=1&amp;Mod15=170&amp;Pep=EGAPIEPDPPVSHWKPEAVYYEDGAR&amp;Dta=/var/www/html/dta/S01/10559.9433.3.dta&amp;Global_Mod=CS57.0215", "9433")</f>
        <v>9433</v>
      </c>
      <c r="Q905" s="37" t="str">
        <f>HYPERLINK("http://ms.phosphosite.org:5080/cgi-bin/plot-msms.cgi?MassType=1&amp;NumAxis=1&amp;Mod15=170&amp;Pep=EGAPIEPDPPVSHWKPEAVYYEDGAR&amp;Dta=/var/www/html/dta/S01/10560.9454.3.dta&amp;Global_Mod=CS57.0215", "9454")</f>
        <v>9454</v>
      </c>
      <c r="R905" s="37" t="str">
        <f>HYPERLINK("http://ms.phosphosite.org:5080/cgi-bin/plot-msms.cgi?MassType=1&amp;NumAxis=1&amp;Mod15=170&amp;Pep=EGAPIEPDPPVSHWKPEAVYYEDGAR&amp;Dta=/var/www/html/dta/S01/10561.9630.3.dta&amp;Global_Mod=CS57.0215", "9630")</f>
        <v>9630</v>
      </c>
      <c r="S905" s="37" t="str">
        <f>HYPERLINK("http://ms.phosphosite.org:5080/cgi-bin/plot-msms.cgi?MassType=1&amp;NumAxis=1&amp;Mod15=170&amp;Pep=EGAPIEPDPPVSHWKPEAVYYEDGAR&amp;Dta=/var/www/html/dta/S01/10562.9711.3.dta&amp;Global_Mod=CS57.0215", "9711")</f>
        <v>9711</v>
      </c>
      <c r="T905" s="37" t="str">
        <f>HYPERLINK("http://ms.phosphosite.org:5080/cgi-bin/plot-msms.cgi?MassType=1&amp;NumAxis=1&amp;Mod15=170&amp;Pep=EGAPIEPDPPVSHWKPEAVYYEDGAR&amp;Dta=/var/www/html/dta/S01/10563.9573.3.dta&amp;Global_Mod=CS57.0215", "9573")</f>
        <v>9573</v>
      </c>
      <c r="U905" s="37" t="str">
        <f>HYPERLINK("http://ms.phosphosite.org:5080/cgi-bin/plot-msms.cgi?MassType=1&amp;NumAxis=1&amp;Mod15=170&amp;Pep=EGAPIEPDPPVSHWKPEAVYYEDGAR&amp;Dta=/var/www/html/dta/S01/10564.9998.3.dta&amp;Global_Mod=CS57.0215", "9998")</f>
        <v>9998</v>
      </c>
      <c r="V905" s="37" t="str">
        <f>HYPERLINK("http://ms.phosphosite.org:5080/cgi-bin/plot-msms.cgi?MassType=1&amp;NumAxis=1&amp;Mod15=170&amp;Pep=EGAPIEPDPPVSHWKPEAVYYEDGAR&amp;Dta=/var/www/html/dta/S01/10565.10058.3.dta&amp;Global_Mod=CS57.0215", "10058")</f>
        <v>10058</v>
      </c>
      <c r="W905" s="10">
        <v>9547</v>
      </c>
      <c r="X905" s="10">
        <v>9552</v>
      </c>
      <c r="Y905" s="10">
        <v>9556</v>
      </c>
      <c r="Z905" s="10">
        <v>9550</v>
      </c>
      <c r="AA905" s="10">
        <v>9729</v>
      </c>
      <c r="AB905" s="10">
        <v>9665</v>
      </c>
      <c r="AC905" s="10">
        <v>10082</v>
      </c>
      <c r="AD905" s="10">
        <v>10046</v>
      </c>
      <c r="AE905" s="91">
        <v>2.516</v>
      </c>
      <c r="AF905" s="91">
        <v>2.7170000000000001</v>
      </c>
      <c r="AG905" s="91">
        <v>3.327</v>
      </c>
      <c r="AH905" s="91">
        <v>3.0619999999999998</v>
      </c>
      <c r="AI905" s="91">
        <v>2.6219999999999999</v>
      </c>
      <c r="AJ905" s="91">
        <v>3.0990000000000002</v>
      </c>
      <c r="AK905" s="91">
        <v>2.9329999999999998</v>
      </c>
      <c r="AL905" s="91">
        <v>2.9969999999999999</v>
      </c>
      <c r="AM905" s="95">
        <v>0.95130000000000003</v>
      </c>
      <c r="AN905" s="95">
        <v>0.88039999999999996</v>
      </c>
      <c r="AO905" s="95">
        <v>0.73580000000000001</v>
      </c>
      <c r="AP905" s="95">
        <v>0.9123</v>
      </c>
      <c r="AQ905" s="95">
        <v>0.66969999999999996</v>
      </c>
      <c r="AR905" s="95">
        <v>0.65610000000000002</v>
      </c>
      <c r="AS905" s="95">
        <v>1.1986000000000001</v>
      </c>
      <c r="AT905" s="95">
        <v>0.67679999999999996</v>
      </c>
      <c r="AU905" s="95">
        <v>0.29199999999999998</v>
      </c>
      <c r="AV905" s="95">
        <v>0.25800000000000001</v>
      </c>
      <c r="AW905" s="95">
        <v>0.42799999999999999</v>
      </c>
      <c r="AX905" s="95">
        <v>0.26800000000000002</v>
      </c>
      <c r="AY905" s="95">
        <v>3.3000000000000002E-2</v>
      </c>
      <c r="AZ905" s="95">
        <v>0.23599999999999999</v>
      </c>
      <c r="BA905" s="95">
        <v>0.30599999999999999</v>
      </c>
      <c r="BB905" s="95">
        <v>0.25800000000000001</v>
      </c>
      <c r="BC905" s="10">
        <v>1</v>
      </c>
      <c r="BD905" s="10">
        <v>1</v>
      </c>
      <c r="BE905" s="10">
        <v>1</v>
      </c>
      <c r="BF905" s="10">
        <v>2</v>
      </c>
      <c r="BG905" s="10">
        <v>2</v>
      </c>
      <c r="BH905" s="10">
        <v>1</v>
      </c>
      <c r="BI905" s="10">
        <v>1</v>
      </c>
      <c r="BJ905" s="10">
        <v>3</v>
      </c>
      <c r="BK905" s="91">
        <v>1</v>
      </c>
      <c r="BL905" s="91">
        <v>1</v>
      </c>
      <c r="BM905" s="91">
        <v>1</v>
      </c>
      <c r="BN905" s="91">
        <v>1</v>
      </c>
      <c r="BO905" s="91">
        <v>0.99199999999999999</v>
      </c>
      <c r="BP905" s="91">
        <v>1</v>
      </c>
      <c r="BQ905" s="91">
        <v>1</v>
      </c>
      <c r="BR905" s="91">
        <v>1</v>
      </c>
      <c r="BS905" s="10" t="s">
        <v>4857</v>
      </c>
    </row>
    <row r="906" spans="1:71" s="30" customFormat="1" ht="17.100000000000001" customHeight="1">
      <c r="A906" s="10">
        <v>895</v>
      </c>
      <c r="B906" s="10" t="s">
        <v>1449</v>
      </c>
      <c r="C906" s="4" t="s">
        <v>1803</v>
      </c>
      <c r="D906" s="4" t="s">
        <v>1443</v>
      </c>
      <c r="E906" s="4" t="s">
        <v>1444</v>
      </c>
      <c r="F906" s="10" t="s">
        <v>5177</v>
      </c>
      <c r="G906" s="4" t="s">
        <v>1445</v>
      </c>
      <c r="H906" s="7" t="s">
        <v>1446</v>
      </c>
      <c r="I906" s="4" t="s">
        <v>1447</v>
      </c>
      <c r="J906" s="10" t="s">
        <v>4683</v>
      </c>
      <c r="K906" s="4" t="s">
        <v>5886</v>
      </c>
      <c r="L906" s="4" t="s">
        <v>1448</v>
      </c>
      <c r="M906" s="10">
        <v>3</v>
      </c>
      <c r="N906" s="95">
        <v>984.46640000000002</v>
      </c>
      <c r="O906" s="37" t="str">
        <f>HYPERLINK("http://ms.phosphosite.org:5080/cgi-bin/plot-msms.cgi?MassType=1&amp;NumAxis=1&amp;Mod15=170&amp;Pep=EGAPIEPDPPVSHWKPEAVYYEDGAR&amp;Dta=/var/www/html/dta/S01/10558.9458.3.dta&amp;Global_Mod=CS57.0215", "9458")</f>
        <v>9458</v>
      </c>
      <c r="P906" s="37" t="str">
        <f>HYPERLINK("http://ms.phosphosite.org:5080/cgi-bin/plot-msms.cgi?MassType=1&amp;NumAxis=1&amp;Mod15=170&amp;Pep=EGAPIEPDPPVSHWKPEAVYYEDGAR&amp;Dta=/var/www/html/dta/S01/10559.9520.3.dta&amp;Global_Mod=CS57.0215", "9520")</f>
        <v>9520</v>
      </c>
      <c r="Q906" s="37" t="str">
        <f>HYPERLINK("http://ms.phosphosite.org:5080/cgi-bin/plot-msms.cgi?MassType=1&amp;NumAxis=1&amp;Mod15=170&amp;Pep=EGAPIEPDPPVSHWKPEAVYYEDGAR&amp;Dta=/var/www/html/dta/S01/10560.9557.3.dta&amp;Global_Mod=CS57.0215", "9557")</f>
        <v>9557</v>
      </c>
      <c r="R906" s="37" t="str">
        <f>HYPERLINK("http://ms.phosphosite.org:5080/cgi-bin/plot-msms.cgi?MassType=1&amp;NumAxis=1&amp;Mod15=170&amp;Pep=EGAPIEPDPPVSHWKPEAVYYEDGAR&amp;Dta=/var/www/html/dta/S01/10561.9530.3.dta&amp;Global_Mod=CS57.0215", "9530")</f>
        <v>9530</v>
      </c>
      <c r="S906" s="37" t="str">
        <f>HYPERLINK("http://ms.phosphosite.org:5080/cgi-bin/plot-msms.cgi?MassType=1&amp;NumAxis=1&amp;Mod15=170&amp;Pep=EGAPIEPDPPVSHWKPEAVYYEDGAR&amp;Dta=/var/www/html/dta/S01/10562.9616.3.dta&amp;Global_Mod=CS57.0215", "9616")</f>
        <v>9616</v>
      </c>
      <c r="T906" s="37" t="str">
        <f>HYPERLINK("http://ms.phosphosite.org:5080/cgi-bin/plot-msms.cgi?MassType=1&amp;NumAxis=1&amp;Mod15=170&amp;Pep=EGAPIEPDPPVSHWKPEAVYYEDGAR&amp;Dta=/var/www/html/dta/S01/10563.9667.3.dta&amp;Global_Mod=CS57.0215", "9667")</f>
        <v>9667</v>
      </c>
      <c r="U906" s="37" t="str">
        <f>HYPERLINK("http://ms.phosphosite.org:5080/cgi-bin/plot-msms.cgi?MassType=1&amp;NumAxis=1&amp;Mod15=170&amp;Pep=EGAPIEPDPPVSHWKPEAVYYEDGAR&amp;Dta=/var/www/html/dta/S01/10564.10094.3.dta&amp;Global_Mod=CS57.0215", "10094")</f>
        <v>10094</v>
      </c>
      <c r="V906" s="37" t="str">
        <f>HYPERLINK("http://ms.phosphosite.org:5080/cgi-bin/plot-msms.cgi?MassType=1&amp;NumAxis=1&amp;Mod15=170&amp;Pep=EGAPIEPDPPVSHWKPEAVYYEDGAR&amp;Dta=/var/www/html/dta/S01/10565.9944.3.dta&amp;Global_Mod=CS57.0215", "9944")</f>
        <v>9944</v>
      </c>
      <c r="W906" s="10">
        <v>9547</v>
      </c>
      <c r="X906" s="10">
        <v>9552</v>
      </c>
      <c r="Y906" s="10">
        <v>9556</v>
      </c>
      <c r="Z906" s="10">
        <v>9550</v>
      </c>
      <c r="AA906" s="10">
        <v>9729</v>
      </c>
      <c r="AB906" s="10">
        <v>9665</v>
      </c>
      <c r="AC906" s="10">
        <v>10082</v>
      </c>
      <c r="AD906" s="10">
        <v>10046</v>
      </c>
      <c r="AE906" s="91">
        <v>2.3809999999999998</v>
      </c>
      <c r="AF906" s="91">
        <v>2.5640000000000001</v>
      </c>
      <c r="AG906" s="91">
        <v>2.8690000000000002</v>
      </c>
      <c r="AH906" s="91">
        <v>2.94</v>
      </c>
      <c r="AI906" s="91">
        <v>2.2999999999999998</v>
      </c>
      <c r="AJ906" s="91">
        <v>2.173</v>
      </c>
      <c r="AK906" s="91">
        <v>2.8090000000000002</v>
      </c>
      <c r="AL906" s="91">
        <v>2.9</v>
      </c>
      <c r="AM906" s="95">
        <v>0.90310000000000001</v>
      </c>
      <c r="AN906" s="95">
        <v>0.89259999999999995</v>
      </c>
      <c r="AO906" s="95">
        <v>0.90139999999999998</v>
      </c>
      <c r="AP906" s="95">
        <v>0.96040000000000003</v>
      </c>
      <c r="AQ906" s="95">
        <v>0.65039999999999998</v>
      </c>
      <c r="AR906" s="95">
        <v>0.75509999999999999</v>
      </c>
      <c r="AS906" s="95">
        <v>1.0664</v>
      </c>
      <c r="AT906" s="95">
        <v>0.64829999999999999</v>
      </c>
      <c r="AU906" s="95">
        <v>0.17299999999999999</v>
      </c>
      <c r="AV906" s="95">
        <v>0.17299999999999999</v>
      </c>
      <c r="AW906" s="95">
        <v>0.29799999999999999</v>
      </c>
      <c r="AX906" s="95">
        <v>0.24299999999999999</v>
      </c>
      <c r="AY906" s="95">
        <v>0.20100000000000001</v>
      </c>
      <c r="AZ906" s="95">
        <v>0.10299999999999999</v>
      </c>
      <c r="BA906" s="95">
        <v>0.26800000000000002</v>
      </c>
      <c r="BB906" s="95">
        <v>0.09</v>
      </c>
      <c r="BC906" s="10">
        <v>2</v>
      </c>
      <c r="BD906" s="10">
        <v>2</v>
      </c>
      <c r="BE906" s="10">
        <v>2</v>
      </c>
      <c r="BF906" s="10">
        <v>1</v>
      </c>
      <c r="BG906" s="10">
        <v>1</v>
      </c>
      <c r="BH906" s="10">
        <v>1</v>
      </c>
      <c r="BI906" s="10">
        <v>1</v>
      </c>
      <c r="BJ906" s="10">
        <v>1</v>
      </c>
      <c r="BK906" s="91">
        <v>0.999</v>
      </c>
      <c r="BL906" s="91">
        <v>0.999</v>
      </c>
      <c r="BM906" s="91">
        <v>1</v>
      </c>
      <c r="BN906" s="91">
        <v>1</v>
      </c>
      <c r="BO906" s="91">
        <v>0.999</v>
      </c>
      <c r="BP906" s="91">
        <v>0.995</v>
      </c>
      <c r="BQ906" s="91">
        <v>1</v>
      </c>
      <c r="BR906" s="91">
        <v>0.998</v>
      </c>
      <c r="BS906" s="10" t="s">
        <v>4857</v>
      </c>
    </row>
    <row r="907" spans="1:71" s="30" customFormat="1" ht="17.100000000000001" customHeight="1">
      <c r="A907" s="10">
        <v>896</v>
      </c>
      <c r="B907" s="10" t="s">
        <v>1450</v>
      </c>
      <c r="C907" s="4" t="s">
        <v>1803</v>
      </c>
      <c r="D907" s="4" t="s">
        <v>1443</v>
      </c>
      <c r="E907" s="4" t="s">
        <v>1444</v>
      </c>
      <c r="F907" s="10" t="s">
        <v>5177</v>
      </c>
      <c r="G907" s="4" t="s">
        <v>1445</v>
      </c>
      <c r="H907" s="7" t="s">
        <v>1446</v>
      </c>
      <c r="I907" s="4" t="s">
        <v>1447</v>
      </c>
      <c r="J907" s="10" t="s">
        <v>4683</v>
      </c>
      <c r="K907" s="4" t="s">
        <v>5886</v>
      </c>
      <c r="L907" s="4" t="s">
        <v>1448</v>
      </c>
      <c r="M907" s="10">
        <v>3</v>
      </c>
      <c r="N907" s="95">
        <v>984.46640000000002</v>
      </c>
      <c r="O907" s="38" t="s">
        <v>4854</v>
      </c>
      <c r="P907" s="37" t="str">
        <f>HYPERLINK("http://ms.phosphosite.org:5080/cgi-bin/plot-msms.cgi?MassType=1&amp;NumAxis=1&amp;Mod15=170&amp;Pep=EGAPIEPDPPVSHWKPEAVYYEDGAR&amp;Dta=/var/www/html/dta/S01/10559.9610.3.dta&amp;Global_Mod=CS57.0215", "9610")</f>
        <v>9610</v>
      </c>
      <c r="Q907" s="37" t="str">
        <f>HYPERLINK("http://ms.phosphosite.org:5080/cgi-bin/plot-msms.cgi?MassType=1&amp;NumAxis=1&amp;Mod15=170&amp;Pep=EGAPIEPDPPVSHWKPEAVYYEDGAR&amp;Dta=/var/www/html/dta/S01/10560.9463.3.dta&amp;Global_Mod=CS57.0215", "9463")</f>
        <v>9463</v>
      </c>
      <c r="R907" s="37" t="str">
        <f>HYPERLINK("http://ms.phosphosite.org:5080/cgi-bin/plot-msms.cgi?MassType=1&amp;NumAxis=1&amp;Mod15=170&amp;Pep=EGAPIEPDPPVSHWKPEAVYYEDGAR&amp;Dta=/var/www/html/dta/S01/10561.9448.3.dta&amp;Global_Mod=CS57.0215", "9448")</f>
        <v>9448</v>
      </c>
      <c r="S907" s="38" t="s">
        <v>4854</v>
      </c>
      <c r="T907" s="38" t="s">
        <v>4854</v>
      </c>
      <c r="U907" s="38" t="s">
        <v>4854</v>
      </c>
      <c r="V907" s="37" t="str">
        <f>HYPERLINK("http://ms.phosphosite.org:5080/cgi-bin/plot-msms.cgi?MassType=1&amp;NumAxis=1&amp;Mod15=170&amp;Pep=EGAPIEPDPPVSHWKPEAVYYEDGAR&amp;Dta=/var/www/html/dta/S01/10565.9964.3.dta&amp;Global_Mod=CS57.0215", "9964")</f>
        <v>9964</v>
      </c>
      <c r="W907" s="4" t="s">
        <v>4854</v>
      </c>
      <c r="X907" s="10">
        <v>9552</v>
      </c>
      <c r="Y907" s="10">
        <v>9556</v>
      </c>
      <c r="Z907" s="10">
        <v>9550</v>
      </c>
      <c r="AA907" s="4" t="s">
        <v>4854</v>
      </c>
      <c r="AB907" s="4" t="s">
        <v>4854</v>
      </c>
      <c r="AC907" s="4" t="s">
        <v>4854</v>
      </c>
      <c r="AD907" s="10">
        <v>10046</v>
      </c>
      <c r="AE907" s="100" t="s">
        <v>4854</v>
      </c>
      <c r="AF907" s="91">
        <v>2.3479999999999999</v>
      </c>
      <c r="AG907" s="91">
        <v>2.7069999999999999</v>
      </c>
      <c r="AH907" s="91">
        <v>2.6419999999999999</v>
      </c>
      <c r="AI907" s="100" t="s">
        <v>4854</v>
      </c>
      <c r="AJ907" s="100" t="s">
        <v>4854</v>
      </c>
      <c r="AK907" s="100" t="s">
        <v>4854</v>
      </c>
      <c r="AL907" s="91">
        <v>1.8009999999999999</v>
      </c>
      <c r="AM907" s="103" t="s">
        <v>4854</v>
      </c>
      <c r="AN907" s="95">
        <v>0.90920000000000001</v>
      </c>
      <c r="AO907" s="95">
        <v>0.78120000000000001</v>
      </c>
      <c r="AP907" s="95">
        <v>1.0116000000000001</v>
      </c>
      <c r="AQ907" s="103" t="s">
        <v>4854</v>
      </c>
      <c r="AR907" s="103" t="s">
        <v>4854</v>
      </c>
      <c r="AS907" s="103" t="s">
        <v>4854</v>
      </c>
      <c r="AT907" s="95">
        <v>0.72729999999999995</v>
      </c>
      <c r="AU907" s="103" t="s">
        <v>4854</v>
      </c>
      <c r="AV907" s="95">
        <v>0.186</v>
      </c>
      <c r="AW907" s="95">
        <v>0.32200000000000001</v>
      </c>
      <c r="AX907" s="95">
        <v>0.188</v>
      </c>
      <c r="AY907" s="103" t="s">
        <v>4854</v>
      </c>
      <c r="AZ907" s="103" t="s">
        <v>4854</v>
      </c>
      <c r="BA907" s="103" t="s">
        <v>4854</v>
      </c>
      <c r="BB907" s="95">
        <v>5.5E-2</v>
      </c>
      <c r="BC907" s="4" t="s">
        <v>4854</v>
      </c>
      <c r="BD907" s="10">
        <v>9</v>
      </c>
      <c r="BE907" s="10">
        <v>2</v>
      </c>
      <c r="BF907" s="10">
        <v>2</v>
      </c>
      <c r="BG907" s="4" t="s">
        <v>4854</v>
      </c>
      <c r="BH907" s="4" t="s">
        <v>4854</v>
      </c>
      <c r="BI907" s="4" t="s">
        <v>4854</v>
      </c>
      <c r="BJ907" s="10">
        <v>134</v>
      </c>
      <c r="BK907" s="100" t="s">
        <v>4854</v>
      </c>
      <c r="BL907" s="91">
        <v>0.998</v>
      </c>
      <c r="BM907" s="91">
        <v>1</v>
      </c>
      <c r="BN907" s="91">
        <v>0.999</v>
      </c>
      <c r="BO907" s="100" t="s">
        <v>4854</v>
      </c>
      <c r="BP907" s="100" t="s">
        <v>4854</v>
      </c>
      <c r="BQ907" s="100" t="s">
        <v>4854</v>
      </c>
      <c r="BR907" s="91">
        <v>0.95199999999999996</v>
      </c>
      <c r="BS907" s="10" t="s">
        <v>4857</v>
      </c>
    </row>
    <row r="908" spans="1:71" s="30" customFormat="1" ht="17.100000000000001" customHeight="1">
      <c r="A908" s="10">
        <v>897</v>
      </c>
      <c r="B908" s="10" t="s">
        <v>1451</v>
      </c>
      <c r="C908" s="4" t="s">
        <v>1803</v>
      </c>
      <c r="D908" s="4" t="s">
        <v>1443</v>
      </c>
      <c r="E908" s="4" t="s">
        <v>1444</v>
      </c>
      <c r="F908" s="10" t="s">
        <v>5177</v>
      </c>
      <c r="G908" s="4" t="s">
        <v>1445</v>
      </c>
      <c r="H908" s="7" t="s">
        <v>1446</v>
      </c>
      <c r="I908" s="4" t="s">
        <v>1447</v>
      </c>
      <c r="J908" s="10" t="s">
        <v>4683</v>
      </c>
      <c r="K908" s="4" t="s">
        <v>5886</v>
      </c>
      <c r="L908" s="4" t="s">
        <v>1448</v>
      </c>
      <c r="M908" s="10">
        <v>4</v>
      </c>
      <c r="N908" s="95">
        <v>738.60159999999996</v>
      </c>
      <c r="O908" s="38" t="s">
        <v>4854</v>
      </c>
      <c r="P908" s="38" t="s">
        <v>4854</v>
      </c>
      <c r="Q908" s="38" t="s">
        <v>4854</v>
      </c>
      <c r="R908" s="37" t="str">
        <f>HYPERLINK("http://ms.phosphosite.org:5080/cgi-bin/plot-msms.cgi?MassType=1&amp;NumAxis=1&amp;Mod15=170&amp;Pep=EGAPIEPDPPVSHWKPEAVYYEDGAR&amp;Dta=/var/www/html/dta/S01/10561.9598.4.dta&amp;Global_Mod=CS57.0215", "9598")</f>
        <v>9598</v>
      </c>
      <c r="S908" s="37" t="str">
        <f>HYPERLINK("http://ms.phosphosite.org:5080/cgi-bin/plot-msms.cgi?MassType=1&amp;NumAxis=1&amp;Mod15=170&amp;Pep=EGAPIEPDPPVSHWKPEAVYYEDGAR&amp;Dta=/var/www/html/dta/S01/10562.9662.4.dta&amp;Global_Mod=CS57.0215", "9662")</f>
        <v>9662</v>
      </c>
      <c r="T908" s="37" t="str">
        <f>HYPERLINK("http://ms.phosphosite.org:5080/cgi-bin/plot-msms.cgi?MassType=1&amp;NumAxis=1&amp;Mod15=170&amp;Pep=EGAPIEPDPPVSHWKPEAVYYEDGAR&amp;Dta=/var/www/html/dta/S01/10563.9619.4.dta&amp;Global_Mod=CS57.0215", "9619")</f>
        <v>9619</v>
      </c>
      <c r="U908" s="38" t="s">
        <v>4854</v>
      </c>
      <c r="V908" s="37" t="str">
        <f>HYPERLINK("http://ms.phosphosite.org:5080/cgi-bin/plot-msms.cgi?MassType=1&amp;NumAxis=1&amp;Mod15=170&amp;Pep=EGAPIEPDPPVSHWKPEAVYYEDGAR&amp;Dta=/var/www/html/dta/S01/10565.10021.4.dta&amp;Global_Mod=CS57.0215", "10021")</f>
        <v>10021</v>
      </c>
      <c r="W908" s="4" t="s">
        <v>4854</v>
      </c>
      <c r="X908" s="4" t="s">
        <v>4854</v>
      </c>
      <c r="Y908" s="4" t="s">
        <v>4854</v>
      </c>
      <c r="Z908" s="10">
        <v>9593</v>
      </c>
      <c r="AA908" s="10">
        <v>9729</v>
      </c>
      <c r="AB908" s="10">
        <v>9676</v>
      </c>
      <c r="AC908" s="4" t="s">
        <v>4854</v>
      </c>
      <c r="AD908" s="10">
        <v>10057</v>
      </c>
      <c r="AE908" s="100" t="s">
        <v>4854</v>
      </c>
      <c r="AF908" s="100" t="s">
        <v>4854</v>
      </c>
      <c r="AG908" s="100" t="s">
        <v>4854</v>
      </c>
      <c r="AH908" s="91">
        <v>2.9649999999999999</v>
      </c>
      <c r="AI908" s="91">
        <v>3.3090000000000002</v>
      </c>
      <c r="AJ908" s="91">
        <v>3.109</v>
      </c>
      <c r="AK908" s="100" t="s">
        <v>4854</v>
      </c>
      <c r="AL908" s="91">
        <v>2.7109999999999999</v>
      </c>
      <c r="AM908" s="103" t="s">
        <v>4854</v>
      </c>
      <c r="AN908" s="103" t="s">
        <v>4854</v>
      </c>
      <c r="AO908" s="103" t="s">
        <v>4854</v>
      </c>
      <c r="AP908" s="95">
        <v>0.82110000000000005</v>
      </c>
      <c r="AQ908" s="95">
        <v>2.29E-2</v>
      </c>
      <c r="AR908" s="95">
        <v>8.6199999999999999E-2</v>
      </c>
      <c r="AS908" s="103" t="s">
        <v>4854</v>
      </c>
      <c r="AT908" s="95">
        <v>-0.14649999999999999</v>
      </c>
      <c r="AU908" s="103" t="s">
        <v>4854</v>
      </c>
      <c r="AV908" s="103" t="s">
        <v>4854</v>
      </c>
      <c r="AW908" s="103" t="s">
        <v>4854</v>
      </c>
      <c r="AX908" s="95">
        <v>0.161</v>
      </c>
      <c r="AY908" s="95">
        <v>0.18</v>
      </c>
      <c r="AZ908" s="95">
        <v>0.16300000000000001</v>
      </c>
      <c r="BA908" s="103" t="s">
        <v>4854</v>
      </c>
      <c r="BB908" s="95">
        <v>0.04</v>
      </c>
      <c r="BC908" s="4" t="s">
        <v>4854</v>
      </c>
      <c r="BD908" s="4" t="s">
        <v>4854</v>
      </c>
      <c r="BE908" s="4" t="s">
        <v>4854</v>
      </c>
      <c r="BF908" s="10">
        <v>1698</v>
      </c>
      <c r="BG908" s="10">
        <v>68</v>
      </c>
      <c r="BH908" s="10">
        <v>71</v>
      </c>
      <c r="BI908" s="4" t="s">
        <v>4854</v>
      </c>
      <c r="BJ908" s="10">
        <v>25</v>
      </c>
      <c r="BK908" s="100" t="s">
        <v>4854</v>
      </c>
      <c r="BL908" s="100" t="s">
        <v>4854</v>
      </c>
      <c r="BM908" s="100" t="s">
        <v>4854</v>
      </c>
      <c r="BN908" s="91">
        <v>0.97499999999999998</v>
      </c>
      <c r="BO908" s="91">
        <v>0.998</v>
      </c>
      <c r="BP908" s="91">
        <v>0.997</v>
      </c>
      <c r="BQ908" s="100" t="s">
        <v>4854</v>
      </c>
      <c r="BR908" s="91">
        <v>0.98599999999999999</v>
      </c>
      <c r="BS908" s="10" t="s">
        <v>4857</v>
      </c>
    </row>
    <row r="909" spans="1:71" s="30" customFormat="1" ht="17.100000000000001" customHeight="1">
      <c r="A909" s="10">
        <v>898</v>
      </c>
      <c r="B909" s="10" t="s">
        <v>1452</v>
      </c>
      <c r="C909" s="4" t="s">
        <v>1803</v>
      </c>
      <c r="D909" s="4" t="s">
        <v>1443</v>
      </c>
      <c r="E909" s="4" t="s">
        <v>1444</v>
      </c>
      <c r="F909" s="10" t="s">
        <v>5177</v>
      </c>
      <c r="G909" s="4" t="s">
        <v>1445</v>
      </c>
      <c r="H909" s="7" t="s">
        <v>1446</v>
      </c>
      <c r="I909" s="4" t="s">
        <v>1447</v>
      </c>
      <c r="J909" s="10" t="s">
        <v>4683</v>
      </c>
      <c r="K909" s="4" t="s">
        <v>5886</v>
      </c>
      <c r="L909" s="4" t="s">
        <v>1448</v>
      </c>
      <c r="M909" s="10">
        <v>4</v>
      </c>
      <c r="N909" s="95">
        <v>738.60159999999996</v>
      </c>
      <c r="O909" s="38" t="s">
        <v>4854</v>
      </c>
      <c r="P909" s="38" t="s">
        <v>4854</v>
      </c>
      <c r="Q909" s="38" t="s">
        <v>4854</v>
      </c>
      <c r="R909" s="37" t="str">
        <f>HYPERLINK("http://ms.phosphosite.org:5080/cgi-bin/plot-msms.cgi?MassType=1&amp;NumAxis=1&amp;Mod15=170&amp;Pep=EGAPIEPDPPVSHWKPEAVYYEDGAR&amp;Dta=/var/www/html/dta/S01/10561.9504.4.dta&amp;Global_Mod=CS57.0215", "9504")</f>
        <v>9504</v>
      </c>
      <c r="S909" s="38" t="s">
        <v>4854</v>
      </c>
      <c r="T909" s="38" t="s">
        <v>4854</v>
      </c>
      <c r="U909" s="38" t="s">
        <v>4854</v>
      </c>
      <c r="V909" s="38" t="s">
        <v>4854</v>
      </c>
      <c r="W909" s="4" t="s">
        <v>4854</v>
      </c>
      <c r="X909" s="4" t="s">
        <v>4854</v>
      </c>
      <c r="Y909" s="4" t="s">
        <v>4854</v>
      </c>
      <c r="Z909" s="10">
        <v>9593</v>
      </c>
      <c r="AA909" s="4" t="s">
        <v>4854</v>
      </c>
      <c r="AB909" s="4" t="s">
        <v>4854</v>
      </c>
      <c r="AC909" s="4" t="s">
        <v>4854</v>
      </c>
      <c r="AD909" s="4" t="s">
        <v>4854</v>
      </c>
      <c r="AE909" s="100" t="s">
        <v>4854</v>
      </c>
      <c r="AF909" s="100" t="s">
        <v>4854</v>
      </c>
      <c r="AG909" s="100" t="s">
        <v>4854</v>
      </c>
      <c r="AH909" s="91">
        <v>2.8559999999999999</v>
      </c>
      <c r="AI909" s="100" t="s">
        <v>4854</v>
      </c>
      <c r="AJ909" s="100" t="s">
        <v>4854</v>
      </c>
      <c r="AK909" s="100" t="s">
        <v>4854</v>
      </c>
      <c r="AL909" s="100" t="s">
        <v>4854</v>
      </c>
      <c r="AM909" s="103" t="s">
        <v>4854</v>
      </c>
      <c r="AN909" s="103" t="s">
        <v>4854</v>
      </c>
      <c r="AO909" s="103" t="s">
        <v>4854</v>
      </c>
      <c r="AP909" s="95">
        <v>0.79200000000000004</v>
      </c>
      <c r="AQ909" s="103" t="s">
        <v>4854</v>
      </c>
      <c r="AR909" s="103" t="s">
        <v>4854</v>
      </c>
      <c r="AS909" s="103" t="s">
        <v>4854</v>
      </c>
      <c r="AT909" s="103" t="s">
        <v>4854</v>
      </c>
      <c r="AU909" s="103" t="s">
        <v>4854</v>
      </c>
      <c r="AV909" s="103" t="s">
        <v>4854</v>
      </c>
      <c r="AW909" s="103" t="s">
        <v>4854</v>
      </c>
      <c r="AX909" s="95">
        <v>5.5E-2</v>
      </c>
      <c r="AY909" s="103" t="s">
        <v>4854</v>
      </c>
      <c r="AZ909" s="103" t="s">
        <v>4854</v>
      </c>
      <c r="BA909" s="103" t="s">
        <v>4854</v>
      </c>
      <c r="BB909" s="103" t="s">
        <v>4854</v>
      </c>
      <c r="BC909" s="4" t="s">
        <v>4854</v>
      </c>
      <c r="BD909" s="4" t="s">
        <v>4854</v>
      </c>
      <c r="BE909" s="4" t="s">
        <v>4854</v>
      </c>
      <c r="BF909" s="10">
        <v>32</v>
      </c>
      <c r="BG909" s="4" t="s">
        <v>4854</v>
      </c>
      <c r="BH909" s="4" t="s">
        <v>4854</v>
      </c>
      <c r="BI909" s="4" t="s">
        <v>4854</v>
      </c>
      <c r="BJ909" s="4" t="s">
        <v>4854</v>
      </c>
      <c r="BK909" s="100" t="s">
        <v>4854</v>
      </c>
      <c r="BL909" s="100" t="s">
        <v>4854</v>
      </c>
      <c r="BM909" s="100" t="s">
        <v>4854</v>
      </c>
      <c r="BN909" s="91">
        <v>0.98699999999999999</v>
      </c>
      <c r="BO909" s="100" t="s">
        <v>4854</v>
      </c>
      <c r="BP909" s="100" t="s">
        <v>4854</v>
      </c>
      <c r="BQ909" s="100" t="s">
        <v>4854</v>
      </c>
      <c r="BR909" s="100" t="s">
        <v>4854</v>
      </c>
      <c r="BS909" s="10" t="s">
        <v>4857</v>
      </c>
    </row>
    <row r="910" spans="1:71" s="30" customFormat="1" ht="17.100000000000001" customHeight="1">
      <c r="A910" s="10">
        <v>899</v>
      </c>
      <c r="B910" s="10" t="s">
        <v>1453</v>
      </c>
      <c r="C910" s="4" t="s">
        <v>1803</v>
      </c>
      <c r="D910" s="4" t="s">
        <v>1443</v>
      </c>
      <c r="E910" s="4" t="s">
        <v>1444</v>
      </c>
      <c r="F910" s="10" t="s">
        <v>5177</v>
      </c>
      <c r="G910" s="4" t="s">
        <v>1445</v>
      </c>
      <c r="H910" s="7" t="s">
        <v>1446</v>
      </c>
      <c r="I910" s="4" t="s">
        <v>1447</v>
      </c>
      <c r="J910" s="10" t="s">
        <v>4683</v>
      </c>
      <c r="K910" s="4" t="s">
        <v>5886</v>
      </c>
      <c r="L910" s="4" t="s">
        <v>1454</v>
      </c>
      <c r="M910" s="10">
        <v>3</v>
      </c>
      <c r="N910" s="95">
        <v>715.01300000000003</v>
      </c>
      <c r="O910" s="38" t="s">
        <v>4854</v>
      </c>
      <c r="P910" s="38" t="s">
        <v>4854</v>
      </c>
      <c r="Q910" s="38" t="s">
        <v>4854</v>
      </c>
      <c r="R910" s="37" t="str">
        <f>HYPERLINK("http://ms.phosphosite.org:5080/cgi-bin/plot-msms.cgi?MassType=1&amp;NumAxis=1&amp;Mod7=170&amp;Pep=PPVSHWKPEAVYYEDGAR&amp;Dta=/var/www/html/dta/S01/10561.7575.3.dta&amp;Global_Mod=CS57.0215", "7575")</f>
        <v>7575</v>
      </c>
      <c r="S910" s="37" t="str">
        <f>HYPERLINK("http://ms.phosphosite.org:5080/cgi-bin/plot-msms.cgi?MassType=1&amp;NumAxis=1&amp;Mod7=170&amp;Pep=PPVSHWKPEAVYYEDGAR&amp;Dta=/var/www/html/dta/S01/10562.7695.3.dta&amp;Global_Mod=CS57.0215", "7695")</f>
        <v>7695</v>
      </c>
      <c r="T910" s="38" t="s">
        <v>4854</v>
      </c>
      <c r="U910" s="37" t="str">
        <f>HYPERLINK("http://ms.phosphosite.org:5080/cgi-bin/plot-msms.cgi?MassType=1&amp;NumAxis=1&amp;Mod7=170&amp;Pep=PPVSHWKPEAVYYEDGAR&amp;Dta=/var/www/html/dta/S01/10564.8028.3.dta&amp;Global_Mod=CS57.0215", "8028")</f>
        <v>8028</v>
      </c>
      <c r="V910" s="37" t="str">
        <f>HYPERLINK("http://ms.phosphosite.org:5080/cgi-bin/plot-msms.cgi?MassType=1&amp;NumAxis=1&amp;Mod7=170&amp;Pep=PPVSHWKPEAVYYEDGAR&amp;Dta=/var/www/html/dta/S01/10565.8040.3.dta&amp;Global_Mod=CS57.0215", "8040")</f>
        <v>8040</v>
      </c>
      <c r="W910" s="4" t="s">
        <v>4854</v>
      </c>
      <c r="X910" s="4" t="s">
        <v>4854</v>
      </c>
      <c r="Y910" s="4" t="s">
        <v>4854</v>
      </c>
      <c r="Z910" s="10">
        <v>7559</v>
      </c>
      <c r="AA910" s="4" t="s">
        <v>4854</v>
      </c>
      <c r="AB910" s="4" t="s">
        <v>4854</v>
      </c>
      <c r="AC910" s="10">
        <v>8014</v>
      </c>
      <c r="AD910" s="10">
        <v>8044</v>
      </c>
      <c r="AE910" s="100" t="s">
        <v>4854</v>
      </c>
      <c r="AF910" s="100" t="s">
        <v>4854</v>
      </c>
      <c r="AG910" s="100" t="s">
        <v>4854</v>
      </c>
      <c r="AH910" s="91">
        <v>3.3620000000000001</v>
      </c>
      <c r="AI910" s="91">
        <v>3.4889999999999999</v>
      </c>
      <c r="AJ910" s="100" t="s">
        <v>4854</v>
      </c>
      <c r="AK910" s="91">
        <v>4.1539999999999999</v>
      </c>
      <c r="AL910" s="91">
        <v>4.4489999999999998</v>
      </c>
      <c r="AM910" s="103" t="s">
        <v>4854</v>
      </c>
      <c r="AN910" s="103" t="s">
        <v>4854</v>
      </c>
      <c r="AO910" s="103" t="s">
        <v>4854</v>
      </c>
      <c r="AP910" s="95">
        <v>1.1101000000000001</v>
      </c>
      <c r="AQ910" s="95">
        <v>0.66859999999999997</v>
      </c>
      <c r="AR910" s="103" t="s">
        <v>4854</v>
      </c>
      <c r="AS910" s="95">
        <v>0.36299999999999999</v>
      </c>
      <c r="AT910" s="95">
        <v>0.41760000000000003</v>
      </c>
      <c r="AU910" s="103" t="s">
        <v>4854</v>
      </c>
      <c r="AV910" s="103" t="s">
        <v>4854</v>
      </c>
      <c r="AW910" s="103" t="s">
        <v>4854</v>
      </c>
      <c r="AX910" s="95">
        <v>0.19600000000000001</v>
      </c>
      <c r="AY910" s="95">
        <v>0.13300000000000001</v>
      </c>
      <c r="AZ910" s="103" t="s">
        <v>4854</v>
      </c>
      <c r="BA910" s="95">
        <v>0.28599999999999998</v>
      </c>
      <c r="BB910" s="95">
        <v>0.33400000000000002</v>
      </c>
      <c r="BC910" s="4" t="s">
        <v>4854</v>
      </c>
      <c r="BD910" s="4" t="s">
        <v>4854</v>
      </c>
      <c r="BE910" s="4" t="s">
        <v>4854</v>
      </c>
      <c r="BF910" s="10">
        <v>1</v>
      </c>
      <c r="BG910" s="10">
        <v>1</v>
      </c>
      <c r="BH910" s="4" t="s">
        <v>4854</v>
      </c>
      <c r="BI910" s="10">
        <v>1</v>
      </c>
      <c r="BJ910" s="10">
        <v>1</v>
      </c>
      <c r="BK910" s="100" t="s">
        <v>4854</v>
      </c>
      <c r="BL910" s="100" t="s">
        <v>4854</v>
      </c>
      <c r="BM910" s="100" t="s">
        <v>4854</v>
      </c>
      <c r="BN910" s="91">
        <v>0.95399999999999996</v>
      </c>
      <c r="BO910" s="91">
        <v>0.90400000000000003</v>
      </c>
      <c r="BP910" s="100" t="s">
        <v>4854</v>
      </c>
      <c r="BQ910" s="91">
        <v>0.99299999999999999</v>
      </c>
      <c r="BR910" s="91">
        <v>0.997</v>
      </c>
      <c r="BS910" s="10" t="s">
        <v>4857</v>
      </c>
    </row>
    <row r="911" spans="1:71" s="30" customFormat="1" ht="17.100000000000001" customHeight="1">
      <c r="A911" s="10">
        <v>900</v>
      </c>
      <c r="B911" s="10" t="s">
        <v>1455</v>
      </c>
      <c r="C911" s="4" t="s">
        <v>1803</v>
      </c>
      <c r="D911" s="4" t="s">
        <v>1443</v>
      </c>
      <c r="E911" s="4" t="s">
        <v>1444</v>
      </c>
      <c r="F911" s="10" t="s">
        <v>5177</v>
      </c>
      <c r="G911" s="4" t="s">
        <v>1445</v>
      </c>
      <c r="H911" s="7" t="s">
        <v>1446</v>
      </c>
      <c r="I911" s="4" t="s">
        <v>1447</v>
      </c>
      <c r="J911" s="10" t="s">
        <v>4683</v>
      </c>
      <c r="K911" s="4" t="s">
        <v>5886</v>
      </c>
      <c r="L911" s="4" t="s">
        <v>1454</v>
      </c>
      <c r="M911" s="10">
        <v>3</v>
      </c>
      <c r="N911" s="95">
        <v>715.01300000000003</v>
      </c>
      <c r="O911" s="38" t="s">
        <v>4854</v>
      </c>
      <c r="P911" s="38" t="s">
        <v>4854</v>
      </c>
      <c r="Q911" s="38" t="s">
        <v>4854</v>
      </c>
      <c r="R911" s="38" t="s">
        <v>4854</v>
      </c>
      <c r="S911" s="38" t="s">
        <v>4854</v>
      </c>
      <c r="T911" s="38" t="s">
        <v>4854</v>
      </c>
      <c r="U911" s="37" t="str">
        <f>HYPERLINK("http://ms.phosphosite.org:5080/cgi-bin/plot-msms.cgi?MassType=1&amp;NumAxis=1&amp;Mod7=170&amp;Pep=PPVSHWKPEAVYYEDGAR&amp;Dta=/var/www/html/dta/S01/10564.8000.3.dta&amp;Global_Mod=CS57.0215", "8000")</f>
        <v>8000</v>
      </c>
      <c r="V911" s="38" t="s">
        <v>4854</v>
      </c>
      <c r="W911" s="4" t="s">
        <v>4854</v>
      </c>
      <c r="X911" s="4" t="s">
        <v>4854</v>
      </c>
      <c r="Y911" s="4" t="s">
        <v>4854</v>
      </c>
      <c r="Z911" s="4" t="s">
        <v>4854</v>
      </c>
      <c r="AA911" s="4" t="s">
        <v>4854</v>
      </c>
      <c r="AB911" s="4" t="s">
        <v>4854</v>
      </c>
      <c r="AC911" s="10">
        <v>8014</v>
      </c>
      <c r="AD911" s="4" t="s">
        <v>4854</v>
      </c>
      <c r="AE911" s="100" t="s">
        <v>4854</v>
      </c>
      <c r="AF911" s="100" t="s">
        <v>4854</v>
      </c>
      <c r="AG911" s="100" t="s">
        <v>4854</v>
      </c>
      <c r="AH911" s="100" t="s">
        <v>4854</v>
      </c>
      <c r="AI911" s="100" t="s">
        <v>4854</v>
      </c>
      <c r="AJ911" s="100" t="s">
        <v>4854</v>
      </c>
      <c r="AK911" s="91">
        <v>4.0629999999999997</v>
      </c>
      <c r="AL911" s="100" t="s">
        <v>4854</v>
      </c>
      <c r="AM911" s="103" t="s">
        <v>4854</v>
      </c>
      <c r="AN911" s="103" t="s">
        <v>4854</v>
      </c>
      <c r="AO911" s="103" t="s">
        <v>4854</v>
      </c>
      <c r="AP911" s="103" t="s">
        <v>4854</v>
      </c>
      <c r="AQ911" s="103" t="s">
        <v>4854</v>
      </c>
      <c r="AR911" s="103" t="s">
        <v>4854</v>
      </c>
      <c r="AS911" s="95">
        <v>0.36299999999999999</v>
      </c>
      <c r="AT911" s="103" t="s">
        <v>4854</v>
      </c>
      <c r="AU911" s="103" t="s">
        <v>4854</v>
      </c>
      <c r="AV911" s="103" t="s">
        <v>4854</v>
      </c>
      <c r="AW911" s="103" t="s">
        <v>4854</v>
      </c>
      <c r="AX911" s="103" t="s">
        <v>4854</v>
      </c>
      <c r="AY911" s="103" t="s">
        <v>4854</v>
      </c>
      <c r="AZ911" s="103" t="s">
        <v>4854</v>
      </c>
      <c r="BA911" s="95">
        <v>0.33</v>
      </c>
      <c r="BB911" s="103" t="s">
        <v>4854</v>
      </c>
      <c r="BC911" s="4" t="s">
        <v>4854</v>
      </c>
      <c r="BD911" s="4" t="s">
        <v>4854</v>
      </c>
      <c r="BE911" s="4" t="s">
        <v>4854</v>
      </c>
      <c r="BF911" s="4" t="s">
        <v>4854</v>
      </c>
      <c r="BG911" s="4" t="s">
        <v>4854</v>
      </c>
      <c r="BH911" s="4" t="s">
        <v>4854</v>
      </c>
      <c r="BI911" s="10">
        <v>1</v>
      </c>
      <c r="BJ911" s="4" t="s">
        <v>4854</v>
      </c>
      <c r="BK911" s="100" t="s">
        <v>4854</v>
      </c>
      <c r="BL911" s="100" t="s">
        <v>4854</v>
      </c>
      <c r="BM911" s="100" t="s">
        <v>4854</v>
      </c>
      <c r="BN911" s="100" t="s">
        <v>4854</v>
      </c>
      <c r="BO911" s="100" t="s">
        <v>4854</v>
      </c>
      <c r="BP911" s="100" t="s">
        <v>4854</v>
      </c>
      <c r="BQ911" s="91">
        <v>0.995</v>
      </c>
      <c r="BR911" s="100" t="s">
        <v>4854</v>
      </c>
      <c r="BS911" s="10" t="s">
        <v>4857</v>
      </c>
    </row>
    <row r="912" spans="1:71" s="30" customFormat="1" ht="17.100000000000001" customHeight="1">
      <c r="A912" s="14">
        <v>901</v>
      </c>
      <c r="B912" s="5" t="s">
        <v>1456</v>
      </c>
      <c r="C912" s="3" t="s">
        <v>1803</v>
      </c>
      <c r="D912" s="3" t="s">
        <v>1457</v>
      </c>
      <c r="E912" s="3" t="s">
        <v>1458</v>
      </c>
      <c r="F912" s="5" t="s">
        <v>4036</v>
      </c>
      <c r="G912" s="3" t="s">
        <v>1459</v>
      </c>
      <c r="H912" s="6" t="s">
        <v>1460</v>
      </c>
      <c r="I912" s="3" t="s">
        <v>1461</v>
      </c>
      <c r="J912" s="5" t="s">
        <v>4780</v>
      </c>
      <c r="K912" s="3" t="s">
        <v>5887</v>
      </c>
      <c r="L912" s="3" t="s">
        <v>1462</v>
      </c>
      <c r="M912" s="5">
        <v>2</v>
      </c>
      <c r="N912" s="21">
        <v>536.25890000000004</v>
      </c>
      <c r="O912" s="35" t="s">
        <v>4854</v>
      </c>
      <c r="P912" s="36" t="str">
        <f>HYPERLINK("http://ms.phosphosite.org:5080/cgi-bin/plot-msms.cgi?MassType=1&amp;NumAxis=1&amp;Mod2=170&amp;Pep=EKYDYVGR&amp;Dta=/var/www/html/dta/S01/10559.3924.2.dta&amp;Global_Mod=CS57.0215", "3924")</f>
        <v>3924</v>
      </c>
      <c r="Q912" s="35" t="s">
        <v>4854</v>
      </c>
      <c r="R912" s="35" t="s">
        <v>4854</v>
      </c>
      <c r="S912" s="35" t="s">
        <v>4854</v>
      </c>
      <c r="T912" s="35" t="s">
        <v>4854</v>
      </c>
      <c r="U912" s="35" t="s">
        <v>4854</v>
      </c>
      <c r="V912" s="35" t="s">
        <v>4854</v>
      </c>
      <c r="W912" s="3" t="s">
        <v>4854</v>
      </c>
      <c r="X912" s="3" t="s">
        <v>4854</v>
      </c>
      <c r="Y912" s="3" t="s">
        <v>4854</v>
      </c>
      <c r="Z912" s="3" t="s">
        <v>4854</v>
      </c>
      <c r="AA912" s="3" t="s">
        <v>4854</v>
      </c>
      <c r="AB912" s="3" t="s">
        <v>4854</v>
      </c>
      <c r="AC912" s="3" t="s">
        <v>4854</v>
      </c>
      <c r="AD912" s="3" t="s">
        <v>4854</v>
      </c>
      <c r="AE912" s="99" t="s">
        <v>4854</v>
      </c>
      <c r="AF912" s="90">
        <v>1.6459999999999999</v>
      </c>
      <c r="AG912" s="99" t="s">
        <v>4854</v>
      </c>
      <c r="AH912" s="99" t="s">
        <v>4854</v>
      </c>
      <c r="AI912" s="99" t="s">
        <v>4854</v>
      </c>
      <c r="AJ912" s="99" t="s">
        <v>4854</v>
      </c>
      <c r="AK912" s="99" t="s">
        <v>4854</v>
      </c>
      <c r="AL912" s="99" t="s">
        <v>4854</v>
      </c>
      <c r="AM912" s="102" t="s">
        <v>4854</v>
      </c>
      <c r="AN912" s="21">
        <v>-0.64</v>
      </c>
      <c r="AO912" s="102" t="s">
        <v>4854</v>
      </c>
      <c r="AP912" s="102" t="s">
        <v>4854</v>
      </c>
      <c r="AQ912" s="102" t="s">
        <v>4854</v>
      </c>
      <c r="AR912" s="102" t="s">
        <v>4854</v>
      </c>
      <c r="AS912" s="102" t="s">
        <v>4854</v>
      </c>
      <c r="AT912" s="102" t="s">
        <v>4854</v>
      </c>
      <c r="AU912" s="102" t="s">
        <v>4854</v>
      </c>
      <c r="AV912" s="21">
        <v>5.6000000000000001E-2</v>
      </c>
      <c r="AW912" s="102" t="s">
        <v>4854</v>
      </c>
      <c r="AX912" s="102" t="s">
        <v>4854</v>
      </c>
      <c r="AY912" s="102" t="s">
        <v>4854</v>
      </c>
      <c r="AZ912" s="102" t="s">
        <v>4854</v>
      </c>
      <c r="BA912" s="102" t="s">
        <v>4854</v>
      </c>
      <c r="BB912" s="102" t="s">
        <v>4854</v>
      </c>
      <c r="BC912" s="3" t="s">
        <v>4854</v>
      </c>
      <c r="BD912" s="5">
        <v>3</v>
      </c>
      <c r="BE912" s="3" t="s">
        <v>4854</v>
      </c>
      <c r="BF912" s="3" t="s">
        <v>4854</v>
      </c>
      <c r="BG912" s="3" t="s">
        <v>4854</v>
      </c>
      <c r="BH912" s="3" t="s">
        <v>4854</v>
      </c>
      <c r="BI912" s="3" t="s">
        <v>4854</v>
      </c>
      <c r="BJ912" s="3" t="s">
        <v>4854</v>
      </c>
      <c r="BK912" s="99" t="s">
        <v>4854</v>
      </c>
      <c r="BL912" s="90">
        <v>0.81499999999999995</v>
      </c>
      <c r="BM912" s="99" t="s">
        <v>4854</v>
      </c>
      <c r="BN912" s="99" t="s">
        <v>4854</v>
      </c>
      <c r="BO912" s="99" t="s">
        <v>4854</v>
      </c>
      <c r="BP912" s="99" t="s">
        <v>4854</v>
      </c>
      <c r="BQ912" s="99" t="s">
        <v>4854</v>
      </c>
      <c r="BR912" s="99" t="s">
        <v>4854</v>
      </c>
      <c r="BS912" s="5" t="s">
        <v>4857</v>
      </c>
    </row>
    <row r="913" spans="1:71" s="30" customFormat="1" ht="17.100000000000001" customHeight="1">
      <c r="A913" s="10">
        <v>902</v>
      </c>
      <c r="B913" s="10" t="s">
        <v>1463</v>
      </c>
      <c r="C913" s="4" t="s">
        <v>1803</v>
      </c>
      <c r="D913" s="4" t="s">
        <v>1464</v>
      </c>
      <c r="E913" s="4" t="s">
        <v>1465</v>
      </c>
      <c r="F913" s="10" t="s">
        <v>1466</v>
      </c>
      <c r="G913" s="4" t="s">
        <v>1467</v>
      </c>
      <c r="H913" s="7" t="s">
        <v>1468</v>
      </c>
      <c r="I913" s="4" t="s">
        <v>1469</v>
      </c>
      <c r="J913" s="10" t="s">
        <v>4471</v>
      </c>
      <c r="K913" s="4" t="s">
        <v>5888</v>
      </c>
      <c r="L913" s="4" t="s">
        <v>1470</v>
      </c>
      <c r="M913" s="10">
        <v>4</v>
      </c>
      <c r="N913" s="95">
        <v>803.39970000000005</v>
      </c>
      <c r="O913" s="38" t="s">
        <v>4854</v>
      </c>
      <c r="P913" s="37" t="str">
        <f>HYPERLINK("http://ms.phosphosite.org:5080/cgi-bin/plot-msms.cgi?MassType=1&amp;NumAxis=1&amp;Mod3=160&amp;Mod4=170&amp;Mod10=160&amp;Mod19=170&amp;Pep=SLCKKTNQSCELVIDSTEKVNPSYIGR&amp;Dta=/var/www/html/dta/S01/10559.12306.4.dta&amp;Global_Mod=CS57.0215", "12306")</f>
        <v>12306</v>
      </c>
      <c r="Q913" s="38" t="s">
        <v>4854</v>
      </c>
      <c r="R913" s="38" t="s">
        <v>4854</v>
      </c>
      <c r="S913" s="38" t="s">
        <v>4854</v>
      </c>
      <c r="T913" s="38" t="s">
        <v>4854</v>
      </c>
      <c r="U913" s="38" t="s">
        <v>4854</v>
      </c>
      <c r="V913" s="38" t="s">
        <v>4854</v>
      </c>
      <c r="W913" s="4" t="s">
        <v>4854</v>
      </c>
      <c r="X913" s="4" t="s">
        <v>4854</v>
      </c>
      <c r="Y913" s="4" t="s">
        <v>4854</v>
      </c>
      <c r="Z913" s="4" t="s">
        <v>4854</v>
      </c>
      <c r="AA913" s="4" t="s">
        <v>4854</v>
      </c>
      <c r="AB913" s="4" t="s">
        <v>4854</v>
      </c>
      <c r="AC913" s="4" t="s">
        <v>4854</v>
      </c>
      <c r="AD913" s="4" t="s">
        <v>4854</v>
      </c>
      <c r="AE913" s="100" t="s">
        <v>4854</v>
      </c>
      <c r="AF913" s="91">
        <v>2.8159999999999998</v>
      </c>
      <c r="AG913" s="100" t="s">
        <v>4854</v>
      </c>
      <c r="AH913" s="100" t="s">
        <v>4854</v>
      </c>
      <c r="AI913" s="100" t="s">
        <v>4854</v>
      </c>
      <c r="AJ913" s="100" t="s">
        <v>4854</v>
      </c>
      <c r="AK913" s="100" t="s">
        <v>4854</v>
      </c>
      <c r="AL913" s="100" t="s">
        <v>4854</v>
      </c>
      <c r="AM913" s="103" t="s">
        <v>4854</v>
      </c>
      <c r="AN913" s="95">
        <v>2.4967000000000001</v>
      </c>
      <c r="AO913" s="103" t="s">
        <v>4854</v>
      </c>
      <c r="AP913" s="103" t="s">
        <v>4854</v>
      </c>
      <c r="AQ913" s="103" t="s">
        <v>4854</v>
      </c>
      <c r="AR913" s="103" t="s">
        <v>4854</v>
      </c>
      <c r="AS913" s="103" t="s">
        <v>4854</v>
      </c>
      <c r="AT913" s="103" t="s">
        <v>4854</v>
      </c>
      <c r="AU913" s="103" t="s">
        <v>4854</v>
      </c>
      <c r="AV913" s="95">
        <v>7.5999999999999998E-2</v>
      </c>
      <c r="AW913" s="103" t="s">
        <v>4854</v>
      </c>
      <c r="AX913" s="103" t="s">
        <v>4854</v>
      </c>
      <c r="AY913" s="103" t="s">
        <v>4854</v>
      </c>
      <c r="AZ913" s="103" t="s">
        <v>4854</v>
      </c>
      <c r="BA913" s="103" t="s">
        <v>4854</v>
      </c>
      <c r="BB913" s="103" t="s">
        <v>4854</v>
      </c>
      <c r="BC913" s="4" t="s">
        <v>4854</v>
      </c>
      <c r="BD913" s="10">
        <v>5</v>
      </c>
      <c r="BE913" s="4" t="s">
        <v>4854</v>
      </c>
      <c r="BF913" s="4" t="s">
        <v>4854</v>
      </c>
      <c r="BG913" s="4" t="s">
        <v>4854</v>
      </c>
      <c r="BH913" s="4" t="s">
        <v>4854</v>
      </c>
      <c r="BI913" s="4" t="s">
        <v>4854</v>
      </c>
      <c r="BJ913" s="4" t="s">
        <v>4854</v>
      </c>
      <c r="BK913" s="100" t="s">
        <v>4854</v>
      </c>
      <c r="BL913" s="91">
        <v>0.92100000000000004</v>
      </c>
      <c r="BM913" s="100" t="s">
        <v>4854</v>
      </c>
      <c r="BN913" s="100" t="s">
        <v>4854</v>
      </c>
      <c r="BO913" s="100" t="s">
        <v>4854</v>
      </c>
      <c r="BP913" s="100" t="s">
        <v>4854</v>
      </c>
      <c r="BQ913" s="100" t="s">
        <v>4854</v>
      </c>
      <c r="BR913" s="100" t="s">
        <v>4854</v>
      </c>
      <c r="BS913" s="10" t="s">
        <v>4857</v>
      </c>
    </row>
    <row r="914" spans="1:71" s="30" customFormat="1" ht="17.100000000000001" customHeight="1">
      <c r="A914" s="14">
        <v>903</v>
      </c>
      <c r="B914" s="5" t="s">
        <v>1471</v>
      </c>
      <c r="C914" s="3" t="s">
        <v>1803</v>
      </c>
      <c r="D914" s="3" t="s">
        <v>1472</v>
      </c>
      <c r="E914" s="3" t="s">
        <v>1473</v>
      </c>
      <c r="F914" s="5" t="s">
        <v>5307</v>
      </c>
      <c r="G914" s="3" t="s">
        <v>1474</v>
      </c>
      <c r="H914" s="6" t="s">
        <v>1475</v>
      </c>
      <c r="I914" s="3" t="s">
        <v>1476</v>
      </c>
      <c r="J914" s="5" t="s">
        <v>4765</v>
      </c>
      <c r="K914" s="3" t="s">
        <v>5889</v>
      </c>
      <c r="L914" s="3" t="s">
        <v>1477</v>
      </c>
      <c r="M914" s="5">
        <v>4</v>
      </c>
      <c r="N914" s="21">
        <v>577.33900000000006</v>
      </c>
      <c r="O914" s="35" t="s">
        <v>4854</v>
      </c>
      <c r="P914" s="35" t="s">
        <v>4854</v>
      </c>
      <c r="Q914" s="35" t="s">
        <v>4854</v>
      </c>
      <c r="R914" s="35" t="s">
        <v>4854</v>
      </c>
      <c r="S914" s="35" t="s">
        <v>4854</v>
      </c>
      <c r="T914" s="36" t="str">
        <f>HYPERLINK("http://ms.phosphosite.org:5080/cgi-bin/plot-msms.cgi?MassType=1&amp;NumAxis=1&amp;Mod9=170&amp;Pep=RIIRPIFLKHESQVDSVVK&amp;Dta=/var/www/html/dta/S01/10563.6799.4.dta&amp;Global_Mod=CS57.0215", "6799")</f>
        <v>6799</v>
      </c>
      <c r="U914" s="35" t="s">
        <v>4854</v>
      </c>
      <c r="V914" s="35" t="s">
        <v>4854</v>
      </c>
      <c r="W914" s="3" t="s">
        <v>4854</v>
      </c>
      <c r="X914" s="3" t="s">
        <v>4854</v>
      </c>
      <c r="Y914" s="3" t="s">
        <v>4854</v>
      </c>
      <c r="Z914" s="3" t="s">
        <v>4854</v>
      </c>
      <c r="AA914" s="3" t="s">
        <v>4854</v>
      </c>
      <c r="AB914" s="5">
        <v>6794</v>
      </c>
      <c r="AC914" s="3" t="s">
        <v>4854</v>
      </c>
      <c r="AD914" s="3" t="s">
        <v>4854</v>
      </c>
      <c r="AE914" s="99" t="s">
        <v>4854</v>
      </c>
      <c r="AF914" s="99" t="s">
        <v>4854</v>
      </c>
      <c r="AG914" s="99" t="s">
        <v>4854</v>
      </c>
      <c r="AH914" s="99" t="s">
        <v>4854</v>
      </c>
      <c r="AI914" s="99" t="s">
        <v>4854</v>
      </c>
      <c r="AJ914" s="90">
        <v>2.8969999999999998</v>
      </c>
      <c r="AK914" s="99" t="s">
        <v>4854</v>
      </c>
      <c r="AL914" s="99" t="s">
        <v>4854</v>
      </c>
      <c r="AM914" s="102" t="s">
        <v>4854</v>
      </c>
      <c r="AN914" s="102" t="s">
        <v>4854</v>
      </c>
      <c r="AO914" s="102" t="s">
        <v>4854</v>
      </c>
      <c r="AP914" s="102" t="s">
        <v>4854</v>
      </c>
      <c r="AQ914" s="102" t="s">
        <v>4854</v>
      </c>
      <c r="AR914" s="21">
        <v>0.2286</v>
      </c>
      <c r="AS914" s="102" t="s">
        <v>4854</v>
      </c>
      <c r="AT914" s="102" t="s">
        <v>4854</v>
      </c>
      <c r="AU914" s="102" t="s">
        <v>4854</v>
      </c>
      <c r="AV914" s="102" t="s">
        <v>4854</v>
      </c>
      <c r="AW914" s="102" t="s">
        <v>4854</v>
      </c>
      <c r="AX914" s="102" t="s">
        <v>4854</v>
      </c>
      <c r="AY914" s="102" t="s">
        <v>4854</v>
      </c>
      <c r="AZ914" s="21">
        <v>0.11700000000000001</v>
      </c>
      <c r="BA914" s="102" t="s">
        <v>4854</v>
      </c>
      <c r="BB914" s="102" t="s">
        <v>4854</v>
      </c>
      <c r="BC914" s="3" t="s">
        <v>4854</v>
      </c>
      <c r="BD914" s="3" t="s">
        <v>4854</v>
      </c>
      <c r="BE914" s="3" t="s">
        <v>4854</v>
      </c>
      <c r="BF914" s="3" t="s">
        <v>4854</v>
      </c>
      <c r="BG914" s="3" t="s">
        <v>4854</v>
      </c>
      <c r="BH914" s="5">
        <v>7</v>
      </c>
      <c r="BI914" s="3" t="s">
        <v>4854</v>
      </c>
      <c r="BJ914" s="3" t="s">
        <v>4854</v>
      </c>
      <c r="BK914" s="99" t="s">
        <v>4854</v>
      </c>
      <c r="BL914" s="99" t="s">
        <v>4854</v>
      </c>
      <c r="BM914" s="99" t="s">
        <v>4854</v>
      </c>
      <c r="BN914" s="99" t="s">
        <v>4854</v>
      </c>
      <c r="BO914" s="99" t="s">
        <v>4854</v>
      </c>
      <c r="BP914" s="90">
        <v>0.99099999999999999</v>
      </c>
      <c r="BQ914" s="99" t="s">
        <v>4854</v>
      </c>
      <c r="BR914" s="99" t="s">
        <v>4854</v>
      </c>
      <c r="BS914" s="5" t="s">
        <v>4857</v>
      </c>
    </row>
    <row r="915" spans="1:71" s="30" customFormat="1" ht="17.100000000000001" customHeight="1">
      <c r="A915" s="10">
        <v>904</v>
      </c>
      <c r="B915" s="10" t="s">
        <v>1478</v>
      </c>
      <c r="C915" s="4" t="s">
        <v>1803</v>
      </c>
      <c r="D915" s="4" t="s">
        <v>1479</v>
      </c>
      <c r="E915" s="4" t="s">
        <v>1480</v>
      </c>
      <c r="F915" s="10" t="s">
        <v>4970</v>
      </c>
      <c r="G915" s="4" t="s">
        <v>1481</v>
      </c>
      <c r="H915" s="7" t="s">
        <v>1482</v>
      </c>
      <c r="I915" s="4" t="s">
        <v>1483</v>
      </c>
      <c r="J915" s="10" t="s">
        <v>4530</v>
      </c>
      <c r="K915" s="4" t="s">
        <v>5890</v>
      </c>
      <c r="L915" s="4" t="s">
        <v>1484</v>
      </c>
      <c r="M915" s="10">
        <v>3</v>
      </c>
      <c r="N915" s="95">
        <v>612.97569999999996</v>
      </c>
      <c r="O915" s="38" t="s">
        <v>4854</v>
      </c>
      <c r="P915" s="38" t="s">
        <v>4854</v>
      </c>
      <c r="Q915" s="38" t="s">
        <v>4854</v>
      </c>
      <c r="R915" s="37" t="str">
        <f>HYPERLINK("http://ms.phosphosite.org:5080/cgi-bin/plot-msms.cgi?MassType=1&amp;NumAxis=1&amp;Mod11=170&amp;Pep=GVTSISADTHKYGYAPK&amp;Dta=/var/www/html/dta/S01/10561.5323.3.dta&amp;Global_Mod=CS57.0215", "5323")</f>
        <v>5323</v>
      </c>
      <c r="S915" s="38" t="s">
        <v>4854</v>
      </c>
      <c r="T915" s="38" t="s">
        <v>4854</v>
      </c>
      <c r="U915" s="38" t="s">
        <v>4854</v>
      </c>
      <c r="V915" s="38" t="s">
        <v>4854</v>
      </c>
      <c r="W915" s="4" t="s">
        <v>4854</v>
      </c>
      <c r="X915" s="4" t="s">
        <v>4854</v>
      </c>
      <c r="Y915" s="4" t="s">
        <v>4854</v>
      </c>
      <c r="Z915" s="4" t="s">
        <v>4854</v>
      </c>
      <c r="AA915" s="4" t="s">
        <v>4854</v>
      </c>
      <c r="AB915" s="4" t="s">
        <v>4854</v>
      </c>
      <c r="AC915" s="4" t="s">
        <v>4854</v>
      </c>
      <c r="AD915" s="4" t="s">
        <v>4854</v>
      </c>
      <c r="AE915" s="100" t="s">
        <v>4854</v>
      </c>
      <c r="AF915" s="100" t="s">
        <v>4854</v>
      </c>
      <c r="AG915" s="100" t="s">
        <v>4854</v>
      </c>
      <c r="AH915" s="91">
        <v>2.0950000000000002</v>
      </c>
      <c r="AI915" s="100" t="s">
        <v>4854</v>
      </c>
      <c r="AJ915" s="100" t="s">
        <v>4854</v>
      </c>
      <c r="AK915" s="100" t="s">
        <v>4854</v>
      </c>
      <c r="AL915" s="100" t="s">
        <v>4854</v>
      </c>
      <c r="AM915" s="103" t="s">
        <v>4854</v>
      </c>
      <c r="AN915" s="103" t="s">
        <v>4854</v>
      </c>
      <c r="AO915" s="103" t="s">
        <v>4854</v>
      </c>
      <c r="AP915" s="95">
        <v>0.51259999999999994</v>
      </c>
      <c r="AQ915" s="103" t="s">
        <v>4854</v>
      </c>
      <c r="AR915" s="103" t="s">
        <v>4854</v>
      </c>
      <c r="AS915" s="103" t="s">
        <v>4854</v>
      </c>
      <c r="AT915" s="103" t="s">
        <v>4854</v>
      </c>
      <c r="AU915" s="103" t="s">
        <v>4854</v>
      </c>
      <c r="AV915" s="103" t="s">
        <v>4854</v>
      </c>
      <c r="AW915" s="103" t="s">
        <v>4854</v>
      </c>
      <c r="AX915" s="95">
        <v>9.2999999999999999E-2</v>
      </c>
      <c r="AY915" s="103" t="s">
        <v>4854</v>
      </c>
      <c r="AZ915" s="103" t="s">
        <v>4854</v>
      </c>
      <c r="BA915" s="103" t="s">
        <v>4854</v>
      </c>
      <c r="BB915" s="103" t="s">
        <v>4854</v>
      </c>
      <c r="BC915" s="4" t="s">
        <v>4854</v>
      </c>
      <c r="BD915" s="4" t="s">
        <v>4854</v>
      </c>
      <c r="BE915" s="4" t="s">
        <v>4854</v>
      </c>
      <c r="BF915" s="10">
        <v>897</v>
      </c>
      <c r="BG915" s="4" t="s">
        <v>4854</v>
      </c>
      <c r="BH915" s="4" t="s">
        <v>4854</v>
      </c>
      <c r="BI915" s="4" t="s">
        <v>4854</v>
      </c>
      <c r="BJ915" s="4" t="s">
        <v>4854</v>
      </c>
      <c r="BK915" s="100" t="s">
        <v>4854</v>
      </c>
      <c r="BL915" s="100" t="s">
        <v>4854</v>
      </c>
      <c r="BM915" s="100" t="s">
        <v>4854</v>
      </c>
      <c r="BN915" s="91">
        <v>0.86899999999999999</v>
      </c>
      <c r="BO915" s="100" t="s">
        <v>4854</v>
      </c>
      <c r="BP915" s="100" t="s">
        <v>4854</v>
      </c>
      <c r="BQ915" s="100" t="s">
        <v>4854</v>
      </c>
      <c r="BR915" s="100" t="s">
        <v>4854</v>
      </c>
      <c r="BS915" s="10" t="s">
        <v>4857</v>
      </c>
    </row>
    <row r="916" spans="1:71" s="30" customFormat="1" ht="17.100000000000001" customHeight="1">
      <c r="A916" s="14">
        <v>905</v>
      </c>
      <c r="B916" s="5" t="s">
        <v>1355</v>
      </c>
      <c r="C916" s="3" t="s">
        <v>1803</v>
      </c>
      <c r="D916" s="3" t="s">
        <v>1356</v>
      </c>
      <c r="E916" s="3" t="s">
        <v>1357</v>
      </c>
      <c r="F916" s="5" t="s">
        <v>4992</v>
      </c>
      <c r="G916" s="3" t="s">
        <v>1358</v>
      </c>
      <c r="H916" s="6" t="s">
        <v>1359</v>
      </c>
      <c r="I916" s="3" t="s">
        <v>1360</v>
      </c>
      <c r="J916" s="5" t="s">
        <v>4699</v>
      </c>
      <c r="K916" s="3" t="s">
        <v>5891</v>
      </c>
      <c r="L916" s="3" t="s">
        <v>1361</v>
      </c>
      <c r="M916" s="5">
        <v>2</v>
      </c>
      <c r="N916" s="21">
        <v>767.86599999999999</v>
      </c>
      <c r="O916" s="35" t="s">
        <v>4854</v>
      </c>
      <c r="P916" s="35" t="s">
        <v>4854</v>
      </c>
      <c r="Q916" s="35" t="s">
        <v>4854</v>
      </c>
      <c r="R916" s="35" t="s">
        <v>4854</v>
      </c>
      <c r="S916" s="35" t="s">
        <v>4854</v>
      </c>
      <c r="T916" s="35" t="s">
        <v>4854</v>
      </c>
      <c r="U916" s="35" t="s">
        <v>4854</v>
      </c>
      <c r="V916" s="36" t="str">
        <f>HYPERLINK("http://ms.phosphosite.org:5080/cgi-bin/plot-msms.cgi?MassType=1&amp;NumAxis=1&amp;Mod3=170&amp;Pep=MYKEEGLNAFYK&amp;Dta=/var/www/html/dta/S01/10565.9117.2.dta&amp;Global_Mod=CS57.0215", "9117")</f>
        <v>9117</v>
      </c>
      <c r="W916" s="3" t="s">
        <v>4854</v>
      </c>
      <c r="X916" s="3" t="s">
        <v>4854</v>
      </c>
      <c r="Y916" s="3" t="s">
        <v>4854</v>
      </c>
      <c r="Z916" s="3" t="s">
        <v>4854</v>
      </c>
      <c r="AA916" s="3" t="s">
        <v>4854</v>
      </c>
      <c r="AB916" s="3" t="s">
        <v>4854</v>
      </c>
      <c r="AC916" s="3" t="s">
        <v>4854</v>
      </c>
      <c r="AD916" s="3" t="s">
        <v>4854</v>
      </c>
      <c r="AE916" s="99" t="s">
        <v>4854</v>
      </c>
      <c r="AF916" s="99" t="s">
        <v>4854</v>
      </c>
      <c r="AG916" s="99" t="s">
        <v>4854</v>
      </c>
      <c r="AH916" s="99" t="s">
        <v>4854</v>
      </c>
      <c r="AI916" s="99" t="s">
        <v>4854</v>
      </c>
      <c r="AJ916" s="99" t="s">
        <v>4854</v>
      </c>
      <c r="AK916" s="99" t="s">
        <v>4854</v>
      </c>
      <c r="AL916" s="90">
        <v>2.3919999999999999</v>
      </c>
      <c r="AM916" s="102" t="s">
        <v>4854</v>
      </c>
      <c r="AN916" s="102" t="s">
        <v>4854</v>
      </c>
      <c r="AO916" s="102" t="s">
        <v>4854</v>
      </c>
      <c r="AP916" s="102" t="s">
        <v>4854</v>
      </c>
      <c r="AQ916" s="102" t="s">
        <v>4854</v>
      </c>
      <c r="AR916" s="102" t="s">
        <v>4854</v>
      </c>
      <c r="AS916" s="102" t="s">
        <v>4854</v>
      </c>
      <c r="AT916" s="21">
        <v>2.4664999999999999</v>
      </c>
      <c r="AU916" s="102" t="s">
        <v>4854</v>
      </c>
      <c r="AV916" s="102" t="s">
        <v>4854</v>
      </c>
      <c r="AW916" s="102" t="s">
        <v>4854</v>
      </c>
      <c r="AX916" s="102" t="s">
        <v>4854</v>
      </c>
      <c r="AY916" s="102" t="s">
        <v>4854</v>
      </c>
      <c r="AZ916" s="102" t="s">
        <v>4854</v>
      </c>
      <c r="BA916" s="102" t="s">
        <v>4854</v>
      </c>
      <c r="BB916" s="21">
        <v>0.18099999999999999</v>
      </c>
      <c r="BC916" s="3" t="s">
        <v>4854</v>
      </c>
      <c r="BD916" s="3" t="s">
        <v>4854</v>
      </c>
      <c r="BE916" s="3" t="s">
        <v>4854</v>
      </c>
      <c r="BF916" s="3" t="s">
        <v>4854</v>
      </c>
      <c r="BG916" s="3" t="s">
        <v>4854</v>
      </c>
      <c r="BH916" s="3" t="s">
        <v>4854</v>
      </c>
      <c r="BI916" s="3" t="s">
        <v>4854</v>
      </c>
      <c r="BJ916" s="5">
        <v>2</v>
      </c>
      <c r="BK916" s="99" t="s">
        <v>4854</v>
      </c>
      <c r="BL916" s="99" t="s">
        <v>4854</v>
      </c>
      <c r="BM916" s="99" t="s">
        <v>4854</v>
      </c>
      <c r="BN916" s="99" t="s">
        <v>4854</v>
      </c>
      <c r="BO916" s="99" t="s">
        <v>4854</v>
      </c>
      <c r="BP916" s="99" t="s">
        <v>4854</v>
      </c>
      <c r="BQ916" s="99" t="s">
        <v>4854</v>
      </c>
      <c r="BR916" s="90">
        <v>0.872</v>
      </c>
      <c r="BS916" s="5" t="s">
        <v>4857</v>
      </c>
    </row>
    <row r="917" spans="1:71" s="30" customFormat="1" ht="17.100000000000001" customHeight="1">
      <c r="A917" s="14">
        <v>906</v>
      </c>
      <c r="B917" s="5" t="s">
        <v>1362</v>
      </c>
      <c r="C917" s="3" t="s">
        <v>1803</v>
      </c>
      <c r="D917" s="3" t="s">
        <v>1356</v>
      </c>
      <c r="E917" s="3" t="s">
        <v>1357</v>
      </c>
      <c r="F917" s="5" t="s">
        <v>4992</v>
      </c>
      <c r="G917" s="3" t="s">
        <v>1358</v>
      </c>
      <c r="H917" s="6" t="s">
        <v>1359</v>
      </c>
      <c r="I917" s="3" t="s">
        <v>1360</v>
      </c>
      <c r="J917" s="5" t="s">
        <v>4699</v>
      </c>
      <c r="K917" s="3" t="s">
        <v>5891</v>
      </c>
      <c r="L917" s="3" t="s">
        <v>1363</v>
      </c>
      <c r="M917" s="5">
        <v>2</v>
      </c>
      <c r="N917" s="21">
        <v>775.86339999999996</v>
      </c>
      <c r="O917" s="36" t="str">
        <f>HYPERLINK("http://ms.phosphosite.org:5080/cgi-bin/plot-msms.cgi?MassType=1&amp;NumAxis=1&amp;Mod1=147&amp;Mod3=170&amp;Pep=MYKEEGLNAFYK&amp;Dta=/var/www/html/dta/S01/10558.7859.2.dta&amp;Global_Mod=CS57.0215", "7859")</f>
        <v>7859</v>
      </c>
      <c r="P917" s="36" t="str">
        <f>HYPERLINK("http://ms.phosphosite.org:5080/cgi-bin/plot-msms.cgi?MassType=1&amp;NumAxis=1&amp;Mod1=147&amp;Mod3=170&amp;Pep=MYKEEGLNAFYK&amp;Dta=/var/www/html/dta/S01/10559.7793.2.dta&amp;Global_Mod=CS57.0215", "7793")</f>
        <v>7793</v>
      </c>
      <c r="Q917" s="36" t="str">
        <f>HYPERLINK("http://ms.phosphosite.org:5080/cgi-bin/plot-msms.cgi?MassType=1&amp;NumAxis=1&amp;Mod1=147&amp;Mod3=170&amp;Pep=MYKEEGLNAFYK&amp;Dta=/var/www/html/dta/S01/10560.7779.2.dta&amp;Global_Mod=CS57.0215", "7779")</f>
        <v>7779</v>
      </c>
      <c r="R917" s="36" t="str">
        <f>HYPERLINK("http://ms.phosphosite.org:5080/cgi-bin/plot-msms.cgi?MassType=1&amp;NumAxis=1&amp;Mod1=147&amp;Mod3=170&amp;Pep=MYKEEGLNAFYK&amp;Dta=/var/www/html/dta/S01/10561.7831.2.dta&amp;Global_Mod=CS57.0215", "7831")</f>
        <v>7831</v>
      </c>
      <c r="S917" s="36" t="str">
        <f>HYPERLINK("http://ms.phosphosite.org:5080/cgi-bin/plot-msms.cgi?MassType=1&amp;NumAxis=1&amp;Mod1=147&amp;Mod3=170&amp;Pep=MYKEEGLNAFYK&amp;Dta=/var/www/html/dta/S01/10562.7936.2.dta&amp;Global_Mod=CS57.0215", "7936")</f>
        <v>7936</v>
      </c>
      <c r="T917" s="36" t="str">
        <f>HYPERLINK("http://ms.phosphosite.org:5080/cgi-bin/plot-msms.cgi?MassType=1&amp;NumAxis=1&amp;Mod1=147&amp;Mod3=170&amp;Pep=MYKEEGLNAFYK&amp;Dta=/var/www/html/dta/S01/10563.7914.2.dta&amp;Global_Mod=CS57.0215", "7914")</f>
        <v>7914</v>
      </c>
      <c r="U917" s="36" t="str">
        <f>HYPERLINK("http://ms.phosphosite.org:5080/cgi-bin/plot-msms.cgi?MassType=1&amp;NumAxis=1&amp;Mod1=147&amp;Mod3=170&amp;Pep=MYKEEGLNAFYK&amp;Dta=/var/www/html/dta/S01/10564.8358.2.dta&amp;Global_Mod=CS57.0215", "8358")</f>
        <v>8358</v>
      </c>
      <c r="V917" s="36" t="str">
        <f>HYPERLINK("http://ms.phosphosite.org:5080/cgi-bin/plot-msms.cgi?MassType=1&amp;NumAxis=1&amp;Mod1=147&amp;Mod3=170&amp;Pep=MYKEEGLNAFYK&amp;Dta=/var/www/html/dta/S01/10565.8392.2.dta&amp;Global_Mod=CS57.0215", "8392")</f>
        <v>8392</v>
      </c>
      <c r="W917" s="5">
        <v>7886</v>
      </c>
      <c r="X917" s="5">
        <v>7801</v>
      </c>
      <c r="Y917" s="5">
        <v>7785</v>
      </c>
      <c r="Z917" s="5">
        <v>7856</v>
      </c>
      <c r="AA917" s="5">
        <v>7951</v>
      </c>
      <c r="AB917" s="5">
        <v>7927</v>
      </c>
      <c r="AC917" s="5">
        <v>8366</v>
      </c>
      <c r="AD917" s="5">
        <v>8396</v>
      </c>
      <c r="AE917" s="90">
        <v>3.2730000000000001</v>
      </c>
      <c r="AF917" s="90">
        <v>4.093</v>
      </c>
      <c r="AG917" s="90">
        <v>4.2460000000000004</v>
      </c>
      <c r="AH917" s="90">
        <v>4.0880000000000001</v>
      </c>
      <c r="AI917" s="90">
        <v>3.4670000000000001</v>
      </c>
      <c r="AJ917" s="90">
        <v>3.6930000000000001</v>
      </c>
      <c r="AK917" s="90">
        <v>3.67</v>
      </c>
      <c r="AL917" s="90">
        <v>3.8239999999999998</v>
      </c>
      <c r="AM917" s="21">
        <v>0.4874</v>
      </c>
      <c r="AN917" s="21">
        <v>0.64729999999999999</v>
      </c>
      <c r="AO917" s="21">
        <v>0.8246</v>
      </c>
      <c r="AP917" s="21">
        <v>0.56610000000000005</v>
      </c>
      <c r="AQ917" s="21">
        <v>0.55700000000000005</v>
      </c>
      <c r="AR917" s="21">
        <v>0.65380000000000005</v>
      </c>
      <c r="AS917" s="21">
        <v>0.53569999999999995</v>
      </c>
      <c r="AT917" s="21">
        <v>0.2172</v>
      </c>
      <c r="AU917" s="21">
        <v>0.46800000000000003</v>
      </c>
      <c r="AV917" s="21">
        <v>0.45</v>
      </c>
      <c r="AW917" s="21">
        <v>0.45200000000000001</v>
      </c>
      <c r="AX917" s="21">
        <v>0.46200000000000002</v>
      </c>
      <c r="AY917" s="21">
        <v>0.437</v>
      </c>
      <c r="AZ917" s="21">
        <v>0.47899999999999998</v>
      </c>
      <c r="BA917" s="21">
        <v>0.50700000000000001</v>
      </c>
      <c r="BB917" s="21">
        <v>0.443</v>
      </c>
      <c r="BC917" s="5">
        <v>1</v>
      </c>
      <c r="BD917" s="5">
        <v>1</v>
      </c>
      <c r="BE917" s="5">
        <v>1</v>
      </c>
      <c r="BF917" s="5">
        <v>1</v>
      </c>
      <c r="BG917" s="5">
        <v>1</v>
      </c>
      <c r="BH917" s="5">
        <v>1</v>
      </c>
      <c r="BI917" s="5">
        <v>1</v>
      </c>
      <c r="BJ917" s="5">
        <v>1</v>
      </c>
      <c r="BK917" s="90">
        <v>1</v>
      </c>
      <c r="BL917" s="90">
        <v>1</v>
      </c>
      <c r="BM917" s="90">
        <v>1</v>
      </c>
      <c r="BN917" s="90">
        <v>1</v>
      </c>
      <c r="BO917" s="90">
        <v>1</v>
      </c>
      <c r="BP917" s="90">
        <v>1</v>
      </c>
      <c r="BQ917" s="90">
        <v>1</v>
      </c>
      <c r="BR917" s="90">
        <v>1</v>
      </c>
      <c r="BS917" s="5" t="s">
        <v>4857</v>
      </c>
    </row>
    <row r="918" spans="1:71" s="30" customFormat="1" ht="17.100000000000001" customHeight="1">
      <c r="A918" s="14">
        <v>907</v>
      </c>
      <c r="B918" s="5" t="s">
        <v>1364</v>
      </c>
      <c r="C918" s="3" t="s">
        <v>1803</v>
      </c>
      <c r="D918" s="3" t="s">
        <v>1356</v>
      </c>
      <c r="E918" s="3" t="s">
        <v>1357</v>
      </c>
      <c r="F918" s="5" t="s">
        <v>4992</v>
      </c>
      <c r="G918" s="3" t="s">
        <v>1358</v>
      </c>
      <c r="H918" s="6" t="s">
        <v>1359</v>
      </c>
      <c r="I918" s="3" t="s">
        <v>1360</v>
      </c>
      <c r="J918" s="5" t="s">
        <v>4699</v>
      </c>
      <c r="K918" s="3" t="s">
        <v>5891</v>
      </c>
      <c r="L918" s="3" t="s">
        <v>1363</v>
      </c>
      <c r="M918" s="5">
        <v>2</v>
      </c>
      <c r="N918" s="21">
        <v>775.86339999999996</v>
      </c>
      <c r="O918" s="35" t="s">
        <v>4854</v>
      </c>
      <c r="P918" s="35" t="s">
        <v>4854</v>
      </c>
      <c r="Q918" s="36" t="str">
        <f>HYPERLINK("http://ms.phosphosite.org:5080/cgi-bin/plot-msms.cgi?MassType=1&amp;NumAxis=1&amp;Mod1=147&amp;Mod3=170&amp;Pep=MYKEEGLNAFYK&amp;Dta=/var/www/html/dta/S01/10560.7787.2.dta&amp;Global_Mod=CS57.0215", "7787")</f>
        <v>7787</v>
      </c>
      <c r="R918" s="35" t="s">
        <v>4854</v>
      </c>
      <c r="S918" s="35" t="s">
        <v>4854</v>
      </c>
      <c r="T918" s="35" t="s">
        <v>4854</v>
      </c>
      <c r="U918" s="35" t="s">
        <v>4854</v>
      </c>
      <c r="V918" s="35" t="s">
        <v>4854</v>
      </c>
      <c r="W918" s="3" t="s">
        <v>4854</v>
      </c>
      <c r="X918" s="3" t="s">
        <v>4854</v>
      </c>
      <c r="Y918" s="5">
        <v>7785</v>
      </c>
      <c r="Z918" s="3" t="s">
        <v>4854</v>
      </c>
      <c r="AA918" s="3" t="s">
        <v>4854</v>
      </c>
      <c r="AB918" s="3" t="s">
        <v>4854</v>
      </c>
      <c r="AC918" s="3" t="s">
        <v>4854</v>
      </c>
      <c r="AD918" s="3" t="s">
        <v>4854</v>
      </c>
      <c r="AE918" s="99" t="s">
        <v>4854</v>
      </c>
      <c r="AF918" s="99" t="s">
        <v>4854</v>
      </c>
      <c r="AG918" s="90">
        <v>4.12</v>
      </c>
      <c r="AH918" s="99" t="s">
        <v>4854</v>
      </c>
      <c r="AI918" s="99" t="s">
        <v>4854</v>
      </c>
      <c r="AJ918" s="99" t="s">
        <v>4854</v>
      </c>
      <c r="AK918" s="99" t="s">
        <v>4854</v>
      </c>
      <c r="AL918" s="99" t="s">
        <v>4854</v>
      </c>
      <c r="AM918" s="102" t="s">
        <v>4854</v>
      </c>
      <c r="AN918" s="102" t="s">
        <v>4854</v>
      </c>
      <c r="AO918" s="21">
        <v>0.83630000000000004</v>
      </c>
      <c r="AP918" s="102" t="s">
        <v>4854</v>
      </c>
      <c r="AQ918" s="102" t="s">
        <v>4854</v>
      </c>
      <c r="AR918" s="102" t="s">
        <v>4854</v>
      </c>
      <c r="AS918" s="102" t="s">
        <v>4854</v>
      </c>
      <c r="AT918" s="102" t="s">
        <v>4854</v>
      </c>
      <c r="AU918" s="102" t="s">
        <v>4854</v>
      </c>
      <c r="AV918" s="102" t="s">
        <v>4854</v>
      </c>
      <c r="AW918" s="21">
        <v>0.45</v>
      </c>
      <c r="AX918" s="102" t="s">
        <v>4854</v>
      </c>
      <c r="AY918" s="102" t="s">
        <v>4854</v>
      </c>
      <c r="AZ918" s="102" t="s">
        <v>4854</v>
      </c>
      <c r="BA918" s="102" t="s">
        <v>4854</v>
      </c>
      <c r="BB918" s="102" t="s">
        <v>4854</v>
      </c>
      <c r="BC918" s="3" t="s">
        <v>4854</v>
      </c>
      <c r="BD918" s="3" t="s">
        <v>4854</v>
      </c>
      <c r="BE918" s="5">
        <v>1</v>
      </c>
      <c r="BF918" s="3" t="s">
        <v>4854</v>
      </c>
      <c r="BG918" s="3" t="s">
        <v>4854</v>
      </c>
      <c r="BH918" s="3" t="s">
        <v>4854</v>
      </c>
      <c r="BI918" s="3" t="s">
        <v>4854</v>
      </c>
      <c r="BJ918" s="3" t="s">
        <v>4854</v>
      </c>
      <c r="BK918" s="99" t="s">
        <v>4854</v>
      </c>
      <c r="BL918" s="99" t="s">
        <v>4854</v>
      </c>
      <c r="BM918" s="90">
        <v>1</v>
      </c>
      <c r="BN918" s="99" t="s">
        <v>4854</v>
      </c>
      <c r="BO918" s="99" t="s">
        <v>4854</v>
      </c>
      <c r="BP918" s="99" t="s">
        <v>4854</v>
      </c>
      <c r="BQ918" s="99" t="s">
        <v>4854</v>
      </c>
      <c r="BR918" s="99" t="s">
        <v>4854</v>
      </c>
      <c r="BS918" s="5" t="s">
        <v>4857</v>
      </c>
    </row>
    <row r="919" spans="1:71" s="30" customFormat="1" ht="17.100000000000001" customHeight="1">
      <c r="A919" s="10">
        <v>908</v>
      </c>
      <c r="B919" s="10" t="s">
        <v>1365</v>
      </c>
      <c r="C919" s="4" t="s">
        <v>1803</v>
      </c>
      <c r="D919" s="4" t="s">
        <v>1356</v>
      </c>
      <c r="E919" s="4" t="s">
        <v>1357</v>
      </c>
      <c r="F919" s="10" t="s">
        <v>5211</v>
      </c>
      <c r="G919" s="4" t="s">
        <v>1358</v>
      </c>
      <c r="H919" s="7" t="s">
        <v>1359</v>
      </c>
      <c r="I919" s="4" t="s">
        <v>1360</v>
      </c>
      <c r="J919" s="10" t="s">
        <v>4699</v>
      </c>
      <c r="K919" s="4" t="s">
        <v>5892</v>
      </c>
      <c r="L919" s="4" t="s">
        <v>1366</v>
      </c>
      <c r="M919" s="10">
        <v>2</v>
      </c>
      <c r="N919" s="95">
        <v>697.79870000000005</v>
      </c>
      <c r="O919" s="38" t="s">
        <v>4854</v>
      </c>
      <c r="P919" s="38" t="s">
        <v>4854</v>
      </c>
      <c r="Q919" s="38" t="s">
        <v>4854</v>
      </c>
      <c r="R919" s="37" t="str">
        <f>HYPERLINK("http://ms.phosphosite.org:5080/cgi-bin/plot-msms.cgi?MassType=1&amp;NumAxis=1&amp;Mod2=147&amp;Mod3=147&amp;Mod4=170&amp;Mod7=160&amp;Pep=TMMKFACFER&amp;Dta=/var/www/html/dta/S01/10561.6370.2.dta&amp;Global_Mod=CS57.0215", "6370")</f>
        <v>6370</v>
      </c>
      <c r="S919" s="38" t="s">
        <v>4854</v>
      </c>
      <c r="T919" s="38" t="s">
        <v>4854</v>
      </c>
      <c r="U919" s="38" t="s">
        <v>4854</v>
      </c>
      <c r="V919" s="38" t="s">
        <v>4854</v>
      </c>
      <c r="W919" s="4" t="s">
        <v>4854</v>
      </c>
      <c r="X919" s="4" t="s">
        <v>4854</v>
      </c>
      <c r="Y919" s="4" t="s">
        <v>4854</v>
      </c>
      <c r="Z919" s="10">
        <v>6327</v>
      </c>
      <c r="AA919" s="4" t="s">
        <v>4854</v>
      </c>
      <c r="AB919" s="4" t="s">
        <v>4854</v>
      </c>
      <c r="AC919" s="4" t="s">
        <v>4854</v>
      </c>
      <c r="AD919" s="4" t="s">
        <v>4854</v>
      </c>
      <c r="AE919" s="100" t="s">
        <v>4854</v>
      </c>
      <c r="AF919" s="100" t="s">
        <v>4854</v>
      </c>
      <c r="AG919" s="100" t="s">
        <v>4854</v>
      </c>
      <c r="AH919" s="91">
        <v>2.5859999999999999</v>
      </c>
      <c r="AI919" s="100" t="s">
        <v>4854</v>
      </c>
      <c r="AJ919" s="100" t="s">
        <v>4854</v>
      </c>
      <c r="AK919" s="100" t="s">
        <v>4854</v>
      </c>
      <c r="AL919" s="100" t="s">
        <v>4854</v>
      </c>
      <c r="AM919" s="103" t="s">
        <v>4854</v>
      </c>
      <c r="AN919" s="103" t="s">
        <v>4854</v>
      </c>
      <c r="AO919" s="103" t="s">
        <v>4854</v>
      </c>
      <c r="AP919" s="95">
        <v>0.5595</v>
      </c>
      <c r="AQ919" s="103" t="s">
        <v>4854</v>
      </c>
      <c r="AR919" s="103" t="s">
        <v>4854</v>
      </c>
      <c r="AS919" s="103" t="s">
        <v>4854</v>
      </c>
      <c r="AT919" s="103" t="s">
        <v>4854</v>
      </c>
      <c r="AU919" s="103" t="s">
        <v>4854</v>
      </c>
      <c r="AV919" s="103" t="s">
        <v>4854</v>
      </c>
      <c r="AW919" s="103" t="s">
        <v>4854</v>
      </c>
      <c r="AX919" s="95">
        <v>0.34799999999999998</v>
      </c>
      <c r="AY919" s="103" t="s">
        <v>4854</v>
      </c>
      <c r="AZ919" s="103" t="s">
        <v>4854</v>
      </c>
      <c r="BA919" s="103" t="s">
        <v>4854</v>
      </c>
      <c r="BB919" s="103" t="s">
        <v>4854</v>
      </c>
      <c r="BC919" s="4" t="s">
        <v>4854</v>
      </c>
      <c r="BD919" s="4" t="s">
        <v>4854</v>
      </c>
      <c r="BE919" s="4" t="s">
        <v>4854</v>
      </c>
      <c r="BF919" s="10">
        <v>1</v>
      </c>
      <c r="BG919" s="4" t="s">
        <v>4854</v>
      </c>
      <c r="BH919" s="4" t="s">
        <v>4854</v>
      </c>
      <c r="BI919" s="4" t="s">
        <v>4854</v>
      </c>
      <c r="BJ919" s="4" t="s">
        <v>4854</v>
      </c>
      <c r="BK919" s="100" t="s">
        <v>4854</v>
      </c>
      <c r="BL919" s="100" t="s">
        <v>4854</v>
      </c>
      <c r="BM919" s="100" t="s">
        <v>4854</v>
      </c>
      <c r="BN919" s="91">
        <v>0.95899999999999996</v>
      </c>
      <c r="BO919" s="100" t="s">
        <v>4854</v>
      </c>
      <c r="BP919" s="100" t="s">
        <v>4854</v>
      </c>
      <c r="BQ919" s="100" t="s">
        <v>4854</v>
      </c>
      <c r="BR919" s="100" t="s">
        <v>4854</v>
      </c>
      <c r="BS919" s="10" t="s">
        <v>4857</v>
      </c>
    </row>
    <row r="920" spans="1:71" s="30" customFormat="1" ht="17.100000000000001" customHeight="1">
      <c r="A920" s="14">
        <v>909</v>
      </c>
      <c r="B920" s="5" t="s">
        <v>1367</v>
      </c>
      <c r="C920" s="3" t="s">
        <v>1803</v>
      </c>
      <c r="D920" s="3" t="s">
        <v>1356</v>
      </c>
      <c r="E920" s="3" t="s">
        <v>1357</v>
      </c>
      <c r="F920" s="5" t="s">
        <v>5007</v>
      </c>
      <c r="G920" s="3" t="s">
        <v>1358</v>
      </c>
      <c r="H920" s="6" t="s">
        <v>1359</v>
      </c>
      <c r="I920" s="3" t="s">
        <v>1360</v>
      </c>
      <c r="J920" s="5" t="s">
        <v>4699</v>
      </c>
      <c r="K920" s="3" t="s">
        <v>5893</v>
      </c>
      <c r="L920" s="3" t="s">
        <v>1368</v>
      </c>
      <c r="M920" s="5">
        <v>2</v>
      </c>
      <c r="N920" s="21">
        <v>589.79740000000004</v>
      </c>
      <c r="O920" s="36" t="str">
        <f>HYPERLINK("http://ms.phosphosite.org:5080/cgi-bin/plot-msms.cgi?MassType=1&amp;NumAxis=1&amp;Mod7=170&amp;Pep=MQVDPQKYK&amp;Dta=/var/www/html/dta/S01/10558.4329.2.dta&amp;Global_Mod=CS57.0215", "4329")</f>
        <v>4329</v>
      </c>
      <c r="P920" s="36" t="str">
        <f>HYPERLINK("http://ms.phosphosite.org:5080/cgi-bin/plot-msms.cgi?MassType=1&amp;NumAxis=1&amp;Mod7=170&amp;Pep=MQVDPQKYK&amp;Dta=/var/www/html/dta/S01/10559.4238.2.dta&amp;Global_Mod=CS57.0215", "4238")</f>
        <v>4238</v>
      </c>
      <c r="Q920" s="36" t="str">
        <f>HYPERLINK("http://ms.phosphosite.org:5080/cgi-bin/plot-msms.cgi?MassType=1&amp;NumAxis=1&amp;Mod7=170&amp;Pep=MQVDPQKYK&amp;Dta=/var/www/html/dta/S01/10560.4221.2.dta&amp;Global_Mod=CS57.0215", "4221")</f>
        <v>4221</v>
      </c>
      <c r="R920" s="36" t="str">
        <f>HYPERLINK("http://ms.phosphosite.org:5080/cgi-bin/plot-msms.cgi?MassType=1&amp;NumAxis=1&amp;Mod7=170&amp;Pep=MQVDPQKYK&amp;Dta=/var/www/html/dta/S01/10561.4242.2.dta&amp;Global_Mod=CS57.0215", "4242")</f>
        <v>4242</v>
      </c>
      <c r="S920" s="36" t="str">
        <f>HYPERLINK("http://ms.phosphosite.org:5080/cgi-bin/plot-msms.cgi?MassType=1&amp;NumAxis=1&amp;Mod7=170&amp;Pep=MQVDPQKYK&amp;Dta=/var/www/html/dta/S01/10562.4392.2.dta&amp;Global_Mod=CS57.0215", "4392")</f>
        <v>4392</v>
      </c>
      <c r="T920" s="36" t="str">
        <f>HYPERLINK("http://ms.phosphosite.org:5080/cgi-bin/plot-msms.cgi?MassType=1&amp;NumAxis=1&amp;Mod7=170&amp;Pep=MQVDPQKYK&amp;Dta=/var/www/html/dta/S01/10563.4284.2.dta&amp;Global_Mod=CS57.0215", "4284")</f>
        <v>4284</v>
      </c>
      <c r="U920" s="35" t="s">
        <v>4854</v>
      </c>
      <c r="V920" s="36" t="str">
        <f>HYPERLINK("http://ms.phosphosite.org:5080/cgi-bin/plot-msms.cgi?MassType=1&amp;NumAxis=1&amp;Mod7=170&amp;Pep=MQVDPQKYK&amp;Dta=/var/www/html/dta/S01/10565.4733.2.dta&amp;Global_Mod=CS57.0215", "4733")</f>
        <v>4733</v>
      </c>
      <c r="W920" s="5">
        <v>4322</v>
      </c>
      <c r="X920" s="5">
        <v>4899</v>
      </c>
      <c r="Y920" s="5">
        <v>4235</v>
      </c>
      <c r="Z920" s="5">
        <v>4259</v>
      </c>
      <c r="AA920" s="5">
        <v>4377</v>
      </c>
      <c r="AB920" s="5">
        <v>4947</v>
      </c>
      <c r="AC920" s="3" t="s">
        <v>4854</v>
      </c>
      <c r="AD920" s="5">
        <v>4748</v>
      </c>
      <c r="AE920" s="90">
        <v>2.177</v>
      </c>
      <c r="AF920" s="90">
        <v>2.4359999999999999</v>
      </c>
      <c r="AG920" s="90">
        <v>2.3940000000000001</v>
      </c>
      <c r="AH920" s="90">
        <v>2.4359999999999999</v>
      </c>
      <c r="AI920" s="90">
        <v>2.2730000000000001</v>
      </c>
      <c r="AJ920" s="90">
        <v>2.2919999999999998</v>
      </c>
      <c r="AK920" s="99" t="s">
        <v>4854</v>
      </c>
      <c r="AL920" s="90">
        <v>2.4359999999999999</v>
      </c>
      <c r="AM920" s="21">
        <v>0.1885</v>
      </c>
      <c r="AN920" s="21">
        <v>7.5700000000000003E-2</v>
      </c>
      <c r="AO920" s="21">
        <v>0.4889</v>
      </c>
      <c r="AP920" s="21">
        <v>0.57030000000000003</v>
      </c>
      <c r="AQ920" s="21">
        <v>0.42520000000000002</v>
      </c>
      <c r="AR920" s="21">
        <v>0.65859999999999996</v>
      </c>
      <c r="AS920" s="102" t="s">
        <v>4854</v>
      </c>
      <c r="AT920" s="21">
        <v>-7.4999999999999997E-3</v>
      </c>
      <c r="AU920" s="21">
        <v>6.2E-2</v>
      </c>
      <c r="AV920" s="21">
        <v>4.4999999999999998E-2</v>
      </c>
      <c r="AW920" s="21">
        <v>7.0000000000000007E-2</v>
      </c>
      <c r="AX920" s="21">
        <v>0.19900000000000001</v>
      </c>
      <c r="AY920" s="21">
        <v>0.154</v>
      </c>
      <c r="AZ920" s="21">
        <v>0.10299999999999999</v>
      </c>
      <c r="BA920" s="102" t="s">
        <v>4854</v>
      </c>
      <c r="BB920" s="21">
        <v>1.9E-2</v>
      </c>
      <c r="BC920" s="5">
        <v>2</v>
      </c>
      <c r="BD920" s="5">
        <v>2</v>
      </c>
      <c r="BE920" s="5">
        <v>6</v>
      </c>
      <c r="BF920" s="5">
        <v>4</v>
      </c>
      <c r="BG920" s="5">
        <v>6</v>
      </c>
      <c r="BH920" s="5">
        <v>5</v>
      </c>
      <c r="BI920" s="3" t="s">
        <v>4854</v>
      </c>
      <c r="BJ920" s="5">
        <v>4</v>
      </c>
      <c r="BK920" s="90">
        <v>0.97899999999999998</v>
      </c>
      <c r="BL920" s="90">
        <v>0.98599999999999999</v>
      </c>
      <c r="BM920" s="90">
        <v>0.98299999999999998</v>
      </c>
      <c r="BN920" s="90">
        <v>0.997</v>
      </c>
      <c r="BO920" s="90">
        <v>0.99199999999999999</v>
      </c>
      <c r="BP920" s="90">
        <v>0.98699999999999999</v>
      </c>
      <c r="BQ920" s="99" t="s">
        <v>4854</v>
      </c>
      <c r="BR920" s="90">
        <v>0.97499999999999998</v>
      </c>
      <c r="BS920" s="5" t="s">
        <v>4857</v>
      </c>
    </row>
    <row r="921" spans="1:71" s="30" customFormat="1" ht="17.100000000000001" customHeight="1">
      <c r="A921" s="10">
        <v>910</v>
      </c>
      <c r="B921" s="10" t="s">
        <v>1369</v>
      </c>
      <c r="C921" s="4" t="s">
        <v>1803</v>
      </c>
      <c r="D921" s="4" t="s">
        <v>1370</v>
      </c>
      <c r="E921" s="4" t="s">
        <v>1371</v>
      </c>
      <c r="F921" s="10" t="s">
        <v>5203</v>
      </c>
      <c r="G921" s="4" t="s">
        <v>1372</v>
      </c>
      <c r="H921" s="7" t="s">
        <v>1373</v>
      </c>
      <c r="I921" s="4" t="s">
        <v>1374</v>
      </c>
      <c r="J921" s="10" t="s">
        <v>4685</v>
      </c>
      <c r="K921" s="4" t="s">
        <v>5894</v>
      </c>
      <c r="L921" s="4" t="s">
        <v>1375</v>
      </c>
      <c r="M921" s="10">
        <v>2</v>
      </c>
      <c r="N921" s="95">
        <v>475.2713</v>
      </c>
      <c r="O921" s="38" t="s">
        <v>4854</v>
      </c>
      <c r="P921" s="37" t="str">
        <f>HYPERLINK("http://ms.phosphosite.org:5080/cgi-bin/plot-msms.cgi?MassType=1&amp;NumAxis=1&amp;Mod3=170&amp;Pep=IFKSDGLK&amp;Dta=/var/www/html/dta/S01/10559.4394.2.dta&amp;Global_Mod=CS57.0215", "4394")</f>
        <v>4394</v>
      </c>
      <c r="Q921" s="38" t="s">
        <v>4854</v>
      </c>
      <c r="R921" s="38" t="s">
        <v>4854</v>
      </c>
      <c r="S921" s="38" t="s">
        <v>4854</v>
      </c>
      <c r="T921" s="38" t="s">
        <v>4854</v>
      </c>
      <c r="U921" s="38" t="s">
        <v>4854</v>
      </c>
      <c r="V921" s="38" t="s">
        <v>4854</v>
      </c>
      <c r="W921" s="4" t="s">
        <v>4854</v>
      </c>
      <c r="X921" s="10">
        <v>4404</v>
      </c>
      <c r="Y921" s="4" t="s">
        <v>4854</v>
      </c>
      <c r="Z921" s="4" t="s">
        <v>4854</v>
      </c>
      <c r="AA921" s="4" t="s">
        <v>4854</v>
      </c>
      <c r="AB921" s="4" t="s">
        <v>4854</v>
      </c>
      <c r="AC921" s="4" t="s">
        <v>4854</v>
      </c>
      <c r="AD921" s="4" t="s">
        <v>4854</v>
      </c>
      <c r="AE921" s="100" t="s">
        <v>4854</v>
      </c>
      <c r="AF921" s="91">
        <v>2.2789999999999999</v>
      </c>
      <c r="AG921" s="100" t="s">
        <v>4854</v>
      </c>
      <c r="AH921" s="100" t="s">
        <v>4854</v>
      </c>
      <c r="AI921" s="100" t="s">
        <v>4854</v>
      </c>
      <c r="AJ921" s="100" t="s">
        <v>4854</v>
      </c>
      <c r="AK921" s="100" t="s">
        <v>4854</v>
      </c>
      <c r="AL921" s="100" t="s">
        <v>4854</v>
      </c>
      <c r="AM921" s="103" t="s">
        <v>4854</v>
      </c>
      <c r="AN921" s="95">
        <v>-0.20949999999999999</v>
      </c>
      <c r="AO921" s="103" t="s">
        <v>4854</v>
      </c>
      <c r="AP921" s="103" t="s">
        <v>4854</v>
      </c>
      <c r="AQ921" s="103" t="s">
        <v>4854</v>
      </c>
      <c r="AR921" s="103" t="s">
        <v>4854</v>
      </c>
      <c r="AS921" s="103" t="s">
        <v>4854</v>
      </c>
      <c r="AT921" s="103" t="s">
        <v>4854</v>
      </c>
      <c r="AU921" s="103" t="s">
        <v>4854</v>
      </c>
      <c r="AV921" s="95">
        <v>5.0000000000000001E-3</v>
      </c>
      <c r="AW921" s="103" t="s">
        <v>4854</v>
      </c>
      <c r="AX921" s="103" t="s">
        <v>4854</v>
      </c>
      <c r="AY921" s="103" t="s">
        <v>4854</v>
      </c>
      <c r="AZ921" s="103" t="s">
        <v>4854</v>
      </c>
      <c r="BA921" s="103" t="s">
        <v>4854</v>
      </c>
      <c r="BB921" s="103" t="s">
        <v>4854</v>
      </c>
      <c r="BC921" s="4" t="s">
        <v>4854</v>
      </c>
      <c r="BD921" s="10">
        <v>2</v>
      </c>
      <c r="BE921" s="4" t="s">
        <v>4854</v>
      </c>
      <c r="BF921" s="4" t="s">
        <v>4854</v>
      </c>
      <c r="BG921" s="4" t="s">
        <v>4854</v>
      </c>
      <c r="BH921" s="4" t="s">
        <v>4854</v>
      </c>
      <c r="BI921" s="4" t="s">
        <v>4854</v>
      </c>
      <c r="BJ921" s="4" t="s">
        <v>4854</v>
      </c>
      <c r="BK921" s="100" t="s">
        <v>4854</v>
      </c>
      <c r="BL921" s="91">
        <v>0.97299999999999998</v>
      </c>
      <c r="BM921" s="100" t="s">
        <v>4854</v>
      </c>
      <c r="BN921" s="100" t="s">
        <v>4854</v>
      </c>
      <c r="BO921" s="100" t="s">
        <v>4854</v>
      </c>
      <c r="BP921" s="100" t="s">
        <v>4854</v>
      </c>
      <c r="BQ921" s="100" t="s">
        <v>4854</v>
      </c>
      <c r="BR921" s="100" t="s">
        <v>4854</v>
      </c>
      <c r="BS921" s="10" t="s">
        <v>4857</v>
      </c>
    </row>
    <row r="922" spans="1:71" s="30" customFormat="1" ht="17.100000000000001" customHeight="1">
      <c r="A922" s="14">
        <v>911</v>
      </c>
      <c r="B922" s="5" t="s">
        <v>1376</v>
      </c>
      <c r="C922" s="3" t="s">
        <v>1803</v>
      </c>
      <c r="D922" s="3" t="s">
        <v>1370</v>
      </c>
      <c r="E922" s="3" t="s">
        <v>1371</v>
      </c>
      <c r="F922" s="5" t="s">
        <v>5161</v>
      </c>
      <c r="G922" s="3" t="s">
        <v>1372</v>
      </c>
      <c r="H922" s="6" t="s">
        <v>1373</v>
      </c>
      <c r="I922" s="3" t="s">
        <v>1374</v>
      </c>
      <c r="J922" s="5" t="s">
        <v>4685</v>
      </c>
      <c r="K922" s="3" t="s">
        <v>5895</v>
      </c>
      <c r="L922" s="3" t="s">
        <v>1377</v>
      </c>
      <c r="M922" s="5">
        <v>2</v>
      </c>
      <c r="N922" s="21">
        <v>676.84590000000003</v>
      </c>
      <c r="O922" s="36" t="str">
        <f>HYPERLINK("http://ms.phosphosite.org:5080/cgi-bin/plot-msms.cgi?MassType=1&amp;NumAxis=1&amp;Mod3=170&amp;Pep=IAKDEGANAFFK&amp;Dta=/var/www/html/dta/S01/10558.7483.2.dta&amp;Global_Mod=CS57.0215", "7483")</f>
        <v>7483</v>
      </c>
      <c r="P922" s="35" t="s">
        <v>4854</v>
      </c>
      <c r="Q922" s="35" t="s">
        <v>4854</v>
      </c>
      <c r="R922" s="35" t="s">
        <v>4854</v>
      </c>
      <c r="S922" s="35" t="s">
        <v>4854</v>
      </c>
      <c r="T922" s="35" t="s">
        <v>4854</v>
      </c>
      <c r="U922" s="36" t="str">
        <f>HYPERLINK("http://ms.phosphosite.org:5080/cgi-bin/plot-msms.cgi?MassType=1&amp;NumAxis=1&amp;Mod3=170&amp;Pep=IAKDEGANAFFK&amp;Dta=/var/www/html/dta/S01/10564.7964.2.dta&amp;Global_Mod=CS57.0215", "7964")</f>
        <v>7964</v>
      </c>
      <c r="V922" s="36" t="str">
        <f>HYPERLINK("http://ms.phosphosite.org:5080/cgi-bin/plot-msms.cgi?MassType=1&amp;NumAxis=1&amp;Mod3=170&amp;Pep=IAKDEGANAFFK&amp;Dta=/var/www/html/dta/S01/10565.8015.2.dta&amp;Global_Mod=CS57.0215", "8015")</f>
        <v>8015</v>
      </c>
      <c r="W922" s="5">
        <v>7490</v>
      </c>
      <c r="X922" s="3" t="s">
        <v>4854</v>
      </c>
      <c r="Y922" s="3" t="s">
        <v>4854</v>
      </c>
      <c r="Z922" s="3" t="s">
        <v>4854</v>
      </c>
      <c r="AA922" s="3" t="s">
        <v>4854</v>
      </c>
      <c r="AB922" s="3" t="s">
        <v>4854</v>
      </c>
      <c r="AC922" s="5">
        <v>7981</v>
      </c>
      <c r="AD922" s="5">
        <v>8033</v>
      </c>
      <c r="AE922" s="90">
        <v>3.1859999999999999</v>
      </c>
      <c r="AF922" s="99" t="s">
        <v>4854</v>
      </c>
      <c r="AG922" s="99" t="s">
        <v>4854</v>
      </c>
      <c r="AH922" s="99" t="s">
        <v>4854</v>
      </c>
      <c r="AI922" s="99" t="s">
        <v>4854</v>
      </c>
      <c r="AJ922" s="99" t="s">
        <v>4854</v>
      </c>
      <c r="AK922" s="90">
        <v>3.6379999999999999</v>
      </c>
      <c r="AL922" s="90">
        <v>3.1659999999999999</v>
      </c>
      <c r="AM922" s="21">
        <v>0.88690000000000002</v>
      </c>
      <c r="AN922" s="102" t="s">
        <v>4854</v>
      </c>
      <c r="AO922" s="102" t="s">
        <v>4854</v>
      </c>
      <c r="AP922" s="102" t="s">
        <v>4854</v>
      </c>
      <c r="AQ922" s="102" t="s">
        <v>4854</v>
      </c>
      <c r="AR922" s="102" t="s">
        <v>4854</v>
      </c>
      <c r="AS922" s="21">
        <v>0.45219999999999999</v>
      </c>
      <c r="AT922" s="21">
        <v>5.0799999999999998E-2</v>
      </c>
      <c r="AU922" s="21">
        <v>0.33900000000000002</v>
      </c>
      <c r="AV922" s="102" t="s">
        <v>4854</v>
      </c>
      <c r="AW922" s="102" t="s">
        <v>4854</v>
      </c>
      <c r="AX922" s="102" t="s">
        <v>4854</v>
      </c>
      <c r="AY922" s="102" t="s">
        <v>4854</v>
      </c>
      <c r="AZ922" s="102" t="s">
        <v>4854</v>
      </c>
      <c r="BA922" s="21">
        <v>0.45700000000000002</v>
      </c>
      <c r="BB922" s="21">
        <v>0.33100000000000002</v>
      </c>
      <c r="BC922" s="5">
        <v>1</v>
      </c>
      <c r="BD922" s="3" t="s">
        <v>4854</v>
      </c>
      <c r="BE922" s="3" t="s">
        <v>4854</v>
      </c>
      <c r="BF922" s="3" t="s">
        <v>4854</v>
      </c>
      <c r="BG922" s="3" t="s">
        <v>4854</v>
      </c>
      <c r="BH922" s="3" t="s">
        <v>4854</v>
      </c>
      <c r="BI922" s="5">
        <v>1</v>
      </c>
      <c r="BJ922" s="5">
        <v>1</v>
      </c>
      <c r="BK922" s="90">
        <v>1</v>
      </c>
      <c r="BL922" s="99" t="s">
        <v>4854</v>
      </c>
      <c r="BM922" s="99" t="s">
        <v>4854</v>
      </c>
      <c r="BN922" s="99" t="s">
        <v>4854</v>
      </c>
      <c r="BO922" s="99" t="s">
        <v>4854</v>
      </c>
      <c r="BP922" s="99" t="s">
        <v>4854</v>
      </c>
      <c r="BQ922" s="90">
        <v>1</v>
      </c>
      <c r="BR922" s="90">
        <v>1</v>
      </c>
      <c r="BS922" s="5" t="s">
        <v>4857</v>
      </c>
    </row>
    <row r="923" spans="1:71" s="30" customFormat="1" ht="17.100000000000001" customHeight="1">
      <c r="A923" s="14">
        <v>912</v>
      </c>
      <c r="B923" s="5" t="s">
        <v>1378</v>
      </c>
      <c r="C923" s="3" t="s">
        <v>1803</v>
      </c>
      <c r="D923" s="3" t="s">
        <v>1370</v>
      </c>
      <c r="E923" s="3" t="s">
        <v>1371</v>
      </c>
      <c r="F923" s="5" t="s">
        <v>5161</v>
      </c>
      <c r="G923" s="3" t="s">
        <v>1372</v>
      </c>
      <c r="H923" s="6" t="s">
        <v>1373</v>
      </c>
      <c r="I923" s="3" t="s">
        <v>1374</v>
      </c>
      <c r="J923" s="5" t="s">
        <v>4685</v>
      </c>
      <c r="K923" s="3" t="s">
        <v>5895</v>
      </c>
      <c r="L923" s="3" t="s">
        <v>1379</v>
      </c>
      <c r="M923" s="5">
        <v>3</v>
      </c>
      <c r="N923" s="21">
        <v>494.2647</v>
      </c>
      <c r="O923" s="35" t="s">
        <v>4854</v>
      </c>
      <c r="P923" s="35" t="s">
        <v>4854</v>
      </c>
      <c r="Q923" s="35" t="s">
        <v>4854</v>
      </c>
      <c r="R923" s="36" t="str">
        <f>HYPERLINK("http://ms.phosphosite.org:5080/cgi-bin/plot-msms.cgi?MassType=1&amp;NumAxis=1&amp;Mod4=170&amp;Pep=KIAKDEGANAFFK&amp;Dta=/var/www/html/dta/S01/10561.6004.3.dta&amp;Global_Mod=CS57.0215", "6004")</f>
        <v>6004</v>
      </c>
      <c r="S923" s="35" t="s">
        <v>4854</v>
      </c>
      <c r="T923" s="35" t="s">
        <v>4854</v>
      </c>
      <c r="U923" s="35" t="s">
        <v>4854</v>
      </c>
      <c r="V923" s="35" t="s">
        <v>4854</v>
      </c>
      <c r="W923" s="3" t="s">
        <v>4854</v>
      </c>
      <c r="X923" s="3" t="s">
        <v>4854</v>
      </c>
      <c r="Y923" s="3" t="s">
        <v>4854</v>
      </c>
      <c r="Z923" s="5">
        <v>5997</v>
      </c>
      <c r="AA923" s="3" t="s">
        <v>4854</v>
      </c>
      <c r="AB923" s="3" t="s">
        <v>4854</v>
      </c>
      <c r="AC923" s="3" t="s">
        <v>4854</v>
      </c>
      <c r="AD923" s="3" t="s">
        <v>4854</v>
      </c>
      <c r="AE923" s="99" t="s">
        <v>4854</v>
      </c>
      <c r="AF923" s="99" t="s">
        <v>4854</v>
      </c>
      <c r="AG923" s="99" t="s">
        <v>4854</v>
      </c>
      <c r="AH923" s="90">
        <v>2.8140000000000001</v>
      </c>
      <c r="AI923" s="99" t="s">
        <v>4854</v>
      </c>
      <c r="AJ923" s="99" t="s">
        <v>4854</v>
      </c>
      <c r="AK923" s="99" t="s">
        <v>4854</v>
      </c>
      <c r="AL923" s="99" t="s">
        <v>4854</v>
      </c>
      <c r="AM923" s="102" t="s">
        <v>4854</v>
      </c>
      <c r="AN923" s="102" t="s">
        <v>4854</v>
      </c>
      <c r="AO923" s="102" t="s">
        <v>4854</v>
      </c>
      <c r="AP923" s="21">
        <v>0.20169999999999999</v>
      </c>
      <c r="AQ923" s="102" t="s">
        <v>4854</v>
      </c>
      <c r="AR923" s="102" t="s">
        <v>4854</v>
      </c>
      <c r="AS923" s="102" t="s">
        <v>4854</v>
      </c>
      <c r="AT923" s="102" t="s">
        <v>4854</v>
      </c>
      <c r="AU923" s="102" t="s">
        <v>4854</v>
      </c>
      <c r="AV923" s="102" t="s">
        <v>4854</v>
      </c>
      <c r="AW923" s="102" t="s">
        <v>4854</v>
      </c>
      <c r="AX923" s="21">
        <v>0.13900000000000001</v>
      </c>
      <c r="AY923" s="102" t="s">
        <v>4854</v>
      </c>
      <c r="AZ923" s="102" t="s">
        <v>4854</v>
      </c>
      <c r="BA923" s="102" t="s">
        <v>4854</v>
      </c>
      <c r="BB923" s="102" t="s">
        <v>4854</v>
      </c>
      <c r="BC923" s="3" t="s">
        <v>4854</v>
      </c>
      <c r="BD923" s="3" t="s">
        <v>4854</v>
      </c>
      <c r="BE923" s="3" t="s">
        <v>4854</v>
      </c>
      <c r="BF923" s="5">
        <v>1</v>
      </c>
      <c r="BG923" s="3" t="s">
        <v>4854</v>
      </c>
      <c r="BH923" s="3" t="s">
        <v>4854</v>
      </c>
      <c r="BI923" s="3" t="s">
        <v>4854</v>
      </c>
      <c r="BJ923" s="3" t="s">
        <v>4854</v>
      </c>
      <c r="BK923" s="99" t="s">
        <v>4854</v>
      </c>
      <c r="BL923" s="99" t="s">
        <v>4854</v>
      </c>
      <c r="BM923" s="99" t="s">
        <v>4854</v>
      </c>
      <c r="BN923" s="90">
        <v>0.996</v>
      </c>
      <c r="BO923" s="99" t="s">
        <v>4854</v>
      </c>
      <c r="BP923" s="99" t="s">
        <v>4854</v>
      </c>
      <c r="BQ923" s="99" t="s">
        <v>4854</v>
      </c>
      <c r="BR923" s="99" t="s">
        <v>4854</v>
      </c>
      <c r="BS923" s="5" t="s">
        <v>4857</v>
      </c>
    </row>
    <row r="924" spans="1:71" s="30" customFormat="1" ht="17.100000000000001" customHeight="1">
      <c r="A924" s="10">
        <v>913</v>
      </c>
      <c r="B924" s="10" t="s">
        <v>1380</v>
      </c>
      <c r="C924" s="4" t="s">
        <v>1803</v>
      </c>
      <c r="D924" s="4" t="s">
        <v>1381</v>
      </c>
      <c r="E924" s="4" t="s">
        <v>1382</v>
      </c>
      <c r="F924" s="10" t="s">
        <v>5141</v>
      </c>
      <c r="G924" s="4" t="s">
        <v>1372</v>
      </c>
      <c r="H924" s="7" t="s">
        <v>1383</v>
      </c>
      <c r="I924" s="4" t="s">
        <v>1374</v>
      </c>
      <c r="J924" s="10" t="s">
        <v>2139</v>
      </c>
      <c r="K924" s="4" t="s">
        <v>5896</v>
      </c>
      <c r="L924" s="4" t="s">
        <v>1384</v>
      </c>
      <c r="M924" s="10">
        <v>2</v>
      </c>
      <c r="N924" s="95">
        <v>719.38549999999998</v>
      </c>
      <c r="O924" s="37" t="str">
        <f>HYPERLINK("http://ms.phosphosite.org:5080/cgi-bin/plot-msms.cgi?MassType=1&amp;NumAxis=1&amp;Mod4=170&amp;Pep=AFFKGAWSNVLR&amp;Dta=/var/www/html/dta/S01/10558.11659.2.dta&amp;Global_Mod=CS57.0215", "11659")</f>
        <v>11659</v>
      </c>
      <c r="P924" s="38" t="s">
        <v>4854</v>
      </c>
      <c r="Q924" s="38" t="s">
        <v>4854</v>
      </c>
      <c r="R924" s="37" t="str">
        <f>HYPERLINK("http://ms.phosphosite.org:5080/cgi-bin/plot-msms.cgi?MassType=1&amp;NumAxis=1&amp;Mod4=170&amp;Pep=AFFKGAWSNVLR&amp;Dta=/var/www/html/dta/S01/10561.11744.2.dta&amp;Global_Mod=CS57.0215", "11744")</f>
        <v>11744</v>
      </c>
      <c r="S924" s="37" t="str">
        <f>HYPERLINK("http://ms.phosphosite.org:5080/cgi-bin/plot-msms.cgi?MassType=1&amp;NumAxis=1&amp;Mod4=170&amp;Pep=AFFKGAWSNVLR&amp;Dta=/var/www/html/dta/S01/10562.11899.2.dta&amp;Global_Mod=CS57.0215", "11899")</f>
        <v>11899</v>
      </c>
      <c r="T924" s="38" t="s">
        <v>4854</v>
      </c>
      <c r="U924" s="38" t="s">
        <v>4854</v>
      </c>
      <c r="V924" s="38" t="s">
        <v>4854</v>
      </c>
      <c r="W924" s="10">
        <v>11625</v>
      </c>
      <c r="X924" s="4" t="s">
        <v>4854</v>
      </c>
      <c r="Y924" s="4" t="s">
        <v>4854</v>
      </c>
      <c r="Z924" s="10">
        <v>11720</v>
      </c>
      <c r="AA924" s="10">
        <v>11874</v>
      </c>
      <c r="AB924" s="4" t="s">
        <v>4854</v>
      </c>
      <c r="AC924" s="4" t="s">
        <v>4854</v>
      </c>
      <c r="AD924" s="4" t="s">
        <v>4854</v>
      </c>
      <c r="AE924" s="91">
        <v>2.895</v>
      </c>
      <c r="AF924" s="100" t="s">
        <v>4854</v>
      </c>
      <c r="AG924" s="100" t="s">
        <v>4854</v>
      </c>
      <c r="AH924" s="91">
        <v>2.9119999999999999</v>
      </c>
      <c r="AI924" s="91">
        <v>3.319</v>
      </c>
      <c r="AJ924" s="100" t="s">
        <v>4854</v>
      </c>
      <c r="AK924" s="100" t="s">
        <v>4854</v>
      </c>
      <c r="AL924" s="100" t="s">
        <v>4854</v>
      </c>
      <c r="AM924" s="95">
        <v>1.2076</v>
      </c>
      <c r="AN924" s="103" t="s">
        <v>4854</v>
      </c>
      <c r="AO924" s="103" t="s">
        <v>4854</v>
      </c>
      <c r="AP924" s="95">
        <v>0.93149999999999999</v>
      </c>
      <c r="AQ924" s="95">
        <v>0.81540000000000001</v>
      </c>
      <c r="AR924" s="103" t="s">
        <v>4854</v>
      </c>
      <c r="AS924" s="103" t="s">
        <v>4854</v>
      </c>
      <c r="AT924" s="103" t="s">
        <v>4854</v>
      </c>
      <c r="AU924" s="95">
        <v>0.34399999999999997</v>
      </c>
      <c r="AV924" s="103" t="s">
        <v>4854</v>
      </c>
      <c r="AW924" s="103" t="s">
        <v>4854</v>
      </c>
      <c r="AX924" s="95">
        <v>0.33500000000000002</v>
      </c>
      <c r="AY924" s="95">
        <v>0.40500000000000003</v>
      </c>
      <c r="AZ924" s="103" t="s">
        <v>4854</v>
      </c>
      <c r="BA924" s="103" t="s">
        <v>4854</v>
      </c>
      <c r="BB924" s="103" t="s">
        <v>4854</v>
      </c>
      <c r="BC924" s="10">
        <v>1</v>
      </c>
      <c r="BD924" s="4" t="s">
        <v>4854</v>
      </c>
      <c r="BE924" s="4" t="s">
        <v>4854</v>
      </c>
      <c r="BF924" s="10">
        <v>1</v>
      </c>
      <c r="BG924" s="10">
        <v>1</v>
      </c>
      <c r="BH924" s="4" t="s">
        <v>4854</v>
      </c>
      <c r="BI924" s="4" t="s">
        <v>4854</v>
      </c>
      <c r="BJ924" s="4" t="s">
        <v>4854</v>
      </c>
      <c r="BK924" s="91">
        <v>0.96499999999999997</v>
      </c>
      <c r="BL924" s="100" t="s">
        <v>4854</v>
      </c>
      <c r="BM924" s="100" t="s">
        <v>4854</v>
      </c>
      <c r="BN924" s="91">
        <v>0.96299999999999997</v>
      </c>
      <c r="BO924" s="91">
        <v>0.98799999999999999</v>
      </c>
      <c r="BP924" s="100" t="s">
        <v>4854</v>
      </c>
      <c r="BQ924" s="100" t="s">
        <v>4854</v>
      </c>
      <c r="BR924" s="100" t="s">
        <v>4854</v>
      </c>
      <c r="BS924" s="10" t="s">
        <v>4857</v>
      </c>
    </row>
    <row r="925" spans="1:71" s="30" customFormat="1" ht="17.100000000000001" customHeight="1">
      <c r="A925" s="14">
        <v>914</v>
      </c>
      <c r="B925" s="5" t="s">
        <v>1385</v>
      </c>
      <c r="C925" s="3" t="s">
        <v>1803</v>
      </c>
      <c r="D925" s="3" t="s">
        <v>1370</v>
      </c>
      <c r="E925" s="3" t="s">
        <v>1371</v>
      </c>
      <c r="F925" s="5" t="s">
        <v>4952</v>
      </c>
      <c r="G925" s="3" t="s">
        <v>1372</v>
      </c>
      <c r="H925" s="6" t="s">
        <v>1373</v>
      </c>
      <c r="I925" s="3" t="s">
        <v>1374</v>
      </c>
      <c r="J925" s="5" t="s">
        <v>4685</v>
      </c>
      <c r="K925" s="3" t="s">
        <v>5897</v>
      </c>
      <c r="L925" s="3" t="s">
        <v>1386</v>
      </c>
      <c r="M925" s="5">
        <v>2</v>
      </c>
      <c r="N925" s="21">
        <v>669.36419999999998</v>
      </c>
      <c r="O925" s="35" t="s">
        <v>4854</v>
      </c>
      <c r="P925" s="36" t="str">
        <f>HYPERLINK("http://ms.phosphosite.org:5080/cgi-bin/plot-msms.cgi?MassType=1&amp;NumAxis=1&amp;Mod2=170&amp;Pep=YKQIFLGGVDR&amp;Dta=/var/www/html/dta/S01/10559.8412.2.dta&amp;Global_Mod=CS57.0215", "8412")</f>
        <v>8412</v>
      </c>
      <c r="Q925" s="35" t="s">
        <v>4854</v>
      </c>
      <c r="R925" s="36" t="str">
        <f>HYPERLINK("http://ms.phosphosite.org:5080/cgi-bin/plot-msms.cgi?MassType=1&amp;NumAxis=1&amp;Mod2=170&amp;Pep=YKQIFLGGVDR&amp;Dta=/var/www/html/dta/S01/10561.8475.2.dta&amp;Global_Mod=CS57.0215", "8475")</f>
        <v>8475</v>
      </c>
      <c r="S925" s="36" t="str">
        <f>HYPERLINK("http://ms.phosphosite.org:5080/cgi-bin/plot-msms.cgi?MassType=1&amp;NumAxis=1&amp;Mod2=170&amp;Pep=YKQIFLGGVDR&amp;Dta=/var/www/html/dta/S01/10562.8575.2.dta&amp;Global_Mod=CS57.0215", "8575")</f>
        <v>8575</v>
      </c>
      <c r="T925" s="35" t="s">
        <v>4854</v>
      </c>
      <c r="U925" s="35" t="s">
        <v>4854</v>
      </c>
      <c r="V925" s="35" t="s">
        <v>4854</v>
      </c>
      <c r="W925" s="3" t="s">
        <v>4854</v>
      </c>
      <c r="X925" s="5">
        <v>8406</v>
      </c>
      <c r="Y925" s="3" t="s">
        <v>4854</v>
      </c>
      <c r="Z925" s="5">
        <v>8483</v>
      </c>
      <c r="AA925" s="5">
        <v>8589</v>
      </c>
      <c r="AB925" s="3" t="s">
        <v>4854</v>
      </c>
      <c r="AC925" s="3" t="s">
        <v>4854</v>
      </c>
      <c r="AD925" s="3" t="s">
        <v>4854</v>
      </c>
      <c r="AE925" s="99" t="s">
        <v>4854</v>
      </c>
      <c r="AF925" s="90">
        <v>3.0640000000000001</v>
      </c>
      <c r="AG925" s="99" t="s">
        <v>4854</v>
      </c>
      <c r="AH925" s="90">
        <v>3.1019999999999999</v>
      </c>
      <c r="AI925" s="90">
        <v>2.577</v>
      </c>
      <c r="AJ925" s="99" t="s">
        <v>4854</v>
      </c>
      <c r="AK925" s="99" t="s">
        <v>4854</v>
      </c>
      <c r="AL925" s="99" t="s">
        <v>4854</v>
      </c>
      <c r="AM925" s="102" t="s">
        <v>4854</v>
      </c>
      <c r="AN925" s="21">
        <v>8.5800000000000001E-2</v>
      </c>
      <c r="AO925" s="102" t="s">
        <v>4854</v>
      </c>
      <c r="AP925" s="21">
        <v>1.1713</v>
      </c>
      <c r="AQ925" s="21">
        <v>-1.0497000000000001</v>
      </c>
      <c r="AR925" s="102" t="s">
        <v>4854</v>
      </c>
      <c r="AS925" s="102" t="s">
        <v>4854</v>
      </c>
      <c r="AT925" s="102" t="s">
        <v>4854</v>
      </c>
      <c r="AU925" s="102" t="s">
        <v>4854</v>
      </c>
      <c r="AV925" s="21">
        <v>0.24</v>
      </c>
      <c r="AW925" s="102" t="s">
        <v>4854</v>
      </c>
      <c r="AX925" s="21">
        <v>0.24</v>
      </c>
      <c r="AY925" s="21">
        <v>0.17100000000000001</v>
      </c>
      <c r="AZ925" s="102" t="s">
        <v>4854</v>
      </c>
      <c r="BA925" s="102" t="s">
        <v>4854</v>
      </c>
      <c r="BB925" s="102" t="s">
        <v>4854</v>
      </c>
      <c r="BC925" s="3" t="s">
        <v>4854</v>
      </c>
      <c r="BD925" s="5">
        <v>1</v>
      </c>
      <c r="BE925" s="3" t="s">
        <v>4854</v>
      </c>
      <c r="BF925" s="5">
        <v>1</v>
      </c>
      <c r="BG925" s="5">
        <v>2</v>
      </c>
      <c r="BH925" s="3" t="s">
        <v>4854</v>
      </c>
      <c r="BI925" s="3" t="s">
        <v>4854</v>
      </c>
      <c r="BJ925" s="3" t="s">
        <v>4854</v>
      </c>
      <c r="BK925" s="99" t="s">
        <v>4854</v>
      </c>
      <c r="BL925" s="90">
        <v>0.999</v>
      </c>
      <c r="BM925" s="99" t="s">
        <v>4854</v>
      </c>
      <c r="BN925" s="90">
        <v>0.999</v>
      </c>
      <c r="BO925" s="90">
        <v>0.99299999999999999</v>
      </c>
      <c r="BP925" s="99" t="s">
        <v>4854</v>
      </c>
      <c r="BQ925" s="99" t="s">
        <v>4854</v>
      </c>
      <c r="BR925" s="99" t="s">
        <v>4854</v>
      </c>
      <c r="BS925" s="5" t="s">
        <v>4857</v>
      </c>
    </row>
    <row r="926" spans="1:71" s="30" customFormat="1" ht="17.100000000000001" customHeight="1">
      <c r="A926" s="10">
        <v>915</v>
      </c>
      <c r="B926" s="10" t="s">
        <v>1387</v>
      </c>
      <c r="C926" s="4" t="s">
        <v>1803</v>
      </c>
      <c r="D926" s="4" t="s">
        <v>1388</v>
      </c>
      <c r="E926" s="4" t="s">
        <v>1389</v>
      </c>
      <c r="F926" s="10" t="s">
        <v>5046</v>
      </c>
      <c r="G926" s="4" t="s">
        <v>1390</v>
      </c>
      <c r="H926" s="7" t="s">
        <v>1391</v>
      </c>
      <c r="I926" s="4" t="s">
        <v>1392</v>
      </c>
      <c r="J926" s="10" t="s">
        <v>4685</v>
      </c>
      <c r="K926" s="4" t="s">
        <v>5898</v>
      </c>
      <c r="L926" s="4" t="s">
        <v>1393</v>
      </c>
      <c r="M926" s="10">
        <v>2</v>
      </c>
      <c r="N926" s="95">
        <v>587.83259999999996</v>
      </c>
      <c r="O926" s="37" t="str">
        <f>HYPERLINK("http://ms.phosphosite.org:5080/cgi-bin/plot-msms.cgi?MassType=1&amp;NumAxis=1&amp;Mod9=170&amp;Pep=QIFLGGVDKR&amp;Dta=/var/www/html/dta/S01/10558.7107.2.dta&amp;Global_Mod=CS57.0215", "7107")</f>
        <v>7107</v>
      </c>
      <c r="P926" s="38" t="s">
        <v>4854</v>
      </c>
      <c r="Q926" s="38" t="s">
        <v>4854</v>
      </c>
      <c r="R926" s="38" t="s">
        <v>4854</v>
      </c>
      <c r="S926" s="38" t="s">
        <v>4854</v>
      </c>
      <c r="T926" s="38" t="s">
        <v>4854</v>
      </c>
      <c r="U926" s="37" t="str">
        <f>HYPERLINK("http://ms.phosphosite.org:5080/cgi-bin/plot-msms.cgi?MassType=1&amp;NumAxis=1&amp;Mod9=170&amp;Pep=QIFLGGVDKR&amp;Dta=/var/www/html/dta/S01/10564.7568.2.dta&amp;Global_Mod=CS57.0215", "7568")</f>
        <v>7568</v>
      </c>
      <c r="V926" s="37" t="str">
        <f>HYPERLINK("http://ms.phosphosite.org:5080/cgi-bin/plot-msms.cgi?MassType=1&amp;NumAxis=1&amp;Mod9=170&amp;Pep=QIFLGGVDKR&amp;Dta=/var/www/html/dta/S01/10565.7644.2.dta&amp;Global_Mod=CS57.0215", "7644")</f>
        <v>7644</v>
      </c>
      <c r="W926" s="10">
        <v>7105</v>
      </c>
      <c r="X926" s="4" t="s">
        <v>4854</v>
      </c>
      <c r="Y926" s="4" t="s">
        <v>4854</v>
      </c>
      <c r="Z926" s="4" t="s">
        <v>4854</v>
      </c>
      <c r="AA926" s="4" t="s">
        <v>4854</v>
      </c>
      <c r="AB926" s="4" t="s">
        <v>4854</v>
      </c>
      <c r="AC926" s="10">
        <v>7563</v>
      </c>
      <c r="AD926" s="10">
        <v>7648</v>
      </c>
      <c r="AE926" s="91">
        <v>2.5009999999999999</v>
      </c>
      <c r="AF926" s="100" t="s">
        <v>4854</v>
      </c>
      <c r="AG926" s="100" t="s">
        <v>4854</v>
      </c>
      <c r="AH926" s="100" t="s">
        <v>4854</v>
      </c>
      <c r="AI926" s="100" t="s">
        <v>4854</v>
      </c>
      <c r="AJ926" s="100" t="s">
        <v>4854</v>
      </c>
      <c r="AK926" s="91">
        <v>2.2490000000000001</v>
      </c>
      <c r="AL926" s="91">
        <v>2.1960000000000002</v>
      </c>
      <c r="AM926" s="95">
        <v>2.8400000000000002E-2</v>
      </c>
      <c r="AN926" s="103" t="s">
        <v>4854</v>
      </c>
      <c r="AO926" s="103" t="s">
        <v>4854</v>
      </c>
      <c r="AP926" s="103" t="s">
        <v>4854</v>
      </c>
      <c r="AQ926" s="103" t="s">
        <v>4854</v>
      </c>
      <c r="AR926" s="103" t="s">
        <v>4854</v>
      </c>
      <c r="AS926" s="95">
        <v>0.1016</v>
      </c>
      <c r="AT926" s="95">
        <v>-2.69E-2</v>
      </c>
      <c r="AU926" s="95">
        <v>0.112</v>
      </c>
      <c r="AV926" s="103" t="s">
        <v>4854</v>
      </c>
      <c r="AW926" s="103" t="s">
        <v>4854</v>
      </c>
      <c r="AX926" s="103" t="s">
        <v>4854</v>
      </c>
      <c r="AY926" s="103" t="s">
        <v>4854</v>
      </c>
      <c r="AZ926" s="103" t="s">
        <v>4854</v>
      </c>
      <c r="BA926" s="95">
        <v>0.28599999999999998</v>
      </c>
      <c r="BB926" s="95">
        <v>0.18099999999999999</v>
      </c>
      <c r="BC926" s="10">
        <v>1</v>
      </c>
      <c r="BD926" s="4" t="s">
        <v>4854</v>
      </c>
      <c r="BE926" s="4" t="s">
        <v>4854</v>
      </c>
      <c r="BF926" s="4" t="s">
        <v>4854</v>
      </c>
      <c r="BG926" s="4" t="s">
        <v>4854</v>
      </c>
      <c r="BH926" s="4" t="s">
        <v>4854</v>
      </c>
      <c r="BI926" s="10">
        <v>1</v>
      </c>
      <c r="BJ926" s="10">
        <v>1</v>
      </c>
      <c r="BK926" s="91">
        <v>0.999</v>
      </c>
      <c r="BL926" s="100" t="s">
        <v>4854</v>
      </c>
      <c r="BM926" s="100" t="s">
        <v>4854</v>
      </c>
      <c r="BN926" s="100" t="s">
        <v>4854</v>
      </c>
      <c r="BO926" s="100" t="s">
        <v>4854</v>
      </c>
      <c r="BP926" s="100" t="s">
        <v>4854</v>
      </c>
      <c r="BQ926" s="91">
        <v>1</v>
      </c>
      <c r="BR926" s="91">
        <v>0.999</v>
      </c>
      <c r="BS926" s="10" t="s">
        <v>4857</v>
      </c>
    </row>
    <row r="927" spans="1:71" s="30" customFormat="1" ht="17.100000000000001" customHeight="1">
      <c r="A927" s="14">
        <v>916</v>
      </c>
      <c r="B927" s="5" t="s">
        <v>1394</v>
      </c>
      <c r="C927" s="3" t="s">
        <v>1803</v>
      </c>
      <c r="D927" s="3" t="s">
        <v>1388</v>
      </c>
      <c r="E927" s="3" t="s">
        <v>1389</v>
      </c>
      <c r="F927" s="5" t="s">
        <v>5049</v>
      </c>
      <c r="G927" s="3" t="s">
        <v>1390</v>
      </c>
      <c r="H927" s="6" t="s">
        <v>1391</v>
      </c>
      <c r="I927" s="3" t="s">
        <v>1392</v>
      </c>
      <c r="J927" s="5" t="s">
        <v>4685</v>
      </c>
      <c r="K927" s="3" t="s">
        <v>5899</v>
      </c>
      <c r="L927" s="3" t="s">
        <v>1395</v>
      </c>
      <c r="M927" s="5">
        <v>2</v>
      </c>
      <c r="N927" s="21">
        <v>654.33680000000004</v>
      </c>
      <c r="O927" s="35" t="s">
        <v>4854</v>
      </c>
      <c r="P927" s="35" t="s">
        <v>4854</v>
      </c>
      <c r="Q927" s="35" t="s">
        <v>4854</v>
      </c>
      <c r="R927" s="36" t="str">
        <f>HYPERLINK("http://ms.phosphosite.org:5080/cgi-bin/plot-msms.cgi?MassType=1&amp;NumAxis=1&amp;Mod3=170&amp;Mod8=160&amp;Pep=EFKGLGDCLVK&amp;Dta=/var/www/html/dta/S01/10561.8246.2.dta&amp;Global_Mod=CS57.0215", "8246")</f>
        <v>8246</v>
      </c>
      <c r="S927" s="35" t="s">
        <v>4854</v>
      </c>
      <c r="T927" s="35" t="s">
        <v>4854</v>
      </c>
      <c r="U927" s="35" t="s">
        <v>4854</v>
      </c>
      <c r="V927" s="35" t="s">
        <v>4854</v>
      </c>
      <c r="W927" s="3" t="s">
        <v>4854</v>
      </c>
      <c r="X927" s="3" t="s">
        <v>4854</v>
      </c>
      <c r="Y927" s="3" t="s">
        <v>4854</v>
      </c>
      <c r="Z927" s="5">
        <v>8252</v>
      </c>
      <c r="AA927" s="3" t="s">
        <v>4854</v>
      </c>
      <c r="AB927" s="3" t="s">
        <v>4854</v>
      </c>
      <c r="AC927" s="3" t="s">
        <v>4854</v>
      </c>
      <c r="AD927" s="3" t="s">
        <v>4854</v>
      </c>
      <c r="AE927" s="99" t="s">
        <v>4854</v>
      </c>
      <c r="AF927" s="99" t="s">
        <v>4854</v>
      </c>
      <c r="AG927" s="99" t="s">
        <v>4854</v>
      </c>
      <c r="AH927" s="90">
        <v>2.1560000000000001</v>
      </c>
      <c r="AI927" s="99" t="s">
        <v>4854</v>
      </c>
      <c r="AJ927" s="99" t="s">
        <v>4854</v>
      </c>
      <c r="AK927" s="99" t="s">
        <v>4854</v>
      </c>
      <c r="AL927" s="99" t="s">
        <v>4854</v>
      </c>
      <c r="AM927" s="102" t="s">
        <v>4854</v>
      </c>
      <c r="AN927" s="102" t="s">
        <v>4854</v>
      </c>
      <c r="AO927" s="102" t="s">
        <v>4854</v>
      </c>
      <c r="AP927" s="21">
        <v>0.37590000000000001</v>
      </c>
      <c r="AQ927" s="102" t="s">
        <v>4854</v>
      </c>
      <c r="AR927" s="102" t="s">
        <v>4854</v>
      </c>
      <c r="AS927" s="102" t="s">
        <v>4854</v>
      </c>
      <c r="AT927" s="102" t="s">
        <v>4854</v>
      </c>
      <c r="AU927" s="102" t="s">
        <v>4854</v>
      </c>
      <c r="AV927" s="102" t="s">
        <v>4854</v>
      </c>
      <c r="AW927" s="102" t="s">
        <v>4854</v>
      </c>
      <c r="AX927" s="21">
        <v>0.156</v>
      </c>
      <c r="AY927" s="102" t="s">
        <v>4854</v>
      </c>
      <c r="AZ927" s="102" t="s">
        <v>4854</v>
      </c>
      <c r="BA927" s="102" t="s">
        <v>4854</v>
      </c>
      <c r="BB927" s="102" t="s">
        <v>4854</v>
      </c>
      <c r="BC927" s="3" t="s">
        <v>4854</v>
      </c>
      <c r="BD927" s="3" t="s">
        <v>4854</v>
      </c>
      <c r="BE927" s="3" t="s">
        <v>4854</v>
      </c>
      <c r="BF927" s="5">
        <v>35</v>
      </c>
      <c r="BG927" s="3" t="s">
        <v>4854</v>
      </c>
      <c r="BH927" s="3" t="s">
        <v>4854</v>
      </c>
      <c r="BI927" s="3" t="s">
        <v>4854</v>
      </c>
      <c r="BJ927" s="3" t="s">
        <v>4854</v>
      </c>
      <c r="BK927" s="99" t="s">
        <v>4854</v>
      </c>
      <c r="BL927" s="99" t="s">
        <v>4854</v>
      </c>
      <c r="BM927" s="99" t="s">
        <v>4854</v>
      </c>
      <c r="BN927" s="90">
        <v>0.97599999999999998</v>
      </c>
      <c r="BO927" s="99" t="s">
        <v>4854</v>
      </c>
      <c r="BP927" s="99" t="s">
        <v>4854</v>
      </c>
      <c r="BQ927" s="99" t="s">
        <v>4854</v>
      </c>
      <c r="BR927" s="99" t="s">
        <v>4854</v>
      </c>
      <c r="BS927" s="5" t="s">
        <v>4857</v>
      </c>
    </row>
    <row r="928" spans="1:71" s="30" customFormat="1" ht="17.100000000000001" customHeight="1">
      <c r="A928" s="10">
        <v>917</v>
      </c>
      <c r="B928" s="10" t="s">
        <v>1396</v>
      </c>
      <c r="C928" s="4" t="s">
        <v>1803</v>
      </c>
      <c r="D928" s="4" t="s">
        <v>1388</v>
      </c>
      <c r="E928" s="4" t="s">
        <v>1389</v>
      </c>
      <c r="F928" s="10" t="s">
        <v>5125</v>
      </c>
      <c r="G928" s="4" t="s">
        <v>1390</v>
      </c>
      <c r="H928" s="7" t="s">
        <v>1391</v>
      </c>
      <c r="I928" s="4" t="s">
        <v>1392</v>
      </c>
      <c r="J928" s="10" t="s">
        <v>4685</v>
      </c>
      <c r="K928" s="4" t="s">
        <v>5900</v>
      </c>
      <c r="L928" s="4" t="s">
        <v>1397</v>
      </c>
      <c r="M928" s="10">
        <v>2</v>
      </c>
      <c r="N928" s="95">
        <v>654.35500000000002</v>
      </c>
      <c r="O928" s="37" t="str">
        <f>HYPERLINK("http://ms.phosphosite.org:5080/cgi-bin/plot-msms.cgi?MassType=1&amp;NumAxis=1&amp;Mod5=160&amp;Mod8=170&amp;Pep=GLGDCLVKIYK&amp;Dta=/var/www/html/dta/S01/10558.9431.2.dta&amp;Global_Mod=CS57.0215", "9431")</f>
        <v>9431</v>
      </c>
      <c r="P928" s="38" t="s">
        <v>4854</v>
      </c>
      <c r="Q928" s="37" t="str">
        <f>HYPERLINK("http://ms.phosphosite.org:5080/cgi-bin/plot-msms.cgi?MassType=1&amp;NumAxis=1&amp;Mod5=160&amp;Mod8=170&amp;Pep=GLGDCLVKIYK&amp;Dta=/var/www/html/dta/S01/10560.9428.2.dta&amp;Global_Mod=CS57.0215", "9428")</f>
        <v>9428</v>
      </c>
      <c r="R928" s="38" t="s">
        <v>4854</v>
      </c>
      <c r="S928" s="38" t="s">
        <v>4854</v>
      </c>
      <c r="T928" s="38" t="s">
        <v>4854</v>
      </c>
      <c r="U928" s="38" t="s">
        <v>4854</v>
      </c>
      <c r="V928" s="38" t="s">
        <v>4854</v>
      </c>
      <c r="W928" s="10">
        <v>9448</v>
      </c>
      <c r="X928" s="4" t="s">
        <v>4854</v>
      </c>
      <c r="Y928" s="10">
        <v>9424</v>
      </c>
      <c r="Z928" s="4" t="s">
        <v>4854</v>
      </c>
      <c r="AA928" s="4" t="s">
        <v>4854</v>
      </c>
      <c r="AB928" s="4" t="s">
        <v>4854</v>
      </c>
      <c r="AC928" s="4" t="s">
        <v>4854</v>
      </c>
      <c r="AD928" s="4" t="s">
        <v>4854</v>
      </c>
      <c r="AE928" s="91">
        <v>1.8939999999999999</v>
      </c>
      <c r="AF928" s="100" t="s">
        <v>4854</v>
      </c>
      <c r="AG928" s="91">
        <v>2.9820000000000002</v>
      </c>
      <c r="AH928" s="100" t="s">
        <v>4854</v>
      </c>
      <c r="AI928" s="100" t="s">
        <v>4854</v>
      </c>
      <c r="AJ928" s="100" t="s">
        <v>4854</v>
      </c>
      <c r="AK928" s="100" t="s">
        <v>4854</v>
      </c>
      <c r="AL928" s="100" t="s">
        <v>4854</v>
      </c>
      <c r="AM928" s="95">
        <v>0.18590000000000001</v>
      </c>
      <c r="AN928" s="103" t="s">
        <v>4854</v>
      </c>
      <c r="AO928" s="95">
        <v>0.76170000000000004</v>
      </c>
      <c r="AP928" s="103" t="s">
        <v>4854</v>
      </c>
      <c r="AQ928" s="103" t="s">
        <v>4854</v>
      </c>
      <c r="AR928" s="103" t="s">
        <v>4854</v>
      </c>
      <c r="AS928" s="103" t="s">
        <v>4854</v>
      </c>
      <c r="AT928" s="103" t="s">
        <v>4854</v>
      </c>
      <c r="AU928" s="95">
        <v>0.13300000000000001</v>
      </c>
      <c r="AV928" s="103" t="s">
        <v>4854</v>
      </c>
      <c r="AW928" s="95">
        <v>0.28599999999999998</v>
      </c>
      <c r="AX928" s="103" t="s">
        <v>4854</v>
      </c>
      <c r="AY928" s="103" t="s">
        <v>4854</v>
      </c>
      <c r="AZ928" s="103" t="s">
        <v>4854</v>
      </c>
      <c r="BA928" s="103" t="s">
        <v>4854</v>
      </c>
      <c r="BB928" s="103" t="s">
        <v>4854</v>
      </c>
      <c r="BC928" s="10">
        <v>15</v>
      </c>
      <c r="BD928" s="4" t="s">
        <v>4854</v>
      </c>
      <c r="BE928" s="10">
        <v>1</v>
      </c>
      <c r="BF928" s="4" t="s">
        <v>4854</v>
      </c>
      <c r="BG928" s="4" t="s">
        <v>4854</v>
      </c>
      <c r="BH928" s="4" t="s">
        <v>4854</v>
      </c>
      <c r="BI928" s="4" t="s">
        <v>4854</v>
      </c>
      <c r="BJ928" s="4" t="s">
        <v>4854</v>
      </c>
      <c r="BK928" s="91">
        <v>0.95499999999999996</v>
      </c>
      <c r="BL928" s="100" t="s">
        <v>4854</v>
      </c>
      <c r="BM928" s="91">
        <v>1</v>
      </c>
      <c r="BN928" s="100" t="s">
        <v>4854</v>
      </c>
      <c r="BO928" s="100" t="s">
        <v>4854</v>
      </c>
      <c r="BP928" s="100" t="s">
        <v>4854</v>
      </c>
      <c r="BQ928" s="100" t="s">
        <v>4854</v>
      </c>
      <c r="BR928" s="100" t="s">
        <v>4854</v>
      </c>
      <c r="BS928" s="10" t="s">
        <v>4857</v>
      </c>
    </row>
    <row r="929" spans="1:71" s="30" customFormat="1" ht="17.100000000000001" customHeight="1">
      <c r="A929" s="14">
        <v>918</v>
      </c>
      <c r="B929" s="5" t="s">
        <v>1398</v>
      </c>
      <c r="C929" s="3" t="s">
        <v>1803</v>
      </c>
      <c r="D929" s="3" t="s">
        <v>1399</v>
      </c>
      <c r="E929" s="6" t="s">
        <v>1400</v>
      </c>
      <c r="F929" s="5" t="s">
        <v>1401</v>
      </c>
      <c r="G929" s="3" t="s">
        <v>1402</v>
      </c>
      <c r="H929" s="6" t="s">
        <v>1403</v>
      </c>
      <c r="I929" s="3" t="s">
        <v>1404</v>
      </c>
      <c r="J929" s="5" t="s">
        <v>1405</v>
      </c>
      <c r="K929" s="3" t="s">
        <v>5901</v>
      </c>
      <c r="L929" s="3" t="s">
        <v>1406</v>
      </c>
      <c r="M929" s="5">
        <v>2</v>
      </c>
      <c r="N929" s="21">
        <v>530.29330000000004</v>
      </c>
      <c r="O929" s="36" t="str">
        <f>HYPERLINK("http://ms.phosphosite.org:5080/cgi-bin/plot-msms.cgi?MassType=1&amp;NumAxis=1&amp;Mod8=170&amp;Pep=KSLPSSDKR&amp;Dta=/var/www/html/dta/S01/10558.1609.2.dta&amp;Global_Mod=CS57.0215", "1609")</f>
        <v>1609</v>
      </c>
      <c r="P929" s="35" t="s">
        <v>4854</v>
      </c>
      <c r="Q929" s="35" t="s">
        <v>4854</v>
      </c>
      <c r="R929" s="35" t="s">
        <v>4854</v>
      </c>
      <c r="S929" s="35" t="s">
        <v>4854</v>
      </c>
      <c r="T929" s="35" t="s">
        <v>4854</v>
      </c>
      <c r="U929" s="35" t="s">
        <v>4854</v>
      </c>
      <c r="V929" s="35" t="s">
        <v>4854</v>
      </c>
      <c r="W929" s="3" t="s">
        <v>4854</v>
      </c>
      <c r="X929" s="3" t="s">
        <v>4854</v>
      </c>
      <c r="Y929" s="3" t="s">
        <v>4854</v>
      </c>
      <c r="Z929" s="3" t="s">
        <v>4854</v>
      </c>
      <c r="AA929" s="3" t="s">
        <v>4854</v>
      </c>
      <c r="AB929" s="3" t="s">
        <v>4854</v>
      </c>
      <c r="AC929" s="3" t="s">
        <v>4854</v>
      </c>
      <c r="AD929" s="3" t="s">
        <v>4854</v>
      </c>
      <c r="AE929" s="90">
        <v>2.1619999999999999</v>
      </c>
      <c r="AF929" s="99" t="s">
        <v>4854</v>
      </c>
      <c r="AG929" s="99" t="s">
        <v>4854</v>
      </c>
      <c r="AH929" s="99" t="s">
        <v>4854</v>
      </c>
      <c r="AI929" s="99" t="s">
        <v>4854</v>
      </c>
      <c r="AJ929" s="99" t="s">
        <v>4854</v>
      </c>
      <c r="AK929" s="99" t="s">
        <v>4854</v>
      </c>
      <c r="AL929" s="99" t="s">
        <v>4854</v>
      </c>
      <c r="AM929" s="21">
        <v>-0.46810000000000002</v>
      </c>
      <c r="AN929" s="102" t="s">
        <v>4854</v>
      </c>
      <c r="AO929" s="102" t="s">
        <v>4854</v>
      </c>
      <c r="AP929" s="102" t="s">
        <v>4854</v>
      </c>
      <c r="AQ929" s="102" t="s">
        <v>4854</v>
      </c>
      <c r="AR929" s="102" t="s">
        <v>4854</v>
      </c>
      <c r="AS929" s="102" t="s">
        <v>4854</v>
      </c>
      <c r="AT929" s="102" t="s">
        <v>4854</v>
      </c>
      <c r="AU929" s="21">
        <v>7.2999999999999995E-2</v>
      </c>
      <c r="AV929" s="102" t="s">
        <v>4854</v>
      </c>
      <c r="AW929" s="102" t="s">
        <v>4854</v>
      </c>
      <c r="AX929" s="102" t="s">
        <v>4854</v>
      </c>
      <c r="AY929" s="102" t="s">
        <v>4854</v>
      </c>
      <c r="AZ929" s="102" t="s">
        <v>4854</v>
      </c>
      <c r="BA929" s="102" t="s">
        <v>4854</v>
      </c>
      <c r="BB929" s="102" t="s">
        <v>4854</v>
      </c>
      <c r="BC929" s="5">
        <v>27</v>
      </c>
      <c r="BD929" s="3" t="s">
        <v>4854</v>
      </c>
      <c r="BE929" s="3" t="s">
        <v>4854</v>
      </c>
      <c r="BF929" s="3" t="s">
        <v>4854</v>
      </c>
      <c r="BG929" s="3" t="s">
        <v>4854</v>
      </c>
      <c r="BH929" s="3" t="s">
        <v>4854</v>
      </c>
      <c r="BI929" s="3" t="s">
        <v>4854</v>
      </c>
      <c r="BJ929" s="3" t="s">
        <v>4854</v>
      </c>
      <c r="BK929" s="90">
        <v>7.4999999999999997E-2</v>
      </c>
      <c r="BL929" s="99" t="s">
        <v>4854</v>
      </c>
      <c r="BM929" s="99" t="s">
        <v>4854</v>
      </c>
      <c r="BN929" s="99" t="s">
        <v>4854</v>
      </c>
      <c r="BO929" s="99" t="s">
        <v>4854</v>
      </c>
      <c r="BP929" s="99" t="s">
        <v>4854</v>
      </c>
      <c r="BQ929" s="99" t="s">
        <v>4854</v>
      </c>
      <c r="BR929" s="99" t="s">
        <v>4854</v>
      </c>
      <c r="BS929" s="5" t="s">
        <v>4857</v>
      </c>
    </row>
    <row r="930" spans="1:71" s="30" customFormat="1" ht="17.100000000000001" customHeight="1">
      <c r="A930" s="10">
        <v>919</v>
      </c>
      <c r="B930" s="10" t="s">
        <v>1407</v>
      </c>
      <c r="C930" s="4" t="s">
        <v>1803</v>
      </c>
      <c r="D930" s="4" t="s">
        <v>1408</v>
      </c>
      <c r="E930" s="7" t="s">
        <v>1409</v>
      </c>
      <c r="F930" s="10" t="s">
        <v>1410</v>
      </c>
      <c r="G930" s="4" t="s">
        <v>1411</v>
      </c>
      <c r="H930" s="7" t="s">
        <v>1412</v>
      </c>
      <c r="I930" s="4" t="s">
        <v>1413</v>
      </c>
      <c r="J930" s="10" t="s">
        <v>1414</v>
      </c>
      <c r="K930" s="4" t="s">
        <v>5902</v>
      </c>
      <c r="L930" s="4" t="s">
        <v>1415</v>
      </c>
      <c r="M930" s="10">
        <v>2</v>
      </c>
      <c r="N930" s="95">
        <v>951.46759999999995</v>
      </c>
      <c r="O930" s="37" t="str">
        <f>HYPERLINK("http://ms.phosphosite.org:5080/cgi-bin/plot-msms.cgi?MassType=1&amp;NumAxis=1&amp;Mod12=170&amp;Pep=TYATAEPFIDAKYDVR&amp;Dta=/var/www/html/dta/S01/10558.9942.2.dta&amp;Global_Mod=CS57.0215", "9942")</f>
        <v>9942</v>
      </c>
      <c r="P930" s="37" t="str">
        <f>HYPERLINK("http://ms.phosphosite.org:5080/cgi-bin/plot-msms.cgi?MassType=1&amp;NumAxis=1&amp;Mod12=170&amp;Pep=TYATAEPFIDAKYDVR&amp;Dta=/var/www/html/dta/S01/10559.9911.2.dta&amp;Global_Mod=CS57.0215", "9911")</f>
        <v>9911</v>
      </c>
      <c r="Q930" s="37" t="str">
        <f>HYPERLINK("http://ms.phosphosite.org:5080/cgi-bin/plot-msms.cgi?MassType=1&amp;NumAxis=1&amp;Mod12=170&amp;Pep=TYATAEPFIDAKYDVR&amp;Dta=/var/www/html/dta/S01/10560.9944.2.dta&amp;Global_Mod=CS57.0215", "9944")</f>
        <v>9944</v>
      </c>
      <c r="R930" s="37" t="str">
        <f>HYPERLINK("http://ms.phosphosite.org:5080/cgi-bin/plot-msms.cgi?MassType=1&amp;NumAxis=1&amp;Mod12=170&amp;Pep=TYATAEPFIDAKYDVR&amp;Dta=/var/www/html/dta/S01/10561.9953.2.dta&amp;Global_Mod=CS57.0215", "9953")</f>
        <v>9953</v>
      </c>
      <c r="S930" s="37" t="str">
        <f>HYPERLINK("http://ms.phosphosite.org:5080/cgi-bin/plot-msms.cgi?MassType=1&amp;NumAxis=1&amp;Mod12=170&amp;Pep=TYATAEPFIDAKYDVR&amp;Dta=/var/www/html/dta/S01/10562.10120.2.dta&amp;Global_Mod=CS57.0215", "10120")</f>
        <v>10120</v>
      </c>
      <c r="T930" s="38" t="s">
        <v>4854</v>
      </c>
      <c r="U930" s="37" t="str">
        <f>HYPERLINK("http://ms.phosphosite.org:5080/cgi-bin/plot-msms.cgi?MassType=1&amp;NumAxis=1&amp;Mod12=170&amp;Pep=TYATAEPFIDAKYDVR&amp;Dta=/var/www/html/dta/S01/10564.10563.2.dta&amp;Global_Mod=CS57.0215", "10563")</f>
        <v>10563</v>
      </c>
      <c r="V930" s="37" t="str">
        <f>HYPERLINK("http://ms.phosphosite.org:5080/cgi-bin/plot-msms.cgi?MassType=1&amp;NumAxis=1&amp;Mod12=170&amp;Pep=TYATAEPFIDAKYDVR&amp;Dta=/var/www/html/dta/S01/10565.10539.2.dta&amp;Global_Mod=CS57.0215", "10539")</f>
        <v>10539</v>
      </c>
      <c r="W930" s="10">
        <v>9943</v>
      </c>
      <c r="X930" s="10">
        <v>9926</v>
      </c>
      <c r="Y930" s="10">
        <v>9930</v>
      </c>
      <c r="Z930" s="10">
        <v>9956</v>
      </c>
      <c r="AA930" s="10">
        <v>10125</v>
      </c>
      <c r="AB930" s="4" t="s">
        <v>4854</v>
      </c>
      <c r="AC930" s="10">
        <v>10566</v>
      </c>
      <c r="AD930" s="10">
        <v>10530</v>
      </c>
      <c r="AE930" s="91">
        <v>4.0919999999999996</v>
      </c>
      <c r="AF930" s="91">
        <v>3.593</v>
      </c>
      <c r="AG930" s="91">
        <v>4.49</v>
      </c>
      <c r="AH930" s="91">
        <v>4.1660000000000004</v>
      </c>
      <c r="AI930" s="91">
        <v>4.1109999999999998</v>
      </c>
      <c r="AJ930" s="100" t="s">
        <v>4854</v>
      </c>
      <c r="AK930" s="91">
        <v>3.6040000000000001</v>
      </c>
      <c r="AL930" s="91">
        <v>4.6429999999999998</v>
      </c>
      <c r="AM930" s="95">
        <v>1.1141000000000001</v>
      </c>
      <c r="AN930" s="95">
        <v>0.89059999999999995</v>
      </c>
      <c r="AO930" s="95">
        <v>0.93369999999999997</v>
      </c>
      <c r="AP930" s="95">
        <v>1.2549999999999999</v>
      </c>
      <c r="AQ930" s="95">
        <v>0.91800000000000004</v>
      </c>
      <c r="AR930" s="103" t="s">
        <v>4854</v>
      </c>
      <c r="AS930" s="95">
        <v>1.0142</v>
      </c>
      <c r="AT930" s="95">
        <v>0.51629999999999998</v>
      </c>
      <c r="AU930" s="95">
        <v>0.378</v>
      </c>
      <c r="AV930" s="95">
        <v>0.502</v>
      </c>
      <c r="AW930" s="95">
        <v>0.46100000000000002</v>
      </c>
      <c r="AX930" s="95">
        <v>0.42299999999999999</v>
      </c>
      <c r="AY930" s="95">
        <v>0.46400000000000002</v>
      </c>
      <c r="AZ930" s="103" t="s">
        <v>4854</v>
      </c>
      <c r="BA930" s="95">
        <v>0.44500000000000001</v>
      </c>
      <c r="BB930" s="95">
        <v>0.432</v>
      </c>
      <c r="BC930" s="10">
        <v>1</v>
      </c>
      <c r="BD930" s="10">
        <v>1</v>
      </c>
      <c r="BE930" s="10">
        <v>1</v>
      </c>
      <c r="BF930" s="10">
        <v>1</v>
      </c>
      <c r="BG930" s="10">
        <v>1</v>
      </c>
      <c r="BH930" s="4" t="s">
        <v>4854</v>
      </c>
      <c r="BI930" s="10">
        <v>1</v>
      </c>
      <c r="BJ930" s="10">
        <v>1</v>
      </c>
      <c r="BK930" s="91">
        <v>1</v>
      </c>
      <c r="BL930" s="91">
        <v>1</v>
      </c>
      <c r="BM930" s="91">
        <v>1</v>
      </c>
      <c r="BN930" s="91">
        <v>1</v>
      </c>
      <c r="BO930" s="91">
        <v>1</v>
      </c>
      <c r="BP930" s="100" t="s">
        <v>4854</v>
      </c>
      <c r="BQ930" s="91">
        <v>1</v>
      </c>
      <c r="BR930" s="91">
        <v>1</v>
      </c>
      <c r="BS930" s="10" t="s">
        <v>4857</v>
      </c>
    </row>
    <row r="931" spans="1:71" s="30" customFormat="1" ht="17.100000000000001" customHeight="1">
      <c r="A931" s="10">
        <v>920</v>
      </c>
      <c r="B931" s="10" t="s">
        <v>1416</v>
      </c>
      <c r="C931" s="4" t="s">
        <v>1803</v>
      </c>
      <c r="D931" s="4" t="s">
        <v>1408</v>
      </c>
      <c r="E931" s="7" t="s">
        <v>1409</v>
      </c>
      <c r="F931" s="10" t="s">
        <v>1410</v>
      </c>
      <c r="G931" s="4" t="s">
        <v>1411</v>
      </c>
      <c r="H931" s="7" t="s">
        <v>1412</v>
      </c>
      <c r="I931" s="4" t="s">
        <v>1413</v>
      </c>
      <c r="J931" s="10" t="s">
        <v>1414</v>
      </c>
      <c r="K931" s="4" t="s">
        <v>5902</v>
      </c>
      <c r="L931" s="4" t="s">
        <v>1415</v>
      </c>
      <c r="M931" s="10">
        <v>3</v>
      </c>
      <c r="N931" s="95">
        <v>634.64750000000004</v>
      </c>
      <c r="O931" s="38" t="s">
        <v>4854</v>
      </c>
      <c r="P931" s="38" t="s">
        <v>4854</v>
      </c>
      <c r="Q931" s="37" t="str">
        <f>HYPERLINK("http://ms.phosphosite.org:5080/cgi-bin/plot-msms.cgi?MassType=1&amp;NumAxis=1&amp;Mod12=170&amp;Pep=TYATAEPFIDAKYDVR&amp;Dta=/var/www/html/dta/S01/10560.9926.3.dta&amp;Global_Mod=CS57.0215", "9926")</f>
        <v>9926</v>
      </c>
      <c r="R931" s="37" t="str">
        <f>HYPERLINK("http://ms.phosphosite.org:5080/cgi-bin/plot-msms.cgi?MassType=1&amp;NumAxis=1&amp;Mod12=170&amp;Pep=TYATAEPFIDAKYDVR&amp;Dta=/var/www/html/dta/S01/10561.9943.3.dta&amp;Global_Mod=CS57.0215", "9943")</f>
        <v>9943</v>
      </c>
      <c r="S931" s="38" t="s">
        <v>4854</v>
      </c>
      <c r="T931" s="38" t="s">
        <v>4854</v>
      </c>
      <c r="U931" s="38" t="s">
        <v>4854</v>
      </c>
      <c r="V931" s="38" t="s">
        <v>4854</v>
      </c>
      <c r="W931" s="4" t="s">
        <v>4854</v>
      </c>
      <c r="X931" s="4" t="s">
        <v>4854</v>
      </c>
      <c r="Y931" s="10">
        <v>9457</v>
      </c>
      <c r="Z931" s="10">
        <v>9462</v>
      </c>
      <c r="AA931" s="4" t="s">
        <v>4854</v>
      </c>
      <c r="AB931" s="4" t="s">
        <v>4854</v>
      </c>
      <c r="AC931" s="4" t="s">
        <v>4854</v>
      </c>
      <c r="AD931" s="4" t="s">
        <v>4854</v>
      </c>
      <c r="AE931" s="100" t="s">
        <v>4854</v>
      </c>
      <c r="AF931" s="100" t="s">
        <v>4854</v>
      </c>
      <c r="AG931" s="91">
        <v>3.597</v>
      </c>
      <c r="AH931" s="91">
        <v>3.3490000000000002</v>
      </c>
      <c r="AI931" s="100" t="s">
        <v>4854</v>
      </c>
      <c r="AJ931" s="100" t="s">
        <v>4854</v>
      </c>
      <c r="AK931" s="100" t="s">
        <v>4854</v>
      </c>
      <c r="AL931" s="100" t="s">
        <v>4854</v>
      </c>
      <c r="AM931" s="103" t="s">
        <v>4854</v>
      </c>
      <c r="AN931" s="103" t="s">
        <v>4854</v>
      </c>
      <c r="AO931" s="95">
        <v>0.57830000000000004</v>
      </c>
      <c r="AP931" s="95">
        <v>0.22450000000000001</v>
      </c>
      <c r="AQ931" s="103" t="s">
        <v>4854</v>
      </c>
      <c r="AR931" s="103" t="s">
        <v>4854</v>
      </c>
      <c r="AS931" s="103" t="s">
        <v>4854</v>
      </c>
      <c r="AT931" s="103" t="s">
        <v>4854</v>
      </c>
      <c r="AU931" s="103" t="s">
        <v>4854</v>
      </c>
      <c r="AV931" s="103" t="s">
        <v>4854</v>
      </c>
      <c r="AW931" s="95">
        <v>0.27900000000000003</v>
      </c>
      <c r="AX931" s="95">
        <v>0.379</v>
      </c>
      <c r="AY931" s="103" t="s">
        <v>4854</v>
      </c>
      <c r="AZ931" s="103" t="s">
        <v>4854</v>
      </c>
      <c r="BA931" s="103" t="s">
        <v>4854</v>
      </c>
      <c r="BB931" s="103" t="s">
        <v>4854</v>
      </c>
      <c r="BC931" s="4" t="s">
        <v>4854</v>
      </c>
      <c r="BD931" s="4" t="s">
        <v>4854</v>
      </c>
      <c r="BE931" s="10">
        <v>4</v>
      </c>
      <c r="BF931" s="10">
        <v>2</v>
      </c>
      <c r="BG931" s="4" t="s">
        <v>4854</v>
      </c>
      <c r="BH931" s="4" t="s">
        <v>4854</v>
      </c>
      <c r="BI931" s="4" t="s">
        <v>4854</v>
      </c>
      <c r="BJ931" s="4" t="s">
        <v>4854</v>
      </c>
      <c r="BK931" s="100" t="s">
        <v>4854</v>
      </c>
      <c r="BL931" s="100" t="s">
        <v>4854</v>
      </c>
      <c r="BM931" s="91">
        <v>1</v>
      </c>
      <c r="BN931" s="91">
        <v>1</v>
      </c>
      <c r="BO931" s="100" t="s">
        <v>4854</v>
      </c>
      <c r="BP931" s="100" t="s">
        <v>4854</v>
      </c>
      <c r="BQ931" s="100" t="s">
        <v>4854</v>
      </c>
      <c r="BR931" s="100" t="s">
        <v>4854</v>
      </c>
      <c r="BS931" s="10" t="s">
        <v>4857</v>
      </c>
    </row>
    <row r="932" spans="1:71" s="30" customFormat="1" ht="17.100000000000001" customHeight="1">
      <c r="A932" s="14">
        <v>921</v>
      </c>
      <c r="B932" s="5" t="s">
        <v>1417</v>
      </c>
      <c r="C932" s="3" t="s">
        <v>1803</v>
      </c>
      <c r="D932" s="3" t="s">
        <v>1418</v>
      </c>
      <c r="E932" s="3" t="s">
        <v>1419</v>
      </c>
      <c r="F932" s="5" t="s">
        <v>4646</v>
      </c>
      <c r="G932" s="3" t="s">
        <v>1285</v>
      </c>
      <c r="H932" s="6" t="s">
        <v>1286</v>
      </c>
      <c r="I932" s="3" t="s">
        <v>1287</v>
      </c>
      <c r="J932" s="5" t="s">
        <v>4695</v>
      </c>
      <c r="K932" s="3" t="s">
        <v>5903</v>
      </c>
      <c r="L932" s="3" t="s">
        <v>1288</v>
      </c>
      <c r="M932" s="5">
        <v>2</v>
      </c>
      <c r="N932" s="21">
        <v>608.82460000000003</v>
      </c>
      <c r="O932" s="36" t="str">
        <f>HYPERLINK("http://ms.phosphosite.org:5080/cgi-bin/plot-msms.cgi?MassType=1&amp;NumAxis=1&amp;Mod3=170&amp;Pep=SLKDEDVLQK&amp;Dta=/var/www/html/dta/S01/10558.5466.2.dta&amp;Global_Mod=CS57.0215", "5466")</f>
        <v>5466</v>
      </c>
      <c r="P932" s="36" t="str">
        <f>HYPERLINK("http://ms.phosphosite.org:5080/cgi-bin/plot-msms.cgi?MassType=1&amp;NumAxis=1&amp;Mod3=170&amp;Pep=SLKDEDVLQK&amp;Dta=/var/www/html/dta/S01/10559.5389.2.dta&amp;Global_Mod=CS57.0215", "5389")</f>
        <v>5389</v>
      </c>
      <c r="Q932" s="36" t="str">
        <f>HYPERLINK("http://ms.phosphosite.org:5080/cgi-bin/plot-msms.cgi?MassType=1&amp;NumAxis=1&amp;Mod3=170&amp;Pep=SLKDEDVLQK&amp;Dta=/var/www/html/dta/S01/10560.5384.2.dta&amp;Global_Mod=CS57.0215", "5384")</f>
        <v>5384</v>
      </c>
      <c r="R932" s="36" t="str">
        <f>HYPERLINK("http://ms.phosphosite.org:5080/cgi-bin/plot-msms.cgi?MassType=1&amp;NumAxis=1&amp;Mod3=170&amp;Pep=SLKDEDVLQK&amp;Dta=/var/www/html/dta/S01/10561.5419.2.dta&amp;Global_Mod=CS57.0215", "5419")</f>
        <v>5419</v>
      </c>
      <c r="S932" s="36" t="str">
        <f>HYPERLINK("http://ms.phosphosite.org:5080/cgi-bin/plot-msms.cgi?MassType=1&amp;NumAxis=1&amp;Mod3=170&amp;Pep=SLKDEDVLQK&amp;Dta=/var/www/html/dta/S01/10562.5522.2.dta&amp;Global_Mod=CS57.0215", "5522")</f>
        <v>5522</v>
      </c>
      <c r="T932" s="36" t="str">
        <f>HYPERLINK("http://ms.phosphosite.org:5080/cgi-bin/plot-msms.cgi?MassType=1&amp;NumAxis=1&amp;Mod3=170&amp;Pep=SLKDEDVLQK&amp;Dta=/var/www/html/dta/S01/10563.5461.2.dta&amp;Global_Mod=CS57.0215", "5461")</f>
        <v>5461</v>
      </c>
      <c r="U932" s="36" t="str">
        <f>HYPERLINK("http://ms.phosphosite.org:5080/cgi-bin/plot-msms.cgi?MassType=1&amp;NumAxis=1&amp;Mod3=170&amp;Pep=SLKDEDVLQK&amp;Dta=/var/www/html/dta/S01/10564.5807.2.dta&amp;Global_Mod=CS57.0215", "5807")</f>
        <v>5807</v>
      </c>
      <c r="V932" s="36" t="str">
        <f>HYPERLINK("http://ms.phosphosite.org:5080/cgi-bin/plot-msms.cgi?MassType=1&amp;NumAxis=1&amp;Mod3=170&amp;Pep=SLKDEDVLQK&amp;Dta=/var/www/html/dta/S01/10565.5898.2.dta&amp;Global_Mod=CS57.0215", "5898")</f>
        <v>5898</v>
      </c>
      <c r="W932" s="5">
        <v>5470</v>
      </c>
      <c r="X932" s="5">
        <v>5392</v>
      </c>
      <c r="Y932" s="5">
        <v>5376</v>
      </c>
      <c r="Z932" s="5">
        <v>5414</v>
      </c>
      <c r="AA932" s="5">
        <v>5512</v>
      </c>
      <c r="AB932" s="5">
        <v>5463</v>
      </c>
      <c r="AC932" s="5">
        <v>5814</v>
      </c>
      <c r="AD932" s="5">
        <v>5899</v>
      </c>
      <c r="AE932" s="90">
        <v>2.44</v>
      </c>
      <c r="AF932" s="90">
        <v>2.5430000000000001</v>
      </c>
      <c r="AG932" s="90">
        <v>2.649</v>
      </c>
      <c r="AH932" s="90">
        <v>2.5649999999999999</v>
      </c>
      <c r="AI932" s="90">
        <v>2.0219999999999998</v>
      </c>
      <c r="AJ932" s="90">
        <v>2.4790000000000001</v>
      </c>
      <c r="AK932" s="90">
        <v>2.3479999999999999</v>
      </c>
      <c r="AL932" s="90">
        <v>2.2850000000000001</v>
      </c>
      <c r="AM932" s="21">
        <v>0.50149999999999995</v>
      </c>
      <c r="AN932" s="21">
        <v>0.61739999999999995</v>
      </c>
      <c r="AO932" s="21">
        <v>0.37819999999999998</v>
      </c>
      <c r="AP932" s="21">
        <v>1.1902999999999999</v>
      </c>
      <c r="AQ932" s="21">
        <v>-0.27029999999999998</v>
      </c>
      <c r="AR932" s="21">
        <v>5.6899999999999999E-2</v>
      </c>
      <c r="AS932" s="21">
        <v>0.41439999999999999</v>
      </c>
      <c r="AT932" s="21">
        <v>0.42430000000000001</v>
      </c>
      <c r="AU932" s="21">
        <v>0.123</v>
      </c>
      <c r="AV932" s="21">
        <v>0.128</v>
      </c>
      <c r="AW932" s="21">
        <v>0.16700000000000001</v>
      </c>
      <c r="AX932" s="21">
        <v>0.16400000000000001</v>
      </c>
      <c r="AY932" s="21">
        <v>8.6999999999999994E-2</v>
      </c>
      <c r="AZ932" s="21">
        <v>8.2000000000000003E-2</v>
      </c>
      <c r="BA932" s="21">
        <v>6.3E-2</v>
      </c>
      <c r="BB932" s="21">
        <v>9.2999999999999999E-2</v>
      </c>
      <c r="BC932" s="5">
        <v>1</v>
      </c>
      <c r="BD932" s="5">
        <v>1</v>
      </c>
      <c r="BE932" s="5">
        <v>1</v>
      </c>
      <c r="BF932" s="5">
        <v>1</v>
      </c>
      <c r="BG932" s="5">
        <v>1</v>
      </c>
      <c r="BH932" s="5">
        <v>1</v>
      </c>
      <c r="BI932" s="5">
        <v>1</v>
      </c>
      <c r="BJ932" s="5">
        <v>1</v>
      </c>
      <c r="BK932" s="90">
        <v>0.995</v>
      </c>
      <c r="BL932" s="90">
        <v>0.996</v>
      </c>
      <c r="BM932" s="90">
        <v>0.998</v>
      </c>
      <c r="BN932" s="90">
        <v>0.997</v>
      </c>
      <c r="BO932" s="90">
        <v>0.97899999999999998</v>
      </c>
      <c r="BP932" s="90">
        <v>0.99199999999999999</v>
      </c>
      <c r="BQ932" s="90">
        <v>0.98699999999999999</v>
      </c>
      <c r="BR932" s="90">
        <v>0.98899999999999999</v>
      </c>
      <c r="BS932" s="5" t="s">
        <v>4857</v>
      </c>
    </row>
    <row r="933" spans="1:71" s="30" customFormat="1" ht="17.100000000000001" customHeight="1">
      <c r="A933" s="10">
        <v>922</v>
      </c>
      <c r="B933" s="10" t="s">
        <v>1289</v>
      </c>
      <c r="C933" s="4" t="s">
        <v>1803</v>
      </c>
      <c r="D933" s="4" t="s">
        <v>1290</v>
      </c>
      <c r="E933" s="7" t="s">
        <v>1291</v>
      </c>
      <c r="F933" s="10" t="s">
        <v>1292</v>
      </c>
      <c r="G933" s="4" t="s">
        <v>1293</v>
      </c>
      <c r="H933" s="7" t="s">
        <v>1294</v>
      </c>
      <c r="I933" s="4" t="s">
        <v>1295</v>
      </c>
      <c r="J933" s="10" t="s">
        <v>4391</v>
      </c>
      <c r="K933" s="4" t="s">
        <v>5904</v>
      </c>
      <c r="L933" s="4" t="s">
        <v>1296</v>
      </c>
      <c r="M933" s="10">
        <v>3</v>
      </c>
      <c r="N933" s="95">
        <v>373.90940000000001</v>
      </c>
      <c r="O933" s="38" t="s">
        <v>4854</v>
      </c>
      <c r="P933" s="38" t="s">
        <v>4854</v>
      </c>
      <c r="Q933" s="38" t="s">
        <v>4854</v>
      </c>
      <c r="R933" s="38" t="s">
        <v>4854</v>
      </c>
      <c r="S933" s="38" t="s">
        <v>4854</v>
      </c>
      <c r="T933" s="37" t="str">
        <f>HYPERLINK("http://ms.phosphosite.org:5080/cgi-bin/plot-msms.cgi?MassType=1&amp;NumAxis=1&amp;Mod1=170&amp;Pep=KTIFVLTKK&amp;Dta=/var/www/html/dta/S01/10563.6254.3.dta&amp;Global_Mod=CS57.0215", "6254")</f>
        <v>6254</v>
      </c>
      <c r="U933" s="38" t="s">
        <v>4854</v>
      </c>
      <c r="V933" s="38" t="s">
        <v>4854</v>
      </c>
      <c r="W933" s="4" t="s">
        <v>4854</v>
      </c>
      <c r="X933" s="4" t="s">
        <v>4854</v>
      </c>
      <c r="Y933" s="4" t="s">
        <v>4854</v>
      </c>
      <c r="Z933" s="4" t="s">
        <v>4854</v>
      </c>
      <c r="AA933" s="4" t="s">
        <v>4854</v>
      </c>
      <c r="AB933" s="10">
        <v>6255</v>
      </c>
      <c r="AC933" s="4" t="s">
        <v>4854</v>
      </c>
      <c r="AD933" s="4" t="s">
        <v>4854</v>
      </c>
      <c r="AE933" s="100" t="s">
        <v>4854</v>
      </c>
      <c r="AF933" s="100" t="s">
        <v>4854</v>
      </c>
      <c r="AG933" s="100" t="s">
        <v>4854</v>
      </c>
      <c r="AH933" s="100" t="s">
        <v>4854</v>
      </c>
      <c r="AI933" s="100" t="s">
        <v>4854</v>
      </c>
      <c r="AJ933" s="91">
        <v>2.1440000000000001</v>
      </c>
      <c r="AK933" s="100" t="s">
        <v>4854</v>
      </c>
      <c r="AL933" s="100" t="s">
        <v>4854</v>
      </c>
      <c r="AM933" s="103" t="s">
        <v>4854</v>
      </c>
      <c r="AN933" s="103" t="s">
        <v>4854</v>
      </c>
      <c r="AO933" s="103" t="s">
        <v>4854</v>
      </c>
      <c r="AP933" s="103" t="s">
        <v>4854</v>
      </c>
      <c r="AQ933" s="103" t="s">
        <v>4854</v>
      </c>
      <c r="AR933" s="95">
        <v>0.40489999999999998</v>
      </c>
      <c r="AS933" s="103" t="s">
        <v>4854</v>
      </c>
      <c r="AT933" s="103" t="s">
        <v>4854</v>
      </c>
      <c r="AU933" s="103" t="s">
        <v>4854</v>
      </c>
      <c r="AV933" s="103" t="s">
        <v>4854</v>
      </c>
      <c r="AW933" s="103" t="s">
        <v>4854</v>
      </c>
      <c r="AX933" s="103" t="s">
        <v>4854</v>
      </c>
      <c r="AY933" s="103" t="s">
        <v>4854</v>
      </c>
      <c r="AZ933" s="95">
        <v>0.17599999999999999</v>
      </c>
      <c r="BA933" s="103" t="s">
        <v>4854</v>
      </c>
      <c r="BB933" s="103" t="s">
        <v>4854</v>
      </c>
      <c r="BC933" s="4" t="s">
        <v>4854</v>
      </c>
      <c r="BD933" s="4" t="s">
        <v>4854</v>
      </c>
      <c r="BE933" s="4" t="s">
        <v>4854</v>
      </c>
      <c r="BF933" s="4" t="s">
        <v>4854</v>
      </c>
      <c r="BG933" s="4" t="s">
        <v>4854</v>
      </c>
      <c r="BH933" s="10">
        <v>15</v>
      </c>
      <c r="BI933" s="4" t="s">
        <v>4854</v>
      </c>
      <c r="BJ933" s="4" t="s">
        <v>4854</v>
      </c>
      <c r="BK933" s="100" t="s">
        <v>4854</v>
      </c>
      <c r="BL933" s="100" t="s">
        <v>4854</v>
      </c>
      <c r="BM933" s="100" t="s">
        <v>4854</v>
      </c>
      <c r="BN933" s="100" t="s">
        <v>4854</v>
      </c>
      <c r="BO933" s="100" t="s">
        <v>4854</v>
      </c>
      <c r="BP933" s="91">
        <v>0.998</v>
      </c>
      <c r="BQ933" s="100" t="s">
        <v>4854</v>
      </c>
      <c r="BR933" s="100" t="s">
        <v>4854</v>
      </c>
      <c r="BS933" s="10" t="s">
        <v>4857</v>
      </c>
    </row>
    <row r="934" spans="1:71" s="30" customFormat="1" ht="17.100000000000001" customHeight="1">
      <c r="A934" s="14">
        <v>923</v>
      </c>
      <c r="B934" s="5" t="s">
        <v>1297</v>
      </c>
      <c r="C934" s="3" t="s">
        <v>1803</v>
      </c>
      <c r="D934" s="3" t="s">
        <v>1298</v>
      </c>
      <c r="E934" s="3" t="s">
        <v>1299</v>
      </c>
      <c r="F934" s="5" t="s">
        <v>1300</v>
      </c>
      <c r="G934" s="3" t="s">
        <v>1301</v>
      </c>
      <c r="H934" s="6" t="s">
        <v>1302</v>
      </c>
      <c r="I934" s="3" t="s">
        <v>1303</v>
      </c>
      <c r="J934" s="5" t="s">
        <v>4405</v>
      </c>
      <c r="K934" s="3" t="s">
        <v>5905</v>
      </c>
      <c r="L934" s="3" t="s">
        <v>1304</v>
      </c>
      <c r="M934" s="5">
        <v>2</v>
      </c>
      <c r="N934" s="21">
        <v>434.76060000000001</v>
      </c>
      <c r="O934" s="35" t="s">
        <v>4854</v>
      </c>
      <c r="P934" s="36" t="str">
        <f>HYPERLINK("http://ms.phosphosite.org:5080/cgi-bin/plot-msms.cgi?MassType=1&amp;NumAxis=1&amp;Mod4=170&amp;Mod7=170&amp;Pep=LPAKLDK&amp;Dta=/var/www/html/dta/S01/10559.3487.2.dta&amp;Global_Mod=CS57.0215", "3487")</f>
        <v>3487</v>
      </c>
      <c r="Q934" s="35" t="s">
        <v>4854</v>
      </c>
      <c r="R934" s="35" t="s">
        <v>4854</v>
      </c>
      <c r="S934" s="36" t="str">
        <f>HYPERLINK("http://ms.phosphosite.org:5080/cgi-bin/plot-msms.cgi?MassType=1&amp;NumAxis=1&amp;Mod4=170&amp;Mod7=170&amp;Pep=LPAKLDK&amp;Dta=/var/www/html/dta/S01/10562.3589.2.dta&amp;Global_Mod=CS57.0215", "3589")</f>
        <v>3589</v>
      </c>
      <c r="T934" s="35" t="s">
        <v>4854</v>
      </c>
      <c r="U934" s="35" t="s">
        <v>4854</v>
      </c>
      <c r="V934" s="35" t="s">
        <v>4854</v>
      </c>
      <c r="W934" s="3" t="s">
        <v>4854</v>
      </c>
      <c r="X934" s="3" t="s">
        <v>4854</v>
      </c>
      <c r="Y934" s="3" t="s">
        <v>4854</v>
      </c>
      <c r="Z934" s="3" t="s">
        <v>4854</v>
      </c>
      <c r="AA934" s="3" t="s">
        <v>4854</v>
      </c>
      <c r="AB934" s="3" t="s">
        <v>4854</v>
      </c>
      <c r="AC934" s="3" t="s">
        <v>4854</v>
      </c>
      <c r="AD934" s="3" t="s">
        <v>4854</v>
      </c>
      <c r="AE934" s="99" t="s">
        <v>4854</v>
      </c>
      <c r="AF934" s="90">
        <v>1.88</v>
      </c>
      <c r="AG934" s="99" t="s">
        <v>4854</v>
      </c>
      <c r="AH934" s="99" t="s">
        <v>4854</v>
      </c>
      <c r="AI934" s="90">
        <v>1.6970000000000001</v>
      </c>
      <c r="AJ934" s="99" t="s">
        <v>4854</v>
      </c>
      <c r="AK934" s="99" t="s">
        <v>4854</v>
      </c>
      <c r="AL934" s="99" t="s">
        <v>4854</v>
      </c>
      <c r="AM934" s="102" t="s">
        <v>4854</v>
      </c>
      <c r="AN934" s="21">
        <v>8.8499999999999995E-2</v>
      </c>
      <c r="AO934" s="102" t="s">
        <v>4854</v>
      </c>
      <c r="AP934" s="102" t="s">
        <v>4854</v>
      </c>
      <c r="AQ934" s="21">
        <v>0.42120000000000002</v>
      </c>
      <c r="AR934" s="102" t="s">
        <v>4854</v>
      </c>
      <c r="AS934" s="102" t="s">
        <v>4854</v>
      </c>
      <c r="AT934" s="102" t="s">
        <v>4854</v>
      </c>
      <c r="AU934" s="102" t="s">
        <v>4854</v>
      </c>
      <c r="AV934" s="21">
        <v>6.8000000000000005E-2</v>
      </c>
      <c r="AW934" s="102" t="s">
        <v>4854</v>
      </c>
      <c r="AX934" s="102" t="s">
        <v>4854</v>
      </c>
      <c r="AY934" s="21">
        <v>7.0000000000000007E-2</v>
      </c>
      <c r="AZ934" s="102" t="s">
        <v>4854</v>
      </c>
      <c r="BA934" s="102" t="s">
        <v>4854</v>
      </c>
      <c r="BB934" s="102" t="s">
        <v>4854</v>
      </c>
      <c r="BC934" s="3" t="s">
        <v>4854</v>
      </c>
      <c r="BD934" s="5">
        <v>1</v>
      </c>
      <c r="BE934" s="3" t="s">
        <v>4854</v>
      </c>
      <c r="BF934" s="3" t="s">
        <v>4854</v>
      </c>
      <c r="BG934" s="5">
        <v>2</v>
      </c>
      <c r="BH934" s="3" t="s">
        <v>4854</v>
      </c>
      <c r="BI934" s="3" t="s">
        <v>4854</v>
      </c>
      <c r="BJ934" s="3" t="s">
        <v>4854</v>
      </c>
      <c r="BK934" s="99" t="s">
        <v>4854</v>
      </c>
      <c r="BL934" s="90">
        <v>0.24199999999999999</v>
      </c>
      <c r="BM934" s="99" t="s">
        <v>4854</v>
      </c>
      <c r="BN934" s="99" t="s">
        <v>4854</v>
      </c>
      <c r="BO934" s="90">
        <v>0.125</v>
      </c>
      <c r="BP934" s="99" t="s">
        <v>4854</v>
      </c>
      <c r="BQ934" s="99" t="s">
        <v>4854</v>
      </c>
      <c r="BR934" s="99" t="s">
        <v>4854</v>
      </c>
      <c r="BS934" s="5" t="s">
        <v>4857</v>
      </c>
    </row>
    <row r="935" spans="1:71" s="30" customFormat="1" ht="17.100000000000001" customHeight="1">
      <c r="A935" s="10">
        <v>924</v>
      </c>
      <c r="B935" s="10" t="s">
        <v>1305</v>
      </c>
      <c r="C935" s="4" t="s">
        <v>1803</v>
      </c>
      <c r="D935" s="4" t="s">
        <v>1306</v>
      </c>
      <c r="E935" s="4" t="s">
        <v>1307</v>
      </c>
      <c r="F935" s="10" t="s">
        <v>5293</v>
      </c>
      <c r="G935" s="4" t="s">
        <v>1308</v>
      </c>
      <c r="H935" s="7" t="s">
        <v>1309</v>
      </c>
      <c r="I935" s="4" t="s">
        <v>1310</v>
      </c>
      <c r="J935" s="10" t="s">
        <v>4537</v>
      </c>
      <c r="K935" s="4" t="s">
        <v>5906</v>
      </c>
      <c r="L935" s="4" t="s">
        <v>1311</v>
      </c>
      <c r="M935" s="10">
        <v>2</v>
      </c>
      <c r="N935" s="95">
        <v>601.84259999999995</v>
      </c>
      <c r="O935" s="38" t="s">
        <v>4854</v>
      </c>
      <c r="P935" s="38" t="s">
        <v>4854</v>
      </c>
      <c r="Q935" s="38" t="s">
        <v>4854</v>
      </c>
      <c r="R935" s="38" t="s">
        <v>4854</v>
      </c>
      <c r="S935" s="37" t="str">
        <f>HYPERLINK("http://ms.phosphosite.org:5080/cgi-bin/plot-msms.cgi?MassType=1&amp;NumAxis=1&amp;Mod7=170&amp;Pep=AVELNPKYVK&amp;Dta=/var/www/html/dta/S01/10562.5882.2.dta&amp;Global_Mod=CS57.0215", "5882")</f>
        <v>5882</v>
      </c>
      <c r="T935" s="38" t="s">
        <v>4854</v>
      </c>
      <c r="U935" s="38" t="s">
        <v>4854</v>
      </c>
      <c r="V935" s="37" t="str">
        <f>HYPERLINK("http://ms.phosphosite.org:5080/cgi-bin/plot-msms.cgi?MassType=1&amp;NumAxis=1&amp;Mod7=170&amp;Pep=AVELNPKYVK&amp;Dta=/var/www/html/dta/S01/10565.6282.2.dta&amp;Global_Mod=CS57.0215", "6282")</f>
        <v>6282</v>
      </c>
      <c r="W935" s="4" t="s">
        <v>4854</v>
      </c>
      <c r="X935" s="4" t="s">
        <v>4854</v>
      </c>
      <c r="Y935" s="4" t="s">
        <v>4854</v>
      </c>
      <c r="Z935" s="4" t="s">
        <v>4854</v>
      </c>
      <c r="AA935" s="10">
        <v>5875</v>
      </c>
      <c r="AB935" s="4" t="s">
        <v>4854</v>
      </c>
      <c r="AC935" s="4" t="s">
        <v>4854</v>
      </c>
      <c r="AD935" s="4" t="s">
        <v>4854</v>
      </c>
      <c r="AE935" s="100" t="s">
        <v>4854</v>
      </c>
      <c r="AF935" s="100" t="s">
        <v>4854</v>
      </c>
      <c r="AG935" s="100" t="s">
        <v>4854</v>
      </c>
      <c r="AH935" s="100" t="s">
        <v>4854</v>
      </c>
      <c r="AI935" s="91">
        <v>2.2799999999999998</v>
      </c>
      <c r="AJ935" s="100" t="s">
        <v>4854</v>
      </c>
      <c r="AK935" s="100" t="s">
        <v>4854</v>
      </c>
      <c r="AL935" s="91">
        <v>1.7529999999999999</v>
      </c>
      <c r="AM935" s="103" t="s">
        <v>4854</v>
      </c>
      <c r="AN935" s="103" t="s">
        <v>4854</v>
      </c>
      <c r="AO935" s="103" t="s">
        <v>4854</v>
      </c>
      <c r="AP935" s="103" t="s">
        <v>4854</v>
      </c>
      <c r="AQ935" s="95">
        <v>0.41460000000000002</v>
      </c>
      <c r="AR935" s="103" t="s">
        <v>4854</v>
      </c>
      <c r="AS935" s="103" t="s">
        <v>4854</v>
      </c>
      <c r="AT935" s="95">
        <v>-0.214</v>
      </c>
      <c r="AU935" s="103" t="s">
        <v>4854</v>
      </c>
      <c r="AV935" s="103" t="s">
        <v>4854</v>
      </c>
      <c r="AW935" s="103" t="s">
        <v>4854</v>
      </c>
      <c r="AX935" s="103" t="s">
        <v>4854</v>
      </c>
      <c r="AY935" s="95">
        <v>0.14499999999999999</v>
      </c>
      <c r="AZ935" s="103" t="s">
        <v>4854</v>
      </c>
      <c r="BA935" s="103" t="s">
        <v>4854</v>
      </c>
      <c r="BB935" s="95">
        <v>3.7999999999999999E-2</v>
      </c>
      <c r="BC935" s="4" t="s">
        <v>4854</v>
      </c>
      <c r="BD935" s="4" t="s">
        <v>4854</v>
      </c>
      <c r="BE935" s="4" t="s">
        <v>4854</v>
      </c>
      <c r="BF935" s="4" t="s">
        <v>4854</v>
      </c>
      <c r="BG935" s="10">
        <v>6</v>
      </c>
      <c r="BH935" s="4" t="s">
        <v>4854</v>
      </c>
      <c r="BI935" s="4" t="s">
        <v>4854</v>
      </c>
      <c r="BJ935" s="10">
        <v>12</v>
      </c>
      <c r="BK935" s="100" t="s">
        <v>4854</v>
      </c>
      <c r="BL935" s="100" t="s">
        <v>4854</v>
      </c>
      <c r="BM935" s="100" t="s">
        <v>4854</v>
      </c>
      <c r="BN935" s="100" t="s">
        <v>4854</v>
      </c>
      <c r="BO935" s="91">
        <v>0.99</v>
      </c>
      <c r="BP935" s="100" t="s">
        <v>4854</v>
      </c>
      <c r="BQ935" s="100" t="s">
        <v>4854</v>
      </c>
      <c r="BR935" s="91">
        <v>0.84599999999999997</v>
      </c>
      <c r="BS935" s="10" t="s">
        <v>4857</v>
      </c>
    </row>
    <row r="936" spans="1:71" s="30" customFormat="1" ht="17.100000000000001" customHeight="1">
      <c r="A936" s="14">
        <v>925</v>
      </c>
      <c r="B936" s="5" t="s">
        <v>1312</v>
      </c>
      <c r="C936" s="3" t="s">
        <v>1803</v>
      </c>
      <c r="D936" s="3" t="s">
        <v>1313</v>
      </c>
      <c r="E936" s="3" t="s">
        <v>1314</v>
      </c>
      <c r="F936" s="5" t="s">
        <v>1315</v>
      </c>
      <c r="G936" s="3" t="s">
        <v>1316</v>
      </c>
      <c r="H936" s="6" t="s">
        <v>1317</v>
      </c>
      <c r="I936" s="3" t="s">
        <v>1318</v>
      </c>
      <c r="J936" s="5" t="s">
        <v>4670</v>
      </c>
      <c r="K936" s="3" t="s">
        <v>5907</v>
      </c>
      <c r="L936" s="3" t="s">
        <v>1319</v>
      </c>
      <c r="M936" s="5">
        <v>3</v>
      </c>
      <c r="N936" s="21">
        <v>417.9067</v>
      </c>
      <c r="O936" s="35" t="s">
        <v>4854</v>
      </c>
      <c r="P936" s="35" t="s">
        <v>4854</v>
      </c>
      <c r="Q936" s="35" t="s">
        <v>4854</v>
      </c>
      <c r="R936" s="35" t="s">
        <v>4854</v>
      </c>
      <c r="S936" s="35" t="s">
        <v>4854</v>
      </c>
      <c r="T936" s="35" t="s">
        <v>4854</v>
      </c>
      <c r="U936" s="35" t="s">
        <v>4854</v>
      </c>
      <c r="V936" s="36" t="str">
        <f>HYPERLINK("http://ms.phosphosite.org:5080/cgi-bin/plot-msms.cgi?MassType=1&amp;NumAxis=1&amp;Mod6=170&amp;Mod7=170&amp;Pep=KALHGKKEEK&amp;Dta=/var/www/html/dta/S01/10565.4787.3.dta&amp;Global_Mod=CS57.0215", "4787")</f>
        <v>4787</v>
      </c>
      <c r="W936" s="3" t="s">
        <v>4854</v>
      </c>
      <c r="X936" s="3" t="s">
        <v>4854</v>
      </c>
      <c r="Y936" s="3" t="s">
        <v>4854</v>
      </c>
      <c r="Z936" s="3" t="s">
        <v>4854</v>
      </c>
      <c r="AA936" s="3" t="s">
        <v>4854</v>
      </c>
      <c r="AB936" s="3" t="s">
        <v>4854</v>
      </c>
      <c r="AC936" s="3" t="s">
        <v>4854</v>
      </c>
      <c r="AD936" s="3" t="s">
        <v>4854</v>
      </c>
      <c r="AE936" s="99" t="s">
        <v>4854</v>
      </c>
      <c r="AF936" s="99" t="s">
        <v>4854</v>
      </c>
      <c r="AG936" s="99" t="s">
        <v>4854</v>
      </c>
      <c r="AH936" s="99" t="s">
        <v>4854</v>
      </c>
      <c r="AI936" s="99" t="s">
        <v>4854</v>
      </c>
      <c r="AJ936" s="99" t="s">
        <v>4854</v>
      </c>
      <c r="AK936" s="99" t="s">
        <v>4854</v>
      </c>
      <c r="AL936" s="90">
        <v>1.548</v>
      </c>
      <c r="AM936" s="102" t="s">
        <v>4854</v>
      </c>
      <c r="AN936" s="102" t="s">
        <v>4854</v>
      </c>
      <c r="AO936" s="102" t="s">
        <v>4854</v>
      </c>
      <c r="AP936" s="102" t="s">
        <v>4854</v>
      </c>
      <c r="AQ936" s="102" t="s">
        <v>4854</v>
      </c>
      <c r="AR936" s="102" t="s">
        <v>4854</v>
      </c>
      <c r="AS936" s="102" t="s">
        <v>4854</v>
      </c>
      <c r="AT936" s="21">
        <v>-7.8399999999999997E-2</v>
      </c>
      <c r="AU936" s="102" t="s">
        <v>4854</v>
      </c>
      <c r="AV936" s="102" t="s">
        <v>4854</v>
      </c>
      <c r="AW936" s="102" t="s">
        <v>4854</v>
      </c>
      <c r="AX936" s="102" t="s">
        <v>4854</v>
      </c>
      <c r="AY936" s="102" t="s">
        <v>4854</v>
      </c>
      <c r="AZ936" s="102" t="s">
        <v>4854</v>
      </c>
      <c r="BA936" s="102" t="s">
        <v>4854</v>
      </c>
      <c r="BB936" s="21">
        <v>1.9E-2</v>
      </c>
      <c r="BC936" s="3" t="s">
        <v>4854</v>
      </c>
      <c r="BD936" s="3" t="s">
        <v>4854</v>
      </c>
      <c r="BE936" s="3" t="s">
        <v>4854</v>
      </c>
      <c r="BF936" s="3" t="s">
        <v>4854</v>
      </c>
      <c r="BG936" s="3" t="s">
        <v>4854</v>
      </c>
      <c r="BH936" s="3" t="s">
        <v>4854</v>
      </c>
      <c r="BI936" s="3" t="s">
        <v>4854</v>
      </c>
      <c r="BJ936" s="5">
        <v>115</v>
      </c>
      <c r="BK936" s="99" t="s">
        <v>4854</v>
      </c>
      <c r="BL936" s="99" t="s">
        <v>4854</v>
      </c>
      <c r="BM936" s="99" t="s">
        <v>4854</v>
      </c>
      <c r="BN936" s="99" t="s">
        <v>4854</v>
      </c>
      <c r="BO936" s="99" t="s">
        <v>4854</v>
      </c>
      <c r="BP936" s="99" t="s">
        <v>4854</v>
      </c>
      <c r="BQ936" s="99" t="s">
        <v>4854</v>
      </c>
      <c r="BR936" s="90">
        <v>0.70699999999999996</v>
      </c>
      <c r="BS936" s="5" t="s">
        <v>4857</v>
      </c>
    </row>
    <row r="937" spans="1:71" s="30" customFormat="1" ht="17.100000000000001" customHeight="1">
      <c r="A937" s="10">
        <v>926</v>
      </c>
      <c r="B937" s="10" t="s">
        <v>1320</v>
      </c>
      <c r="C937" s="4" t="s">
        <v>1803</v>
      </c>
      <c r="D937" s="4" t="s">
        <v>1321</v>
      </c>
      <c r="E937" s="4" t="s">
        <v>1322</v>
      </c>
      <c r="F937" s="10" t="s">
        <v>2168</v>
      </c>
      <c r="G937" s="4" t="s">
        <v>1323</v>
      </c>
      <c r="H937" s="7" t="s">
        <v>1324</v>
      </c>
      <c r="I937" s="4" t="s">
        <v>1325</v>
      </c>
      <c r="J937" s="10" t="s">
        <v>4448</v>
      </c>
      <c r="K937" s="4" t="s">
        <v>5908</v>
      </c>
      <c r="L937" s="4" t="s">
        <v>1326</v>
      </c>
      <c r="M937" s="10">
        <v>2</v>
      </c>
      <c r="N937" s="95">
        <v>821.87289999999996</v>
      </c>
      <c r="O937" s="37" t="str">
        <f>HYPERLINK("http://ms.phosphosite.org:5080/cgi-bin/plot-msms.cgi?MassType=1&amp;NumAxis=1&amp;Mod3=170&amp;Mod9=160&amp;Mod12=160&amp;Pep=QLKVAVFGCMSCNS&amp;Dta=/var/www/html/dta/S01/10558.7590.2.dta&amp;Global_Mod=CS57.0215", "7590")</f>
        <v>7590</v>
      </c>
      <c r="P937" s="38" t="s">
        <v>4854</v>
      </c>
      <c r="Q937" s="37" t="str">
        <f>HYPERLINK("http://ms.phosphosite.org:5080/cgi-bin/plot-msms.cgi?MassType=1&amp;NumAxis=1&amp;Mod3=170&amp;Mod9=160&amp;Mod12=160&amp;Pep=QLKVAVFGCMSCNS&amp;Dta=/var/www/html/dta/S01/10560.7537.2.dta&amp;Global_Mod=CS57.0215", "7537")</f>
        <v>7537</v>
      </c>
      <c r="R937" s="37" t="str">
        <f>HYPERLINK("http://ms.phosphosite.org:5080/cgi-bin/plot-msms.cgi?MassType=1&amp;NumAxis=1&amp;Mod3=170&amp;Mod9=160&amp;Mod12=160&amp;Pep=QLKVAVFGCMSCNS&amp;Dta=/var/www/html/dta/S01/10561.7481.2.dta&amp;Global_Mod=CS57.0215", "7481")</f>
        <v>7481</v>
      </c>
      <c r="S937" s="37" t="str">
        <f>HYPERLINK("http://ms.phosphosite.org:5080/cgi-bin/plot-msms.cgi?MassType=1&amp;NumAxis=1&amp;Mod3=170&amp;Mod9=160&amp;Mod12=160&amp;Pep=QLKVAVFGCMSCNS&amp;Dta=/var/www/html/dta/S01/10562.7595.2.dta&amp;Global_Mod=CS57.0215", "7595")</f>
        <v>7595</v>
      </c>
      <c r="T937" s="37" t="str">
        <f>HYPERLINK("http://ms.phosphosite.org:5080/cgi-bin/plot-msms.cgi?MassType=1&amp;NumAxis=1&amp;Mod3=170&amp;Mod9=160&amp;Mod12=160&amp;Pep=QLKVAVFGCMSCNS&amp;Dta=/var/www/html/dta/S01/10563.7561.2.dta&amp;Global_Mod=CS57.0215", "7561")</f>
        <v>7561</v>
      </c>
      <c r="U937" s="37" t="str">
        <f>HYPERLINK("http://ms.phosphosite.org:5080/cgi-bin/plot-msms.cgi?MassType=1&amp;NumAxis=1&amp;Mod3=170&amp;Mod9=160&amp;Mod12=160&amp;Pep=QLKVAVFGCMSCNS&amp;Dta=/var/www/html/dta/S01/10564.8062.2.dta&amp;Global_Mod=CS57.0215", "8062")</f>
        <v>8062</v>
      </c>
      <c r="V937" s="38" t="s">
        <v>4854</v>
      </c>
      <c r="W937" s="4" t="s">
        <v>4854</v>
      </c>
      <c r="X937" s="4" t="s">
        <v>4854</v>
      </c>
      <c r="Y937" s="4" t="s">
        <v>4854</v>
      </c>
      <c r="Z937" s="4" t="s">
        <v>4854</v>
      </c>
      <c r="AA937" s="4" t="s">
        <v>4854</v>
      </c>
      <c r="AB937" s="4" t="s">
        <v>4854</v>
      </c>
      <c r="AC937" s="4" t="s">
        <v>4854</v>
      </c>
      <c r="AD937" s="4" t="s">
        <v>4854</v>
      </c>
      <c r="AE937" s="91">
        <v>2.2629999999999999</v>
      </c>
      <c r="AF937" s="100" t="s">
        <v>4854</v>
      </c>
      <c r="AG937" s="91">
        <v>2.14</v>
      </c>
      <c r="AH937" s="91">
        <v>2.113</v>
      </c>
      <c r="AI937" s="91">
        <v>2.109</v>
      </c>
      <c r="AJ937" s="91">
        <v>2.2480000000000002</v>
      </c>
      <c r="AK937" s="91">
        <v>2.129</v>
      </c>
      <c r="AL937" s="100" t="s">
        <v>4854</v>
      </c>
      <c r="AM937" s="95">
        <v>0.37080000000000002</v>
      </c>
      <c r="AN937" s="103" t="s">
        <v>4854</v>
      </c>
      <c r="AO937" s="95">
        <v>0.63380000000000003</v>
      </c>
      <c r="AP937" s="95">
        <v>0.59970000000000001</v>
      </c>
      <c r="AQ937" s="95">
        <v>0.24970000000000001</v>
      </c>
      <c r="AR937" s="95">
        <v>0.29289999999999999</v>
      </c>
      <c r="AS937" s="95">
        <v>0.22040000000000001</v>
      </c>
      <c r="AT937" s="103" t="s">
        <v>4854</v>
      </c>
      <c r="AU937" s="95">
        <v>0.21</v>
      </c>
      <c r="AV937" s="103" t="s">
        <v>4854</v>
      </c>
      <c r="AW937" s="95">
        <v>6.0999999999999999E-2</v>
      </c>
      <c r="AX937" s="95">
        <v>3.3000000000000002E-2</v>
      </c>
      <c r="AY937" s="95">
        <v>7.0000000000000007E-2</v>
      </c>
      <c r="AZ937" s="95">
        <v>9.5000000000000001E-2</v>
      </c>
      <c r="BA937" s="95">
        <v>0.16</v>
      </c>
      <c r="BB937" s="103" t="s">
        <v>4854</v>
      </c>
      <c r="BC937" s="10">
        <v>12</v>
      </c>
      <c r="BD937" s="4" t="s">
        <v>4854</v>
      </c>
      <c r="BE937" s="10">
        <v>11</v>
      </c>
      <c r="BF937" s="10">
        <v>4</v>
      </c>
      <c r="BG937" s="10">
        <v>4</v>
      </c>
      <c r="BH937" s="10">
        <v>35</v>
      </c>
      <c r="BI937" s="10">
        <v>14</v>
      </c>
      <c r="BJ937" s="4" t="s">
        <v>4854</v>
      </c>
      <c r="BK937" s="91">
        <v>0.46200000000000002</v>
      </c>
      <c r="BL937" s="100" t="s">
        <v>4854</v>
      </c>
      <c r="BM937" s="91">
        <v>0.10100000000000001</v>
      </c>
      <c r="BN937" s="91">
        <v>9.5000000000000001E-2</v>
      </c>
      <c r="BO937" s="91">
        <v>0.14000000000000001</v>
      </c>
      <c r="BP937" s="91">
        <v>0.127</v>
      </c>
      <c r="BQ937" s="91">
        <v>0.252</v>
      </c>
      <c r="BR937" s="100" t="s">
        <v>4854</v>
      </c>
      <c r="BS937" s="10" t="s">
        <v>4857</v>
      </c>
    </row>
    <row r="938" spans="1:71" s="30" customFormat="1" ht="17.100000000000001" customHeight="1">
      <c r="A938" s="10">
        <v>927</v>
      </c>
      <c r="B938" s="10" t="s">
        <v>1327</v>
      </c>
      <c r="C938" s="4" t="s">
        <v>1803</v>
      </c>
      <c r="D938" s="4" t="s">
        <v>1321</v>
      </c>
      <c r="E938" s="4" t="s">
        <v>1322</v>
      </c>
      <c r="F938" s="10" t="s">
        <v>2168</v>
      </c>
      <c r="G938" s="4" t="s">
        <v>1323</v>
      </c>
      <c r="H938" s="7" t="s">
        <v>1324</v>
      </c>
      <c r="I938" s="4" t="s">
        <v>1325</v>
      </c>
      <c r="J938" s="10" t="s">
        <v>4448</v>
      </c>
      <c r="K938" s="4" t="s">
        <v>5908</v>
      </c>
      <c r="L938" s="4" t="s">
        <v>1326</v>
      </c>
      <c r="M938" s="10">
        <v>2</v>
      </c>
      <c r="N938" s="95">
        <v>821.87289999999996</v>
      </c>
      <c r="O938" s="38" t="s">
        <v>4854</v>
      </c>
      <c r="P938" s="38" t="s">
        <v>4854</v>
      </c>
      <c r="Q938" s="38" t="s">
        <v>4854</v>
      </c>
      <c r="R938" s="38" t="s">
        <v>4854</v>
      </c>
      <c r="S938" s="37" t="str">
        <f>HYPERLINK("http://ms.phosphosite.org:5080/cgi-bin/plot-msms.cgi?MassType=1&amp;NumAxis=1&amp;Mod3=170&amp;Mod9=160&amp;Mod12=160&amp;Pep=QLKVAVFGCMSCNS&amp;Dta=/var/www/html/dta/S01/10562.7689.2.dta&amp;Global_Mod=CS57.0215", "7689")</f>
        <v>7689</v>
      </c>
      <c r="T938" s="38" t="s">
        <v>4854</v>
      </c>
      <c r="U938" s="38" t="s">
        <v>4854</v>
      </c>
      <c r="V938" s="38" t="s">
        <v>4854</v>
      </c>
      <c r="W938" s="4" t="s">
        <v>4854</v>
      </c>
      <c r="X938" s="4" t="s">
        <v>4854</v>
      </c>
      <c r="Y938" s="4" t="s">
        <v>4854</v>
      </c>
      <c r="Z938" s="4" t="s">
        <v>4854</v>
      </c>
      <c r="AA938" s="4" t="s">
        <v>4854</v>
      </c>
      <c r="AB938" s="4" t="s">
        <v>4854</v>
      </c>
      <c r="AC938" s="4" t="s">
        <v>4854</v>
      </c>
      <c r="AD938" s="4" t="s">
        <v>4854</v>
      </c>
      <c r="AE938" s="100" t="s">
        <v>4854</v>
      </c>
      <c r="AF938" s="100" t="s">
        <v>4854</v>
      </c>
      <c r="AG938" s="100" t="s">
        <v>4854</v>
      </c>
      <c r="AH938" s="100" t="s">
        <v>4854</v>
      </c>
      <c r="AI938" s="91">
        <v>1.978</v>
      </c>
      <c r="AJ938" s="100" t="s">
        <v>4854</v>
      </c>
      <c r="AK938" s="100" t="s">
        <v>4854</v>
      </c>
      <c r="AL938" s="100" t="s">
        <v>4854</v>
      </c>
      <c r="AM938" s="103" t="s">
        <v>4854</v>
      </c>
      <c r="AN938" s="103" t="s">
        <v>4854</v>
      </c>
      <c r="AO938" s="103" t="s">
        <v>4854</v>
      </c>
      <c r="AP938" s="103" t="s">
        <v>4854</v>
      </c>
      <c r="AQ938" s="95">
        <v>0.2351</v>
      </c>
      <c r="AR938" s="103" t="s">
        <v>4854</v>
      </c>
      <c r="AS938" s="103" t="s">
        <v>4854</v>
      </c>
      <c r="AT938" s="103" t="s">
        <v>4854</v>
      </c>
      <c r="AU938" s="103" t="s">
        <v>4854</v>
      </c>
      <c r="AV938" s="103" t="s">
        <v>4854</v>
      </c>
      <c r="AW938" s="103" t="s">
        <v>4854</v>
      </c>
      <c r="AX938" s="103" t="s">
        <v>4854</v>
      </c>
      <c r="AY938" s="95">
        <v>0.109</v>
      </c>
      <c r="AZ938" s="103" t="s">
        <v>4854</v>
      </c>
      <c r="BA938" s="103" t="s">
        <v>4854</v>
      </c>
      <c r="BB938" s="103" t="s">
        <v>4854</v>
      </c>
      <c r="BC938" s="4" t="s">
        <v>4854</v>
      </c>
      <c r="BD938" s="4" t="s">
        <v>4854</v>
      </c>
      <c r="BE938" s="4" t="s">
        <v>4854</v>
      </c>
      <c r="BF938" s="4" t="s">
        <v>4854</v>
      </c>
      <c r="BG938" s="10">
        <v>1</v>
      </c>
      <c r="BH938" s="4" t="s">
        <v>4854</v>
      </c>
      <c r="BI938" s="4" t="s">
        <v>4854</v>
      </c>
      <c r="BJ938" s="4" t="s">
        <v>4854</v>
      </c>
      <c r="BK938" s="100" t="s">
        <v>4854</v>
      </c>
      <c r="BL938" s="100" t="s">
        <v>4854</v>
      </c>
      <c r="BM938" s="100" t="s">
        <v>4854</v>
      </c>
      <c r="BN938" s="100" t="s">
        <v>4854</v>
      </c>
      <c r="BO938" s="91">
        <v>0.23499999999999999</v>
      </c>
      <c r="BP938" s="100" t="s">
        <v>4854</v>
      </c>
      <c r="BQ938" s="100" t="s">
        <v>4854</v>
      </c>
      <c r="BR938" s="100" t="s">
        <v>4854</v>
      </c>
      <c r="BS938" s="10" t="s">
        <v>4857</v>
      </c>
    </row>
    <row r="939" spans="1:71" s="30" customFormat="1" ht="17.100000000000001" customHeight="1">
      <c r="A939" s="14">
        <v>928</v>
      </c>
      <c r="B939" s="5" t="s">
        <v>1328</v>
      </c>
      <c r="C939" s="3" t="s">
        <v>1803</v>
      </c>
      <c r="D939" s="3" t="s">
        <v>1329</v>
      </c>
      <c r="E939" s="6" t="s">
        <v>1330</v>
      </c>
      <c r="F939" s="5" t="s">
        <v>5254</v>
      </c>
      <c r="G939" s="3" t="s">
        <v>1331</v>
      </c>
      <c r="H939" s="6" t="s">
        <v>1332</v>
      </c>
      <c r="I939" s="3" t="s">
        <v>1333</v>
      </c>
      <c r="J939" s="5" t="s">
        <v>4683</v>
      </c>
      <c r="K939" s="3" t="s">
        <v>5909</v>
      </c>
      <c r="L939" s="3" t="s">
        <v>1334</v>
      </c>
      <c r="M939" s="5">
        <v>2</v>
      </c>
      <c r="N939" s="21">
        <v>1015.4880000000001</v>
      </c>
      <c r="O939" s="36" t="str">
        <f>HYPERLINK("http://ms.phosphosite.org:5080/cgi-bin/plot-msms.cgi?MassType=1&amp;NumAxis=1&amp;Mod6=170&amp;Mod14=160&amp;Pep=FGIAAKYQVDPDACFSAK&amp;Dta=/var/www/html/dta/S01/10558.9933.2.dta&amp;Global_Mod=CS57.0215", "9933")</f>
        <v>9933</v>
      </c>
      <c r="P939" s="36" t="str">
        <f>HYPERLINK("http://ms.phosphosite.org:5080/cgi-bin/plot-msms.cgi?MassType=1&amp;NumAxis=1&amp;Mod6=170&amp;Mod14=160&amp;Pep=FGIAAKYQVDPDACFSAK&amp;Dta=/var/www/html/dta/S01/10559.10031.2.dta&amp;Global_Mod=CS57.0215", "10031")</f>
        <v>10031</v>
      </c>
      <c r="Q939" s="36" t="str">
        <f>HYPERLINK("http://ms.phosphosite.org:5080/cgi-bin/plot-msms.cgi?MassType=1&amp;NumAxis=1&amp;Mod6=170&amp;Mod14=160&amp;Pep=FGIAAKYQVDPDACFSAK&amp;Dta=/var/www/html/dta/S01/10560.9859.2.dta&amp;Global_Mod=CS57.0215", "9859")</f>
        <v>9859</v>
      </c>
      <c r="R939" s="36" t="str">
        <f>HYPERLINK("http://ms.phosphosite.org:5080/cgi-bin/plot-msms.cgi?MassType=1&amp;NumAxis=1&amp;Mod6=170&amp;Mod14=160&amp;Pep=FGIAAKYQVDPDACFSAK&amp;Dta=/var/www/html/dta/S01/10561.9946.2.dta&amp;Global_Mod=CS57.0215", "9946")</f>
        <v>9946</v>
      </c>
      <c r="S939" s="36" t="str">
        <f>HYPERLINK("http://ms.phosphosite.org:5080/cgi-bin/plot-msms.cgi?MassType=1&amp;NumAxis=1&amp;Mod6=170&amp;Mod14=160&amp;Pep=FGIAAKYQVDPDACFSAK&amp;Dta=/var/www/html/dta/S01/10562.10129.2.dta&amp;Global_Mod=CS57.0215", "10129")</f>
        <v>10129</v>
      </c>
      <c r="T939" s="36" t="str">
        <f>HYPERLINK("http://ms.phosphosite.org:5080/cgi-bin/plot-msms.cgi?MassType=1&amp;NumAxis=1&amp;Mod6=170&amp;Mod14=160&amp;Pep=FGIAAKYQVDPDACFSAK&amp;Dta=/var/www/html/dta/S01/10563.9971.2.dta&amp;Global_Mod=CS57.0215", "9971")</f>
        <v>9971</v>
      </c>
      <c r="U939" s="36" t="str">
        <f>HYPERLINK("http://ms.phosphosite.org:5080/cgi-bin/plot-msms.cgi?MassType=1&amp;NumAxis=1&amp;Mod6=170&amp;Mod14=160&amp;Pep=FGIAAKYQVDPDACFSAK&amp;Dta=/var/www/html/dta/S01/10564.10659.2.dta&amp;Global_Mod=CS57.0215", "10659")</f>
        <v>10659</v>
      </c>
      <c r="V939" s="36" t="str">
        <f>HYPERLINK("http://ms.phosphosite.org:5080/cgi-bin/plot-msms.cgi?MassType=1&amp;NumAxis=1&amp;Mod6=170&amp;Mod14=160&amp;Pep=FGIAAKYQVDPDACFSAK&amp;Dta=/var/www/html/dta/S01/10565.10413.2.dta&amp;Global_Mod=CS57.0215", "10413")</f>
        <v>10413</v>
      </c>
      <c r="W939" s="5">
        <v>9899</v>
      </c>
      <c r="X939" s="5">
        <v>9871</v>
      </c>
      <c r="Y939" s="5">
        <v>9897</v>
      </c>
      <c r="Z939" s="5">
        <v>9912</v>
      </c>
      <c r="AA939" s="5">
        <v>10059</v>
      </c>
      <c r="AB939" s="5">
        <v>9995</v>
      </c>
      <c r="AC939" s="5">
        <v>10478</v>
      </c>
      <c r="AD939" s="5">
        <v>10464</v>
      </c>
      <c r="AE939" s="90">
        <v>2.8879999999999999</v>
      </c>
      <c r="AF939" s="90">
        <v>2.774</v>
      </c>
      <c r="AG939" s="90">
        <v>2.7719999999999998</v>
      </c>
      <c r="AH939" s="90">
        <v>3.4649999999999999</v>
      </c>
      <c r="AI939" s="90">
        <v>2.8140000000000001</v>
      </c>
      <c r="AJ939" s="90">
        <v>3.129</v>
      </c>
      <c r="AK939" s="90">
        <v>3.214</v>
      </c>
      <c r="AL939" s="90">
        <v>3.1150000000000002</v>
      </c>
      <c r="AM939" s="21">
        <v>1.0851999999999999</v>
      </c>
      <c r="AN939" s="21">
        <v>1.3606</v>
      </c>
      <c r="AO939" s="21">
        <v>1.2719</v>
      </c>
      <c r="AP939" s="21">
        <v>1.2921</v>
      </c>
      <c r="AQ939" s="21">
        <v>0.89900000000000002</v>
      </c>
      <c r="AR939" s="21">
        <v>0.75119999999999998</v>
      </c>
      <c r="AS939" s="21">
        <v>0.85019999999999996</v>
      </c>
      <c r="AT939" s="21">
        <v>0.50639999999999996</v>
      </c>
      <c r="AU939" s="21">
        <v>0.5</v>
      </c>
      <c r="AV939" s="21">
        <v>0.58899999999999997</v>
      </c>
      <c r="AW939" s="21">
        <v>0.53100000000000003</v>
      </c>
      <c r="AX939" s="21">
        <v>0.51200000000000001</v>
      </c>
      <c r="AY939" s="21">
        <v>0.51700000000000002</v>
      </c>
      <c r="AZ939" s="21">
        <v>0.48699999999999999</v>
      </c>
      <c r="BA939" s="21">
        <v>0.49399999999999999</v>
      </c>
      <c r="BB939" s="21">
        <v>0.47599999999999998</v>
      </c>
      <c r="BC939" s="5">
        <v>1</v>
      </c>
      <c r="BD939" s="5">
        <v>1</v>
      </c>
      <c r="BE939" s="5">
        <v>1</v>
      </c>
      <c r="BF939" s="5">
        <v>1</v>
      </c>
      <c r="BG939" s="5">
        <v>1</v>
      </c>
      <c r="BH939" s="5">
        <v>1</v>
      </c>
      <c r="BI939" s="5">
        <v>1</v>
      </c>
      <c r="BJ939" s="5">
        <v>1</v>
      </c>
      <c r="BK939" s="90">
        <v>1</v>
      </c>
      <c r="BL939" s="90">
        <v>1</v>
      </c>
      <c r="BM939" s="90">
        <v>1</v>
      </c>
      <c r="BN939" s="90">
        <v>1</v>
      </c>
      <c r="BO939" s="90">
        <v>1</v>
      </c>
      <c r="BP939" s="90">
        <v>1</v>
      </c>
      <c r="BQ939" s="90">
        <v>1</v>
      </c>
      <c r="BR939" s="90">
        <v>1</v>
      </c>
      <c r="BS939" s="5" t="s">
        <v>4857</v>
      </c>
    </row>
    <row r="940" spans="1:71" s="30" customFormat="1" ht="17.100000000000001" customHeight="1">
      <c r="A940" s="14">
        <v>929</v>
      </c>
      <c r="B940" s="5" t="s">
        <v>1335</v>
      </c>
      <c r="C940" s="3" t="s">
        <v>1803</v>
      </c>
      <c r="D940" s="3" t="s">
        <v>1329</v>
      </c>
      <c r="E940" s="6" t="s">
        <v>1330</v>
      </c>
      <c r="F940" s="5" t="s">
        <v>5254</v>
      </c>
      <c r="G940" s="3" t="s">
        <v>1331</v>
      </c>
      <c r="H940" s="6" t="s">
        <v>1332</v>
      </c>
      <c r="I940" s="3" t="s">
        <v>1333</v>
      </c>
      <c r="J940" s="5" t="s">
        <v>4683</v>
      </c>
      <c r="K940" s="3" t="s">
        <v>5909</v>
      </c>
      <c r="L940" s="3" t="s">
        <v>1334</v>
      </c>
      <c r="M940" s="5">
        <v>2</v>
      </c>
      <c r="N940" s="21">
        <v>1015.4880000000001</v>
      </c>
      <c r="O940" s="36" t="str">
        <f>HYPERLINK("http://ms.phosphosite.org:5080/cgi-bin/plot-msms.cgi?MassType=1&amp;NumAxis=1&amp;Mod6=170&amp;Mod14=160&amp;Pep=FGIAAKYQVDPDACFSAK&amp;Dta=/var/www/html/dta/S01/10558.10034.2.dta&amp;Global_Mod=CS57.0215", "10034")</f>
        <v>10034</v>
      </c>
      <c r="P940" s="36" t="str">
        <f>HYPERLINK("http://ms.phosphosite.org:5080/cgi-bin/plot-msms.cgi?MassType=1&amp;NumAxis=1&amp;Mod6=170&amp;Mod14=160&amp;Pep=FGIAAKYQVDPDACFSAK&amp;Dta=/var/www/html/dta/S01/10559.9828.2.dta&amp;Global_Mod=CS57.0215", "9828")</f>
        <v>9828</v>
      </c>
      <c r="Q940" s="35" t="s">
        <v>4854</v>
      </c>
      <c r="R940" s="36" t="str">
        <f>HYPERLINK("http://ms.phosphosite.org:5080/cgi-bin/plot-msms.cgi?MassType=1&amp;NumAxis=1&amp;Mod6=170&amp;Mod14=160&amp;Pep=FGIAAKYQVDPDACFSAK&amp;Dta=/var/www/html/dta/S01/10561.9851.2.dta&amp;Global_Mod=CS57.0215", "9851")</f>
        <v>9851</v>
      </c>
      <c r="S940" s="35" t="s">
        <v>4854</v>
      </c>
      <c r="T940" s="36" t="str">
        <f>HYPERLINK("http://ms.phosphosite.org:5080/cgi-bin/plot-msms.cgi?MassType=1&amp;NumAxis=1&amp;Mod6=170&amp;Mod14=160&amp;Pep=FGIAAKYQVDPDACFSAK&amp;Dta=/var/www/html/dta/S01/10563.10065.2.dta&amp;Global_Mod=CS57.0215", "10065")</f>
        <v>10065</v>
      </c>
      <c r="U940" s="36" t="str">
        <f>HYPERLINK("http://ms.phosphosite.org:5080/cgi-bin/plot-msms.cgi?MassType=1&amp;NumAxis=1&amp;Mod6=170&amp;Mod14=160&amp;Pep=FGIAAKYQVDPDACFSAK&amp;Dta=/var/www/html/dta/S01/10564.10556.2.dta&amp;Global_Mod=CS57.0215", "10556")</f>
        <v>10556</v>
      </c>
      <c r="V940" s="36" t="str">
        <f>HYPERLINK("http://ms.phosphosite.org:5080/cgi-bin/plot-msms.cgi?MassType=1&amp;NumAxis=1&amp;Mod6=170&amp;Mod14=160&amp;Pep=FGIAAKYQVDPDACFSAK&amp;Dta=/var/www/html/dta/S01/10565.10727.2.dta&amp;Global_Mod=CS57.0215", "10727")</f>
        <v>10727</v>
      </c>
      <c r="W940" s="5">
        <v>9899</v>
      </c>
      <c r="X940" s="5">
        <v>9871</v>
      </c>
      <c r="Y940" s="3" t="s">
        <v>4854</v>
      </c>
      <c r="Z940" s="5">
        <v>9912</v>
      </c>
      <c r="AA940" s="3" t="s">
        <v>4854</v>
      </c>
      <c r="AB940" s="5">
        <v>9995</v>
      </c>
      <c r="AC940" s="5">
        <v>10478</v>
      </c>
      <c r="AD940" s="5">
        <v>10464</v>
      </c>
      <c r="AE940" s="90">
        <v>2.4540000000000002</v>
      </c>
      <c r="AF940" s="90">
        <v>2.7639999999999998</v>
      </c>
      <c r="AG940" s="99" t="s">
        <v>4854</v>
      </c>
      <c r="AH940" s="90">
        <v>2.7949999999999999</v>
      </c>
      <c r="AI940" s="99" t="s">
        <v>4854</v>
      </c>
      <c r="AJ940" s="90">
        <v>2.9239999999999999</v>
      </c>
      <c r="AK940" s="90">
        <v>3.1869999999999998</v>
      </c>
      <c r="AL940" s="90">
        <v>2.8660000000000001</v>
      </c>
      <c r="AM940" s="21">
        <v>1.2447999999999999</v>
      </c>
      <c r="AN940" s="21">
        <v>1.0994999999999999</v>
      </c>
      <c r="AO940" s="102" t="s">
        <v>4854</v>
      </c>
      <c r="AP940" s="21">
        <v>1.2936000000000001</v>
      </c>
      <c r="AQ940" s="102" t="s">
        <v>4854</v>
      </c>
      <c r="AR940" s="21">
        <v>0.79700000000000004</v>
      </c>
      <c r="AS940" s="21">
        <v>0.88570000000000004</v>
      </c>
      <c r="AT940" s="21">
        <v>0.80740000000000001</v>
      </c>
      <c r="AU940" s="21">
        <v>0.57199999999999995</v>
      </c>
      <c r="AV940" s="21">
        <v>0.48799999999999999</v>
      </c>
      <c r="AW940" s="102" t="s">
        <v>4854</v>
      </c>
      <c r="AX940" s="21">
        <v>0.48699999999999999</v>
      </c>
      <c r="AY940" s="102" t="s">
        <v>4854</v>
      </c>
      <c r="AZ940" s="21">
        <v>0.41599999999999998</v>
      </c>
      <c r="BA940" s="21">
        <v>0.55300000000000005</v>
      </c>
      <c r="BB940" s="21">
        <v>0.29099999999999998</v>
      </c>
      <c r="BC940" s="5">
        <v>1</v>
      </c>
      <c r="BD940" s="5">
        <v>1</v>
      </c>
      <c r="BE940" s="3" t="s">
        <v>4854</v>
      </c>
      <c r="BF940" s="5">
        <v>1</v>
      </c>
      <c r="BG940" s="3" t="s">
        <v>4854</v>
      </c>
      <c r="BH940" s="5">
        <v>1</v>
      </c>
      <c r="BI940" s="5">
        <v>1</v>
      </c>
      <c r="BJ940" s="5">
        <v>1</v>
      </c>
      <c r="BK940" s="90">
        <v>1</v>
      </c>
      <c r="BL940" s="90">
        <v>1</v>
      </c>
      <c r="BM940" s="99" t="s">
        <v>4854</v>
      </c>
      <c r="BN940" s="90">
        <v>1</v>
      </c>
      <c r="BO940" s="99" t="s">
        <v>4854</v>
      </c>
      <c r="BP940" s="90">
        <v>1</v>
      </c>
      <c r="BQ940" s="90">
        <v>1</v>
      </c>
      <c r="BR940" s="90">
        <v>0.999</v>
      </c>
      <c r="BS940" s="5" t="s">
        <v>4857</v>
      </c>
    </row>
    <row r="941" spans="1:71" s="30" customFormat="1" ht="17.100000000000001" customHeight="1">
      <c r="A941" s="14">
        <v>930</v>
      </c>
      <c r="B941" s="5" t="s">
        <v>1336</v>
      </c>
      <c r="C941" s="3" t="s">
        <v>1803</v>
      </c>
      <c r="D941" s="3" t="s">
        <v>1329</v>
      </c>
      <c r="E941" s="6" t="s">
        <v>1330</v>
      </c>
      <c r="F941" s="5" t="s">
        <v>5254</v>
      </c>
      <c r="G941" s="3" t="s">
        <v>1331</v>
      </c>
      <c r="H941" s="6" t="s">
        <v>1332</v>
      </c>
      <c r="I941" s="3" t="s">
        <v>1333</v>
      </c>
      <c r="J941" s="5" t="s">
        <v>4683</v>
      </c>
      <c r="K941" s="3" t="s">
        <v>5909</v>
      </c>
      <c r="L941" s="3" t="s">
        <v>1334</v>
      </c>
      <c r="M941" s="5">
        <v>2</v>
      </c>
      <c r="N941" s="21">
        <v>1015.4880000000001</v>
      </c>
      <c r="O941" s="35" t="s">
        <v>4854</v>
      </c>
      <c r="P941" s="35" t="s">
        <v>4854</v>
      </c>
      <c r="Q941" s="35" t="s">
        <v>4854</v>
      </c>
      <c r="R941" s="36" t="str">
        <f>HYPERLINK("http://ms.phosphosite.org:5080/cgi-bin/plot-msms.cgi?MassType=1&amp;NumAxis=1&amp;Mod6=170&amp;Mod14=160&amp;Pep=FGIAAKYQVDPDACFSAK&amp;Dta=/var/www/html/dta/S01/10561.10053.2.dta&amp;Global_Mod=CS57.0215", "10053")</f>
        <v>10053</v>
      </c>
      <c r="S941" s="35" t="s">
        <v>4854</v>
      </c>
      <c r="T941" s="35" t="s">
        <v>4854</v>
      </c>
      <c r="U941" s="36" t="str">
        <f>HYPERLINK("http://ms.phosphosite.org:5080/cgi-bin/plot-msms.cgi?MassType=1&amp;NumAxis=1&amp;Mod6=170&amp;Mod14=160&amp;Pep=FGIAAKYQVDPDACFSAK&amp;Dta=/var/www/html/dta/S01/10564.10461.2.dta&amp;Global_Mod=CS57.0215", "10461")</f>
        <v>10461</v>
      </c>
      <c r="V941" s="35" t="s">
        <v>4854</v>
      </c>
      <c r="W941" s="3" t="s">
        <v>4854</v>
      </c>
      <c r="X941" s="3" t="s">
        <v>4854</v>
      </c>
      <c r="Y941" s="3" t="s">
        <v>4854</v>
      </c>
      <c r="Z941" s="5">
        <v>9912</v>
      </c>
      <c r="AA941" s="3" t="s">
        <v>4854</v>
      </c>
      <c r="AB941" s="3" t="s">
        <v>4854</v>
      </c>
      <c r="AC941" s="5">
        <v>10478</v>
      </c>
      <c r="AD941" s="3" t="s">
        <v>4854</v>
      </c>
      <c r="AE941" s="99" t="s">
        <v>4854</v>
      </c>
      <c r="AF941" s="99" t="s">
        <v>4854</v>
      </c>
      <c r="AG941" s="99" t="s">
        <v>4854</v>
      </c>
      <c r="AH941" s="90">
        <v>2.7629999999999999</v>
      </c>
      <c r="AI941" s="99" t="s">
        <v>4854</v>
      </c>
      <c r="AJ941" s="99" t="s">
        <v>4854</v>
      </c>
      <c r="AK941" s="90">
        <v>2.7480000000000002</v>
      </c>
      <c r="AL941" s="99" t="s">
        <v>4854</v>
      </c>
      <c r="AM941" s="102" t="s">
        <v>4854</v>
      </c>
      <c r="AN941" s="102" t="s">
        <v>4854</v>
      </c>
      <c r="AO941" s="102" t="s">
        <v>4854</v>
      </c>
      <c r="AP941" s="21">
        <v>1.27</v>
      </c>
      <c r="AQ941" s="102" t="s">
        <v>4854</v>
      </c>
      <c r="AR941" s="102" t="s">
        <v>4854</v>
      </c>
      <c r="AS941" s="21">
        <v>0.90300000000000002</v>
      </c>
      <c r="AT941" s="102" t="s">
        <v>4854</v>
      </c>
      <c r="AU941" s="102" t="s">
        <v>4854</v>
      </c>
      <c r="AV941" s="102" t="s">
        <v>4854</v>
      </c>
      <c r="AW941" s="102" t="s">
        <v>4854</v>
      </c>
      <c r="AX941" s="21">
        <v>0.47599999999999998</v>
      </c>
      <c r="AY941" s="102" t="s">
        <v>4854</v>
      </c>
      <c r="AZ941" s="102" t="s">
        <v>4854</v>
      </c>
      <c r="BA941" s="21">
        <v>0.48</v>
      </c>
      <c r="BB941" s="102" t="s">
        <v>4854</v>
      </c>
      <c r="BC941" s="3" t="s">
        <v>4854</v>
      </c>
      <c r="BD941" s="3" t="s">
        <v>4854</v>
      </c>
      <c r="BE941" s="3" t="s">
        <v>4854</v>
      </c>
      <c r="BF941" s="5">
        <v>1</v>
      </c>
      <c r="BG941" s="3" t="s">
        <v>4854</v>
      </c>
      <c r="BH941" s="3" t="s">
        <v>4854</v>
      </c>
      <c r="BI941" s="5">
        <v>1</v>
      </c>
      <c r="BJ941" s="3" t="s">
        <v>4854</v>
      </c>
      <c r="BK941" s="99" t="s">
        <v>4854</v>
      </c>
      <c r="BL941" s="99" t="s">
        <v>4854</v>
      </c>
      <c r="BM941" s="99" t="s">
        <v>4854</v>
      </c>
      <c r="BN941" s="90">
        <v>1</v>
      </c>
      <c r="BO941" s="99" t="s">
        <v>4854</v>
      </c>
      <c r="BP941" s="99" t="s">
        <v>4854</v>
      </c>
      <c r="BQ941" s="90">
        <v>1</v>
      </c>
      <c r="BR941" s="99" t="s">
        <v>4854</v>
      </c>
      <c r="BS941" s="5" t="s">
        <v>4857</v>
      </c>
    </row>
    <row r="942" spans="1:71" s="30" customFormat="1" ht="17.100000000000001" customHeight="1">
      <c r="A942" s="14">
        <v>931</v>
      </c>
      <c r="B942" s="5" t="s">
        <v>1337</v>
      </c>
      <c r="C942" s="3" t="s">
        <v>1803</v>
      </c>
      <c r="D942" s="3" t="s">
        <v>1329</v>
      </c>
      <c r="E942" s="6" t="s">
        <v>1330</v>
      </c>
      <c r="F942" s="5" t="s">
        <v>5254</v>
      </c>
      <c r="G942" s="3" t="s">
        <v>1331</v>
      </c>
      <c r="H942" s="6" t="s">
        <v>1332</v>
      </c>
      <c r="I942" s="3" t="s">
        <v>1333</v>
      </c>
      <c r="J942" s="5" t="s">
        <v>4683</v>
      </c>
      <c r="K942" s="3" t="s">
        <v>5909</v>
      </c>
      <c r="L942" s="3" t="s">
        <v>1334</v>
      </c>
      <c r="M942" s="5">
        <v>3</v>
      </c>
      <c r="N942" s="21">
        <v>677.32780000000002</v>
      </c>
      <c r="O942" s="36" t="str">
        <f>HYPERLINK("http://ms.phosphosite.org:5080/cgi-bin/plot-msms.cgi?MassType=1&amp;NumAxis=1&amp;Mod6=170&amp;Mod14=160&amp;Pep=FGIAAKYQVDPDACFSAK&amp;Dta=/var/www/html/dta/S01/10558.9934.3.dta&amp;Global_Mod=CS57.0215", "9934")</f>
        <v>9934</v>
      </c>
      <c r="P942" s="36" t="str">
        <f>HYPERLINK("http://ms.phosphosite.org:5080/cgi-bin/plot-msms.cgi?MassType=1&amp;NumAxis=1&amp;Mod6=170&amp;Mod14=160&amp;Pep=FGIAAKYQVDPDACFSAK&amp;Dta=/var/www/html/dta/S01/10559.9928.3.dta&amp;Global_Mod=CS57.0215", "9928")</f>
        <v>9928</v>
      </c>
      <c r="Q942" s="36" t="str">
        <f>HYPERLINK("http://ms.phosphosite.org:5080/cgi-bin/plot-msms.cgi?MassType=1&amp;NumAxis=1&amp;Mod6=170&amp;Mod14=160&amp;Pep=FGIAAKYQVDPDACFSAK&amp;Dta=/var/www/html/dta/S01/10560.9956.3.dta&amp;Global_Mod=CS57.0215", "9956")</f>
        <v>9956</v>
      </c>
      <c r="R942" s="36" t="str">
        <f>HYPERLINK("http://ms.phosphosite.org:5080/cgi-bin/plot-msms.cgi?MassType=1&amp;NumAxis=1&amp;Mod6=170&amp;Mod14=160&amp;Pep=FGIAAKYQVDPDACFSAK&amp;Dta=/var/www/html/dta/S01/10561.10038.3.dta&amp;Global_Mod=CS57.0215", "10038")</f>
        <v>10038</v>
      </c>
      <c r="S942" s="35" t="s">
        <v>4854</v>
      </c>
      <c r="T942" s="36" t="str">
        <f>HYPERLINK("http://ms.phosphosite.org:5080/cgi-bin/plot-msms.cgi?MassType=1&amp;NumAxis=1&amp;Mod6=170&amp;Mod14=160&amp;Pep=FGIAAKYQVDPDACFSAK&amp;Dta=/var/www/html/dta/S01/10563.10073.3.dta&amp;Global_Mod=CS57.0215", "10073")</f>
        <v>10073</v>
      </c>
      <c r="U942" s="36" t="str">
        <f>HYPERLINK("http://ms.phosphosite.org:5080/cgi-bin/plot-msms.cgi?MassType=1&amp;NumAxis=1&amp;Mod6=170&amp;Mod14=160&amp;Pep=FGIAAKYQVDPDACFSAK&amp;Dta=/var/www/html/dta/S01/10564.10545.3.dta&amp;Global_Mod=CS57.0215", "10545")</f>
        <v>10545</v>
      </c>
      <c r="V942" s="36" t="str">
        <f>HYPERLINK("http://ms.phosphosite.org:5080/cgi-bin/plot-msms.cgi?MassType=1&amp;NumAxis=1&amp;Mod6=170&amp;Mod14=160&amp;Pep=FGIAAKYQVDPDACFSAK&amp;Dta=/var/www/html/dta/S01/10565.10499.3.dta&amp;Global_Mod=CS57.0215", "10499")</f>
        <v>10499</v>
      </c>
      <c r="W942" s="5">
        <v>9899</v>
      </c>
      <c r="X942" s="5">
        <v>9871</v>
      </c>
      <c r="Y942" s="5">
        <v>9897</v>
      </c>
      <c r="Z942" s="5">
        <v>9912</v>
      </c>
      <c r="AA942" s="3" t="s">
        <v>4854</v>
      </c>
      <c r="AB942" s="5">
        <v>10017</v>
      </c>
      <c r="AC942" s="5">
        <v>10489</v>
      </c>
      <c r="AD942" s="5">
        <v>10464</v>
      </c>
      <c r="AE942" s="90">
        <v>2.9929999999999999</v>
      </c>
      <c r="AF942" s="90">
        <v>2.714</v>
      </c>
      <c r="AG942" s="90">
        <v>3.3279999999999998</v>
      </c>
      <c r="AH942" s="90">
        <v>3.8940000000000001</v>
      </c>
      <c r="AI942" s="99" t="s">
        <v>4854</v>
      </c>
      <c r="AJ942" s="90">
        <v>4.1390000000000002</v>
      </c>
      <c r="AK942" s="90">
        <v>3.1179999999999999</v>
      </c>
      <c r="AL942" s="90">
        <v>4.0819999999999999</v>
      </c>
      <c r="AM942" s="21">
        <v>0.94779999999999998</v>
      </c>
      <c r="AN942" s="21">
        <v>1.0542</v>
      </c>
      <c r="AO942" s="21">
        <v>1.1014999999999999</v>
      </c>
      <c r="AP942" s="21">
        <v>1.1892</v>
      </c>
      <c r="AQ942" s="102" t="s">
        <v>4854</v>
      </c>
      <c r="AR942" s="21">
        <v>0.79310000000000003</v>
      </c>
      <c r="AS942" s="21">
        <v>0.9365</v>
      </c>
      <c r="AT942" s="21">
        <v>0.50490000000000002</v>
      </c>
      <c r="AU942" s="21">
        <v>0.25600000000000001</v>
      </c>
      <c r="AV942" s="21">
        <v>4.8000000000000001E-2</v>
      </c>
      <c r="AW942" s="21">
        <v>0.20799999999999999</v>
      </c>
      <c r="AX942" s="21">
        <v>0.29799999999999999</v>
      </c>
      <c r="AY942" s="102" t="s">
        <v>4854</v>
      </c>
      <c r="AZ942" s="21">
        <v>0.34599999999999997</v>
      </c>
      <c r="BA942" s="21">
        <v>0.221</v>
      </c>
      <c r="BB942" s="21">
        <v>0.316</v>
      </c>
      <c r="BC942" s="5">
        <v>5</v>
      </c>
      <c r="BD942" s="5">
        <v>2</v>
      </c>
      <c r="BE942" s="5">
        <v>1</v>
      </c>
      <c r="BF942" s="5">
        <v>1</v>
      </c>
      <c r="BG942" s="3" t="s">
        <v>4854</v>
      </c>
      <c r="BH942" s="5">
        <v>1</v>
      </c>
      <c r="BI942" s="5">
        <v>1</v>
      </c>
      <c r="BJ942" s="5">
        <v>1</v>
      </c>
      <c r="BK942" s="90">
        <v>0.999</v>
      </c>
      <c r="BL942" s="90">
        <v>0.97399999999999998</v>
      </c>
      <c r="BM942" s="90">
        <v>0.999</v>
      </c>
      <c r="BN942" s="90">
        <v>1</v>
      </c>
      <c r="BO942" s="99" t="s">
        <v>4854</v>
      </c>
      <c r="BP942" s="90">
        <v>1</v>
      </c>
      <c r="BQ942" s="90">
        <v>0.999</v>
      </c>
      <c r="BR942" s="90">
        <v>1</v>
      </c>
      <c r="BS942" s="5" t="s">
        <v>4857</v>
      </c>
    </row>
    <row r="943" spans="1:71" s="30" customFormat="1" ht="17.100000000000001" customHeight="1">
      <c r="A943" s="14">
        <v>932</v>
      </c>
      <c r="B943" s="5" t="s">
        <v>1338</v>
      </c>
      <c r="C943" s="3" t="s">
        <v>1803</v>
      </c>
      <c r="D943" s="3" t="s">
        <v>1329</v>
      </c>
      <c r="E943" s="6" t="s">
        <v>1330</v>
      </c>
      <c r="F943" s="5" t="s">
        <v>5254</v>
      </c>
      <c r="G943" s="3" t="s">
        <v>1331</v>
      </c>
      <c r="H943" s="6" t="s">
        <v>1332</v>
      </c>
      <c r="I943" s="3" t="s">
        <v>1333</v>
      </c>
      <c r="J943" s="5" t="s">
        <v>4683</v>
      </c>
      <c r="K943" s="3" t="s">
        <v>5909</v>
      </c>
      <c r="L943" s="3" t="s">
        <v>1334</v>
      </c>
      <c r="M943" s="5">
        <v>3</v>
      </c>
      <c r="N943" s="21">
        <v>677.32780000000002</v>
      </c>
      <c r="O943" s="35" t="s">
        <v>4854</v>
      </c>
      <c r="P943" s="35" t="s">
        <v>4854</v>
      </c>
      <c r="Q943" s="35" t="s">
        <v>4854</v>
      </c>
      <c r="R943" s="36" t="str">
        <f>HYPERLINK("http://ms.phosphosite.org:5080/cgi-bin/plot-msms.cgi?MassType=1&amp;NumAxis=1&amp;Mod6=170&amp;Mod14=160&amp;Pep=FGIAAKYQVDPDACFSAK&amp;Dta=/var/www/html/dta/S01/10561.9935.3.dta&amp;Global_Mod=CS57.0215", "9935")</f>
        <v>9935</v>
      </c>
      <c r="S943" s="35" t="s">
        <v>4854</v>
      </c>
      <c r="T943" s="35" t="s">
        <v>4854</v>
      </c>
      <c r="U943" s="35" t="s">
        <v>4854</v>
      </c>
      <c r="V943" s="35" t="s">
        <v>4854</v>
      </c>
      <c r="W943" s="3" t="s">
        <v>4854</v>
      </c>
      <c r="X943" s="3" t="s">
        <v>4854</v>
      </c>
      <c r="Y943" s="3" t="s">
        <v>4854</v>
      </c>
      <c r="Z943" s="5">
        <v>9912</v>
      </c>
      <c r="AA943" s="3" t="s">
        <v>4854</v>
      </c>
      <c r="AB943" s="3" t="s">
        <v>4854</v>
      </c>
      <c r="AC943" s="3" t="s">
        <v>4854</v>
      </c>
      <c r="AD943" s="3" t="s">
        <v>4854</v>
      </c>
      <c r="AE943" s="99" t="s">
        <v>4854</v>
      </c>
      <c r="AF943" s="99" t="s">
        <v>4854</v>
      </c>
      <c r="AG943" s="99" t="s">
        <v>4854</v>
      </c>
      <c r="AH943" s="90">
        <v>3.8380000000000001</v>
      </c>
      <c r="AI943" s="99" t="s">
        <v>4854</v>
      </c>
      <c r="AJ943" s="99" t="s">
        <v>4854</v>
      </c>
      <c r="AK943" s="99" t="s">
        <v>4854</v>
      </c>
      <c r="AL943" s="99" t="s">
        <v>4854</v>
      </c>
      <c r="AM943" s="102" t="s">
        <v>4854</v>
      </c>
      <c r="AN943" s="102" t="s">
        <v>4854</v>
      </c>
      <c r="AO943" s="102" t="s">
        <v>4854</v>
      </c>
      <c r="AP943" s="21">
        <v>1.1453</v>
      </c>
      <c r="AQ943" s="102" t="s">
        <v>4854</v>
      </c>
      <c r="AR943" s="102" t="s">
        <v>4854</v>
      </c>
      <c r="AS943" s="102" t="s">
        <v>4854</v>
      </c>
      <c r="AT943" s="102" t="s">
        <v>4854</v>
      </c>
      <c r="AU943" s="102" t="s">
        <v>4854</v>
      </c>
      <c r="AV943" s="102" t="s">
        <v>4854</v>
      </c>
      <c r="AW943" s="102" t="s">
        <v>4854</v>
      </c>
      <c r="AX943" s="21">
        <v>0.317</v>
      </c>
      <c r="AY943" s="102" t="s">
        <v>4854</v>
      </c>
      <c r="AZ943" s="102" t="s">
        <v>4854</v>
      </c>
      <c r="BA943" s="102" t="s">
        <v>4854</v>
      </c>
      <c r="BB943" s="102" t="s">
        <v>4854</v>
      </c>
      <c r="BC943" s="3" t="s">
        <v>4854</v>
      </c>
      <c r="BD943" s="3" t="s">
        <v>4854</v>
      </c>
      <c r="BE943" s="3" t="s">
        <v>4854</v>
      </c>
      <c r="BF943" s="5">
        <v>1</v>
      </c>
      <c r="BG943" s="3" t="s">
        <v>4854</v>
      </c>
      <c r="BH943" s="3" t="s">
        <v>4854</v>
      </c>
      <c r="BI943" s="3" t="s">
        <v>4854</v>
      </c>
      <c r="BJ943" s="3" t="s">
        <v>4854</v>
      </c>
      <c r="BK943" s="99" t="s">
        <v>4854</v>
      </c>
      <c r="BL943" s="99" t="s">
        <v>4854</v>
      </c>
      <c r="BM943" s="99" t="s">
        <v>4854</v>
      </c>
      <c r="BN943" s="90">
        <v>1</v>
      </c>
      <c r="BO943" s="99" t="s">
        <v>4854</v>
      </c>
      <c r="BP943" s="99" t="s">
        <v>4854</v>
      </c>
      <c r="BQ943" s="99" t="s">
        <v>4854</v>
      </c>
      <c r="BR943" s="99" t="s">
        <v>4854</v>
      </c>
      <c r="BS943" s="5" t="s">
        <v>4857</v>
      </c>
    </row>
    <row r="944" spans="1:71" s="30" customFormat="1" ht="17.100000000000001" customHeight="1">
      <c r="A944" s="10">
        <v>933</v>
      </c>
      <c r="B944" s="10" t="s">
        <v>1339</v>
      </c>
      <c r="C944" s="4" t="s">
        <v>1803</v>
      </c>
      <c r="D944" s="4" t="s">
        <v>1329</v>
      </c>
      <c r="E944" s="7" t="s">
        <v>1330</v>
      </c>
      <c r="F944" s="10" t="s">
        <v>5149</v>
      </c>
      <c r="G944" s="4" t="s">
        <v>1331</v>
      </c>
      <c r="H944" s="7" t="s">
        <v>1332</v>
      </c>
      <c r="I944" s="4" t="s">
        <v>1333</v>
      </c>
      <c r="J944" s="10" t="s">
        <v>4683</v>
      </c>
      <c r="K944" s="4" t="s">
        <v>5910</v>
      </c>
      <c r="L944" s="4" t="s">
        <v>1340</v>
      </c>
      <c r="M944" s="10">
        <v>2</v>
      </c>
      <c r="N944" s="95">
        <v>1073.0993000000001</v>
      </c>
      <c r="O944" s="37" t="str">
        <f>HYPERLINK("http://ms.phosphosite.org:5080/cgi-bin/plot-msms.cgi?MassType=1&amp;NumAxis=1&amp;Mod16=170&amp;Pep=VNNSSLIGLGYTQTLKPGIK&amp;Dta=/var/www/html/dta/S01/10558.10367.2.dta&amp;Global_Mod=CS57.0215", "10367")</f>
        <v>10367</v>
      </c>
      <c r="P944" s="38" t="s">
        <v>4854</v>
      </c>
      <c r="Q944" s="38" t="s">
        <v>4854</v>
      </c>
      <c r="R944" s="38" t="s">
        <v>4854</v>
      </c>
      <c r="S944" s="38" t="s">
        <v>4854</v>
      </c>
      <c r="T944" s="38" t="s">
        <v>4854</v>
      </c>
      <c r="U944" s="38" t="s">
        <v>4854</v>
      </c>
      <c r="V944" s="38" t="s">
        <v>4854</v>
      </c>
      <c r="W944" s="10">
        <v>10361</v>
      </c>
      <c r="X944" s="4" t="s">
        <v>4854</v>
      </c>
      <c r="Y944" s="4" t="s">
        <v>4854</v>
      </c>
      <c r="Z944" s="4" t="s">
        <v>4854</v>
      </c>
      <c r="AA944" s="4" t="s">
        <v>4854</v>
      </c>
      <c r="AB944" s="4" t="s">
        <v>4854</v>
      </c>
      <c r="AC944" s="4" t="s">
        <v>4854</v>
      </c>
      <c r="AD944" s="4" t="s">
        <v>4854</v>
      </c>
      <c r="AE944" s="91">
        <v>2.0529999999999999</v>
      </c>
      <c r="AF944" s="100" t="s">
        <v>4854</v>
      </c>
      <c r="AG944" s="100" t="s">
        <v>4854</v>
      </c>
      <c r="AH944" s="100" t="s">
        <v>4854</v>
      </c>
      <c r="AI944" s="100" t="s">
        <v>4854</v>
      </c>
      <c r="AJ944" s="100" t="s">
        <v>4854</v>
      </c>
      <c r="AK944" s="100" t="s">
        <v>4854</v>
      </c>
      <c r="AL944" s="100" t="s">
        <v>4854</v>
      </c>
      <c r="AM944" s="95">
        <v>1.6309</v>
      </c>
      <c r="AN944" s="103" t="s">
        <v>4854</v>
      </c>
      <c r="AO944" s="103" t="s">
        <v>4854</v>
      </c>
      <c r="AP944" s="103" t="s">
        <v>4854</v>
      </c>
      <c r="AQ944" s="103" t="s">
        <v>4854</v>
      </c>
      <c r="AR944" s="103" t="s">
        <v>4854</v>
      </c>
      <c r="AS944" s="103" t="s">
        <v>4854</v>
      </c>
      <c r="AT944" s="103" t="s">
        <v>4854</v>
      </c>
      <c r="AU944" s="95">
        <v>0.14899999999999999</v>
      </c>
      <c r="AV944" s="103" t="s">
        <v>4854</v>
      </c>
      <c r="AW944" s="103" t="s">
        <v>4854</v>
      </c>
      <c r="AX944" s="103" t="s">
        <v>4854</v>
      </c>
      <c r="AY944" s="103" t="s">
        <v>4854</v>
      </c>
      <c r="AZ944" s="103" t="s">
        <v>4854</v>
      </c>
      <c r="BA944" s="103" t="s">
        <v>4854</v>
      </c>
      <c r="BB944" s="103" t="s">
        <v>4854</v>
      </c>
      <c r="BC944" s="10">
        <v>1</v>
      </c>
      <c r="BD944" s="4" t="s">
        <v>4854</v>
      </c>
      <c r="BE944" s="4" t="s">
        <v>4854</v>
      </c>
      <c r="BF944" s="4" t="s">
        <v>4854</v>
      </c>
      <c r="BG944" s="4" t="s">
        <v>4854</v>
      </c>
      <c r="BH944" s="4" t="s">
        <v>4854</v>
      </c>
      <c r="BI944" s="4" t="s">
        <v>4854</v>
      </c>
      <c r="BJ944" s="4" t="s">
        <v>4854</v>
      </c>
      <c r="BK944" s="91">
        <v>0.99199999999999999</v>
      </c>
      <c r="BL944" s="100" t="s">
        <v>4854</v>
      </c>
      <c r="BM944" s="100" t="s">
        <v>4854</v>
      </c>
      <c r="BN944" s="100" t="s">
        <v>4854</v>
      </c>
      <c r="BO944" s="100" t="s">
        <v>4854</v>
      </c>
      <c r="BP944" s="100" t="s">
        <v>4854</v>
      </c>
      <c r="BQ944" s="100" t="s">
        <v>4854</v>
      </c>
      <c r="BR944" s="100" t="s">
        <v>4854</v>
      </c>
      <c r="BS944" s="10" t="s">
        <v>4857</v>
      </c>
    </row>
    <row r="945" spans="1:71" s="30" customFormat="1" ht="17.100000000000001" customHeight="1">
      <c r="A945" s="14">
        <v>934</v>
      </c>
      <c r="B945" s="5" t="s">
        <v>1341</v>
      </c>
      <c r="C945" s="3" t="s">
        <v>1803</v>
      </c>
      <c r="D945" s="3" t="s">
        <v>1329</v>
      </c>
      <c r="E945" s="6" t="s">
        <v>1330</v>
      </c>
      <c r="F945" s="5" t="s">
        <v>5192</v>
      </c>
      <c r="G945" s="3" t="s">
        <v>1331</v>
      </c>
      <c r="H945" s="6" t="s">
        <v>1332</v>
      </c>
      <c r="I945" s="3" t="s">
        <v>1333</v>
      </c>
      <c r="J945" s="5" t="s">
        <v>4683</v>
      </c>
      <c r="K945" s="3" t="s">
        <v>5911</v>
      </c>
      <c r="L945" s="3" t="s">
        <v>1342</v>
      </c>
      <c r="M945" s="5">
        <v>2</v>
      </c>
      <c r="N945" s="21">
        <v>743.90070000000003</v>
      </c>
      <c r="O945" s="35" t="s">
        <v>4854</v>
      </c>
      <c r="P945" s="36" t="str">
        <f>HYPERLINK("http://ms.phosphosite.org:5080/cgi-bin/plot-msms.cgi?MassType=1&amp;NumAxis=1&amp;Mod5=170&amp;Pep=DVFTKGYGFGLIK&amp;Dta=/var/www/html/dta/S01/10559.12238.2.dta&amp;Global_Mod=CS57.0215", "12238")</f>
        <v>12238</v>
      </c>
      <c r="Q945" s="35" t="s">
        <v>4854</v>
      </c>
      <c r="R945" s="35" t="s">
        <v>4854</v>
      </c>
      <c r="S945" s="35" t="s">
        <v>4854</v>
      </c>
      <c r="T945" s="35" t="s">
        <v>4854</v>
      </c>
      <c r="U945" s="35" t="s">
        <v>4854</v>
      </c>
      <c r="V945" s="35" t="s">
        <v>4854</v>
      </c>
      <c r="W945" s="3" t="s">
        <v>4854</v>
      </c>
      <c r="X945" s="5">
        <v>12208</v>
      </c>
      <c r="Y945" s="3" t="s">
        <v>4854</v>
      </c>
      <c r="Z945" s="3" t="s">
        <v>4854</v>
      </c>
      <c r="AA945" s="3" t="s">
        <v>4854</v>
      </c>
      <c r="AB945" s="3" t="s">
        <v>4854</v>
      </c>
      <c r="AC945" s="3" t="s">
        <v>4854</v>
      </c>
      <c r="AD945" s="3" t="s">
        <v>4854</v>
      </c>
      <c r="AE945" s="99" t="s">
        <v>4854</v>
      </c>
      <c r="AF945" s="90">
        <v>2.5710000000000002</v>
      </c>
      <c r="AG945" s="99" t="s">
        <v>4854</v>
      </c>
      <c r="AH945" s="99" t="s">
        <v>4854</v>
      </c>
      <c r="AI945" s="99" t="s">
        <v>4854</v>
      </c>
      <c r="AJ945" s="99" t="s">
        <v>4854</v>
      </c>
      <c r="AK945" s="99" t="s">
        <v>4854</v>
      </c>
      <c r="AL945" s="99" t="s">
        <v>4854</v>
      </c>
      <c r="AM945" s="102" t="s">
        <v>4854</v>
      </c>
      <c r="AN945" s="21">
        <v>0.94779999999999998</v>
      </c>
      <c r="AO945" s="102" t="s">
        <v>4854</v>
      </c>
      <c r="AP945" s="102" t="s">
        <v>4854</v>
      </c>
      <c r="AQ945" s="102" t="s">
        <v>4854</v>
      </c>
      <c r="AR945" s="102" t="s">
        <v>4854</v>
      </c>
      <c r="AS945" s="102" t="s">
        <v>4854</v>
      </c>
      <c r="AT945" s="102" t="s">
        <v>4854</v>
      </c>
      <c r="AU945" s="102" t="s">
        <v>4854</v>
      </c>
      <c r="AV945" s="21">
        <v>0.23</v>
      </c>
      <c r="AW945" s="102" t="s">
        <v>4854</v>
      </c>
      <c r="AX945" s="102" t="s">
        <v>4854</v>
      </c>
      <c r="AY945" s="102" t="s">
        <v>4854</v>
      </c>
      <c r="AZ945" s="102" t="s">
        <v>4854</v>
      </c>
      <c r="BA945" s="102" t="s">
        <v>4854</v>
      </c>
      <c r="BB945" s="102" t="s">
        <v>4854</v>
      </c>
      <c r="BC945" s="3" t="s">
        <v>4854</v>
      </c>
      <c r="BD945" s="5">
        <v>2</v>
      </c>
      <c r="BE945" s="3" t="s">
        <v>4854</v>
      </c>
      <c r="BF945" s="3" t="s">
        <v>4854</v>
      </c>
      <c r="BG945" s="3" t="s">
        <v>4854</v>
      </c>
      <c r="BH945" s="3" t="s">
        <v>4854</v>
      </c>
      <c r="BI945" s="3" t="s">
        <v>4854</v>
      </c>
      <c r="BJ945" s="3" t="s">
        <v>4854</v>
      </c>
      <c r="BK945" s="99" t="s">
        <v>4854</v>
      </c>
      <c r="BL945" s="90">
        <v>0.998</v>
      </c>
      <c r="BM945" s="99" t="s">
        <v>4854</v>
      </c>
      <c r="BN945" s="99" t="s">
        <v>4854</v>
      </c>
      <c r="BO945" s="99" t="s">
        <v>4854</v>
      </c>
      <c r="BP945" s="99" t="s">
        <v>4854</v>
      </c>
      <c r="BQ945" s="99" t="s">
        <v>4854</v>
      </c>
      <c r="BR945" s="99" t="s">
        <v>4854</v>
      </c>
      <c r="BS945" s="5" t="s">
        <v>4857</v>
      </c>
    </row>
    <row r="946" spans="1:71" s="30" customFormat="1" ht="17.100000000000001" customHeight="1">
      <c r="A946" s="10">
        <v>935</v>
      </c>
      <c r="B946" s="10" t="s">
        <v>1343</v>
      </c>
      <c r="C946" s="4" t="s">
        <v>1803</v>
      </c>
      <c r="D946" s="4" t="s">
        <v>1329</v>
      </c>
      <c r="E946" s="7" t="s">
        <v>1330</v>
      </c>
      <c r="F946" s="10" t="s">
        <v>5186</v>
      </c>
      <c r="G946" s="4" t="s">
        <v>1331</v>
      </c>
      <c r="H946" s="7" t="s">
        <v>1332</v>
      </c>
      <c r="I946" s="4" t="s">
        <v>1333</v>
      </c>
      <c r="J946" s="10" t="s">
        <v>4683</v>
      </c>
      <c r="K946" s="4" t="s">
        <v>5912</v>
      </c>
      <c r="L946" s="4" t="s">
        <v>1344</v>
      </c>
      <c r="M946" s="10">
        <v>2</v>
      </c>
      <c r="N946" s="95">
        <v>604.81709999999998</v>
      </c>
      <c r="O946" s="37" t="str">
        <f>HYPERLINK("http://ms.phosphosite.org:5080/cgi-bin/plot-msms.cgi?MassType=1&amp;NumAxis=1&amp;Mod8=170&amp;Pep=VNGSLETKYR&amp;Dta=/var/www/html/dta/S01/10558.4049.2.dta&amp;Global_Mod=CS57.0215", "4049")</f>
        <v>4049</v>
      </c>
      <c r="P946" s="38" t="s">
        <v>4854</v>
      </c>
      <c r="Q946" s="38" t="s">
        <v>4854</v>
      </c>
      <c r="R946" s="38" t="s">
        <v>4854</v>
      </c>
      <c r="S946" s="38" t="s">
        <v>4854</v>
      </c>
      <c r="T946" s="38" t="s">
        <v>4854</v>
      </c>
      <c r="U946" s="38" t="s">
        <v>4854</v>
      </c>
      <c r="V946" s="38" t="s">
        <v>4854</v>
      </c>
      <c r="W946" s="10">
        <v>4058</v>
      </c>
      <c r="X946" s="4" t="s">
        <v>4854</v>
      </c>
      <c r="Y946" s="4" t="s">
        <v>4854</v>
      </c>
      <c r="Z946" s="4" t="s">
        <v>4854</v>
      </c>
      <c r="AA946" s="4" t="s">
        <v>4854</v>
      </c>
      <c r="AB946" s="4" t="s">
        <v>4854</v>
      </c>
      <c r="AC946" s="4" t="s">
        <v>4854</v>
      </c>
      <c r="AD946" s="4" t="s">
        <v>4854</v>
      </c>
      <c r="AE946" s="91">
        <v>3.0219999999999998</v>
      </c>
      <c r="AF946" s="100" t="s">
        <v>4854</v>
      </c>
      <c r="AG946" s="100" t="s">
        <v>4854</v>
      </c>
      <c r="AH946" s="100" t="s">
        <v>4854</v>
      </c>
      <c r="AI946" s="100" t="s">
        <v>4854</v>
      </c>
      <c r="AJ946" s="100" t="s">
        <v>4854</v>
      </c>
      <c r="AK946" s="100" t="s">
        <v>4854</v>
      </c>
      <c r="AL946" s="100" t="s">
        <v>4854</v>
      </c>
      <c r="AM946" s="95">
        <v>0.13450000000000001</v>
      </c>
      <c r="AN946" s="103" t="s">
        <v>4854</v>
      </c>
      <c r="AO946" s="103" t="s">
        <v>4854</v>
      </c>
      <c r="AP946" s="103" t="s">
        <v>4854</v>
      </c>
      <c r="AQ946" s="103" t="s">
        <v>4854</v>
      </c>
      <c r="AR946" s="103" t="s">
        <v>4854</v>
      </c>
      <c r="AS946" s="103" t="s">
        <v>4854</v>
      </c>
      <c r="AT946" s="103" t="s">
        <v>4854</v>
      </c>
      <c r="AU946" s="95">
        <v>0.252</v>
      </c>
      <c r="AV946" s="103" t="s">
        <v>4854</v>
      </c>
      <c r="AW946" s="103" t="s">
        <v>4854</v>
      </c>
      <c r="AX946" s="103" t="s">
        <v>4854</v>
      </c>
      <c r="AY946" s="103" t="s">
        <v>4854</v>
      </c>
      <c r="AZ946" s="103" t="s">
        <v>4854</v>
      </c>
      <c r="BA946" s="103" t="s">
        <v>4854</v>
      </c>
      <c r="BB946" s="103" t="s">
        <v>4854</v>
      </c>
      <c r="BC946" s="10">
        <v>3</v>
      </c>
      <c r="BD946" s="4" t="s">
        <v>4854</v>
      </c>
      <c r="BE946" s="4" t="s">
        <v>4854</v>
      </c>
      <c r="BF946" s="4" t="s">
        <v>4854</v>
      </c>
      <c r="BG946" s="4" t="s">
        <v>4854</v>
      </c>
      <c r="BH946" s="4" t="s">
        <v>4854</v>
      </c>
      <c r="BI946" s="4" t="s">
        <v>4854</v>
      </c>
      <c r="BJ946" s="4" t="s">
        <v>4854</v>
      </c>
      <c r="BK946" s="91">
        <v>0.999</v>
      </c>
      <c r="BL946" s="100" t="s">
        <v>4854</v>
      </c>
      <c r="BM946" s="100" t="s">
        <v>4854</v>
      </c>
      <c r="BN946" s="100" t="s">
        <v>4854</v>
      </c>
      <c r="BO946" s="100" t="s">
        <v>4854</v>
      </c>
      <c r="BP946" s="100" t="s">
        <v>4854</v>
      </c>
      <c r="BQ946" s="100" t="s">
        <v>4854</v>
      </c>
      <c r="BR946" s="100" t="s">
        <v>4854</v>
      </c>
      <c r="BS946" s="10" t="s">
        <v>4857</v>
      </c>
    </row>
    <row r="947" spans="1:71" s="30" customFormat="1" ht="17.100000000000001" customHeight="1">
      <c r="A947" s="14">
        <v>936</v>
      </c>
      <c r="B947" s="5" t="s">
        <v>4560</v>
      </c>
      <c r="C947" s="3" t="s">
        <v>1803</v>
      </c>
      <c r="D947" s="3" t="s">
        <v>1345</v>
      </c>
      <c r="E947" s="6" t="s">
        <v>1346</v>
      </c>
      <c r="F947" s="5" t="s">
        <v>5002</v>
      </c>
      <c r="G947" s="3" t="s">
        <v>1347</v>
      </c>
      <c r="H947" s="6" t="s">
        <v>1348</v>
      </c>
      <c r="I947" s="3" t="s">
        <v>1349</v>
      </c>
      <c r="J947" s="5" t="s">
        <v>4683</v>
      </c>
      <c r="K947" s="3" t="s">
        <v>5913</v>
      </c>
      <c r="L947" s="3" t="s">
        <v>1350</v>
      </c>
      <c r="M947" s="5">
        <v>2</v>
      </c>
      <c r="N947" s="21">
        <v>584.31640000000004</v>
      </c>
      <c r="O947" s="36" t="str">
        <f>HYPERLINK("http://ms.phosphosite.org:5080/cgi-bin/plot-msms.cgi?MassType=1&amp;NumAxis=1&amp;Mod8=170&amp;Pep=VSGTLETKYK&amp;Dta=/var/www/html/dta/S01/10558.3951.2.dta&amp;Global_Mod=CS57.0215", "3951")</f>
        <v>3951</v>
      </c>
      <c r="P947" s="36" t="str">
        <f>HYPERLINK("http://ms.phosphosite.org:5080/cgi-bin/plot-msms.cgi?MassType=1&amp;NumAxis=1&amp;Mod8=170&amp;Pep=VSGTLETKYK&amp;Dta=/var/www/html/dta/S01/10559.3850.2.dta&amp;Global_Mod=CS57.0215", "3850")</f>
        <v>3850</v>
      </c>
      <c r="Q947" s="36" t="str">
        <f>HYPERLINK("http://ms.phosphosite.org:5080/cgi-bin/plot-msms.cgi?MassType=1&amp;NumAxis=1&amp;Mod8=170&amp;Pep=VSGTLETKYK&amp;Dta=/var/www/html/dta/S01/10560.3854.2.dta&amp;Global_Mod=CS57.0215", "3854")</f>
        <v>3854</v>
      </c>
      <c r="R947" s="35" t="s">
        <v>4854</v>
      </c>
      <c r="S947" s="36" t="str">
        <f>HYPERLINK("http://ms.phosphosite.org:5080/cgi-bin/plot-msms.cgi?MassType=1&amp;NumAxis=1&amp;Mod8=170&amp;Pep=VSGTLETKYK&amp;Dta=/var/www/html/dta/S01/10562.4011.2.dta&amp;Global_Mod=CS57.0215", "4011")</f>
        <v>4011</v>
      </c>
      <c r="T947" s="35" t="s">
        <v>4854</v>
      </c>
      <c r="U947" s="35" t="s">
        <v>4854</v>
      </c>
      <c r="V947" s="36" t="str">
        <f>HYPERLINK("http://ms.phosphosite.org:5080/cgi-bin/plot-msms.cgi?MassType=1&amp;NumAxis=1&amp;Mod8=170&amp;Pep=VSGTLETKYK&amp;Dta=/var/www/html/dta/S01/10565.4367.2.dta&amp;Global_Mod=CS57.0215", "4367")</f>
        <v>4367</v>
      </c>
      <c r="W947" s="5">
        <v>3948</v>
      </c>
      <c r="X947" s="5">
        <v>3876</v>
      </c>
      <c r="Y947" s="5">
        <v>3872</v>
      </c>
      <c r="Z947" s="3" t="s">
        <v>4854</v>
      </c>
      <c r="AA947" s="5">
        <v>3992</v>
      </c>
      <c r="AB947" s="3" t="s">
        <v>4854</v>
      </c>
      <c r="AC947" s="3" t="s">
        <v>4854</v>
      </c>
      <c r="AD947" s="5">
        <v>4364</v>
      </c>
      <c r="AE947" s="90">
        <v>2.5150000000000001</v>
      </c>
      <c r="AF947" s="90">
        <v>2.3029999999999999</v>
      </c>
      <c r="AG947" s="90">
        <v>2.17</v>
      </c>
      <c r="AH947" s="99" t="s">
        <v>4854</v>
      </c>
      <c r="AI947" s="90">
        <v>2.2109999999999999</v>
      </c>
      <c r="AJ947" s="99" t="s">
        <v>4854</v>
      </c>
      <c r="AK947" s="99" t="s">
        <v>4854</v>
      </c>
      <c r="AL947" s="90">
        <v>2.2890000000000001</v>
      </c>
      <c r="AM947" s="21">
        <v>7.3200000000000001E-2</v>
      </c>
      <c r="AN947" s="21">
        <v>4.7000000000000002E-3</v>
      </c>
      <c r="AO947" s="21">
        <v>-0.15110000000000001</v>
      </c>
      <c r="AP947" s="102" t="s">
        <v>4854</v>
      </c>
      <c r="AQ947" s="21">
        <v>0.1812</v>
      </c>
      <c r="AR947" s="102" t="s">
        <v>4854</v>
      </c>
      <c r="AS947" s="102" t="s">
        <v>4854</v>
      </c>
      <c r="AT947" s="21">
        <v>-0.54420000000000002</v>
      </c>
      <c r="AU947" s="21">
        <v>0.19600000000000001</v>
      </c>
      <c r="AV947" s="21">
        <v>0.183</v>
      </c>
      <c r="AW947" s="21">
        <v>0.23799999999999999</v>
      </c>
      <c r="AX947" s="102" t="s">
        <v>4854</v>
      </c>
      <c r="AY947" s="21">
        <v>0.122</v>
      </c>
      <c r="AZ947" s="102" t="s">
        <v>4854</v>
      </c>
      <c r="BA947" s="102" t="s">
        <v>4854</v>
      </c>
      <c r="BB947" s="21">
        <v>0.19900000000000001</v>
      </c>
      <c r="BC947" s="5">
        <v>1</v>
      </c>
      <c r="BD947" s="5">
        <v>1</v>
      </c>
      <c r="BE947" s="5">
        <v>2</v>
      </c>
      <c r="BF947" s="3" t="s">
        <v>4854</v>
      </c>
      <c r="BG947" s="5">
        <v>5</v>
      </c>
      <c r="BH947" s="3" t="s">
        <v>4854</v>
      </c>
      <c r="BI947" s="3" t="s">
        <v>4854</v>
      </c>
      <c r="BJ947" s="5">
        <v>2</v>
      </c>
      <c r="BK947" s="90">
        <v>0.998</v>
      </c>
      <c r="BL947" s="90">
        <v>0.997</v>
      </c>
      <c r="BM947" s="90">
        <v>0.997</v>
      </c>
      <c r="BN947" s="99" t="s">
        <v>4854</v>
      </c>
      <c r="BO947" s="90">
        <v>0.98499999999999999</v>
      </c>
      <c r="BP947" s="99" t="s">
        <v>4854</v>
      </c>
      <c r="BQ947" s="99" t="s">
        <v>4854</v>
      </c>
      <c r="BR947" s="90">
        <v>0.99199999999999999</v>
      </c>
      <c r="BS947" s="5" t="s">
        <v>4857</v>
      </c>
    </row>
    <row r="948" spans="1:71" s="30" customFormat="1" ht="17.100000000000001" customHeight="1">
      <c r="A948" s="10">
        <v>937</v>
      </c>
      <c r="B948" s="10" t="s">
        <v>1351</v>
      </c>
      <c r="C948" s="4" t="s">
        <v>1803</v>
      </c>
      <c r="D948" s="4" t="s">
        <v>1345</v>
      </c>
      <c r="E948" s="7" t="s">
        <v>1346</v>
      </c>
      <c r="F948" s="10" t="s">
        <v>4978</v>
      </c>
      <c r="G948" s="4" t="s">
        <v>1347</v>
      </c>
      <c r="H948" s="7" t="s">
        <v>1348</v>
      </c>
      <c r="I948" s="4" t="s">
        <v>1349</v>
      </c>
      <c r="J948" s="10" t="s">
        <v>4683</v>
      </c>
      <c r="K948" s="4" t="s">
        <v>5914</v>
      </c>
      <c r="L948" s="4" t="s">
        <v>1352</v>
      </c>
      <c r="M948" s="10">
        <v>2</v>
      </c>
      <c r="N948" s="95">
        <v>883.90840000000003</v>
      </c>
      <c r="O948" s="37" t="str">
        <f>HYPERLINK("http://ms.phosphosite.org:5080/cgi-bin/plot-msms.cgi?MassType=1&amp;NumAxis=1&amp;Mod2=170&amp;Mod4=160&amp;Pep=YKWCEYGLTFTEK&amp;Dta=/var/www/html/dta/S01/10558.10629.2.dta&amp;Global_Mod=CS57.0215", "10629")</f>
        <v>10629</v>
      </c>
      <c r="P948" s="37" t="str">
        <f>HYPERLINK("http://ms.phosphosite.org:5080/cgi-bin/plot-msms.cgi?MassType=1&amp;NumAxis=1&amp;Mod2=170&amp;Mod4=160&amp;Pep=YKWCEYGLTFTEK&amp;Dta=/var/www/html/dta/S01/10559.10590.2.dta&amp;Global_Mod=CS57.0215", "10590")</f>
        <v>10590</v>
      </c>
      <c r="Q948" s="37" t="str">
        <f>HYPERLINK("http://ms.phosphosite.org:5080/cgi-bin/plot-msms.cgi?MassType=1&amp;NumAxis=1&amp;Mod2=170&amp;Mod4=160&amp;Pep=YKWCEYGLTFTEK&amp;Dta=/var/www/html/dta/S01/10560.10631.2.dta&amp;Global_Mod=CS57.0215", "10631")</f>
        <v>10631</v>
      </c>
      <c r="R948" s="37" t="str">
        <f>HYPERLINK("http://ms.phosphosite.org:5080/cgi-bin/plot-msms.cgi?MassType=1&amp;NumAxis=1&amp;Mod2=170&amp;Mod4=160&amp;Pep=YKWCEYGLTFTEK&amp;Dta=/var/www/html/dta/S01/10561.10654.2.dta&amp;Global_Mod=CS57.0215", "10654")</f>
        <v>10654</v>
      </c>
      <c r="S948" s="37" t="str">
        <f>HYPERLINK("http://ms.phosphosite.org:5080/cgi-bin/plot-msms.cgi?MassType=1&amp;NumAxis=1&amp;Mod2=170&amp;Mod4=160&amp;Pep=YKWCEYGLTFTEK&amp;Dta=/var/www/html/dta/S01/10562.10822.2.dta&amp;Global_Mod=CS57.0215", "10822")</f>
        <v>10822</v>
      </c>
      <c r="T948" s="37" t="str">
        <f>HYPERLINK("http://ms.phosphosite.org:5080/cgi-bin/plot-msms.cgi?MassType=1&amp;NumAxis=1&amp;Mod2=170&amp;Mod4=160&amp;Pep=YKWCEYGLTFTEK&amp;Dta=/var/www/html/dta/S01/10563.10769.2.dta&amp;Global_Mod=CS57.0215", "10769")</f>
        <v>10769</v>
      </c>
      <c r="U948" s="37" t="str">
        <f>HYPERLINK("http://ms.phosphosite.org:5080/cgi-bin/plot-msms.cgi?MassType=1&amp;NumAxis=1&amp;Mod2=170&amp;Mod4=160&amp;Pep=YKWCEYGLTFTEK&amp;Dta=/var/www/html/dta/S01/10564.11299.2.dta&amp;Global_Mod=CS57.0215", "11299")</f>
        <v>11299</v>
      </c>
      <c r="V948" s="37" t="str">
        <f>HYPERLINK("http://ms.phosphosite.org:5080/cgi-bin/plot-msms.cgi?MassType=1&amp;NumAxis=1&amp;Mod2=170&amp;Mod4=160&amp;Pep=YKWCEYGLTFTEK&amp;Dta=/var/www/html/dta/S01/10565.11240.2.dta&amp;Global_Mod=CS57.0215", "11240")</f>
        <v>11240</v>
      </c>
      <c r="W948" s="10">
        <v>10625</v>
      </c>
      <c r="X948" s="10">
        <v>10608</v>
      </c>
      <c r="Y948" s="10">
        <v>10656</v>
      </c>
      <c r="Z948" s="10">
        <v>10671</v>
      </c>
      <c r="AA948" s="10">
        <v>10818</v>
      </c>
      <c r="AB948" s="10">
        <v>10776</v>
      </c>
      <c r="AC948" s="10">
        <v>11325</v>
      </c>
      <c r="AD948" s="10">
        <v>11256</v>
      </c>
      <c r="AE948" s="91">
        <v>4.5229999999999997</v>
      </c>
      <c r="AF948" s="91">
        <v>4.2809999999999997</v>
      </c>
      <c r="AG948" s="91">
        <v>4.1749999999999998</v>
      </c>
      <c r="AH948" s="91">
        <v>3.8370000000000002</v>
      </c>
      <c r="AI948" s="91">
        <v>4.4429999999999996</v>
      </c>
      <c r="AJ948" s="91">
        <v>3.9089999999999998</v>
      </c>
      <c r="AK948" s="91">
        <v>4.2919999999999998</v>
      </c>
      <c r="AL948" s="91">
        <v>3.7909999999999999</v>
      </c>
      <c r="AM948" s="95">
        <v>0.3589</v>
      </c>
      <c r="AN948" s="95">
        <v>0.82640000000000002</v>
      </c>
      <c r="AO948" s="95">
        <v>0.84909999999999997</v>
      </c>
      <c r="AP948" s="95">
        <v>0.71099999999999997</v>
      </c>
      <c r="AQ948" s="95">
        <v>0.61419999999999997</v>
      </c>
      <c r="AR948" s="95">
        <v>0.84960000000000002</v>
      </c>
      <c r="AS948" s="95">
        <v>0.66459999999999997</v>
      </c>
      <c r="AT948" s="95">
        <v>-2.6499999999999999E-2</v>
      </c>
      <c r="AU948" s="95">
        <v>0.53800000000000003</v>
      </c>
      <c r="AV948" s="95">
        <v>0.505</v>
      </c>
      <c r="AW948" s="95">
        <v>0.51400000000000001</v>
      </c>
      <c r="AX948" s="95">
        <v>0.46500000000000002</v>
      </c>
      <c r="AY948" s="95">
        <v>0.46300000000000002</v>
      </c>
      <c r="AZ948" s="95">
        <v>0.36899999999999999</v>
      </c>
      <c r="BA948" s="95">
        <v>0.48099999999999998</v>
      </c>
      <c r="BB948" s="95">
        <v>0.46100000000000002</v>
      </c>
      <c r="BC948" s="10">
        <v>1</v>
      </c>
      <c r="BD948" s="10">
        <v>1</v>
      </c>
      <c r="BE948" s="10">
        <v>1</v>
      </c>
      <c r="BF948" s="10">
        <v>1</v>
      </c>
      <c r="BG948" s="10">
        <v>1</v>
      </c>
      <c r="BH948" s="10">
        <v>1</v>
      </c>
      <c r="BI948" s="10">
        <v>1</v>
      </c>
      <c r="BJ948" s="10">
        <v>1</v>
      </c>
      <c r="BK948" s="91">
        <v>1</v>
      </c>
      <c r="BL948" s="91">
        <v>1</v>
      </c>
      <c r="BM948" s="91">
        <v>1</v>
      </c>
      <c r="BN948" s="91">
        <v>1</v>
      </c>
      <c r="BO948" s="91">
        <v>1</v>
      </c>
      <c r="BP948" s="91">
        <v>1</v>
      </c>
      <c r="BQ948" s="91">
        <v>1</v>
      </c>
      <c r="BR948" s="91">
        <v>1</v>
      </c>
      <c r="BS948" s="10" t="s">
        <v>4857</v>
      </c>
    </row>
    <row r="949" spans="1:71" s="30" customFormat="1" ht="17.100000000000001" customHeight="1">
      <c r="A949" s="14">
        <v>938</v>
      </c>
      <c r="B949" s="5" t="s">
        <v>1353</v>
      </c>
      <c r="C949" s="3" t="s">
        <v>1803</v>
      </c>
      <c r="D949" s="3" t="s">
        <v>1354</v>
      </c>
      <c r="E949" s="3" t="s">
        <v>1225</v>
      </c>
      <c r="F949" s="5" t="s">
        <v>1619</v>
      </c>
      <c r="G949" s="3" t="s">
        <v>1226</v>
      </c>
      <c r="H949" s="6" t="s">
        <v>1227</v>
      </c>
      <c r="I949" s="3" t="s">
        <v>1228</v>
      </c>
      <c r="J949" s="5" t="s">
        <v>1229</v>
      </c>
      <c r="K949" s="3" t="s">
        <v>5915</v>
      </c>
      <c r="L949" s="3" t="s">
        <v>1230</v>
      </c>
      <c r="M949" s="5">
        <v>2</v>
      </c>
      <c r="N949" s="21">
        <v>467.75330000000002</v>
      </c>
      <c r="O949" s="36" t="str">
        <f>HYPERLINK("http://ms.phosphosite.org:5080/cgi-bin/plot-msms.cgi?MassType=1&amp;NumAxis=1&amp;Mod3=170&amp;Pep=AAKDVFNK&amp;Dta=/var/www/html/dta/S01/10558.3609.2.dta&amp;Global_Mod=CS57.0215", "3609")</f>
        <v>3609</v>
      </c>
      <c r="P949" s="36" t="str">
        <f>HYPERLINK("http://ms.phosphosite.org:5080/cgi-bin/plot-msms.cgi?MassType=1&amp;NumAxis=1&amp;Mod3=170&amp;Pep=AAKDVFNK&amp;Dta=/var/www/html/dta/S01/10559.3537.2.dta&amp;Global_Mod=CS57.0215", "3537")</f>
        <v>3537</v>
      </c>
      <c r="Q949" s="36" t="str">
        <f>HYPERLINK("http://ms.phosphosite.org:5080/cgi-bin/plot-msms.cgi?MassType=1&amp;NumAxis=1&amp;Mod3=170&amp;Pep=AAKDVFNK&amp;Dta=/var/www/html/dta/S01/10560.3530.2.dta&amp;Global_Mod=CS57.0215", "3530")</f>
        <v>3530</v>
      </c>
      <c r="R949" s="36" t="str">
        <f>HYPERLINK("http://ms.phosphosite.org:5080/cgi-bin/plot-msms.cgi?MassType=1&amp;NumAxis=1&amp;Mod3=170&amp;Pep=AAKDVFNK&amp;Dta=/var/www/html/dta/S01/10561.3549.2.dta&amp;Global_Mod=CS57.0215", "3549")</f>
        <v>3549</v>
      </c>
      <c r="S949" s="36" t="str">
        <f>HYPERLINK("http://ms.phosphosite.org:5080/cgi-bin/plot-msms.cgi?MassType=1&amp;NumAxis=1&amp;Mod3=170&amp;Pep=AAKDVFNK&amp;Dta=/var/www/html/dta/S01/10562.3649.2.dta&amp;Global_Mod=CS57.0215", "3649")</f>
        <v>3649</v>
      </c>
      <c r="T949" s="36" t="str">
        <f>HYPERLINK("http://ms.phosphosite.org:5080/cgi-bin/plot-msms.cgi?MassType=1&amp;NumAxis=1&amp;Mod3=170&amp;Pep=AAKDVFNK&amp;Dta=/var/www/html/dta/S01/10563.3573.2.dta&amp;Global_Mod=CS57.0215", "3573")</f>
        <v>3573</v>
      </c>
      <c r="U949" s="36" t="str">
        <f>HYPERLINK("http://ms.phosphosite.org:5080/cgi-bin/plot-msms.cgi?MassType=1&amp;NumAxis=1&amp;Mod3=170&amp;Pep=AAKDVFNK&amp;Dta=/var/www/html/dta/S01/10564.3937.2.dta&amp;Global_Mod=CS57.0215", "3937")</f>
        <v>3937</v>
      </c>
      <c r="V949" s="36" t="str">
        <f>HYPERLINK("http://ms.phosphosite.org:5080/cgi-bin/plot-msms.cgi?MassType=1&amp;NumAxis=1&amp;Mod3=170&amp;Pep=AAKDVFNK&amp;Dta=/var/www/html/dta/S01/10565.4033.2.dta&amp;Global_Mod=CS57.0215", "4033")</f>
        <v>4033</v>
      </c>
      <c r="W949" s="5">
        <v>3616</v>
      </c>
      <c r="X949" s="5">
        <v>3552</v>
      </c>
      <c r="Y949" s="5">
        <v>3547</v>
      </c>
      <c r="Z949" s="5">
        <v>3566</v>
      </c>
      <c r="AA949" s="5">
        <v>3664</v>
      </c>
      <c r="AB949" s="5">
        <v>3582</v>
      </c>
      <c r="AC949" s="5">
        <v>3955</v>
      </c>
      <c r="AD949" s="5">
        <v>4048</v>
      </c>
      <c r="AE949" s="90">
        <v>2.4039999999999999</v>
      </c>
      <c r="AF949" s="90">
        <v>2.5870000000000002</v>
      </c>
      <c r="AG949" s="90">
        <v>2.2090000000000001</v>
      </c>
      <c r="AH949" s="90">
        <v>2.335</v>
      </c>
      <c r="AI949" s="90">
        <v>2.0990000000000002</v>
      </c>
      <c r="AJ949" s="90">
        <v>2.1219999999999999</v>
      </c>
      <c r="AK949" s="90">
        <v>1.804</v>
      </c>
      <c r="AL949" s="90">
        <v>2.2890000000000001</v>
      </c>
      <c r="AM949" s="21">
        <v>0.1608</v>
      </c>
      <c r="AN949" s="21">
        <v>0.4486</v>
      </c>
      <c r="AO949" s="21">
        <v>0.29880000000000001</v>
      </c>
      <c r="AP949" s="21">
        <v>7.8399999999999997E-2</v>
      </c>
      <c r="AQ949" s="21">
        <v>0.64129999999999998</v>
      </c>
      <c r="AR949" s="21">
        <v>0.2999</v>
      </c>
      <c r="AS949" s="21">
        <v>0.10730000000000001</v>
      </c>
      <c r="AT949" s="21">
        <v>4.5999999999999999E-3</v>
      </c>
      <c r="AU949" s="21">
        <v>0.19500000000000001</v>
      </c>
      <c r="AV949" s="21">
        <v>0.22600000000000001</v>
      </c>
      <c r="AW949" s="21">
        <v>0.17199999999999999</v>
      </c>
      <c r="AX949" s="21">
        <v>0.27400000000000002</v>
      </c>
      <c r="AY949" s="21">
        <v>0.21099999999999999</v>
      </c>
      <c r="AZ949" s="21">
        <v>0.26800000000000002</v>
      </c>
      <c r="BA949" s="21">
        <v>0.30599999999999999</v>
      </c>
      <c r="BB949" s="21">
        <v>0.16900000000000001</v>
      </c>
      <c r="BC949" s="5">
        <v>3</v>
      </c>
      <c r="BD949" s="5">
        <v>1</v>
      </c>
      <c r="BE949" s="5">
        <v>1</v>
      </c>
      <c r="BF949" s="5">
        <v>1</v>
      </c>
      <c r="BG949" s="5">
        <v>2</v>
      </c>
      <c r="BH949" s="5">
        <v>3</v>
      </c>
      <c r="BI949" s="5">
        <v>5</v>
      </c>
      <c r="BJ949" s="5">
        <v>2</v>
      </c>
      <c r="BK949" s="90">
        <v>0.998</v>
      </c>
      <c r="BL949" s="90">
        <v>0.999</v>
      </c>
      <c r="BM949" s="90">
        <v>0.996</v>
      </c>
      <c r="BN949" s="90">
        <v>0.999</v>
      </c>
      <c r="BO949" s="90">
        <v>0.996</v>
      </c>
      <c r="BP949" s="90">
        <v>0.998</v>
      </c>
      <c r="BQ949" s="90">
        <v>0.996</v>
      </c>
      <c r="BR949" s="90">
        <v>0.996</v>
      </c>
      <c r="BS949" s="5" t="s">
        <v>4857</v>
      </c>
    </row>
    <row r="950" spans="1:71" s="30" customFormat="1" ht="17.100000000000001" customHeight="1">
      <c r="A950" s="10">
        <v>939</v>
      </c>
      <c r="B950" s="10" t="s">
        <v>1231</v>
      </c>
      <c r="C950" s="4" t="s">
        <v>1803</v>
      </c>
      <c r="D950" s="4" t="s">
        <v>1354</v>
      </c>
      <c r="E950" s="4" t="s">
        <v>1225</v>
      </c>
      <c r="F950" s="10" t="s">
        <v>1232</v>
      </c>
      <c r="G950" s="4" t="s">
        <v>1226</v>
      </c>
      <c r="H950" s="7" t="s">
        <v>1227</v>
      </c>
      <c r="I950" s="4" t="s">
        <v>1228</v>
      </c>
      <c r="J950" s="10" t="s">
        <v>1229</v>
      </c>
      <c r="K950" s="4" t="s">
        <v>5916</v>
      </c>
      <c r="L950" s="4" t="s">
        <v>1233</v>
      </c>
      <c r="M950" s="10">
        <v>4</v>
      </c>
      <c r="N950" s="95">
        <v>953.96299999999997</v>
      </c>
      <c r="O950" s="38" t="s">
        <v>4854</v>
      </c>
      <c r="P950" s="38" t="s">
        <v>4854</v>
      </c>
      <c r="Q950" s="38" t="s">
        <v>4854</v>
      </c>
      <c r="R950" s="37" t="str">
        <f>HYPERLINK("http://ms.phosphosite.org:5080/cgi-bin/plot-msms.cgi?MassType=1&amp;NumAxis=1&amp;Mod11=170&amp;Pep=LSQNNFALGYKAADFQLHTHVNDGTEFGGSIYQK&amp;Dta=/var/www/html/dta/S01/10561.10813.4.dta&amp;Global_Mod=CS57.0215", "10813")</f>
        <v>10813</v>
      </c>
      <c r="S950" s="38" t="s">
        <v>4854</v>
      </c>
      <c r="T950" s="38" t="s">
        <v>4854</v>
      </c>
      <c r="U950" s="38" t="s">
        <v>4854</v>
      </c>
      <c r="V950" s="38" t="s">
        <v>4854</v>
      </c>
      <c r="W950" s="4" t="s">
        <v>4854</v>
      </c>
      <c r="X950" s="4" t="s">
        <v>4854</v>
      </c>
      <c r="Y950" s="4" t="s">
        <v>4854</v>
      </c>
      <c r="Z950" s="10">
        <v>10792</v>
      </c>
      <c r="AA950" s="4" t="s">
        <v>4854</v>
      </c>
      <c r="AB950" s="4" t="s">
        <v>4854</v>
      </c>
      <c r="AC950" s="4" t="s">
        <v>4854</v>
      </c>
      <c r="AD950" s="4" t="s">
        <v>4854</v>
      </c>
      <c r="AE950" s="100" t="s">
        <v>4854</v>
      </c>
      <c r="AF950" s="100" t="s">
        <v>4854</v>
      </c>
      <c r="AG950" s="100" t="s">
        <v>4854</v>
      </c>
      <c r="AH950" s="91">
        <v>4.4320000000000004</v>
      </c>
      <c r="AI950" s="100" t="s">
        <v>4854</v>
      </c>
      <c r="AJ950" s="100" t="s">
        <v>4854</v>
      </c>
      <c r="AK950" s="100" t="s">
        <v>4854</v>
      </c>
      <c r="AL950" s="100" t="s">
        <v>4854</v>
      </c>
      <c r="AM950" s="103" t="s">
        <v>4854</v>
      </c>
      <c r="AN950" s="103" t="s">
        <v>4854</v>
      </c>
      <c r="AO950" s="103" t="s">
        <v>4854</v>
      </c>
      <c r="AP950" s="95">
        <v>1.5061</v>
      </c>
      <c r="AQ950" s="103" t="s">
        <v>4854</v>
      </c>
      <c r="AR950" s="103" t="s">
        <v>4854</v>
      </c>
      <c r="AS950" s="103" t="s">
        <v>4854</v>
      </c>
      <c r="AT950" s="103" t="s">
        <v>4854</v>
      </c>
      <c r="AU950" s="103" t="s">
        <v>4854</v>
      </c>
      <c r="AV950" s="103" t="s">
        <v>4854</v>
      </c>
      <c r="AW950" s="103" t="s">
        <v>4854</v>
      </c>
      <c r="AX950" s="95">
        <v>0.26600000000000001</v>
      </c>
      <c r="AY950" s="103" t="s">
        <v>4854</v>
      </c>
      <c r="AZ950" s="103" t="s">
        <v>4854</v>
      </c>
      <c r="BA950" s="103" t="s">
        <v>4854</v>
      </c>
      <c r="BB950" s="103" t="s">
        <v>4854</v>
      </c>
      <c r="BC950" s="4" t="s">
        <v>4854</v>
      </c>
      <c r="BD950" s="4" t="s">
        <v>4854</v>
      </c>
      <c r="BE950" s="4" t="s">
        <v>4854</v>
      </c>
      <c r="BF950" s="10">
        <v>1</v>
      </c>
      <c r="BG950" s="4" t="s">
        <v>4854</v>
      </c>
      <c r="BH950" s="4" t="s">
        <v>4854</v>
      </c>
      <c r="BI950" s="4" t="s">
        <v>4854</v>
      </c>
      <c r="BJ950" s="4" t="s">
        <v>4854</v>
      </c>
      <c r="BK950" s="100" t="s">
        <v>4854</v>
      </c>
      <c r="BL950" s="100" t="s">
        <v>4854</v>
      </c>
      <c r="BM950" s="100" t="s">
        <v>4854</v>
      </c>
      <c r="BN950" s="91">
        <v>1</v>
      </c>
      <c r="BO950" s="100" t="s">
        <v>4854</v>
      </c>
      <c r="BP950" s="100" t="s">
        <v>4854</v>
      </c>
      <c r="BQ950" s="100" t="s">
        <v>4854</v>
      </c>
      <c r="BR950" s="100" t="s">
        <v>4854</v>
      </c>
      <c r="BS950" s="10" t="s">
        <v>4857</v>
      </c>
    </row>
    <row r="951" spans="1:71" s="30" customFormat="1" ht="17.100000000000001" customHeight="1">
      <c r="A951" s="14">
        <v>940</v>
      </c>
      <c r="B951" s="5" t="s">
        <v>1234</v>
      </c>
      <c r="C951" s="3" t="s">
        <v>1803</v>
      </c>
      <c r="D951" s="3" t="s">
        <v>1354</v>
      </c>
      <c r="E951" s="3" t="s">
        <v>1225</v>
      </c>
      <c r="F951" s="5" t="s">
        <v>1235</v>
      </c>
      <c r="G951" s="3" t="s">
        <v>1226</v>
      </c>
      <c r="H951" s="6" t="s">
        <v>1227</v>
      </c>
      <c r="I951" s="3" t="s">
        <v>1228</v>
      </c>
      <c r="J951" s="5" t="s">
        <v>1229</v>
      </c>
      <c r="K951" s="3" t="s">
        <v>5917</v>
      </c>
      <c r="L951" s="3" t="s">
        <v>1236</v>
      </c>
      <c r="M951" s="5">
        <v>2</v>
      </c>
      <c r="N951" s="21">
        <v>470.26859999999999</v>
      </c>
      <c r="O951" s="35" t="s">
        <v>4854</v>
      </c>
      <c r="P951" s="36" t="str">
        <f>HYPERLINK("http://ms.phosphosite.org:5080/cgi-bin/plot-msms.cgi?MassType=1&amp;NumAxis=1&amp;Mod6=170&amp;Pep=FGIAAKYK&amp;Dta=/var/www/html/dta/S01/10559.5684.2.dta&amp;Global_Mod=CS57.0215", "5684")</f>
        <v>5684</v>
      </c>
      <c r="Q951" s="35" t="s">
        <v>4854</v>
      </c>
      <c r="R951" s="35" t="s">
        <v>4854</v>
      </c>
      <c r="S951" s="35" t="s">
        <v>4854</v>
      </c>
      <c r="T951" s="35" t="s">
        <v>4854</v>
      </c>
      <c r="U951" s="35" t="s">
        <v>4854</v>
      </c>
      <c r="V951" s="35" t="s">
        <v>4854</v>
      </c>
      <c r="W951" s="3" t="s">
        <v>4854</v>
      </c>
      <c r="X951" s="5">
        <v>5645</v>
      </c>
      <c r="Y951" s="3" t="s">
        <v>4854</v>
      </c>
      <c r="Z951" s="3" t="s">
        <v>4854</v>
      </c>
      <c r="AA951" s="3" t="s">
        <v>4854</v>
      </c>
      <c r="AB951" s="3" t="s">
        <v>4854</v>
      </c>
      <c r="AC951" s="3" t="s">
        <v>4854</v>
      </c>
      <c r="AD951" s="3" t="s">
        <v>4854</v>
      </c>
      <c r="AE951" s="99" t="s">
        <v>4854</v>
      </c>
      <c r="AF951" s="90">
        <v>2.7919999999999998</v>
      </c>
      <c r="AG951" s="99" t="s">
        <v>4854</v>
      </c>
      <c r="AH951" s="99" t="s">
        <v>4854</v>
      </c>
      <c r="AI951" s="99" t="s">
        <v>4854</v>
      </c>
      <c r="AJ951" s="99" t="s">
        <v>4854</v>
      </c>
      <c r="AK951" s="99" t="s">
        <v>4854</v>
      </c>
      <c r="AL951" s="99" t="s">
        <v>4854</v>
      </c>
      <c r="AM951" s="102" t="s">
        <v>4854</v>
      </c>
      <c r="AN951" s="21">
        <v>8.5599999999999996E-2</v>
      </c>
      <c r="AO951" s="102" t="s">
        <v>4854</v>
      </c>
      <c r="AP951" s="102" t="s">
        <v>4854</v>
      </c>
      <c r="AQ951" s="102" t="s">
        <v>4854</v>
      </c>
      <c r="AR951" s="102" t="s">
        <v>4854</v>
      </c>
      <c r="AS951" s="102" t="s">
        <v>4854</v>
      </c>
      <c r="AT951" s="102" t="s">
        <v>4854</v>
      </c>
      <c r="AU951" s="102" t="s">
        <v>4854</v>
      </c>
      <c r="AV951" s="21">
        <v>0.2</v>
      </c>
      <c r="AW951" s="102" t="s">
        <v>4854</v>
      </c>
      <c r="AX951" s="102" t="s">
        <v>4854</v>
      </c>
      <c r="AY951" s="102" t="s">
        <v>4854</v>
      </c>
      <c r="AZ951" s="102" t="s">
        <v>4854</v>
      </c>
      <c r="BA951" s="102" t="s">
        <v>4854</v>
      </c>
      <c r="BB951" s="102" t="s">
        <v>4854</v>
      </c>
      <c r="BC951" s="3" t="s">
        <v>4854</v>
      </c>
      <c r="BD951" s="5">
        <v>1</v>
      </c>
      <c r="BE951" s="3" t="s">
        <v>4854</v>
      </c>
      <c r="BF951" s="3" t="s">
        <v>4854</v>
      </c>
      <c r="BG951" s="3" t="s">
        <v>4854</v>
      </c>
      <c r="BH951" s="3" t="s">
        <v>4854</v>
      </c>
      <c r="BI951" s="3" t="s">
        <v>4854</v>
      </c>
      <c r="BJ951" s="3" t="s">
        <v>4854</v>
      </c>
      <c r="BK951" s="99" t="s">
        <v>4854</v>
      </c>
      <c r="BL951" s="90">
        <v>0.999</v>
      </c>
      <c r="BM951" s="99" t="s">
        <v>4854</v>
      </c>
      <c r="BN951" s="99" t="s">
        <v>4854</v>
      </c>
      <c r="BO951" s="99" t="s">
        <v>4854</v>
      </c>
      <c r="BP951" s="99" t="s">
        <v>4854</v>
      </c>
      <c r="BQ951" s="99" t="s">
        <v>4854</v>
      </c>
      <c r="BR951" s="99" t="s">
        <v>4854</v>
      </c>
      <c r="BS951" s="5" t="s">
        <v>4857</v>
      </c>
    </row>
    <row r="952" spans="1:71" s="30" customFormat="1" ht="17.100000000000001" customHeight="1">
      <c r="A952" s="10">
        <v>941</v>
      </c>
      <c r="B952" s="10" t="s">
        <v>1237</v>
      </c>
      <c r="C952" s="4" t="s">
        <v>1803</v>
      </c>
      <c r="D952" s="4" t="s">
        <v>1354</v>
      </c>
      <c r="E952" s="4" t="s">
        <v>1225</v>
      </c>
      <c r="F952" s="10" t="s">
        <v>5169</v>
      </c>
      <c r="G952" s="4" t="s">
        <v>1226</v>
      </c>
      <c r="H952" s="7" t="s">
        <v>1227</v>
      </c>
      <c r="I952" s="4" t="s">
        <v>1228</v>
      </c>
      <c r="J952" s="10" t="s">
        <v>1229</v>
      </c>
      <c r="K952" s="4" t="s">
        <v>5918</v>
      </c>
      <c r="L952" s="4" t="s">
        <v>1238</v>
      </c>
      <c r="M952" s="10">
        <v>2</v>
      </c>
      <c r="N952" s="95">
        <v>448.71839999999997</v>
      </c>
      <c r="O952" s="37" t="str">
        <f>HYPERLINK("http://ms.phosphosite.org:5080/cgi-bin/plot-msms.cgi?MassType=1&amp;NumAxis=1&amp;Mod2=170&amp;Mod5=160&amp;Pep=YKLDCR&amp;Dta=/var/www/html/dta/S01/10558.3031.2.dta&amp;Global_Mod=CS57.0215", "3031")</f>
        <v>3031</v>
      </c>
      <c r="P952" s="38" t="s">
        <v>4854</v>
      </c>
      <c r="Q952" s="37" t="str">
        <f>HYPERLINK("http://ms.phosphosite.org:5080/cgi-bin/plot-msms.cgi?MassType=1&amp;NumAxis=1&amp;Mod2=170&amp;Mod5=160&amp;Pep=YKLDCR&amp;Dta=/var/www/html/dta/S01/10560.2927.2.dta&amp;Global_Mod=CS57.0215", "2927")</f>
        <v>2927</v>
      </c>
      <c r="R952" s="38" t="s">
        <v>4854</v>
      </c>
      <c r="S952" s="37" t="str">
        <f>HYPERLINK("http://ms.phosphosite.org:5080/cgi-bin/plot-msms.cgi?MassType=1&amp;NumAxis=1&amp;Mod2=170&amp;Mod5=160&amp;Pep=YKLDCR&amp;Dta=/var/www/html/dta/S01/10562.3034.2.dta&amp;Global_Mod=CS57.0215", "3034")</f>
        <v>3034</v>
      </c>
      <c r="T952" s="38" t="s">
        <v>4854</v>
      </c>
      <c r="U952" s="37" t="str">
        <f>HYPERLINK("http://ms.phosphosite.org:5080/cgi-bin/plot-msms.cgi?MassType=1&amp;NumAxis=1&amp;Mod2=170&amp;Mod5=160&amp;Pep=YKLDCR&amp;Dta=/var/www/html/dta/S01/10564.3342.2.dta&amp;Global_Mod=CS57.0215", "3342")</f>
        <v>3342</v>
      </c>
      <c r="V952" s="38" t="s">
        <v>4854</v>
      </c>
      <c r="W952" s="4" t="s">
        <v>4854</v>
      </c>
      <c r="X952" s="4" t="s">
        <v>4854</v>
      </c>
      <c r="Y952" s="4" t="s">
        <v>4854</v>
      </c>
      <c r="Z952" s="4" t="s">
        <v>4854</v>
      </c>
      <c r="AA952" s="10">
        <v>3024</v>
      </c>
      <c r="AB952" s="4" t="s">
        <v>4854</v>
      </c>
      <c r="AC952" s="4" t="s">
        <v>4854</v>
      </c>
      <c r="AD952" s="4" t="s">
        <v>4854</v>
      </c>
      <c r="AE952" s="91">
        <v>1.5289999999999999</v>
      </c>
      <c r="AF952" s="100" t="s">
        <v>4854</v>
      </c>
      <c r="AG952" s="91">
        <v>1.514</v>
      </c>
      <c r="AH952" s="100" t="s">
        <v>4854</v>
      </c>
      <c r="AI952" s="91">
        <v>1.704</v>
      </c>
      <c r="AJ952" s="100" t="s">
        <v>4854</v>
      </c>
      <c r="AK952" s="91">
        <v>1.431</v>
      </c>
      <c r="AL952" s="100" t="s">
        <v>4854</v>
      </c>
      <c r="AM952" s="95">
        <v>0.40200000000000002</v>
      </c>
      <c r="AN952" s="103" t="s">
        <v>4854</v>
      </c>
      <c r="AO952" s="95">
        <v>0.73670000000000002</v>
      </c>
      <c r="AP952" s="103" t="s">
        <v>4854</v>
      </c>
      <c r="AQ952" s="95">
        <v>0.58050000000000002</v>
      </c>
      <c r="AR952" s="103" t="s">
        <v>4854</v>
      </c>
      <c r="AS952" s="95">
        <v>0.30940000000000001</v>
      </c>
      <c r="AT952" s="103" t="s">
        <v>4854</v>
      </c>
      <c r="AU952" s="95">
        <v>3.5999999999999997E-2</v>
      </c>
      <c r="AV952" s="103" t="s">
        <v>4854</v>
      </c>
      <c r="AW952" s="95">
        <v>7.6999999999999999E-2</v>
      </c>
      <c r="AX952" s="103" t="s">
        <v>4854</v>
      </c>
      <c r="AY952" s="95">
        <v>7.5999999999999998E-2</v>
      </c>
      <c r="AZ952" s="103" t="s">
        <v>4854</v>
      </c>
      <c r="BA952" s="95">
        <v>2.9000000000000001E-2</v>
      </c>
      <c r="BB952" s="103" t="s">
        <v>4854</v>
      </c>
      <c r="BC952" s="10">
        <v>1</v>
      </c>
      <c r="BD952" s="4" t="s">
        <v>4854</v>
      </c>
      <c r="BE952" s="10">
        <v>1</v>
      </c>
      <c r="BF952" s="4" t="s">
        <v>4854</v>
      </c>
      <c r="BG952" s="10">
        <v>1</v>
      </c>
      <c r="BH952" s="4" t="s">
        <v>4854</v>
      </c>
      <c r="BI952" s="10">
        <v>6</v>
      </c>
      <c r="BJ952" s="4" t="s">
        <v>4854</v>
      </c>
      <c r="BK952" s="91">
        <v>0.90300000000000002</v>
      </c>
      <c r="BL952" s="100" t="s">
        <v>4854</v>
      </c>
      <c r="BM952" s="91">
        <v>0.93500000000000005</v>
      </c>
      <c r="BN952" s="100" t="s">
        <v>4854</v>
      </c>
      <c r="BO952" s="91">
        <v>0.96699999999999997</v>
      </c>
      <c r="BP952" s="100" t="s">
        <v>4854</v>
      </c>
      <c r="BQ952" s="91">
        <v>0.76700000000000002</v>
      </c>
      <c r="BR952" s="100" t="s">
        <v>4854</v>
      </c>
      <c r="BS952" s="10" t="s">
        <v>4857</v>
      </c>
    </row>
    <row r="953" spans="1:71" s="30" customFormat="1" ht="17.100000000000001" customHeight="1">
      <c r="A953" s="14">
        <v>942</v>
      </c>
      <c r="B953" s="5" t="s">
        <v>1239</v>
      </c>
      <c r="C953" s="3" t="s">
        <v>1803</v>
      </c>
      <c r="D953" s="3" t="s">
        <v>1354</v>
      </c>
      <c r="E953" s="3" t="s">
        <v>1225</v>
      </c>
      <c r="F953" s="5" t="s">
        <v>5143</v>
      </c>
      <c r="G953" s="3" t="s">
        <v>1226</v>
      </c>
      <c r="H953" s="6" t="s">
        <v>1227</v>
      </c>
      <c r="I953" s="3" t="s">
        <v>1228</v>
      </c>
      <c r="J953" s="5" t="s">
        <v>1229</v>
      </c>
      <c r="K953" s="3" t="s">
        <v>5919</v>
      </c>
      <c r="L953" s="3" t="s">
        <v>1240</v>
      </c>
      <c r="M953" s="5">
        <v>2</v>
      </c>
      <c r="N953" s="21">
        <v>576.79840000000002</v>
      </c>
      <c r="O953" s="36" t="str">
        <f>HYPERLINK("http://ms.phosphosite.org:5080/cgi-bin/plot-msms.cgi?MassType=1&amp;NumAxis=1&amp;Mod8=170&amp;Pep=ASGNLETKYK&amp;Dta=/var/www/html/dta/S01/10558.3311.2.dta&amp;Global_Mod=CS57.0215", "3311")</f>
        <v>3311</v>
      </c>
      <c r="P953" s="36" t="str">
        <f>HYPERLINK("http://ms.phosphosite.org:5080/cgi-bin/plot-msms.cgi?MassType=1&amp;NumAxis=1&amp;Mod8=170&amp;Pep=ASGNLETKYK&amp;Dta=/var/www/html/dta/S01/10559.3234.2.dta&amp;Global_Mod=CS57.0215", "3234")</f>
        <v>3234</v>
      </c>
      <c r="Q953" s="36" t="str">
        <f>HYPERLINK("http://ms.phosphosite.org:5080/cgi-bin/plot-msms.cgi?MassType=1&amp;NumAxis=1&amp;Mod8=170&amp;Pep=ASGNLETKYK&amp;Dta=/var/www/html/dta/S01/10560.3220.2.dta&amp;Global_Mod=CS57.0215", "3220")</f>
        <v>3220</v>
      </c>
      <c r="R953" s="36" t="str">
        <f>HYPERLINK("http://ms.phosphosite.org:5080/cgi-bin/plot-msms.cgi?MassType=1&amp;NumAxis=1&amp;Mod8=170&amp;Pep=ASGNLETKYK&amp;Dta=/var/www/html/dta/S01/10561.3223.2.dta&amp;Global_Mod=CS57.0215", "3223")</f>
        <v>3223</v>
      </c>
      <c r="S953" s="36" t="str">
        <f>HYPERLINK("http://ms.phosphosite.org:5080/cgi-bin/plot-msms.cgi?MassType=1&amp;NumAxis=1&amp;Mod8=170&amp;Pep=ASGNLETKYK&amp;Dta=/var/www/html/dta/S01/10562.3329.2.dta&amp;Global_Mod=CS57.0215", "3329")</f>
        <v>3329</v>
      </c>
      <c r="T953" s="36" t="str">
        <f>HYPERLINK("http://ms.phosphosite.org:5080/cgi-bin/plot-msms.cgi?MassType=1&amp;NumAxis=1&amp;Mod8=170&amp;Pep=ASGNLETKYK&amp;Dta=/var/www/html/dta/S01/10563.3254.2.dta&amp;Global_Mod=CS57.0215", "3254")</f>
        <v>3254</v>
      </c>
      <c r="U953" s="36" t="str">
        <f>HYPERLINK("http://ms.phosphosite.org:5080/cgi-bin/plot-msms.cgi?MassType=1&amp;NumAxis=1&amp;Mod8=170&amp;Pep=ASGNLETKYK&amp;Dta=/var/www/html/dta/S01/10564.3612.2.dta&amp;Global_Mod=CS57.0215", "3612")</f>
        <v>3612</v>
      </c>
      <c r="V953" s="36" t="str">
        <f>HYPERLINK("http://ms.phosphosite.org:5080/cgi-bin/plot-msms.cgi?MassType=1&amp;NumAxis=1&amp;Mod8=170&amp;Pep=ASGNLETKYK&amp;Dta=/var/www/html/dta/S01/10565.3703.2.dta&amp;Global_Mod=CS57.0215", "3703")</f>
        <v>3703</v>
      </c>
      <c r="W953" s="5">
        <v>3327</v>
      </c>
      <c r="X953" s="5">
        <v>3242</v>
      </c>
      <c r="Y953" s="5">
        <v>3223</v>
      </c>
      <c r="Z953" s="5">
        <v>3251</v>
      </c>
      <c r="AA953" s="5">
        <v>3328</v>
      </c>
      <c r="AB953" s="5">
        <v>3273</v>
      </c>
      <c r="AC953" s="5">
        <v>3627</v>
      </c>
      <c r="AD953" s="5">
        <v>3718</v>
      </c>
      <c r="AE953" s="90">
        <v>2.8180000000000001</v>
      </c>
      <c r="AF953" s="90">
        <v>2.6520000000000001</v>
      </c>
      <c r="AG953" s="90">
        <v>2.2669999999999999</v>
      </c>
      <c r="AH953" s="90">
        <v>2.944</v>
      </c>
      <c r="AI953" s="90">
        <v>2.8780000000000001</v>
      </c>
      <c r="AJ953" s="90">
        <v>2.8809999999999998</v>
      </c>
      <c r="AK953" s="90">
        <v>2.427</v>
      </c>
      <c r="AL953" s="90">
        <v>2.6850000000000001</v>
      </c>
      <c r="AM953" s="21">
        <v>-0.30740000000000001</v>
      </c>
      <c r="AN953" s="21">
        <v>-0.27700000000000002</v>
      </c>
      <c r="AO953" s="21">
        <v>-4.2799999999999998E-2</v>
      </c>
      <c r="AP953" s="21">
        <v>5.9999999999999995E-4</v>
      </c>
      <c r="AQ953" s="21">
        <v>-0.1356</v>
      </c>
      <c r="AR953" s="21">
        <v>-6.7100000000000007E-2</v>
      </c>
      <c r="AS953" s="21">
        <v>0.16200000000000001</v>
      </c>
      <c r="AT953" s="21">
        <v>-0.48530000000000001</v>
      </c>
      <c r="AU953" s="21">
        <v>0.17699999999999999</v>
      </c>
      <c r="AV953" s="21">
        <v>0.24199999999999999</v>
      </c>
      <c r="AW953" s="21">
        <v>0.14699999999999999</v>
      </c>
      <c r="AX953" s="21">
        <v>0.26800000000000002</v>
      </c>
      <c r="AY953" s="21">
        <v>0.23699999999999999</v>
      </c>
      <c r="AZ953" s="21">
        <v>0.17299999999999999</v>
      </c>
      <c r="BA953" s="21">
        <v>0.129</v>
      </c>
      <c r="BB953" s="21">
        <v>0.18099999999999999</v>
      </c>
      <c r="BC953" s="5">
        <v>1</v>
      </c>
      <c r="BD953" s="5">
        <v>1</v>
      </c>
      <c r="BE953" s="5">
        <v>1</v>
      </c>
      <c r="BF953" s="5">
        <v>4</v>
      </c>
      <c r="BG953" s="5">
        <v>3</v>
      </c>
      <c r="BH953" s="5">
        <v>1</v>
      </c>
      <c r="BI953" s="5">
        <v>9</v>
      </c>
      <c r="BJ953" s="5">
        <v>3</v>
      </c>
      <c r="BK953" s="90">
        <v>0.999</v>
      </c>
      <c r="BL953" s="90">
        <v>0.999</v>
      </c>
      <c r="BM953" s="90">
        <v>0.99399999999999999</v>
      </c>
      <c r="BN953" s="90">
        <v>0.999</v>
      </c>
      <c r="BO953" s="90">
        <v>0.999</v>
      </c>
      <c r="BP953" s="90">
        <v>0.999</v>
      </c>
      <c r="BQ953" s="90">
        <v>0.99</v>
      </c>
      <c r="BR953" s="90">
        <v>0.995</v>
      </c>
      <c r="BS953" s="5" t="s">
        <v>4857</v>
      </c>
    </row>
    <row r="954" spans="1:71" s="30" customFormat="1" ht="17.100000000000001" customHeight="1">
      <c r="A954" s="14">
        <v>943</v>
      </c>
      <c r="B954" s="5" t="s">
        <v>1241</v>
      </c>
      <c r="C954" s="3" t="s">
        <v>1803</v>
      </c>
      <c r="D954" s="3" t="s">
        <v>1354</v>
      </c>
      <c r="E954" s="3" t="s">
        <v>1225</v>
      </c>
      <c r="F954" s="5" t="s">
        <v>5143</v>
      </c>
      <c r="G954" s="3" t="s">
        <v>1226</v>
      </c>
      <c r="H954" s="6" t="s">
        <v>1227</v>
      </c>
      <c r="I954" s="3" t="s">
        <v>1228</v>
      </c>
      <c r="J954" s="5" t="s">
        <v>1229</v>
      </c>
      <c r="K954" s="3" t="s">
        <v>5919</v>
      </c>
      <c r="L954" s="3" t="s">
        <v>1240</v>
      </c>
      <c r="M954" s="5">
        <v>2</v>
      </c>
      <c r="N954" s="21">
        <v>576.79840000000002</v>
      </c>
      <c r="O954" s="35" t="s">
        <v>4854</v>
      </c>
      <c r="P954" s="35" t="s">
        <v>4854</v>
      </c>
      <c r="Q954" s="35" t="s">
        <v>4854</v>
      </c>
      <c r="R954" s="35" t="s">
        <v>4854</v>
      </c>
      <c r="S954" s="35" t="s">
        <v>4854</v>
      </c>
      <c r="T954" s="35" t="s">
        <v>4854</v>
      </c>
      <c r="U954" s="36" t="str">
        <f>HYPERLINK("http://ms.phosphosite.org:5080/cgi-bin/plot-msms.cgi?MassType=1&amp;NumAxis=1&amp;Mod8=170&amp;Pep=ASGNLETKYK&amp;Dta=/var/www/html/dta/S01/10564.3640.2.dta&amp;Global_Mod=CS57.0215", "3640")</f>
        <v>3640</v>
      </c>
      <c r="V954" s="35" t="s">
        <v>4854</v>
      </c>
      <c r="W954" s="3" t="s">
        <v>4854</v>
      </c>
      <c r="X954" s="3" t="s">
        <v>4854</v>
      </c>
      <c r="Y954" s="3" t="s">
        <v>4854</v>
      </c>
      <c r="Z954" s="3" t="s">
        <v>4854</v>
      </c>
      <c r="AA954" s="3" t="s">
        <v>4854</v>
      </c>
      <c r="AB954" s="3" t="s">
        <v>4854</v>
      </c>
      <c r="AC954" s="3" t="s">
        <v>4854</v>
      </c>
      <c r="AD954" s="3" t="s">
        <v>4854</v>
      </c>
      <c r="AE954" s="99" t="s">
        <v>4854</v>
      </c>
      <c r="AF954" s="99" t="s">
        <v>4854</v>
      </c>
      <c r="AG954" s="99" t="s">
        <v>4854</v>
      </c>
      <c r="AH954" s="99" t="s">
        <v>4854</v>
      </c>
      <c r="AI954" s="99" t="s">
        <v>4854</v>
      </c>
      <c r="AJ954" s="99" t="s">
        <v>4854</v>
      </c>
      <c r="AK954" s="90">
        <v>2.1970000000000001</v>
      </c>
      <c r="AL954" s="99" t="s">
        <v>4854</v>
      </c>
      <c r="AM954" s="102" t="s">
        <v>4854</v>
      </c>
      <c r="AN954" s="102" t="s">
        <v>4854</v>
      </c>
      <c r="AO954" s="102" t="s">
        <v>4854</v>
      </c>
      <c r="AP954" s="102" t="s">
        <v>4854</v>
      </c>
      <c r="AQ954" s="102" t="s">
        <v>4854</v>
      </c>
      <c r="AR954" s="102" t="s">
        <v>4854</v>
      </c>
      <c r="AS954" s="21">
        <v>0.16200000000000001</v>
      </c>
      <c r="AT954" s="102" t="s">
        <v>4854</v>
      </c>
      <c r="AU954" s="102" t="s">
        <v>4854</v>
      </c>
      <c r="AV954" s="102" t="s">
        <v>4854</v>
      </c>
      <c r="AW954" s="102" t="s">
        <v>4854</v>
      </c>
      <c r="AX954" s="102" t="s">
        <v>4854</v>
      </c>
      <c r="AY954" s="102" t="s">
        <v>4854</v>
      </c>
      <c r="AZ954" s="102" t="s">
        <v>4854</v>
      </c>
      <c r="BA954" s="21">
        <v>6.4000000000000001E-2</v>
      </c>
      <c r="BB954" s="102" t="s">
        <v>4854</v>
      </c>
      <c r="BC954" s="3" t="s">
        <v>4854</v>
      </c>
      <c r="BD954" s="3" t="s">
        <v>4854</v>
      </c>
      <c r="BE954" s="3" t="s">
        <v>4854</v>
      </c>
      <c r="BF954" s="3" t="s">
        <v>4854</v>
      </c>
      <c r="BG954" s="3" t="s">
        <v>4854</v>
      </c>
      <c r="BH954" s="3" t="s">
        <v>4854</v>
      </c>
      <c r="BI954" s="5">
        <v>107</v>
      </c>
      <c r="BJ954" s="3" t="s">
        <v>4854</v>
      </c>
      <c r="BK954" s="99" t="s">
        <v>4854</v>
      </c>
      <c r="BL954" s="99" t="s">
        <v>4854</v>
      </c>
      <c r="BM954" s="99" t="s">
        <v>4854</v>
      </c>
      <c r="BN954" s="99" t="s">
        <v>4854</v>
      </c>
      <c r="BO954" s="99" t="s">
        <v>4854</v>
      </c>
      <c r="BP954" s="99" t="s">
        <v>4854</v>
      </c>
      <c r="BQ954" s="90">
        <v>0.92</v>
      </c>
      <c r="BR954" s="99" t="s">
        <v>4854</v>
      </c>
      <c r="BS954" s="5" t="s">
        <v>4857</v>
      </c>
    </row>
    <row r="955" spans="1:71" s="30" customFormat="1" ht="17.100000000000001" customHeight="1">
      <c r="A955" s="10">
        <v>944</v>
      </c>
      <c r="B955" s="10" t="s">
        <v>1242</v>
      </c>
      <c r="C955" s="4" t="s">
        <v>1803</v>
      </c>
      <c r="D955" s="4" t="s">
        <v>1354</v>
      </c>
      <c r="E955" s="4" t="s">
        <v>1225</v>
      </c>
      <c r="F955" s="10" t="s">
        <v>5104</v>
      </c>
      <c r="G955" s="4" t="s">
        <v>1226</v>
      </c>
      <c r="H955" s="7" t="s">
        <v>1227</v>
      </c>
      <c r="I955" s="4" t="s">
        <v>1228</v>
      </c>
      <c r="J955" s="10" t="s">
        <v>1229</v>
      </c>
      <c r="K955" s="4" t="s">
        <v>5920</v>
      </c>
      <c r="L955" s="4" t="s">
        <v>1243</v>
      </c>
      <c r="M955" s="10">
        <v>2</v>
      </c>
      <c r="N955" s="95">
        <v>832.41110000000003</v>
      </c>
      <c r="O955" s="37" t="str">
        <f>HYPERLINK("http://ms.phosphosite.org:5080/cgi-bin/plot-msms.cgi?MassType=1&amp;NumAxis=1&amp;Mod2=170&amp;Mod4=160&amp;Pep=YKVCNYGLTFTQK&amp;Dta=/var/www/html/dta/S01/10558.8258.2.dta&amp;Global_Mod=CS57.0215", "8258")</f>
        <v>8258</v>
      </c>
      <c r="P955" s="37" t="str">
        <f>HYPERLINK("http://ms.phosphosite.org:5080/cgi-bin/plot-msms.cgi?MassType=1&amp;NumAxis=1&amp;Mod2=170&amp;Mod4=160&amp;Pep=YKVCNYGLTFTQK&amp;Dta=/var/www/html/dta/S01/10559.8225.2.dta&amp;Global_Mod=CS57.0215", "8225")</f>
        <v>8225</v>
      </c>
      <c r="Q955" s="37" t="str">
        <f>HYPERLINK("http://ms.phosphosite.org:5080/cgi-bin/plot-msms.cgi?MassType=1&amp;NumAxis=1&amp;Mod2=170&amp;Mod4=160&amp;Pep=YKVCNYGLTFTQK&amp;Dta=/var/www/html/dta/S01/10560.8208.2.dta&amp;Global_Mod=CS57.0215", "8208")</f>
        <v>8208</v>
      </c>
      <c r="R955" s="37" t="str">
        <f>HYPERLINK("http://ms.phosphosite.org:5080/cgi-bin/plot-msms.cgi?MassType=1&amp;NumAxis=1&amp;Mod2=170&amp;Mod4=160&amp;Pep=YKVCNYGLTFTQK&amp;Dta=/var/www/html/dta/S01/10561.8259.2.dta&amp;Global_Mod=CS57.0215", "8259")</f>
        <v>8259</v>
      </c>
      <c r="S955" s="37" t="str">
        <f>HYPERLINK("http://ms.phosphosite.org:5080/cgi-bin/plot-msms.cgi?MassType=1&amp;NumAxis=1&amp;Mod2=170&amp;Mod4=160&amp;Pep=YKVCNYGLTFTQK&amp;Dta=/var/www/html/dta/S01/10562.8365.2.dta&amp;Global_Mod=CS57.0215", "8365")</f>
        <v>8365</v>
      </c>
      <c r="T955" s="37" t="str">
        <f>HYPERLINK("http://ms.phosphosite.org:5080/cgi-bin/plot-msms.cgi?MassType=1&amp;NumAxis=1&amp;Mod2=170&amp;Mod4=160&amp;Pep=YKVCNYGLTFTQK&amp;Dta=/var/www/html/dta/S01/10563.8353.2.dta&amp;Global_Mod=CS57.0215", "8353")</f>
        <v>8353</v>
      </c>
      <c r="U955" s="37" t="str">
        <f>HYPERLINK("http://ms.phosphosite.org:5080/cgi-bin/plot-msms.cgi?MassType=1&amp;NumAxis=1&amp;Mod2=170&amp;Mod4=160&amp;Pep=YKVCNYGLTFTQK&amp;Dta=/var/www/html/dta/S01/10564.8787.2.dta&amp;Global_Mod=CS57.0215", "8787")</f>
        <v>8787</v>
      </c>
      <c r="V955" s="37" t="str">
        <f>HYPERLINK("http://ms.phosphosite.org:5080/cgi-bin/plot-msms.cgi?MassType=1&amp;NumAxis=1&amp;Mod2=170&amp;Mod4=160&amp;Pep=YKVCNYGLTFTQK&amp;Dta=/var/www/html/dta/S01/10565.8788.2.dta&amp;Global_Mod=CS57.0215", "8788")</f>
        <v>8788</v>
      </c>
      <c r="W955" s="10">
        <v>8282</v>
      </c>
      <c r="X955" s="10">
        <v>8252</v>
      </c>
      <c r="Y955" s="10">
        <v>8214</v>
      </c>
      <c r="Z955" s="10">
        <v>8296</v>
      </c>
      <c r="AA955" s="10">
        <v>8402</v>
      </c>
      <c r="AB955" s="10">
        <v>8378</v>
      </c>
      <c r="AC955" s="10">
        <v>8806</v>
      </c>
      <c r="AD955" s="10">
        <v>8814</v>
      </c>
      <c r="AE955" s="91">
        <v>4.9390000000000001</v>
      </c>
      <c r="AF955" s="91">
        <v>3.8570000000000002</v>
      </c>
      <c r="AG955" s="91">
        <v>4.6120000000000001</v>
      </c>
      <c r="AH955" s="91">
        <v>4.17</v>
      </c>
      <c r="AI955" s="91">
        <v>4.38</v>
      </c>
      <c r="AJ955" s="91">
        <v>4.157</v>
      </c>
      <c r="AK955" s="91">
        <v>4.8129999999999997</v>
      </c>
      <c r="AL955" s="91">
        <v>3.62</v>
      </c>
      <c r="AM955" s="95">
        <v>0.34639999999999999</v>
      </c>
      <c r="AN955" s="95">
        <v>0.31759999999999999</v>
      </c>
      <c r="AO955" s="95">
        <v>0.4456</v>
      </c>
      <c r="AP955" s="95">
        <v>0.76780000000000004</v>
      </c>
      <c r="AQ955" s="95">
        <v>0.1235</v>
      </c>
      <c r="AR955" s="95">
        <v>0.1108</v>
      </c>
      <c r="AS955" s="95">
        <v>0.19620000000000001</v>
      </c>
      <c r="AT955" s="95">
        <v>-0.16919999999999999</v>
      </c>
      <c r="AU955" s="95">
        <v>0.49199999999999999</v>
      </c>
      <c r="AV955" s="95">
        <v>0.42699999999999999</v>
      </c>
      <c r="AW955" s="95">
        <v>0.48199999999999998</v>
      </c>
      <c r="AX955" s="95">
        <v>0.46700000000000003</v>
      </c>
      <c r="AY955" s="95">
        <v>0.496</v>
      </c>
      <c r="AZ955" s="95">
        <v>0.41299999999999998</v>
      </c>
      <c r="BA955" s="95">
        <v>0.48599999999999999</v>
      </c>
      <c r="BB955" s="95">
        <v>0.39500000000000002</v>
      </c>
      <c r="BC955" s="10">
        <v>1</v>
      </c>
      <c r="BD955" s="10">
        <v>1</v>
      </c>
      <c r="BE955" s="10">
        <v>1</v>
      </c>
      <c r="BF955" s="10">
        <v>1</v>
      </c>
      <c r="BG955" s="10">
        <v>1</v>
      </c>
      <c r="BH955" s="10">
        <v>1</v>
      </c>
      <c r="BI955" s="10">
        <v>1</v>
      </c>
      <c r="BJ955" s="10">
        <v>1</v>
      </c>
      <c r="BK955" s="91">
        <v>1</v>
      </c>
      <c r="BL955" s="91">
        <v>1</v>
      </c>
      <c r="BM955" s="91">
        <v>1</v>
      </c>
      <c r="BN955" s="91">
        <v>1</v>
      </c>
      <c r="BO955" s="91">
        <v>1</v>
      </c>
      <c r="BP955" s="91">
        <v>1</v>
      </c>
      <c r="BQ955" s="91">
        <v>1</v>
      </c>
      <c r="BR955" s="91">
        <v>1</v>
      </c>
      <c r="BS955" s="10" t="s">
        <v>4857</v>
      </c>
    </row>
    <row r="956" spans="1:71" s="30" customFormat="1" ht="17.100000000000001" customHeight="1">
      <c r="A956" s="10">
        <v>945</v>
      </c>
      <c r="B956" s="10" t="s">
        <v>1244</v>
      </c>
      <c r="C956" s="4" t="s">
        <v>1803</v>
      </c>
      <c r="D956" s="4" t="s">
        <v>1354</v>
      </c>
      <c r="E956" s="4" t="s">
        <v>1225</v>
      </c>
      <c r="F956" s="10" t="s">
        <v>5104</v>
      </c>
      <c r="G956" s="4" t="s">
        <v>1226</v>
      </c>
      <c r="H956" s="7" t="s">
        <v>1227</v>
      </c>
      <c r="I956" s="4" t="s">
        <v>1228</v>
      </c>
      <c r="J956" s="10" t="s">
        <v>1229</v>
      </c>
      <c r="K956" s="4" t="s">
        <v>5920</v>
      </c>
      <c r="L956" s="4" t="s">
        <v>1243</v>
      </c>
      <c r="M956" s="10">
        <v>3</v>
      </c>
      <c r="N956" s="95">
        <v>555.27650000000006</v>
      </c>
      <c r="O956" s="38" t="s">
        <v>4854</v>
      </c>
      <c r="P956" s="38" t="s">
        <v>4854</v>
      </c>
      <c r="Q956" s="37" t="str">
        <f>HYPERLINK("http://ms.phosphosite.org:5080/cgi-bin/plot-msms.cgi?MassType=1&amp;NumAxis=1&amp;Mod2=170&amp;Mod4=160&amp;Pep=YKVCNYGLTFTQK&amp;Dta=/var/www/html/dta/S01/10560.8211.3.dta&amp;Global_Mod=CS57.0215", "8211")</f>
        <v>8211</v>
      </c>
      <c r="R956" s="38" t="s">
        <v>4854</v>
      </c>
      <c r="S956" s="38" t="s">
        <v>4854</v>
      </c>
      <c r="T956" s="38" t="s">
        <v>4854</v>
      </c>
      <c r="U956" s="38" t="s">
        <v>4854</v>
      </c>
      <c r="V956" s="38" t="s">
        <v>4854</v>
      </c>
      <c r="W956" s="4" t="s">
        <v>4854</v>
      </c>
      <c r="X956" s="4" t="s">
        <v>4854</v>
      </c>
      <c r="Y956" s="10">
        <v>8225</v>
      </c>
      <c r="Z956" s="4" t="s">
        <v>4854</v>
      </c>
      <c r="AA956" s="4" t="s">
        <v>4854</v>
      </c>
      <c r="AB956" s="4" t="s">
        <v>4854</v>
      </c>
      <c r="AC956" s="4" t="s">
        <v>4854</v>
      </c>
      <c r="AD956" s="4" t="s">
        <v>4854</v>
      </c>
      <c r="AE956" s="100" t="s">
        <v>4854</v>
      </c>
      <c r="AF956" s="100" t="s">
        <v>4854</v>
      </c>
      <c r="AG956" s="91">
        <v>2.8119999999999998</v>
      </c>
      <c r="AH956" s="100" t="s">
        <v>4854</v>
      </c>
      <c r="AI956" s="100" t="s">
        <v>4854</v>
      </c>
      <c r="AJ956" s="100" t="s">
        <v>4854</v>
      </c>
      <c r="AK956" s="100" t="s">
        <v>4854</v>
      </c>
      <c r="AL956" s="100" t="s">
        <v>4854</v>
      </c>
      <c r="AM956" s="103" t="s">
        <v>4854</v>
      </c>
      <c r="AN956" s="103" t="s">
        <v>4854</v>
      </c>
      <c r="AO956" s="95">
        <v>0.41860000000000003</v>
      </c>
      <c r="AP956" s="103" t="s">
        <v>4854</v>
      </c>
      <c r="AQ956" s="103" t="s">
        <v>4854</v>
      </c>
      <c r="AR956" s="103" t="s">
        <v>4854</v>
      </c>
      <c r="AS956" s="103" t="s">
        <v>4854</v>
      </c>
      <c r="AT956" s="103" t="s">
        <v>4854</v>
      </c>
      <c r="AU956" s="103" t="s">
        <v>4854</v>
      </c>
      <c r="AV956" s="103" t="s">
        <v>4854</v>
      </c>
      <c r="AW956" s="95">
        <v>4.9000000000000002E-2</v>
      </c>
      <c r="AX956" s="103" t="s">
        <v>4854</v>
      </c>
      <c r="AY956" s="103" t="s">
        <v>4854</v>
      </c>
      <c r="AZ956" s="103" t="s">
        <v>4854</v>
      </c>
      <c r="BA956" s="103" t="s">
        <v>4854</v>
      </c>
      <c r="BB956" s="103" t="s">
        <v>4854</v>
      </c>
      <c r="BC956" s="4" t="s">
        <v>4854</v>
      </c>
      <c r="BD956" s="4" t="s">
        <v>4854</v>
      </c>
      <c r="BE956" s="10">
        <v>14</v>
      </c>
      <c r="BF956" s="4" t="s">
        <v>4854</v>
      </c>
      <c r="BG956" s="4" t="s">
        <v>4854</v>
      </c>
      <c r="BH956" s="4" t="s">
        <v>4854</v>
      </c>
      <c r="BI956" s="4" t="s">
        <v>4854</v>
      </c>
      <c r="BJ956" s="4" t="s">
        <v>4854</v>
      </c>
      <c r="BK956" s="100" t="s">
        <v>4854</v>
      </c>
      <c r="BL956" s="100" t="s">
        <v>4854</v>
      </c>
      <c r="BM956" s="91">
        <v>0.97299999999999998</v>
      </c>
      <c r="BN956" s="100" t="s">
        <v>4854</v>
      </c>
      <c r="BO956" s="100" t="s">
        <v>4854</v>
      </c>
      <c r="BP956" s="100" t="s">
        <v>4854</v>
      </c>
      <c r="BQ956" s="100" t="s">
        <v>4854</v>
      </c>
      <c r="BR956" s="100" t="s">
        <v>4854</v>
      </c>
      <c r="BS956" s="10" t="s">
        <v>4857</v>
      </c>
    </row>
    <row r="957" spans="1:71" s="30" customFormat="1" ht="17.100000000000001" customHeight="1">
      <c r="A957" s="14">
        <v>946</v>
      </c>
      <c r="B957" s="5" t="s">
        <v>1245</v>
      </c>
      <c r="C957" s="3" t="s">
        <v>1803</v>
      </c>
      <c r="D957" s="3" t="s">
        <v>1354</v>
      </c>
      <c r="E957" s="3" t="s">
        <v>1225</v>
      </c>
      <c r="F957" s="5" t="s">
        <v>5147</v>
      </c>
      <c r="G957" s="3" t="s">
        <v>1226</v>
      </c>
      <c r="H957" s="6" t="s">
        <v>1227</v>
      </c>
      <c r="I957" s="3" t="s">
        <v>1228</v>
      </c>
      <c r="J957" s="5" t="s">
        <v>1229</v>
      </c>
      <c r="K957" s="3" t="s">
        <v>5921</v>
      </c>
      <c r="L957" s="3" t="s">
        <v>1246</v>
      </c>
      <c r="M957" s="5">
        <v>3</v>
      </c>
      <c r="N957" s="21">
        <v>854.4221</v>
      </c>
      <c r="O957" s="35" t="s">
        <v>4854</v>
      </c>
      <c r="P957" s="35" t="s">
        <v>4854</v>
      </c>
      <c r="Q957" s="35" t="s">
        <v>4854</v>
      </c>
      <c r="R957" s="35" t="s">
        <v>4854</v>
      </c>
      <c r="S957" s="35" t="s">
        <v>4854</v>
      </c>
      <c r="T957" s="36" t="str">
        <f>HYPERLINK("http://ms.phosphosite.org:5080/cgi-bin/plot-msms.cgi?MassType=1&amp;NumAxis=1&amp;Mod16=170&amp;Pep=WNTDNTLGTEISWENKLAEGLK&amp;Dta=/var/www/html/dta/S01/10563.13638.3.dta&amp;Global_Mod=CS57.0215", "13638")</f>
        <v>13638</v>
      </c>
      <c r="U957" s="35" t="s">
        <v>4854</v>
      </c>
      <c r="V957" s="36" t="str">
        <f>HYPERLINK("http://ms.phosphosite.org:5080/cgi-bin/plot-msms.cgi?MassType=1&amp;NumAxis=1&amp;Mod16=170&amp;Pep=WNTDNTLGTEISWENKLAEGLK&amp;Dta=/var/www/html/dta/S01/10565.14218.3.dta&amp;Global_Mod=CS57.0215", "14218")</f>
        <v>14218</v>
      </c>
      <c r="W957" s="3" t="s">
        <v>4854</v>
      </c>
      <c r="X957" s="3" t="s">
        <v>4854</v>
      </c>
      <c r="Y957" s="3" t="s">
        <v>4854</v>
      </c>
      <c r="Z957" s="3" t="s">
        <v>4854</v>
      </c>
      <c r="AA957" s="3" t="s">
        <v>4854</v>
      </c>
      <c r="AB957" s="5">
        <v>13665</v>
      </c>
      <c r="AC957" s="3" t="s">
        <v>4854</v>
      </c>
      <c r="AD957" s="5">
        <v>14230</v>
      </c>
      <c r="AE957" s="99" t="s">
        <v>4854</v>
      </c>
      <c r="AF957" s="99" t="s">
        <v>4854</v>
      </c>
      <c r="AG957" s="99" t="s">
        <v>4854</v>
      </c>
      <c r="AH957" s="99" t="s">
        <v>4854</v>
      </c>
      <c r="AI957" s="99" t="s">
        <v>4854</v>
      </c>
      <c r="AJ957" s="90">
        <v>4.2160000000000002</v>
      </c>
      <c r="AK957" s="99" t="s">
        <v>4854</v>
      </c>
      <c r="AL957" s="90">
        <v>4.7770000000000001</v>
      </c>
      <c r="AM957" s="102" t="s">
        <v>4854</v>
      </c>
      <c r="AN957" s="102" t="s">
        <v>4854</v>
      </c>
      <c r="AO957" s="102" t="s">
        <v>4854</v>
      </c>
      <c r="AP957" s="102" t="s">
        <v>4854</v>
      </c>
      <c r="AQ957" s="102" t="s">
        <v>4854</v>
      </c>
      <c r="AR957" s="21">
        <v>0.80449999999999999</v>
      </c>
      <c r="AS957" s="102" t="s">
        <v>4854</v>
      </c>
      <c r="AT957" s="21">
        <v>0.93420000000000003</v>
      </c>
      <c r="AU957" s="102" t="s">
        <v>4854</v>
      </c>
      <c r="AV957" s="102" t="s">
        <v>4854</v>
      </c>
      <c r="AW957" s="102" t="s">
        <v>4854</v>
      </c>
      <c r="AX957" s="102" t="s">
        <v>4854</v>
      </c>
      <c r="AY957" s="102" t="s">
        <v>4854</v>
      </c>
      <c r="AZ957" s="21">
        <v>0.34599999999999997</v>
      </c>
      <c r="BA957" s="102" t="s">
        <v>4854</v>
      </c>
      <c r="BB957" s="21">
        <v>0.28699999999999998</v>
      </c>
      <c r="BC957" s="3" t="s">
        <v>4854</v>
      </c>
      <c r="BD957" s="3" t="s">
        <v>4854</v>
      </c>
      <c r="BE957" s="3" t="s">
        <v>4854</v>
      </c>
      <c r="BF957" s="3" t="s">
        <v>4854</v>
      </c>
      <c r="BG957" s="3" t="s">
        <v>4854</v>
      </c>
      <c r="BH957" s="5">
        <v>1</v>
      </c>
      <c r="BI957" s="3" t="s">
        <v>4854</v>
      </c>
      <c r="BJ957" s="5">
        <v>1</v>
      </c>
      <c r="BK957" s="99" t="s">
        <v>4854</v>
      </c>
      <c r="BL957" s="99" t="s">
        <v>4854</v>
      </c>
      <c r="BM957" s="99" t="s">
        <v>4854</v>
      </c>
      <c r="BN957" s="99" t="s">
        <v>4854</v>
      </c>
      <c r="BO957" s="99" t="s">
        <v>4854</v>
      </c>
      <c r="BP957" s="90">
        <v>1</v>
      </c>
      <c r="BQ957" s="99" t="s">
        <v>4854</v>
      </c>
      <c r="BR957" s="90">
        <v>1</v>
      </c>
      <c r="BS957" s="5" t="s">
        <v>4857</v>
      </c>
    </row>
    <row r="958" spans="1:71" s="30" customFormat="1" ht="17.100000000000001" customHeight="1">
      <c r="A958" s="10">
        <v>947</v>
      </c>
      <c r="B958" s="10" t="s">
        <v>1247</v>
      </c>
      <c r="C958" s="4" t="s">
        <v>1803</v>
      </c>
      <c r="D958" s="4" t="s">
        <v>1248</v>
      </c>
      <c r="E958" s="4" t="s">
        <v>1249</v>
      </c>
      <c r="F958" s="10" t="s">
        <v>3616</v>
      </c>
      <c r="G958" s="4" t="s">
        <v>1250</v>
      </c>
      <c r="H958" s="7" t="s">
        <v>1251</v>
      </c>
      <c r="I958" s="4" t="s">
        <v>1252</v>
      </c>
      <c r="J958" s="10" t="s">
        <v>4413</v>
      </c>
      <c r="K958" s="4" t="s">
        <v>5922</v>
      </c>
      <c r="L958" s="4" t="s">
        <v>1253</v>
      </c>
      <c r="M958" s="10">
        <v>4</v>
      </c>
      <c r="N958" s="95">
        <v>664.28750000000002</v>
      </c>
      <c r="O958" s="38" t="s">
        <v>4854</v>
      </c>
      <c r="P958" s="38" t="s">
        <v>4854</v>
      </c>
      <c r="Q958" s="37" t="str">
        <f>HYPERLINK("http://ms.phosphosite.org:5080/cgi-bin/plot-msms.cgi?MassType=1&amp;NumAxis=1&amp;Mod2=160&amp;Mod11=160&amp;Mod12=170&amp;Mod17=160&amp;Pep=DCVDGSDEVNCKNVNQCLGPGKF&amp;Dta=/var/www/html/dta/S01/10560.4374.4.dta&amp;Global_Mod=CS57.0215", "4374")</f>
        <v>4374</v>
      </c>
      <c r="R958" s="38" t="s">
        <v>4854</v>
      </c>
      <c r="S958" s="38" t="s">
        <v>4854</v>
      </c>
      <c r="T958" s="38" t="s">
        <v>4854</v>
      </c>
      <c r="U958" s="38" t="s">
        <v>4854</v>
      </c>
      <c r="V958" s="38" t="s">
        <v>4854</v>
      </c>
      <c r="W958" s="4" t="s">
        <v>4854</v>
      </c>
      <c r="X958" s="4" t="s">
        <v>4854</v>
      </c>
      <c r="Y958" s="4" t="s">
        <v>4854</v>
      </c>
      <c r="Z958" s="4" t="s">
        <v>4854</v>
      </c>
      <c r="AA958" s="4" t="s">
        <v>4854</v>
      </c>
      <c r="AB958" s="4" t="s">
        <v>4854</v>
      </c>
      <c r="AC958" s="4" t="s">
        <v>4854</v>
      </c>
      <c r="AD958" s="4" t="s">
        <v>4854</v>
      </c>
      <c r="AE958" s="100" t="s">
        <v>4854</v>
      </c>
      <c r="AF958" s="100" t="s">
        <v>4854</v>
      </c>
      <c r="AG958" s="91">
        <v>2.7290000000000001</v>
      </c>
      <c r="AH958" s="100" t="s">
        <v>4854</v>
      </c>
      <c r="AI958" s="100" t="s">
        <v>4854</v>
      </c>
      <c r="AJ958" s="100" t="s">
        <v>4854</v>
      </c>
      <c r="AK958" s="100" t="s">
        <v>4854</v>
      </c>
      <c r="AL958" s="100" t="s">
        <v>4854</v>
      </c>
      <c r="AM958" s="103" t="s">
        <v>4854</v>
      </c>
      <c r="AN958" s="103" t="s">
        <v>4854</v>
      </c>
      <c r="AO958" s="95">
        <v>1.0909</v>
      </c>
      <c r="AP958" s="103" t="s">
        <v>4854</v>
      </c>
      <c r="AQ958" s="103" t="s">
        <v>4854</v>
      </c>
      <c r="AR958" s="103" t="s">
        <v>4854</v>
      </c>
      <c r="AS958" s="103" t="s">
        <v>4854</v>
      </c>
      <c r="AT958" s="103" t="s">
        <v>4854</v>
      </c>
      <c r="AU958" s="103" t="s">
        <v>4854</v>
      </c>
      <c r="AV958" s="103" t="s">
        <v>4854</v>
      </c>
      <c r="AW958" s="95">
        <v>0.13900000000000001</v>
      </c>
      <c r="AX958" s="103" t="s">
        <v>4854</v>
      </c>
      <c r="AY958" s="103" t="s">
        <v>4854</v>
      </c>
      <c r="AZ958" s="103" t="s">
        <v>4854</v>
      </c>
      <c r="BA958" s="103" t="s">
        <v>4854</v>
      </c>
      <c r="BB958" s="103" t="s">
        <v>4854</v>
      </c>
      <c r="BC958" s="4" t="s">
        <v>4854</v>
      </c>
      <c r="BD958" s="4" t="s">
        <v>4854</v>
      </c>
      <c r="BE958" s="10">
        <v>10</v>
      </c>
      <c r="BF958" s="4" t="s">
        <v>4854</v>
      </c>
      <c r="BG958" s="4" t="s">
        <v>4854</v>
      </c>
      <c r="BH958" s="4" t="s">
        <v>4854</v>
      </c>
      <c r="BI958" s="4" t="s">
        <v>4854</v>
      </c>
      <c r="BJ958" s="4" t="s">
        <v>4854</v>
      </c>
      <c r="BK958" s="100" t="s">
        <v>4854</v>
      </c>
      <c r="BL958" s="100" t="s">
        <v>4854</v>
      </c>
      <c r="BM958" s="91">
        <v>0.252</v>
      </c>
      <c r="BN958" s="100" t="s">
        <v>4854</v>
      </c>
      <c r="BO958" s="100" t="s">
        <v>4854</v>
      </c>
      <c r="BP958" s="100" t="s">
        <v>4854</v>
      </c>
      <c r="BQ958" s="100" t="s">
        <v>4854</v>
      </c>
      <c r="BR958" s="100" t="s">
        <v>4854</v>
      </c>
      <c r="BS958" s="10" t="s">
        <v>4857</v>
      </c>
    </row>
    <row r="959" spans="1:71" s="30" customFormat="1" ht="17.100000000000001" customHeight="1">
      <c r="A959" s="14">
        <v>948</v>
      </c>
      <c r="B959" s="5" t="s">
        <v>1254</v>
      </c>
      <c r="C959" s="3" t="s">
        <v>1803</v>
      </c>
      <c r="D959" s="3" t="s">
        <v>1255</v>
      </c>
      <c r="E959" s="3" t="s">
        <v>1256</v>
      </c>
      <c r="F959" s="5" t="s">
        <v>5263</v>
      </c>
      <c r="G959" s="3" t="s">
        <v>1257</v>
      </c>
      <c r="H959" s="6" t="s">
        <v>1258</v>
      </c>
      <c r="I959" s="3" t="s">
        <v>1259</v>
      </c>
      <c r="J959" s="5" t="s">
        <v>4512</v>
      </c>
      <c r="K959" s="3" t="s">
        <v>5923</v>
      </c>
      <c r="L959" s="3" t="s">
        <v>1260</v>
      </c>
      <c r="M959" s="5">
        <v>2</v>
      </c>
      <c r="N959" s="21">
        <v>594.36099999999999</v>
      </c>
      <c r="O959" s="36" t="str">
        <f>HYPERLINK("http://ms.phosphosite.org:5080/cgi-bin/plot-msms.cgi?MassType=1&amp;NumAxis=1&amp;Mod8=170&amp;Pep=AIQQLFGKIK&amp;Dta=/var/www/html/dta/S01/10558.9466.2.dta&amp;Global_Mod=CS57.0215", "9466")</f>
        <v>9466</v>
      </c>
      <c r="P959" s="36" t="str">
        <f>HYPERLINK("http://ms.phosphosite.org:5080/cgi-bin/plot-msms.cgi?MassType=1&amp;NumAxis=1&amp;Mod8=170&amp;Pep=AIQQLFGKIK&amp;Dta=/var/www/html/dta/S01/10559.9434.2.dta&amp;Global_Mod=CS57.0215", "9434")</f>
        <v>9434</v>
      </c>
      <c r="Q959" s="36" t="str">
        <f>HYPERLINK("http://ms.phosphosite.org:5080/cgi-bin/plot-msms.cgi?MassType=1&amp;NumAxis=1&amp;Mod8=170&amp;Pep=AIQQLFGKIK&amp;Dta=/var/www/html/dta/S01/10560.9459.2.dta&amp;Global_Mod=CS57.0215", "9459")</f>
        <v>9459</v>
      </c>
      <c r="R959" s="36" t="str">
        <f>HYPERLINK("http://ms.phosphosite.org:5080/cgi-bin/plot-msms.cgi?MassType=1&amp;NumAxis=1&amp;Mod8=170&amp;Pep=AIQQLFGKIK&amp;Dta=/var/www/html/dta/S01/10561.9467.2.dta&amp;Global_Mod=CS57.0215", "9467")</f>
        <v>9467</v>
      </c>
      <c r="S959" s="36" t="str">
        <f>HYPERLINK("http://ms.phosphosite.org:5080/cgi-bin/plot-msms.cgi?MassType=1&amp;NumAxis=1&amp;Mod8=170&amp;Pep=AIQQLFGKIK&amp;Dta=/var/www/html/dta/S01/10562.9621.2.dta&amp;Global_Mod=CS57.0215", "9621")</f>
        <v>9621</v>
      </c>
      <c r="T959" s="35" t="s">
        <v>4854</v>
      </c>
      <c r="U959" s="35" t="s">
        <v>4854</v>
      </c>
      <c r="V959" s="36" t="str">
        <f>HYPERLINK("http://ms.phosphosite.org:5080/cgi-bin/plot-msms.cgi?MassType=1&amp;NumAxis=1&amp;Mod8=170&amp;Pep=AIQQLFGKIK&amp;Dta=/var/www/html/dta/S01/10565.10052.2.dta&amp;Global_Mod=CS57.0215", "10052")</f>
        <v>10052</v>
      </c>
      <c r="W959" s="5">
        <v>9470</v>
      </c>
      <c r="X959" s="5">
        <v>9429</v>
      </c>
      <c r="Y959" s="5">
        <v>9468</v>
      </c>
      <c r="Z959" s="3" t="s">
        <v>4854</v>
      </c>
      <c r="AA959" s="3" t="s">
        <v>4854</v>
      </c>
      <c r="AB959" s="3" t="s">
        <v>4854</v>
      </c>
      <c r="AC959" s="3" t="s">
        <v>4854</v>
      </c>
      <c r="AD959" s="5">
        <v>10057</v>
      </c>
      <c r="AE959" s="90">
        <v>2.9910000000000001</v>
      </c>
      <c r="AF959" s="90">
        <v>2.2730000000000001</v>
      </c>
      <c r="AG959" s="90">
        <v>2.073</v>
      </c>
      <c r="AH959" s="90">
        <v>1.9139999999999999</v>
      </c>
      <c r="AI959" s="90">
        <v>1.9179999999999999</v>
      </c>
      <c r="AJ959" s="99" t="s">
        <v>4854</v>
      </c>
      <c r="AK959" s="99" t="s">
        <v>4854</v>
      </c>
      <c r="AL959" s="90">
        <v>2.4129999999999998</v>
      </c>
      <c r="AM959" s="21">
        <v>0.41739999999999999</v>
      </c>
      <c r="AN959" s="21">
        <v>0.43259999999999998</v>
      </c>
      <c r="AO959" s="21">
        <v>0.33910000000000001</v>
      </c>
      <c r="AP959" s="21">
        <v>0.42409999999999998</v>
      </c>
      <c r="AQ959" s="21">
        <v>8.48E-2</v>
      </c>
      <c r="AR959" s="102" t="s">
        <v>4854</v>
      </c>
      <c r="AS959" s="102" t="s">
        <v>4854</v>
      </c>
      <c r="AT959" s="21">
        <v>0.1943</v>
      </c>
      <c r="AU959" s="21">
        <v>0.25900000000000001</v>
      </c>
      <c r="AV959" s="21">
        <v>0.13600000000000001</v>
      </c>
      <c r="AW959" s="21">
        <v>0.11799999999999999</v>
      </c>
      <c r="AX959" s="21">
        <v>0.10199999999999999</v>
      </c>
      <c r="AY959" s="21">
        <v>1.6E-2</v>
      </c>
      <c r="AZ959" s="102" t="s">
        <v>4854</v>
      </c>
      <c r="BA959" s="102" t="s">
        <v>4854</v>
      </c>
      <c r="BB959" s="21">
        <v>0.28399999999999997</v>
      </c>
      <c r="BC959" s="5">
        <v>1</v>
      </c>
      <c r="BD959" s="5">
        <v>4</v>
      </c>
      <c r="BE959" s="5">
        <v>2</v>
      </c>
      <c r="BF959" s="5">
        <v>14</v>
      </c>
      <c r="BG959" s="5">
        <v>17</v>
      </c>
      <c r="BH959" s="3" t="s">
        <v>4854</v>
      </c>
      <c r="BI959" s="3" t="s">
        <v>4854</v>
      </c>
      <c r="BJ959" s="5">
        <v>1</v>
      </c>
      <c r="BK959" s="90">
        <v>1</v>
      </c>
      <c r="BL959" s="90">
        <v>0.99</v>
      </c>
      <c r="BM959" s="90">
        <v>0.98399999999999999</v>
      </c>
      <c r="BN959" s="90">
        <v>0.94599999999999995</v>
      </c>
      <c r="BO959" s="90">
        <v>0.85599999999999998</v>
      </c>
      <c r="BP959" s="99" t="s">
        <v>4854</v>
      </c>
      <c r="BQ959" s="99" t="s">
        <v>4854</v>
      </c>
      <c r="BR959" s="90">
        <v>0.999</v>
      </c>
      <c r="BS959" s="5" t="s">
        <v>4857</v>
      </c>
    </row>
    <row r="960" spans="1:71" ht="17.100000000000001" customHeight="1">
      <c r="A960" s="31">
        <v>949</v>
      </c>
      <c r="B960" s="2" t="s">
        <v>1261</v>
      </c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94"/>
      <c r="O960" s="34"/>
      <c r="P960" s="34"/>
      <c r="Q960" s="34"/>
      <c r="R960" s="34"/>
      <c r="S960" s="34"/>
      <c r="T960" s="34"/>
      <c r="U960" s="34"/>
      <c r="V960" s="34"/>
      <c r="W960" s="1"/>
      <c r="X960" s="1"/>
      <c r="Y960" s="1"/>
      <c r="Z960" s="1"/>
      <c r="AA960" s="1"/>
      <c r="AB960" s="1"/>
      <c r="AC960" s="1"/>
      <c r="AD960" s="1"/>
      <c r="AE960" s="89"/>
      <c r="AF960" s="89"/>
      <c r="AG960" s="89"/>
      <c r="AH960" s="89"/>
      <c r="AI960" s="89"/>
      <c r="AJ960" s="89"/>
      <c r="AK960" s="89"/>
      <c r="AL960" s="89"/>
      <c r="AM960" s="94"/>
      <c r="AN960" s="94"/>
      <c r="AO960" s="94"/>
      <c r="AP960" s="94"/>
      <c r="AQ960" s="94"/>
      <c r="AR960" s="94"/>
      <c r="AS960" s="94"/>
      <c r="AT960" s="94"/>
      <c r="AU960" s="94"/>
      <c r="AV960" s="94"/>
      <c r="AW960" s="94"/>
      <c r="AX960" s="94"/>
      <c r="AY960" s="94"/>
      <c r="AZ960" s="94"/>
      <c r="BA960" s="94"/>
      <c r="BB960" s="94"/>
      <c r="BC960" s="1"/>
      <c r="BD960" s="1"/>
      <c r="BE960" s="1"/>
      <c r="BF960" s="1"/>
      <c r="BG960" s="1"/>
      <c r="BH960" s="1"/>
      <c r="BI960" s="1"/>
      <c r="BJ960" s="1"/>
      <c r="BK960" s="89"/>
      <c r="BL960" s="89"/>
      <c r="BM960" s="89"/>
      <c r="BN960" s="89"/>
      <c r="BO960" s="89"/>
      <c r="BP960" s="89"/>
      <c r="BQ960" s="89"/>
      <c r="BR960" s="89"/>
      <c r="BS960" s="1"/>
    </row>
    <row r="961" spans="1:71" s="30" customFormat="1" ht="17.100000000000001" customHeight="1">
      <c r="A961" s="10">
        <v>950</v>
      </c>
      <c r="B961" s="10" t="s">
        <v>1262</v>
      </c>
      <c r="C961" s="4" t="s">
        <v>1261</v>
      </c>
      <c r="D961" s="4" t="s">
        <v>1263</v>
      </c>
      <c r="E961" s="4" t="s">
        <v>1264</v>
      </c>
      <c r="F961" s="10" t="s">
        <v>5136</v>
      </c>
      <c r="G961" s="4" t="s">
        <v>1265</v>
      </c>
      <c r="H961" s="7" t="s">
        <v>1266</v>
      </c>
      <c r="I961" s="4" t="s">
        <v>1267</v>
      </c>
      <c r="J961" s="10" t="s">
        <v>1268</v>
      </c>
      <c r="K961" s="4" t="s">
        <v>5924</v>
      </c>
      <c r="L961" s="4" t="s">
        <v>1269</v>
      </c>
      <c r="M961" s="10">
        <v>2</v>
      </c>
      <c r="N961" s="95">
        <v>637.87699999999995</v>
      </c>
      <c r="O961" s="38" t="s">
        <v>4854</v>
      </c>
      <c r="P961" s="38" t="s">
        <v>4854</v>
      </c>
      <c r="Q961" s="37" t="str">
        <f>HYPERLINK("http://ms.phosphosite.org:5080/cgi-bin/plot-msms.cgi?MassType=1&amp;NumAxis=1&amp;Mod5=170&amp;Pep=ELISKFLLNR&amp;Dta=/var/www/html/dta/S01/10560.11534.2.dta&amp;Global_Mod=CS57.0215", "11534")</f>
        <v>11534</v>
      </c>
      <c r="R961" s="37" t="str">
        <f>HYPERLINK("http://ms.phosphosite.org:5080/cgi-bin/plot-msms.cgi?MassType=1&amp;NumAxis=1&amp;Mod5=170&amp;Pep=ELISKFLLNR&amp;Dta=/var/www/html/dta/S01/10561.11551.2.dta&amp;Global_Mod=CS57.0215", "11551")</f>
        <v>11551</v>
      </c>
      <c r="S961" s="38" t="s">
        <v>4854</v>
      </c>
      <c r="T961" s="37" t="str">
        <f>HYPERLINK("http://ms.phosphosite.org:5080/cgi-bin/plot-msms.cgi?MassType=1&amp;NumAxis=1&amp;Mod5=170&amp;Pep=ELISKFLLNR&amp;Dta=/var/www/html/dta/S01/10563.11658.2.dta&amp;Global_Mod=CS57.0215", "11658")</f>
        <v>11658</v>
      </c>
      <c r="U961" s="38" t="s">
        <v>4854</v>
      </c>
      <c r="V961" s="38" t="s">
        <v>4854</v>
      </c>
      <c r="W961" s="4" t="s">
        <v>4854</v>
      </c>
      <c r="X961" s="4" t="s">
        <v>4854</v>
      </c>
      <c r="Y961" s="10">
        <v>11538</v>
      </c>
      <c r="Z961" s="10">
        <v>11566</v>
      </c>
      <c r="AA961" s="4" t="s">
        <v>4854</v>
      </c>
      <c r="AB961" s="10">
        <v>11663</v>
      </c>
      <c r="AC961" s="4" t="s">
        <v>4854</v>
      </c>
      <c r="AD961" s="4" t="s">
        <v>4854</v>
      </c>
      <c r="AE961" s="100" t="s">
        <v>4854</v>
      </c>
      <c r="AF961" s="100" t="s">
        <v>4854</v>
      </c>
      <c r="AG961" s="91">
        <v>2.4590000000000001</v>
      </c>
      <c r="AH961" s="91">
        <v>2.548</v>
      </c>
      <c r="AI961" s="100" t="s">
        <v>4854</v>
      </c>
      <c r="AJ961" s="91">
        <v>2.2360000000000002</v>
      </c>
      <c r="AK961" s="100" t="s">
        <v>4854</v>
      </c>
      <c r="AL961" s="100" t="s">
        <v>4854</v>
      </c>
      <c r="AM961" s="103" t="s">
        <v>4854</v>
      </c>
      <c r="AN961" s="103" t="s">
        <v>4854</v>
      </c>
      <c r="AO961" s="95">
        <v>0.49530000000000002</v>
      </c>
      <c r="AP961" s="95">
        <v>0.85929999999999995</v>
      </c>
      <c r="AQ961" s="103" t="s">
        <v>4854</v>
      </c>
      <c r="AR961" s="95">
        <v>0.43959999999999999</v>
      </c>
      <c r="AS961" s="103" t="s">
        <v>4854</v>
      </c>
      <c r="AT961" s="103" t="s">
        <v>4854</v>
      </c>
      <c r="AU961" s="103" t="s">
        <v>4854</v>
      </c>
      <c r="AV961" s="103" t="s">
        <v>4854</v>
      </c>
      <c r="AW961" s="95">
        <v>0.23599999999999999</v>
      </c>
      <c r="AX961" s="95">
        <v>0.23599999999999999</v>
      </c>
      <c r="AY961" s="103" t="s">
        <v>4854</v>
      </c>
      <c r="AZ961" s="95">
        <v>0.28299999999999997</v>
      </c>
      <c r="BA961" s="103" t="s">
        <v>4854</v>
      </c>
      <c r="BB961" s="103" t="s">
        <v>4854</v>
      </c>
      <c r="BC961" s="4" t="s">
        <v>4854</v>
      </c>
      <c r="BD961" s="4" t="s">
        <v>4854</v>
      </c>
      <c r="BE961" s="10">
        <v>3</v>
      </c>
      <c r="BF961" s="10">
        <v>1</v>
      </c>
      <c r="BG961" s="4" t="s">
        <v>4854</v>
      </c>
      <c r="BH961" s="10">
        <v>3</v>
      </c>
      <c r="BI961" s="4" t="s">
        <v>4854</v>
      </c>
      <c r="BJ961" s="4" t="s">
        <v>4854</v>
      </c>
      <c r="BK961" s="100" t="s">
        <v>4854</v>
      </c>
      <c r="BL961" s="100" t="s">
        <v>4854</v>
      </c>
      <c r="BM961" s="91">
        <v>0.998</v>
      </c>
      <c r="BN961" s="91">
        <v>0.999</v>
      </c>
      <c r="BO961" s="100" t="s">
        <v>4854</v>
      </c>
      <c r="BP961" s="91">
        <v>0.998</v>
      </c>
      <c r="BQ961" s="100" t="s">
        <v>4854</v>
      </c>
      <c r="BR961" s="100" t="s">
        <v>4854</v>
      </c>
      <c r="BS961" s="10" t="s">
        <v>4857</v>
      </c>
    </row>
    <row r="962" spans="1:71" s="30" customFormat="1" ht="17.100000000000001" customHeight="1">
      <c r="A962" s="14">
        <v>951</v>
      </c>
      <c r="B962" s="5" t="s">
        <v>1270</v>
      </c>
      <c r="C962" s="3" t="s">
        <v>1261</v>
      </c>
      <c r="D962" s="3" t="s">
        <v>1271</v>
      </c>
      <c r="E962" s="6" t="s">
        <v>1272</v>
      </c>
      <c r="F962" s="5" t="s">
        <v>1273</v>
      </c>
      <c r="G962" s="3" t="s">
        <v>1274</v>
      </c>
      <c r="H962" s="6" t="s">
        <v>1275</v>
      </c>
      <c r="I962" s="3" t="s">
        <v>1276</v>
      </c>
      <c r="J962" s="5" t="s">
        <v>1277</v>
      </c>
      <c r="K962" s="3" t="s">
        <v>5925</v>
      </c>
      <c r="L962" s="3" t="s">
        <v>1278</v>
      </c>
      <c r="M962" s="5">
        <v>3</v>
      </c>
      <c r="N962" s="21">
        <v>468.55169999999998</v>
      </c>
      <c r="O962" s="35" t="s">
        <v>4854</v>
      </c>
      <c r="P962" s="35" t="s">
        <v>4854</v>
      </c>
      <c r="Q962" s="35" t="s">
        <v>4854</v>
      </c>
      <c r="R962" s="35" t="s">
        <v>4854</v>
      </c>
      <c r="S962" s="35" t="s">
        <v>4854</v>
      </c>
      <c r="T962" s="36" t="str">
        <f>HYPERLINK("http://ms.phosphosite.org:5080/cgi-bin/plot-msms.cgi?MassType=1&amp;NumAxis=1&amp;Mod1=170&amp;Mod2=160&amp;Mod9=160&amp;Pep=KCHGLSGSCEVK&amp;Dta=/var/www/html/dta/S01/10563.4481.3.dta&amp;Global_Mod=CS57.0215", "4481")</f>
        <v>4481</v>
      </c>
      <c r="U962" s="35" t="s">
        <v>4854</v>
      </c>
      <c r="V962" s="35" t="s">
        <v>4854</v>
      </c>
      <c r="W962" s="3" t="s">
        <v>4854</v>
      </c>
      <c r="X962" s="3" t="s">
        <v>4854</v>
      </c>
      <c r="Y962" s="3" t="s">
        <v>4854</v>
      </c>
      <c r="Z962" s="3" t="s">
        <v>4854</v>
      </c>
      <c r="AA962" s="3" t="s">
        <v>4854</v>
      </c>
      <c r="AB962" s="3" t="s">
        <v>4854</v>
      </c>
      <c r="AC962" s="3" t="s">
        <v>4854</v>
      </c>
      <c r="AD962" s="3" t="s">
        <v>4854</v>
      </c>
      <c r="AE962" s="99" t="s">
        <v>4854</v>
      </c>
      <c r="AF962" s="99" t="s">
        <v>4854</v>
      </c>
      <c r="AG962" s="99" t="s">
        <v>4854</v>
      </c>
      <c r="AH962" s="99" t="s">
        <v>4854</v>
      </c>
      <c r="AI962" s="99" t="s">
        <v>4854</v>
      </c>
      <c r="AJ962" s="90">
        <v>1.9510000000000001</v>
      </c>
      <c r="AK962" s="99" t="s">
        <v>4854</v>
      </c>
      <c r="AL962" s="99" t="s">
        <v>4854</v>
      </c>
      <c r="AM962" s="102" t="s">
        <v>4854</v>
      </c>
      <c r="AN962" s="102" t="s">
        <v>4854</v>
      </c>
      <c r="AO962" s="102" t="s">
        <v>4854</v>
      </c>
      <c r="AP962" s="102" t="s">
        <v>4854</v>
      </c>
      <c r="AQ962" s="102" t="s">
        <v>4854</v>
      </c>
      <c r="AR962" s="21">
        <v>0.94079999999999997</v>
      </c>
      <c r="AS962" s="102" t="s">
        <v>4854</v>
      </c>
      <c r="AT962" s="102" t="s">
        <v>4854</v>
      </c>
      <c r="AU962" s="102" t="s">
        <v>4854</v>
      </c>
      <c r="AV962" s="102" t="s">
        <v>4854</v>
      </c>
      <c r="AW962" s="102" t="s">
        <v>4854</v>
      </c>
      <c r="AX962" s="102" t="s">
        <v>4854</v>
      </c>
      <c r="AY962" s="102" t="s">
        <v>4854</v>
      </c>
      <c r="AZ962" s="21">
        <v>0.13900000000000001</v>
      </c>
      <c r="BA962" s="102" t="s">
        <v>4854</v>
      </c>
      <c r="BB962" s="102" t="s">
        <v>4854</v>
      </c>
      <c r="BC962" s="3" t="s">
        <v>4854</v>
      </c>
      <c r="BD962" s="3" t="s">
        <v>4854</v>
      </c>
      <c r="BE962" s="3" t="s">
        <v>4854</v>
      </c>
      <c r="BF962" s="3" t="s">
        <v>4854</v>
      </c>
      <c r="BG962" s="3" t="s">
        <v>4854</v>
      </c>
      <c r="BH962" s="5">
        <v>663</v>
      </c>
      <c r="BI962" s="3" t="s">
        <v>4854</v>
      </c>
      <c r="BJ962" s="3" t="s">
        <v>4854</v>
      </c>
      <c r="BK962" s="99" t="s">
        <v>4854</v>
      </c>
      <c r="BL962" s="99" t="s">
        <v>4854</v>
      </c>
      <c r="BM962" s="99" t="s">
        <v>4854</v>
      </c>
      <c r="BN962" s="99" t="s">
        <v>4854</v>
      </c>
      <c r="BO962" s="99" t="s">
        <v>4854</v>
      </c>
      <c r="BP962" s="90">
        <v>5.3999999999999999E-2</v>
      </c>
      <c r="BQ962" s="99" t="s">
        <v>4854</v>
      </c>
      <c r="BR962" s="99" t="s">
        <v>4854</v>
      </c>
      <c r="BS962" s="5" t="s">
        <v>4857</v>
      </c>
    </row>
    <row r="963" spans="1:71" ht="17.100000000000001" customHeight="1">
      <c r="A963" s="31">
        <v>952</v>
      </c>
      <c r="B963" s="2" t="s">
        <v>1279</v>
      </c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94"/>
      <c r="O963" s="34"/>
      <c r="P963" s="34"/>
      <c r="Q963" s="34"/>
      <c r="R963" s="34"/>
      <c r="S963" s="34"/>
      <c r="T963" s="34"/>
      <c r="U963" s="34"/>
      <c r="V963" s="34"/>
      <c r="W963" s="1"/>
      <c r="X963" s="1"/>
      <c r="Y963" s="1"/>
      <c r="Z963" s="1"/>
      <c r="AA963" s="1"/>
      <c r="AB963" s="1"/>
      <c r="AC963" s="1"/>
      <c r="AD963" s="1"/>
      <c r="AE963" s="89"/>
      <c r="AF963" s="89"/>
      <c r="AG963" s="89"/>
      <c r="AH963" s="89"/>
      <c r="AI963" s="89"/>
      <c r="AJ963" s="89"/>
      <c r="AK963" s="89"/>
      <c r="AL963" s="89"/>
      <c r="AM963" s="94"/>
      <c r="AN963" s="94"/>
      <c r="AO963" s="94"/>
      <c r="AP963" s="94"/>
      <c r="AQ963" s="94"/>
      <c r="AR963" s="94"/>
      <c r="AS963" s="94"/>
      <c r="AT963" s="94"/>
      <c r="AU963" s="94"/>
      <c r="AV963" s="94"/>
      <c r="AW963" s="94"/>
      <c r="AX963" s="94"/>
      <c r="AY963" s="94"/>
      <c r="AZ963" s="94"/>
      <c r="BA963" s="94"/>
      <c r="BB963" s="94"/>
      <c r="BC963" s="1"/>
      <c r="BD963" s="1"/>
      <c r="BE963" s="1"/>
      <c r="BF963" s="1"/>
      <c r="BG963" s="1"/>
      <c r="BH963" s="1"/>
      <c r="BI963" s="1"/>
      <c r="BJ963" s="1"/>
      <c r="BK963" s="89"/>
      <c r="BL963" s="89"/>
      <c r="BM963" s="89"/>
      <c r="BN963" s="89"/>
      <c r="BO963" s="89"/>
      <c r="BP963" s="89"/>
      <c r="BQ963" s="89"/>
      <c r="BR963" s="89"/>
      <c r="BS963" s="1"/>
    </row>
    <row r="964" spans="1:71" s="30" customFormat="1" ht="17.100000000000001" customHeight="1">
      <c r="A964" s="10">
        <v>953</v>
      </c>
      <c r="B964" s="10" t="s">
        <v>1280</v>
      </c>
      <c r="C964" s="4" t="s">
        <v>1279</v>
      </c>
      <c r="D964" s="4" t="s">
        <v>1281</v>
      </c>
      <c r="E964" s="4" t="s">
        <v>1282</v>
      </c>
      <c r="F964" s="10" t="s">
        <v>1283</v>
      </c>
      <c r="G964" s="4" t="s">
        <v>1284</v>
      </c>
      <c r="H964" s="7" t="s">
        <v>1159</v>
      </c>
      <c r="I964" s="4" t="s">
        <v>1160</v>
      </c>
      <c r="J964" s="10" t="s">
        <v>4351</v>
      </c>
      <c r="K964" s="4" t="s">
        <v>5926</v>
      </c>
      <c r="L964" s="4" t="s">
        <v>1161</v>
      </c>
      <c r="M964" s="10">
        <v>2</v>
      </c>
      <c r="N964" s="95">
        <v>382.20460000000003</v>
      </c>
      <c r="O964" s="38" t="s">
        <v>4854</v>
      </c>
      <c r="P964" s="38" t="s">
        <v>4854</v>
      </c>
      <c r="Q964" s="38" t="s">
        <v>4854</v>
      </c>
      <c r="R964" s="37" t="str">
        <f>HYPERLINK("http://ms.phosphosite.org:5080/cgi-bin/plot-msms.cgi?MassType=1&amp;NumAxis=1&amp;Mod5=147&amp;Mod7=170&amp;Pep=VVAGMTK&amp;Dta=/var/www/html/dta/S01/10561.2429.2.dta&amp;Global_Mod=CS57.0215", "2429")</f>
        <v>2429</v>
      </c>
      <c r="S964" s="38" t="s">
        <v>4854</v>
      </c>
      <c r="T964" s="38" t="s">
        <v>4854</v>
      </c>
      <c r="U964" s="37" t="str">
        <f>HYPERLINK("http://ms.phosphosite.org:5080/cgi-bin/plot-msms.cgi?MassType=1&amp;NumAxis=1&amp;Mod5=147&amp;Mod7=170&amp;Pep=VVAGMTK&amp;Dta=/var/www/html/dta/S01/10564.2752.2.dta&amp;Global_Mod=CS57.0215", "2752")</f>
        <v>2752</v>
      </c>
      <c r="V964" s="38" t="s">
        <v>4854</v>
      </c>
      <c r="W964" s="4" t="s">
        <v>4854</v>
      </c>
      <c r="X964" s="4" t="s">
        <v>4854</v>
      </c>
      <c r="Y964" s="4" t="s">
        <v>4854</v>
      </c>
      <c r="Z964" s="4" t="s">
        <v>4854</v>
      </c>
      <c r="AA964" s="4" t="s">
        <v>4854</v>
      </c>
      <c r="AB964" s="4" t="s">
        <v>4854</v>
      </c>
      <c r="AC964" s="4" t="s">
        <v>4854</v>
      </c>
      <c r="AD964" s="4" t="s">
        <v>4854</v>
      </c>
      <c r="AE964" s="100" t="s">
        <v>4854</v>
      </c>
      <c r="AF964" s="100" t="s">
        <v>4854</v>
      </c>
      <c r="AG964" s="100" t="s">
        <v>4854</v>
      </c>
      <c r="AH964" s="91">
        <v>1.5880000000000001</v>
      </c>
      <c r="AI964" s="100" t="s">
        <v>4854</v>
      </c>
      <c r="AJ964" s="100" t="s">
        <v>4854</v>
      </c>
      <c r="AK964" s="91">
        <v>1.5740000000000001</v>
      </c>
      <c r="AL964" s="100" t="s">
        <v>4854</v>
      </c>
      <c r="AM964" s="103" t="s">
        <v>4854</v>
      </c>
      <c r="AN964" s="103" t="s">
        <v>4854</v>
      </c>
      <c r="AO964" s="103" t="s">
        <v>4854</v>
      </c>
      <c r="AP964" s="95">
        <v>0.30930000000000002</v>
      </c>
      <c r="AQ964" s="103" t="s">
        <v>4854</v>
      </c>
      <c r="AR964" s="103" t="s">
        <v>4854</v>
      </c>
      <c r="AS964" s="95">
        <v>-9.6799999999999997E-2</v>
      </c>
      <c r="AT964" s="103" t="s">
        <v>4854</v>
      </c>
      <c r="AU964" s="103" t="s">
        <v>4854</v>
      </c>
      <c r="AV964" s="103" t="s">
        <v>4854</v>
      </c>
      <c r="AW964" s="103" t="s">
        <v>4854</v>
      </c>
      <c r="AX964" s="95">
        <v>1.6E-2</v>
      </c>
      <c r="AY964" s="103" t="s">
        <v>4854</v>
      </c>
      <c r="AZ964" s="103" t="s">
        <v>4854</v>
      </c>
      <c r="BA964" s="95">
        <v>1E-3</v>
      </c>
      <c r="BB964" s="103" t="s">
        <v>4854</v>
      </c>
      <c r="BC964" s="4" t="s">
        <v>4854</v>
      </c>
      <c r="BD964" s="4" t="s">
        <v>4854</v>
      </c>
      <c r="BE964" s="4" t="s">
        <v>4854</v>
      </c>
      <c r="BF964" s="10">
        <v>31</v>
      </c>
      <c r="BG964" s="4" t="s">
        <v>4854</v>
      </c>
      <c r="BH964" s="4" t="s">
        <v>4854</v>
      </c>
      <c r="BI964" s="10">
        <v>1</v>
      </c>
      <c r="BJ964" s="4" t="s">
        <v>4854</v>
      </c>
      <c r="BK964" s="100" t="s">
        <v>4854</v>
      </c>
      <c r="BL964" s="100" t="s">
        <v>4854</v>
      </c>
      <c r="BM964" s="100" t="s">
        <v>4854</v>
      </c>
      <c r="BN964" s="91">
        <v>0.11</v>
      </c>
      <c r="BO964" s="100" t="s">
        <v>4854</v>
      </c>
      <c r="BP964" s="100" t="s">
        <v>4854</v>
      </c>
      <c r="BQ964" s="91">
        <v>0.224</v>
      </c>
      <c r="BR964" s="100" t="s">
        <v>4854</v>
      </c>
      <c r="BS964" s="10" t="s">
        <v>4857</v>
      </c>
    </row>
    <row r="965" spans="1:71" s="30" customFormat="1" ht="17.100000000000001" customHeight="1">
      <c r="A965" s="14">
        <v>954</v>
      </c>
      <c r="B965" s="5" t="s">
        <v>1162</v>
      </c>
      <c r="C965" s="3" t="s">
        <v>1279</v>
      </c>
      <c r="D965" s="3" t="s">
        <v>1163</v>
      </c>
      <c r="E965" s="3" t="s">
        <v>1164</v>
      </c>
      <c r="F965" s="5" t="s">
        <v>5237</v>
      </c>
      <c r="G965" s="3" t="s">
        <v>1165</v>
      </c>
      <c r="H965" s="6" t="s">
        <v>1166</v>
      </c>
      <c r="I965" s="3" t="s">
        <v>1167</v>
      </c>
      <c r="J965" s="5" t="s">
        <v>4709</v>
      </c>
      <c r="K965" s="3" t="s">
        <v>5927</v>
      </c>
      <c r="L965" s="3" t="s">
        <v>1168</v>
      </c>
      <c r="M965" s="5">
        <v>3</v>
      </c>
      <c r="N965" s="21">
        <v>603.9556</v>
      </c>
      <c r="O965" s="35" t="s">
        <v>4854</v>
      </c>
      <c r="P965" s="35" t="s">
        <v>4854</v>
      </c>
      <c r="Q965" s="35" t="s">
        <v>4854</v>
      </c>
      <c r="R965" s="36" t="str">
        <f>HYPERLINK("http://ms.phosphosite.org:5080/cgi-bin/plot-msms.cgi?MassType=1&amp;NumAxis=1&amp;Mod3=160&amp;Mod9=170&amp;Pep=GHCPPAPAKPMHPENK&amp;Dta=/var/www/html/dta/S01/10561.2063.3.dta&amp;Global_Mod=CS57.0215", "2063")</f>
        <v>2063</v>
      </c>
      <c r="S965" s="35" t="s">
        <v>4854</v>
      </c>
      <c r="T965" s="35" t="s">
        <v>4854</v>
      </c>
      <c r="U965" s="36" t="str">
        <f>HYPERLINK("http://ms.phosphosite.org:5080/cgi-bin/plot-msms.cgi?MassType=1&amp;NumAxis=1&amp;Mod3=160&amp;Mod9=170&amp;Pep=GHCPPAPAKPMHPENK&amp;Dta=/var/www/html/dta/S01/10564.2304.3.dta&amp;Global_Mod=CS57.0215", "2304")</f>
        <v>2304</v>
      </c>
      <c r="V965" s="36" t="str">
        <f>HYPERLINK("http://ms.phosphosite.org:5080/cgi-bin/plot-msms.cgi?MassType=1&amp;NumAxis=1&amp;Mod3=160&amp;Mod9=170&amp;Pep=GHCPPAPAKPMHPENK&amp;Dta=/var/www/html/dta/S01/10565.2352.3.dta&amp;Global_Mod=CS57.0215", "2352")</f>
        <v>2352</v>
      </c>
      <c r="W965" s="3" t="s">
        <v>4854</v>
      </c>
      <c r="X965" s="3" t="s">
        <v>4854</v>
      </c>
      <c r="Y965" s="3" t="s">
        <v>4854</v>
      </c>
      <c r="Z965" s="5">
        <v>2089</v>
      </c>
      <c r="AA965" s="3" t="s">
        <v>4854</v>
      </c>
      <c r="AB965" s="3" t="s">
        <v>4854</v>
      </c>
      <c r="AC965" s="5">
        <v>2307</v>
      </c>
      <c r="AD965" s="5">
        <v>2349</v>
      </c>
      <c r="AE965" s="99" t="s">
        <v>4854</v>
      </c>
      <c r="AF965" s="99" t="s">
        <v>4854</v>
      </c>
      <c r="AG965" s="99" t="s">
        <v>4854</v>
      </c>
      <c r="AH965" s="90">
        <v>1.871</v>
      </c>
      <c r="AI965" s="99" t="s">
        <v>4854</v>
      </c>
      <c r="AJ965" s="99" t="s">
        <v>4854</v>
      </c>
      <c r="AK965" s="90">
        <v>2.4729999999999999</v>
      </c>
      <c r="AL965" s="90">
        <v>2.58</v>
      </c>
      <c r="AM965" s="102" t="s">
        <v>4854</v>
      </c>
      <c r="AN965" s="102" t="s">
        <v>4854</v>
      </c>
      <c r="AO965" s="102" t="s">
        <v>4854</v>
      </c>
      <c r="AP965" s="21">
        <v>0.85119999999999996</v>
      </c>
      <c r="AQ965" s="102" t="s">
        <v>4854</v>
      </c>
      <c r="AR965" s="102" t="s">
        <v>4854</v>
      </c>
      <c r="AS965" s="21">
        <v>-0.27050000000000002</v>
      </c>
      <c r="AT965" s="21">
        <v>-0.86499999999999999</v>
      </c>
      <c r="AU965" s="102" t="s">
        <v>4854</v>
      </c>
      <c r="AV965" s="102" t="s">
        <v>4854</v>
      </c>
      <c r="AW965" s="102" t="s">
        <v>4854</v>
      </c>
      <c r="AX965" s="21">
        <v>1.2999999999999999E-2</v>
      </c>
      <c r="AY965" s="102" t="s">
        <v>4854</v>
      </c>
      <c r="AZ965" s="102" t="s">
        <v>4854</v>
      </c>
      <c r="BA965" s="21">
        <v>0.17799999999999999</v>
      </c>
      <c r="BB965" s="21">
        <v>0.23499999999999999</v>
      </c>
      <c r="BC965" s="3" t="s">
        <v>4854</v>
      </c>
      <c r="BD965" s="3" t="s">
        <v>4854</v>
      </c>
      <c r="BE965" s="3" t="s">
        <v>4854</v>
      </c>
      <c r="BF965" s="5">
        <v>64</v>
      </c>
      <c r="BG965" s="3" t="s">
        <v>4854</v>
      </c>
      <c r="BH965" s="3" t="s">
        <v>4854</v>
      </c>
      <c r="BI965" s="5">
        <v>1</v>
      </c>
      <c r="BJ965" s="5">
        <v>10</v>
      </c>
      <c r="BK965" s="99" t="s">
        <v>4854</v>
      </c>
      <c r="BL965" s="99" t="s">
        <v>4854</v>
      </c>
      <c r="BM965" s="99" t="s">
        <v>4854</v>
      </c>
      <c r="BN965" s="90">
        <v>0.95</v>
      </c>
      <c r="BO965" s="99" t="s">
        <v>4854</v>
      </c>
      <c r="BP965" s="99" t="s">
        <v>4854</v>
      </c>
      <c r="BQ965" s="90">
        <v>0.999</v>
      </c>
      <c r="BR965" s="90">
        <v>0.99399999999999999</v>
      </c>
      <c r="BS965" s="5" t="s">
        <v>4857</v>
      </c>
    </row>
    <row r="966" spans="1:71" s="30" customFormat="1" ht="17.100000000000001" customHeight="1">
      <c r="A966" s="10">
        <v>955</v>
      </c>
      <c r="B966" s="10" t="s">
        <v>1169</v>
      </c>
      <c r="C966" s="4" t="s">
        <v>1279</v>
      </c>
      <c r="D966" s="4" t="s">
        <v>1170</v>
      </c>
      <c r="E966" s="4" t="s">
        <v>1171</v>
      </c>
      <c r="F966" s="10" t="s">
        <v>5292</v>
      </c>
      <c r="G966" s="4" t="s">
        <v>1172</v>
      </c>
      <c r="H966" s="7" t="s">
        <v>1173</v>
      </c>
      <c r="I966" s="4" t="s">
        <v>1174</v>
      </c>
      <c r="J966" s="10" t="s">
        <v>4448</v>
      </c>
      <c r="K966" s="4" t="s">
        <v>5928</v>
      </c>
      <c r="L966" s="4" t="s">
        <v>1175</v>
      </c>
      <c r="M966" s="10">
        <v>2</v>
      </c>
      <c r="N966" s="95">
        <v>368.22359999999998</v>
      </c>
      <c r="O966" s="38" t="s">
        <v>4854</v>
      </c>
      <c r="P966" s="38" t="s">
        <v>4854</v>
      </c>
      <c r="Q966" s="38" t="s">
        <v>4854</v>
      </c>
      <c r="R966" s="38" t="s">
        <v>4854</v>
      </c>
      <c r="S966" s="37" t="str">
        <f>HYPERLINK("http://ms.phosphosite.org:5080/cgi-bin/plot-msms.cgi?MassType=1&amp;NumAxis=1&amp;Mod3=170&amp;Pep=TGKFLK&amp;Dta=/var/www/html/dta/S01/10562.3655.2.dta&amp;Global_Mod=CS57.0215", "3655")</f>
        <v>3655</v>
      </c>
      <c r="T966" s="38" t="s">
        <v>4854</v>
      </c>
      <c r="U966" s="37" t="str">
        <f>HYPERLINK("http://ms.phosphosite.org:5080/cgi-bin/plot-msms.cgi?MassType=1&amp;NumAxis=1&amp;Mod3=170&amp;Pep=TGKFLK&amp;Dta=/var/www/html/dta/S01/10564.3892.2.dta&amp;Global_Mod=CS57.0215", "3892")</f>
        <v>3892</v>
      </c>
      <c r="V966" s="38" t="s">
        <v>4854</v>
      </c>
      <c r="W966" s="4" t="s">
        <v>4854</v>
      </c>
      <c r="X966" s="4" t="s">
        <v>4854</v>
      </c>
      <c r="Y966" s="4" t="s">
        <v>4854</v>
      </c>
      <c r="Z966" s="4" t="s">
        <v>4854</v>
      </c>
      <c r="AA966" s="10">
        <v>3609</v>
      </c>
      <c r="AB966" s="4" t="s">
        <v>4854</v>
      </c>
      <c r="AC966" s="10">
        <v>3934</v>
      </c>
      <c r="AD966" s="4" t="s">
        <v>4854</v>
      </c>
      <c r="AE966" s="100" t="s">
        <v>4854</v>
      </c>
      <c r="AF966" s="100" t="s">
        <v>4854</v>
      </c>
      <c r="AG966" s="100" t="s">
        <v>4854</v>
      </c>
      <c r="AH966" s="100" t="s">
        <v>4854</v>
      </c>
      <c r="AI966" s="91">
        <v>2.1779999999999999</v>
      </c>
      <c r="AJ966" s="100" t="s">
        <v>4854</v>
      </c>
      <c r="AK966" s="91">
        <v>2.3220000000000001</v>
      </c>
      <c r="AL966" s="100" t="s">
        <v>4854</v>
      </c>
      <c r="AM966" s="103" t="s">
        <v>4854</v>
      </c>
      <c r="AN966" s="103" t="s">
        <v>4854</v>
      </c>
      <c r="AO966" s="103" t="s">
        <v>4854</v>
      </c>
      <c r="AP966" s="103" t="s">
        <v>4854</v>
      </c>
      <c r="AQ966" s="95">
        <v>0.28289999999999998</v>
      </c>
      <c r="AR966" s="103" t="s">
        <v>4854</v>
      </c>
      <c r="AS966" s="95">
        <v>0.1673</v>
      </c>
      <c r="AT966" s="103" t="s">
        <v>4854</v>
      </c>
      <c r="AU966" s="103" t="s">
        <v>4854</v>
      </c>
      <c r="AV966" s="103" t="s">
        <v>4854</v>
      </c>
      <c r="AW966" s="103" t="s">
        <v>4854</v>
      </c>
      <c r="AX966" s="103" t="s">
        <v>4854</v>
      </c>
      <c r="AY966" s="95">
        <v>4.3999999999999997E-2</v>
      </c>
      <c r="AZ966" s="103" t="s">
        <v>4854</v>
      </c>
      <c r="BA966" s="95">
        <v>5.0000000000000001E-3</v>
      </c>
      <c r="BB966" s="103" t="s">
        <v>4854</v>
      </c>
      <c r="BC966" s="4" t="s">
        <v>4854</v>
      </c>
      <c r="BD966" s="4" t="s">
        <v>4854</v>
      </c>
      <c r="BE966" s="4" t="s">
        <v>4854</v>
      </c>
      <c r="BF966" s="4" t="s">
        <v>4854</v>
      </c>
      <c r="BG966" s="10">
        <v>8</v>
      </c>
      <c r="BH966" s="4" t="s">
        <v>4854</v>
      </c>
      <c r="BI966" s="10">
        <v>3</v>
      </c>
      <c r="BJ966" s="4" t="s">
        <v>4854</v>
      </c>
      <c r="BK966" s="100" t="s">
        <v>4854</v>
      </c>
      <c r="BL966" s="100" t="s">
        <v>4854</v>
      </c>
      <c r="BM966" s="100" t="s">
        <v>4854</v>
      </c>
      <c r="BN966" s="100" t="s">
        <v>4854</v>
      </c>
      <c r="BO966" s="91">
        <v>0.97899999999999998</v>
      </c>
      <c r="BP966" s="100" t="s">
        <v>4854</v>
      </c>
      <c r="BQ966" s="91">
        <v>0.98299999999999998</v>
      </c>
      <c r="BR966" s="100" t="s">
        <v>4854</v>
      </c>
      <c r="BS966" s="10" t="s">
        <v>4857</v>
      </c>
    </row>
    <row r="967" spans="1:71" s="30" customFormat="1" ht="17.100000000000001" customHeight="1">
      <c r="A967" s="10">
        <v>956</v>
      </c>
      <c r="B967" s="10" t="s">
        <v>1176</v>
      </c>
      <c r="C967" s="4" t="s">
        <v>1279</v>
      </c>
      <c r="D967" s="4" t="s">
        <v>1170</v>
      </c>
      <c r="E967" s="4" t="s">
        <v>1171</v>
      </c>
      <c r="F967" s="10" t="s">
        <v>5292</v>
      </c>
      <c r="G967" s="4" t="s">
        <v>1172</v>
      </c>
      <c r="H967" s="7" t="s">
        <v>1173</v>
      </c>
      <c r="I967" s="4" t="s">
        <v>1174</v>
      </c>
      <c r="J967" s="10" t="s">
        <v>4448</v>
      </c>
      <c r="K967" s="4" t="s">
        <v>5928</v>
      </c>
      <c r="L967" s="4" t="s">
        <v>1177</v>
      </c>
      <c r="M967" s="10">
        <v>2</v>
      </c>
      <c r="N967" s="95">
        <v>446.27420000000001</v>
      </c>
      <c r="O967" s="37" t="str">
        <f>HYPERLINK("http://ms.phosphosite.org:5080/cgi-bin/plot-msms.cgi?MassType=1&amp;NumAxis=1&amp;Mod3=170&amp;Pep=TGKFLKR&amp;Dta=/var/www/html/dta/S01/10558.2346.2.dta&amp;Global_Mod=CS57.0215", "2346")</f>
        <v>2346</v>
      </c>
      <c r="P967" s="37" t="str">
        <f>HYPERLINK("http://ms.phosphosite.org:5080/cgi-bin/plot-msms.cgi?MassType=1&amp;NumAxis=1&amp;Mod3=170&amp;Pep=TGKFLKR&amp;Dta=/var/www/html/dta/S01/10559.2290.2.dta&amp;Global_Mod=CS57.0215", "2290")</f>
        <v>2290</v>
      </c>
      <c r="Q967" s="37" t="str">
        <f>HYPERLINK("http://ms.phosphosite.org:5080/cgi-bin/plot-msms.cgi?MassType=1&amp;NumAxis=1&amp;Mod3=170&amp;Pep=TGKFLKR&amp;Dta=/var/www/html/dta/S01/10560.2264.2.dta&amp;Global_Mod=CS57.0215", "2264")</f>
        <v>2264</v>
      </c>
      <c r="R967" s="37" t="str">
        <f>HYPERLINK("http://ms.phosphosite.org:5080/cgi-bin/plot-msms.cgi?MassType=1&amp;NumAxis=1&amp;Mod3=170&amp;Pep=TGKFLKR&amp;Dta=/var/www/html/dta/S01/10561.2312.2.dta&amp;Global_Mod=CS57.0215", "2312")</f>
        <v>2312</v>
      </c>
      <c r="S967" s="37" t="str">
        <f>HYPERLINK("http://ms.phosphosite.org:5080/cgi-bin/plot-msms.cgi?MassType=1&amp;NumAxis=1&amp;Mod3=170&amp;Pep=TGKFLKR&amp;Dta=/var/www/html/dta/S01/10562.2373.2.dta&amp;Global_Mod=CS57.0215", "2373")</f>
        <v>2373</v>
      </c>
      <c r="T967" s="37" t="str">
        <f>HYPERLINK("http://ms.phosphosite.org:5080/cgi-bin/plot-msms.cgi?MassType=1&amp;NumAxis=1&amp;Mod3=170&amp;Pep=TGKFLKR&amp;Dta=/var/www/html/dta/S01/10563.2347.2.dta&amp;Global_Mod=CS57.0215", "2347")</f>
        <v>2347</v>
      </c>
      <c r="U967" s="37" t="str">
        <f>HYPERLINK("http://ms.phosphosite.org:5080/cgi-bin/plot-msms.cgi?MassType=1&amp;NumAxis=1&amp;Mod3=170&amp;Pep=TGKFLKR&amp;Dta=/var/www/html/dta/S01/10564.2622.2.dta&amp;Global_Mod=CS57.0215", "2622")</f>
        <v>2622</v>
      </c>
      <c r="V967" s="37" t="str">
        <f>HYPERLINK("http://ms.phosphosite.org:5080/cgi-bin/plot-msms.cgi?MassType=1&amp;NumAxis=1&amp;Mod3=170&amp;Pep=TGKFLKR&amp;Dta=/var/www/html/dta/S01/10565.2710.2.dta&amp;Global_Mod=CS57.0215", "2710")</f>
        <v>2710</v>
      </c>
      <c r="W967" s="10">
        <v>2356</v>
      </c>
      <c r="X967" s="10">
        <v>2288</v>
      </c>
      <c r="Y967" s="10">
        <v>2285</v>
      </c>
      <c r="Z967" s="10">
        <v>2344</v>
      </c>
      <c r="AA967" s="10">
        <v>2393</v>
      </c>
      <c r="AB967" s="10">
        <v>2324</v>
      </c>
      <c r="AC967" s="10">
        <v>2632</v>
      </c>
      <c r="AD967" s="10">
        <v>2720</v>
      </c>
      <c r="AE967" s="91">
        <v>2.2429999999999999</v>
      </c>
      <c r="AF967" s="91">
        <v>2.1480000000000001</v>
      </c>
      <c r="AG967" s="91">
        <v>2.2400000000000002</v>
      </c>
      <c r="AH967" s="91">
        <v>2.335</v>
      </c>
      <c r="AI967" s="91">
        <v>2.6150000000000002</v>
      </c>
      <c r="AJ967" s="91">
        <v>2.073</v>
      </c>
      <c r="AK967" s="91">
        <v>2.4489999999999998</v>
      </c>
      <c r="AL967" s="91">
        <v>2.2629999999999999</v>
      </c>
      <c r="AM967" s="95">
        <v>-0.2243</v>
      </c>
      <c r="AN967" s="95">
        <v>-0.2467</v>
      </c>
      <c r="AO967" s="95">
        <v>1.6899999999999998E-2</v>
      </c>
      <c r="AP967" s="95">
        <v>8.5300000000000001E-2</v>
      </c>
      <c r="AQ967" s="95">
        <v>0.1178</v>
      </c>
      <c r="AR967" s="95">
        <v>0.19409999999999999</v>
      </c>
      <c r="AS967" s="95">
        <v>2.69E-2</v>
      </c>
      <c r="AT967" s="95">
        <v>-0.43630000000000002</v>
      </c>
      <c r="AU967" s="95">
        <v>8.4000000000000005E-2</v>
      </c>
      <c r="AV967" s="95">
        <v>8.9999999999999993E-3</v>
      </c>
      <c r="AW967" s="95">
        <v>4.5999999999999999E-2</v>
      </c>
      <c r="AX967" s="95">
        <v>0.10199999999999999</v>
      </c>
      <c r="AY967" s="95">
        <v>7.2999999999999995E-2</v>
      </c>
      <c r="AZ967" s="95">
        <v>5.0999999999999997E-2</v>
      </c>
      <c r="BA967" s="95">
        <v>0.10199999999999999</v>
      </c>
      <c r="BB967" s="95">
        <v>8.6999999999999994E-2</v>
      </c>
      <c r="BC967" s="10">
        <v>4</v>
      </c>
      <c r="BD967" s="10">
        <v>1</v>
      </c>
      <c r="BE967" s="10">
        <v>2</v>
      </c>
      <c r="BF967" s="10">
        <v>3</v>
      </c>
      <c r="BG967" s="10">
        <v>4</v>
      </c>
      <c r="BH967" s="10">
        <v>1</v>
      </c>
      <c r="BI967" s="10">
        <v>2</v>
      </c>
      <c r="BJ967" s="10">
        <v>7</v>
      </c>
      <c r="BK967" s="91">
        <v>0.98799999999999999</v>
      </c>
      <c r="BL967" s="91">
        <v>0.97699999999999998</v>
      </c>
      <c r="BM967" s="91">
        <v>0.98499999999999999</v>
      </c>
      <c r="BN967" s="91">
        <v>0.99299999999999999</v>
      </c>
      <c r="BO967" s="91">
        <v>0.995</v>
      </c>
      <c r="BP967" s="91">
        <v>0.98299999999999998</v>
      </c>
      <c r="BQ967" s="91">
        <v>0.995</v>
      </c>
      <c r="BR967" s="91">
        <v>0.98699999999999999</v>
      </c>
      <c r="BS967" s="10" t="s">
        <v>4857</v>
      </c>
    </row>
    <row r="968" spans="1:71" s="30" customFormat="1" ht="17.100000000000001" customHeight="1">
      <c r="A968" s="14">
        <v>957</v>
      </c>
      <c r="B968" s="5" t="s">
        <v>1178</v>
      </c>
      <c r="C968" s="3" t="s">
        <v>1279</v>
      </c>
      <c r="D968" s="3" t="s">
        <v>1170</v>
      </c>
      <c r="E968" s="3" t="s">
        <v>1171</v>
      </c>
      <c r="F968" s="5" t="s">
        <v>5193</v>
      </c>
      <c r="G968" s="3" t="s">
        <v>1172</v>
      </c>
      <c r="H968" s="6" t="s">
        <v>1173</v>
      </c>
      <c r="I968" s="3" t="s">
        <v>1174</v>
      </c>
      <c r="J968" s="5" t="s">
        <v>4448</v>
      </c>
      <c r="K968" s="3" t="s">
        <v>5929</v>
      </c>
      <c r="L968" s="3" t="s">
        <v>1179</v>
      </c>
      <c r="M968" s="5">
        <v>2</v>
      </c>
      <c r="N968" s="21">
        <v>618.79079999999999</v>
      </c>
      <c r="O968" s="36" t="str">
        <f>HYPERLINK("http://ms.phosphosite.org:5080/cgi-bin/plot-msms.cgi?MassType=1&amp;NumAxis=1&amp;Mod8=170&amp;Pep=NTEEEGPKYK&amp;Dta=/var/www/html/dta/S01/10558.2022.2.dta&amp;Global_Mod=CS57.0215", "2022")</f>
        <v>2022</v>
      </c>
      <c r="P968" s="36" t="str">
        <f>HYPERLINK("http://ms.phosphosite.org:5080/cgi-bin/plot-msms.cgi?MassType=1&amp;NumAxis=1&amp;Mod8=170&amp;Pep=NTEEEGPKYK&amp;Dta=/var/www/html/dta/S01/10559.1977.2.dta&amp;Global_Mod=CS57.0215", "1977")</f>
        <v>1977</v>
      </c>
      <c r="Q968" s="36" t="str">
        <f>HYPERLINK("http://ms.phosphosite.org:5080/cgi-bin/plot-msms.cgi?MassType=1&amp;NumAxis=1&amp;Mod8=170&amp;Pep=NTEEEGPKYK&amp;Dta=/var/www/html/dta/S01/10560.1955.2.dta&amp;Global_Mod=CS57.0215", "1955")</f>
        <v>1955</v>
      </c>
      <c r="R968" s="36" t="str">
        <f>HYPERLINK("http://ms.phosphosite.org:5080/cgi-bin/plot-msms.cgi?MassType=1&amp;NumAxis=1&amp;Mod8=170&amp;Pep=NTEEEGPKYK&amp;Dta=/var/www/html/dta/S01/10561.1997.2.dta&amp;Global_Mod=CS57.0215", "1997")</f>
        <v>1997</v>
      </c>
      <c r="S968" s="36" t="str">
        <f>HYPERLINK("http://ms.phosphosite.org:5080/cgi-bin/plot-msms.cgi?MassType=1&amp;NumAxis=1&amp;Mod8=170&amp;Pep=NTEEEGPKYK&amp;Dta=/var/www/html/dta/S01/10562.2056.2.dta&amp;Global_Mod=CS57.0215", "2056")</f>
        <v>2056</v>
      </c>
      <c r="T968" s="36" t="str">
        <f>HYPERLINK("http://ms.phosphosite.org:5080/cgi-bin/plot-msms.cgi?MassType=1&amp;NumAxis=1&amp;Mod8=170&amp;Pep=NTEEEGPKYK&amp;Dta=/var/www/html/dta/S01/10563.1977.2.dta&amp;Global_Mod=CS57.0215", "1977")</f>
        <v>1977</v>
      </c>
      <c r="U968" s="36" t="str">
        <f>HYPERLINK("http://ms.phosphosite.org:5080/cgi-bin/plot-msms.cgi?MassType=1&amp;NumAxis=1&amp;Mod8=170&amp;Pep=NTEEEGPKYK&amp;Dta=/var/www/html/dta/S01/10564.2265.2.dta&amp;Global_Mod=CS57.0215", "2265")</f>
        <v>2265</v>
      </c>
      <c r="V968" s="36" t="str">
        <f>HYPERLINK("http://ms.phosphosite.org:5080/cgi-bin/plot-msms.cgi?MassType=1&amp;NumAxis=1&amp;Mod8=170&amp;Pep=NTEEEGPKYK&amp;Dta=/var/www/html/dta/S01/10565.2316.2.dta&amp;Global_Mod=CS57.0215", "2316")</f>
        <v>2316</v>
      </c>
      <c r="W968" s="5">
        <v>2046</v>
      </c>
      <c r="X968" s="5">
        <v>1985</v>
      </c>
      <c r="Y968" s="5">
        <v>1969</v>
      </c>
      <c r="Z968" s="5">
        <v>2014</v>
      </c>
      <c r="AA968" s="5">
        <v>2061</v>
      </c>
      <c r="AB968" s="5">
        <v>1995</v>
      </c>
      <c r="AC968" s="5">
        <v>2274</v>
      </c>
      <c r="AD968" s="5">
        <v>2336</v>
      </c>
      <c r="AE968" s="90">
        <v>2.4990000000000001</v>
      </c>
      <c r="AF968" s="90">
        <v>2.9449999999999998</v>
      </c>
      <c r="AG968" s="90">
        <v>2.5550000000000002</v>
      </c>
      <c r="AH968" s="90">
        <v>2.4630000000000001</v>
      </c>
      <c r="AI968" s="90">
        <v>3.0190000000000001</v>
      </c>
      <c r="AJ968" s="90">
        <v>2.6880000000000002</v>
      </c>
      <c r="AK968" s="90">
        <v>2.7309999999999999</v>
      </c>
      <c r="AL968" s="90">
        <v>2.5539999999999998</v>
      </c>
      <c r="AM968" s="21">
        <v>7.5899999999999995E-2</v>
      </c>
      <c r="AN968" s="21">
        <v>0.18260000000000001</v>
      </c>
      <c r="AO968" s="21">
        <v>0.66859999999999997</v>
      </c>
      <c r="AP968" s="21">
        <v>0.33300000000000002</v>
      </c>
      <c r="AQ968" s="21">
        <v>0.36620000000000003</v>
      </c>
      <c r="AR968" s="21">
        <v>0.35730000000000001</v>
      </c>
      <c r="AS968" s="21">
        <v>-1.47E-2</v>
      </c>
      <c r="AT968" s="21">
        <v>-0.24679999999999999</v>
      </c>
      <c r="AU968" s="21">
        <v>0.189</v>
      </c>
      <c r="AV968" s="21">
        <v>0.23300000000000001</v>
      </c>
      <c r="AW968" s="21">
        <v>0.186</v>
      </c>
      <c r="AX968" s="21">
        <v>0.19</v>
      </c>
      <c r="AY968" s="21">
        <v>0.25</v>
      </c>
      <c r="AZ968" s="21">
        <v>0.193</v>
      </c>
      <c r="BA968" s="21">
        <v>0.26200000000000001</v>
      </c>
      <c r="BB968" s="21">
        <v>0.189</v>
      </c>
      <c r="BC968" s="5">
        <v>2</v>
      </c>
      <c r="BD968" s="5">
        <v>1</v>
      </c>
      <c r="BE968" s="5">
        <v>1</v>
      </c>
      <c r="BF968" s="5">
        <v>1</v>
      </c>
      <c r="BG968" s="5">
        <v>1</v>
      </c>
      <c r="BH968" s="5">
        <v>2</v>
      </c>
      <c r="BI968" s="5">
        <v>1</v>
      </c>
      <c r="BJ968" s="5">
        <v>1</v>
      </c>
      <c r="BK968" s="90">
        <v>0.997</v>
      </c>
      <c r="BL968" s="90">
        <v>0.999</v>
      </c>
      <c r="BM968" s="90">
        <v>0.998</v>
      </c>
      <c r="BN968" s="90">
        <v>0.998</v>
      </c>
      <c r="BO968" s="90">
        <v>1</v>
      </c>
      <c r="BP968" s="90">
        <v>0.998</v>
      </c>
      <c r="BQ968" s="90">
        <v>0.999</v>
      </c>
      <c r="BR968" s="90">
        <v>0.998</v>
      </c>
      <c r="BS968" s="5" t="s">
        <v>4857</v>
      </c>
    </row>
    <row r="969" spans="1:71" s="30" customFormat="1" ht="17.100000000000001" customHeight="1">
      <c r="A969" s="10">
        <v>958</v>
      </c>
      <c r="B969" s="10" t="s">
        <v>1180</v>
      </c>
      <c r="C969" s="4" t="s">
        <v>1279</v>
      </c>
      <c r="D969" s="4" t="s">
        <v>1181</v>
      </c>
      <c r="E969" s="4" t="s">
        <v>1182</v>
      </c>
      <c r="F969" s="10" t="s">
        <v>5228</v>
      </c>
      <c r="G969" s="4" t="s">
        <v>1183</v>
      </c>
      <c r="H969" s="7" t="s">
        <v>1184</v>
      </c>
      <c r="I969" s="4" t="s">
        <v>1185</v>
      </c>
      <c r="J969" s="10" t="s">
        <v>4443</v>
      </c>
      <c r="K969" s="4" t="s">
        <v>5930</v>
      </c>
      <c r="L969" s="4" t="s">
        <v>1186</v>
      </c>
      <c r="M969" s="10">
        <v>3</v>
      </c>
      <c r="N969" s="95">
        <v>665.01900000000001</v>
      </c>
      <c r="O969" s="37" t="str">
        <f>HYPERLINK("http://ms.phosphosite.org:5080/cgi-bin/plot-msms.cgi?MassType=1&amp;NumAxis=1&amp;Mod11=147&amp;Mod14=170&amp;Pep=DKPVPLPAPEMTVKQER&amp;Dta=/var/www/html/dta/S01/10558.5414.3.dta&amp;Global_Mod=CS57.0215", "5414")</f>
        <v>5414</v>
      </c>
      <c r="P969" s="38" t="s">
        <v>4854</v>
      </c>
      <c r="Q969" s="37" t="str">
        <f>HYPERLINK("http://ms.phosphosite.org:5080/cgi-bin/plot-msms.cgi?MassType=1&amp;NumAxis=1&amp;Mod11=147&amp;Mod14=170&amp;Pep=DKPVPLPAPEMTVKQER&amp;Dta=/var/www/html/dta/S01/10560.5429.3.dta&amp;Global_Mod=CS57.0215", "5429")</f>
        <v>5429</v>
      </c>
      <c r="R969" s="37" t="str">
        <f>HYPERLINK("http://ms.phosphosite.org:5080/cgi-bin/plot-msms.cgi?MassType=1&amp;NumAxis=1&amp;Mod11=147&amp;Mod14=170&amp;Pep=DKPVPLPAPEMTVKQER&amp;Dta=/var/www/html/dta/S01/10561.5479.3.dta&amp;Global_Mod=CS57.0215", "5479")</f>
        <v>5479</v>
      </c>
      <c r="S969" s="37" t="str">
        <f>HYPERLINK("http://ms.phosphosite.org:5080/cgi-bin/plot-msms.cgi?MassType=1&amp;NumAxis=1&amp;Mod11=147&amp;Mod14=170&amp;Pep=DKPVPLPAPEMTVKQER&amp;Dta=/var/www/html/dta/S01/10562.5520.3.dta&amp;Global_Mod=CS57.0215", "5520")</f>
        <v>5520</v>
      </c>
      <c r="T969" s="37" t="str">
        <f>HYPERLINK("http://ms.phosphosite.org:5080/cgi-bin/plot-msms.cgi?MassType=1&amp;NumAxis=1&amp;Mod11=147&amp;Mod14=170&amp;Pep=DKPVPLPAPEMTVKQER&amp;Dta=/var/www/html/dta/S01/10563.5450.3.dta&amp;Global_Mod=CS57.0215", "5450")</f>
        <v>5450</v>
      </c>
      <c r="U969" s="37" t="str">
        <f>HYPERLINK("http://ms.phosphosite.org:5080/cgi-bin/plot-msms.cgi?MassType=1&amp;NumAxis=1&amp;Mod11=147&amp;Mod14=170&amp;Pep=DKPVPLPAPEMTVKQER&amp;Dta=/var/www/html/dta/S01/10564.5757.3.dta&amp;Global_Mod=CS57.0215", "5757")</f>
        <v>5757</v>
      </c>
      <c r="V969" s="38" t="s">
        <v>4854</v>
      </c>
      <c r="W969" s="10">
        <v>5448</v>
      </c>
      <c r="X969" s="4" t="s">
        <v>4854</v>
      </c>
      <c r="Y969" s="10">
        <v>5398</v>
      </c>
      <c r="Z969" s="10">
        <v>5425</v>
      </c>
      <c r="AA969" s="10">
        <v>5523</v>
      </c>
      <c r="AB969" s="10">
        <v>5485</v>
      </c>
      <c r="AC969" s="10">
        <v>5737</v>
      </c>
      <c r="AD969" s="4" t="s">
        <v>4854</v>
      </c>
      <c r="AE969" s="91">
        <v>4.2359999999999998</v>
      </c>
      <c r="AF969" s="100" t="s">
        <v>4854</v>
      </c>
      <c r="AG969" s="91">
        <v>3.6970000000000001</v>
      </c>
      <c r="AH969" s="91">
        <v>3.2149999999999999</v>
      </c>
      <c r="AI969" s="91">
        <v>2.7490000000000001</v>
      </c>
      <c r="AJ969" s="91">
        <v>4.0759999999999996</v>
      </c>
      <c r="AK969" s="91">
        <v>4.351</v>
      </c>
      <c r="AL969" s="100" t="s">
        <v>4854</v>
      </c>
      <c r="AM969" s="95">
        <v>-7.7899999999999997E-2</v>
      </c>
      <c r="AN969" s="103" t="s">
        <v>4854</v>
      </c>
      <c r="AO969" s="95">
        <v>0.64610000000000001</v>
      </c>
      <c r="AP969" s="95">
        <v>0.2903</v>
      </c>
      <c r="AQ969" s="95">
        <v>0.32250000000000001</v>
      </c>
      <c r="AR969" s="95">
        <v>0.66010000000000002</v>
      </c>
      <c r="AS969" s="95">
        <v>-0.1321</v>
      </c>
      <c r="AT969" s="103" t="s">
        <v>4854</v>
      </c>
      <c r="AU969" s="95">
        <v>0.42299999999999999</v>
      </c>
      <c r="AV969" s="103" t="s">
        <v>4854</v>
      </c>
      <c r="AW969" s="95">
        <v>0.41599999999999998</v>
      </c>
      <c r="AX969" s="95">
        <v>0.26700000000000002</v>
      </c>
      <c r="AY969" s="95">
        <v>0.30499999999999999</v>
      </c>
      <c r="AZ969" s="95">
        <v>0.376</v>
      </c>
      <c r="BA969" s="95">
        <v>0.43099999999999999</v>
      </c>
      <c r="BB969" s="103" t="s">
        <v>4854</v>
      </c>
      <c r="BC969" s="10">
        <v>2</v>
      </c>
      <c r="BD969" s="4" t="s">
        <v>4854</v>
      </c>
      <c r="BE969" s="10">
        <v>2</v>
      </c>
      <c r="BF969" s="10">
        <v>1</v>
      </c>
      <c r="BG969" s="10">
        <v>18</v>
      </c>
      <c r="BH969" s="10">
        <v>78</v>
      </c>
      <c r="BI969" s="10">
        <v>1</v>
      </c>
      <c r="BJ969" s="4" t="s">
        <v>4854</v>
      </c>
      <c r="BK969" s="91">
        <v>1</v>
      </c>
      <c r="BL969" s="100" t="s">
        <v>4854</v>
      </c>
      <c r="BM969" s="91">
        <v>1</v>
      </c>
      <c r="BN969" s="91">
        <v>1</v>
      </c>
      <c r="BO969" s="91">
        <v>0.999</v>
      </c>
      <c r="BP969" s="91">
        <v>1</v>
      </c>
      <c r="BQ969" s="91">
        <v>1</v>
      </c>
      <c r="BR969" s="100" t="s">
        <v>4854</v>
      </c>
      <c r="BS969" s="10" t="s">
        <v>4857</v>
      </c>
    </row>
    <row r="970" spans="1:71" s="30" customFormat="1" ht="17.100000000000001" customHeight="1">
      <c r="A970" s="14">
        <v>959</v>
      </c>
      <c r="B970" s="5" t="s">
        <v>1187</v>
      </c>
      <c r="C970" s="3" t="s">
        <v>1279</v>
      </c>
      <c r="D970" s="3" t="s">
        <v>1188</v>
      </c>
      <c r="E970" s="6" t="s">
        <v>1189</v>
      </c>
      <c r="F970" s="5" t="s">
        <v>4464</v>
      </c>
      <c r="G970" s="3" t="s">
        <v>1190</v>
      </c>
      <c r="H970" s="6" t="s">
        <v>1191</v>
      </c>
      <c r="I970" s="3" t="s">
        <v>1192</v>
      </c>
      <c r="J970" s="5" t="s">
        <v>4765</v>
      </c>
      <c r="K970" s="3" t="s">
        <v>5931</v>
      </c>
      <c r="L970" s="3" t="s">
        <v>1193</v>
      </c>
      <c r="M970" s="5">
        <v>3</v>
      </c>
      <c r="N970" s="21">
        <v>486.57080000000002</v>
      </c>
      <c r="O970" s="36" t="str">
        <f>HYPERLINK("http://ms.phosphosite.org:5080/cgi-bin/plot-msms.cgi?MassType=1&amp;NumAxis=1&amp;Mod12=170&amp;Pep=TAHETDKSEGGKR&amp;Dta=/var/www/html/dta/S01/10558.634.3.dta&amp;Global_Mod=CS57.0215", "634")</f>
        <v>634</v>
      </c>
      <c r="P970" s="35" t="s">
        <v>4854</v>
      </c>
      <c r="Q970" s="36" t="str">
        <f>HYPERLINK("http://ms.phosphosite.org:5080/cgi-bin/plot-msms.cgi?MassType=1&amp;NumAxis=1&amp;Mod12=170&amp;Pep=TAHETDKSEGGKR&amp;Dta=/var/www/html/dta/S01/10560.607.3.dta&amp;Global_Mod=CS57.0215", "607")</f>
        <v>607</v>
      </c>
      <c r="R970" s="35" t="s">
        <v>4854</v>
      </c>
      <c r="S970" s="35" t="s">
        <v>4854</v>
      </c>
      <c r="T970" s="35" t="s">
        <v>4854</v>
      </c>
      <c r="U970" s="35" t="s">
        <v>4854</v>
      </c>
      <c r="V970" s="35" t="s">
        <v>4854</v>
      </c>
      <c r="W970" s="5">
        <v>642</v>
      </c>
      <c r="X970" s="3" t="s">
        <v>4854</v>
      </c>
      <c r="Y970" s="3" t="s">
        <v>4854</v>
      </c>
      <c r="Z970" s="3" t="s">
        <v>4854</v>
      </c>
      <c r="AA970" s="3" t="s">
        <v>4854</v>
      </c>
      <c r="AB970" s="3" t="s">
        <v>4854</v>
      </c>
      <c r="AC970" s="3" t="s">
        <v>4854</v>
      </c>
      <c r="AD970" s="3" t="s">
        <v>4854</v>
      </c>
      <c r="AE970" s="90">
        <v>1.881</v>
      </c>
      <c r="AF970" s="99" t="s">
        <v>4854</v>
      </c>
      <c r="AG970" s="90">
        <v>1.8120000000000001</v>
      </c>
      <c r="AH970" s="99" t="s">
        <v>4854</v>
      </c>
      <c r="AI970" s="99" t="s">
        <v>4854</v>
      </c>
      <c r="AJ970" s="99" t="s">
        <v>4854</v>
      </c>
      <c r="AK970" s="99" t="s">
        <v>4854</v>
      </c>
      <c r="AL970" s="99" t="s">
        <v>4854</v>
      </c>
      <c r="AM970" s="21">
        <v>-0.88470000000000004</v>
      </c>
      <c r="AN970" s="102" t="s">
        <v>4854</v>
      </c>
      <c r="AO970" s="21">
        <v>-0.46139999999999998</v>
      </c>
      <c r="AP970" s="102" t="s">
        <v>4854</v>
      </c>
      <c r="AQ970" s="102" t="s">
        <v>4854</v>
      </c>
      <c r="AR970" s="102" t="s">
        <v>4854</v>
      </c>
      <c r="AS970" s="102" t="s">
        <v>4854</v>
      </c>
      <c r="AT970" s="102" t="s">
        <v>4854</v>
      </c>
      <c r="AU970" s="21">
        <v>0.155</v>
      </c>
      <c r="AV970" s="102" t="s">
        <v>4854</v>
      </c>
      <c r="AW970" s="21">
        <v>9.8000000000000004E-2</v>
      </c>
      <c r="AX970" s="102" t="s">
        <v>4854</v>
      </c>
      <c r="AY970" s="102" t="s">
        <v>4854</v>
      </c>
      <c r="AZ970" s="102" t="s">
        <v>4854</v>
      </c>
      <c r="BA970" s="102" t="s">
        <v>4854</v>
      </c>
      <c r="BB970" s="102" t="s">
        <v>4854</v>
      </c>
      <c r="BC970" s="5">
        <v>2</v>
      </c>
      <c r="BD970" s="3" t="s">
        <v>4854</v>
      </c>
      <c r="BE970" s="5">
        <v>8</v>
      </c>
      <c r="BF970" s="3" t="s">
        <v>4854</v>
      </c>
      <c r="BG970" s="3" t="s">
        <v>4854</v>
      </c>
      <c r="BH970" s="3" t="s">
        <v>4854</v>
      </c>
      <c r="BI970" s="3" t="s">
        <v>4854</v>
      </c>
      <c r="BJ970" s="3" t="s">
        <v>4854</v>
      </c>
      <c r="BK970" s="90">
        <v>0.96599999999999997</v>
      </c>
      <c r="BL970" s="99" t="s">
        <v>4854</v>
      </c>
      <c r="BM970" s="90">
        <v>0.88200000000000001</v>
      </c>
      <c r="BN970" s="99" t="s">
        <v>4854</v>
      </c>
      <c r="BO970" s="99" t="s">
        <v>4854</v>
      </c>
      <c r="BP970" s="99" t="s">
        <v>4854</v>
      </c>
      <c r="BQ970" s="99" t="s">
        <v>4854</v>
      </c>
      <c r="BR970" s="99" t="s">
        <v>4854</v>
      </c>
      <c r="BS970" s="5" t="s">
        <v>4857</v>
      </c>
    </row>
    <row r="971" spans="1:71" s="30" customFormat="1" ht="17.100000000000001" customHeight="1">
      <c r="A971" s="10">
        <v>960</v>
      </c>
      <c r="B971" s="10" t="s">
        <v>1194</v>
      </c>
      <c r="C971" s="4" t="s">
        <v>1279</v>
      </c>
      <c r="D971" s="4" t="s">
        <v>1195</v>
      </c>
      <c r="E971" s="4" t="s">
        <v>1196</v>
      </c>
      <c r="F971" s="10" t="s">
        <v>5092</v>
      </c>
      <c r="G971" s="4" t="s">
        <v>1197</v>
      </c>
      <c r="H971" s="7" t="s">
        <v>1198</v>
      </c>
      <c r="I971" s="4" t="s">
        <v>1199</v>
      </c>
      <c r="J971" s="10" t="s">
        <v>4685</v>
      </c>
      <c r="K971" s="4" t="s">
        <v>5932</v>
      </c>
      <c r="L971" s="4" t="s">
        <v>1200</v>
      </c>
      <c r="M971" s="10">
        <v>2</v>
      </c>
      <c r="N971" s="95">
        <v>568.2944</v>
      </c>
      <c r="O971" s="37" t="str">
        <f>HYPERLINK("http://ms.phosphosite.org:5080/cgi-bin/plot-msms.cgi?MassType=1&amp;NumAxis=1&amp;Mod5=160&amp;Mod6=170&amp;Pep=YVVACKEPK&amp;Dta=/var/www/html/dta/S01/10558.3347.2.dta&amp;Global_Mod=CS57.0215", "3347")</f>
        <v>3347</v>
      </c>
      <c r="P971" s="38" t="s">
        <v>4854</v>
      </c>
      <c r="Q971" s="38" t="s">
        <v>4854</v>
      </c>
      <c r="R971" s="37" t="str">
        <f>HYPERLINK("http://ms.phosphosite.org:5080/cgi-bin/plot-msms.cgi?MassType=1&amp;NumAxis=1&amp;Mod5=160&amp;Mod6=170&amp;Pep=YVVACKEPK&amp;Dta=/var/www/html/dta/S01/10561.3300.2.dta&amp;Global_Mod=CS57.0215", "3300")</f>
        <v>3300</v>
      </c>
      <c r="S971" s="38" t="s">
        <v>4854</v>
      </c>
      <c r="T971" s="38" t="s">
        <v>4854</v>
      </c>
      <c r="U971" s="37" t="str">
        <f>HYPERLINK("http://ms.phosphosite.org:5080/cgi-bin/plot-msms.cgi?MassType=1&amp;NumAxis=1&amp;Mod5=160&amp;Mod6=170&amp;Pep=YVVACKEPK&amp;Dta=/var/www/html/dta/S01/10564.3648.2.dta&amp;Global_Mod=CS57.0215", "3648")</f>
        <v>3648</v>
      </c>
      <c r="V971" s="37" t="str">
        <f>HYPERLINK("http://ms.phosphosite.org:5080/cgi-bin/plot-msms.cgi?MassType=1&amp;NumAxis=1&amp;Mod5=160&amp;Mod6=170&amp;Pep=YVVACKEPK&amp;Dta=/var/www/html/dta/S01/10565.3713.2.dta&amp;Global_Mod=CS57.0215", "3713")</f>
        <v>3713</v>
      </c>
      <c r="W971" s="10">
        <v>3349</v>
      </c>
      <c r="X971" s="4" t="s">
        <v>4854</v>
      </c>
      <c r="Y971" s="4" t="s">
        <v>4854</v>
      </c>
      <c r="Z971" s="10">
        <v>3306</v>
      </c>
      <c r="AA971" s="4" t="s">
        <v>4854</v>
      </c>
      <c r="AB971" s="4" t="s">
        <v>4854</v>
      </c>
      <c r="AC971" s="10">
        <v>3660</v>
      </c>
      <c r="AD971" s="10">
        <v>3707</v>
      </c>
      <c r="AE971" s="91">
        <v>2.129</v>
      </c>
      <c r="AF971" s="100" t="s">
        <v>4854</v>
      </c>
      <c r="AG971" s="100" t="s">
        <v>4854</v>
      </c>
      <c r="AH971" s="91">
        <v>2.0640000000000001</v>
      </c>
      <c r="AI971" s="100" t="s">
        <v>4854</v>
      </c>
      <c r="AJ971" s="100" t="s">
        <v>4854</v>
      </c>
      <c r="AK971" s="91">
        <v>2.2989999999999999</v>
      </c>
      <c r="AL971" s="91">
        <v>2.2229999999999999</v>
      </c>
      <c r="AM971" s="95">
        <v>1.2644</v>
      </c>
      <c r="AN971" s="103" t="s">
        <v>4854</v>
      </c>
      <c r="AO971" s="103" t="s">
        <v>4854</v>
      </c>
      <c r="AP971" s="95">
        <v>0.21740000000000001</v>
      </c>
      <c r="AQ971" s="103" t="s">
        <v>4854</v>
      </c>
      <c r="AR971" s="103" t="s">
        <v>4854</v>
      </c>
      <c r="AS971" s="95">
        <v>0.57230000000000003</v>
      </c>
      <c r="AT971" s="95">
        <v>0.3019</v>
      </c>
      <c r="AU971" s="95">
        <v>0.26100000000000001</v>
      </c>
      <c r="AV971" s="103" t="s">
        <v>4854</v>
      </c>
      <c r="AW971" s="103" t="s">
        <v>4854</v>
      </c>
      <c r="AX971" s="95">
        <v>6.2E-2</v>
      </c>
      <c r="AY971" s="103" t="s">
        <v>4854</v>
      </c>
      <c r="AZ971" s="103" t="s">
        <v>4854</v>
      </c>
      <c r="BA971" s="95">
        <v>0.309</v>
      </c>
      <c r="BB971" s="95">
        <v>0.17399999999999999</v>
      </c>
      <c r="BC971" s="10">
        <v>1</v>
      </c>
      <c r="BD971" s="4" t="s">
        <v>4854</v>
      </c>
      <c r="BE971" s="4" t="s">
        <v>4854</v>
      </c>
      <c r="BF971" s="10">
        <v>5</v>
      </c>
      <c r="BG971" s="4" t="s">
        <v>4854</v>
      </c>
      <c r="BH971" s="4" t="s">
        <v>4854</v>
      </c>
      <c r="BI971" s="10">
        <v>1</v>
      </c>
      <c r="BJ971" s="10">
        <v>1</v>
      </c>
      <c r="BK971" s="91">
        <v>0.998</v>
      </c>
      <c r="BL971" s="100" t="s">
        <v>4854</v>
      </c>
      <c r="BM971" s="100" t="s">
        <v>4854</v>
      </c>
      <c r="BN971" s="91">
        <v>0.96199999999999997</v>
      </c>
      <c r="BO971" s="100" t="s">
        <v>4854</v>
      </c>
      <c r="BP971" s="100" t="s">
        <v>4854</v>
      </c>
      <c r="BQ971" s="91">
        <v>0.999</v>
      </c>
      <c r="BR971" s="91">
        <v>0.996</v>
      </c>
      <c r="BS971" s="10" t="s">
        <v>4857</v>
      </c>
    </row>
    <row r="972" spans="1:71" s="30" customFormat="1" ht="17.100000000000001" customHeight="1">
      <c r="A972" s="14">
        <v>961</v>
      </c>
      <c r="B972" s="5" t="s">
        <v>1201</v>
      </c>
      <c r="C972" s="3" t="s">
        <v>1279</v>
      </c>
      <c r="D972" s="3" t="s">
        <v>1202</v>
      </c>
      <c r="E972" s="6" t="s">
        <v>1203</v>
      </c>
      <c r="F972" s="5" t="s">
        <v>4510</v>
      </c>
      <c r="G972" s="3" t="s">
        <v>1204</v>
      </c>
      <c r="H972" s="6" t="s">
        <v>1205</v>
      </c>
      <c r="I972" s="3" t="s">
        <v>1206</v>
      </c>
      <c r="J972" s="5" t="s">
        <v>4593</v>
      </c>
      <c r="K972" s="3" t="s">
        <v>5933</v>
      </c>
      <c r="L972" s="3" t="s">
        <v>1207</v>
      </c>
      <c r="M972" s="5">
        <v>2</v>
      </c>
      <c r="N972" s="21">
        <v>565.30859999999996</v>
      </c>
      <c r="O972" s="35" t="s">
        <v>4854</v>
      </c>
      <c r="P972" s="35" t="s">
        <v>4854</v>
      </c>
      <c r="Q972" s="35" t="s">
        <v>4854</v>
      </c>
      <c r="R972" s="35" t="s">
        <v>4854</v>
      </c>
      <c r="S972" s="35" t="s">
        <v>4854</v>
      </c>
      <c r="T972" s="35" t="s">
        <v>4854</v>
      </c>
      <c r="U972" s="36" t="str">
        <f>HYPERLINK("http://ms.phosphosite.org:5080/cgi-bin/plot-msms.cgi?MassType=1&amp;NumAxis=1&amp;Mod5=170&amp;Pep=AVSSKPEEIK&amp;Dta=/var/www/html/dta/S01/10564.3359.2.dta&amp;Global_Mod=CS57.0215", "3359")</f>
        <v>3359</v>
      </c>
      <c r="V972" s="35" t="s">
        <v>4854</v>
      </c>
      <c r="W972" s="3" t="s">
        <v>4854</v>
      </c>
      <c r="X972" s="3" t="s">
        <v>4854</v>
      </c>
      <c r="Y972" s="3" t="s">
        <v>4854</v>
      </c>
      <c r="Z972" s="3" t="s">
        <v>4854</v>
      </c>
      <c r="AA972" s="3" t="s">
        <v>4854</v>
      </c>
      <c r="AB972" s="3" t="s">
        <v>4854</v>
      </c>
      <c r="AC972" s="5">
        <v>3363</v>
      </c>
      <c r="AD972" s="3" t="s">
        <v>4854</v>
      </c>
      <c r="AE972" s="99" t="s">
        <v>4854</v>
      </c>
      <c r="AF972" s="99" t="s">
        <v>4854</v>
      </c>
      <c r="AG972" s="99" t="s">
        <v>4854</v>
      </c>
      <c r="AH972" s="99" t="s">
        <v>4854</v>
      </c>
      <c r="AI972" s="99" t="s">
        <v>4854</v>
      </c>
      <c r="AJ972" s="99" t="s">
        <v>4854</v>
      </c>
      <c r="AK972" s="90">
        <v>1.665</v>
      </c>
      <c r="AL972" s="99" t="s">
        <v>4854</v>
      </c>
      <c r="AM972" s="102" t="s">
        <v>4854</v>
      </c>
      <c r="AN972" s="102" t="s">
        <v>4854</v>
      </c>
      <c r="AO972" s="102" t="s">
        <v>4854</v>
      </c>
      <c r="AP972" s="102" t="s">
        <v>4854</v>
      </c>
      <c r="AQ972" s="102" t="s">
        <v>4854</v>
      </c>
      <c r="AR972" s="102" t="s">
        <v>4854</v>
      </c>
      <c r="AS972" s="21">
        <v>-0.40670000000000001</v>
      </c>
      <c r="AT972" s="102" t="s">
        <v>4854</v>
      </c>
      <c r="AU972" s="102" t="s">
        <v>4854</v>
      </c>
      <c r="AV972" s="102" t="s">
        <v>4854</v>
      </c>
      <c r="AW972" s="102" t="s">
        <v>4854</v>
      </c>
      <c r="AX972" s="102" t="s">
        <v>4854</v>
      </c>
      <c r="AY972" s="102" t="s">
        <v>4854</v>
      </c>
      <c r="AZ972" s="102" t="s">
        <v>4854</v>
      </c>
      <c r="BA972" s="21">
        <v>9.7000000000000003E-2</v>
      </c>
      <c r="BB972" s="102" t="s">
        <v>4854</v>
      </c>
      <c r="BC972" s="3" t="s">
        <v>4854</v>
      </c>
      <c r="BD972" s="3" t="s">
        <v>4854</v>
      </c>
      <c r="BE972" s="3" t="s">
        <v>4854</v>
      </c>
      <c r="BF972" s="3" t="s">
        <v>4854</v>
      </c>
      <c r="BG972" s="3" t="s">
        <v>4854</v>
      </c>
      <c r="BH972" s="3" t="s">
        <v>4854</v>
      </c>
      <c r="BI972" s="5">
        <v>49</v>
      </c>
      <c r="BJ972" s="3" t="s">
        <v>4854</v>
      </c>
      <c r="BK972" s="99" t="s">
        <v>4854</v>
      </c>
      <c r="BL972" s="99" t="s">
        <v>4854</v>
      </c>
      <c r="BM972" s="99" t="s">
        <v>4854</v>
      </c>
      <c r="BN972" s="99" t="s">
        <v>4854</v>
      </c>
      <c r="BO972" s="99" t="s">
        <v>4854</v>
      </c>
      <c r="BP972" s="99" t="s">
        <v>4854</v>
      </c>
      <c r="BQ972" s="90">
        <v>0.96899999999999997</v>
      </c>
      <c r="BR972" s="99" t="s">
        <v>4854</v>
      </c>
      <c r="BS972" s="5" t="s">
        <v>4857</v>
      </c>
    </row>
    <row r="973" spans="1:71" s="30" customFormat="1" ht="17.100000000000001" customHeight="1">
      <c r="A973" s="10">
        <v>962</v>
      </c>
      <c r="B973" s="10" t="s">
        <v>1208</v>
      </c>
      <c r="C973" s="4" t="s">
        <v>1279</v>
      </c>
      <c r="D973" s="4" t="s">
        <v>1209</v>
      </c>
      <c r="E973" s="4" t="s">
        <v>1210</v>
      </c>
      <c r="F973" s="10" t="s">
        <v>5260</v>
      </c>
      <c r="G973" s="4" t="s">
        <v>1211</v>
      </c>
      <c r="H973" s="7" t="s">
        <v>1212</v>
      </c>
      <c r="I973" s="4" t="s">
        <v>1213</v>
      </c>
      <c r="J973" s="10" t="s">
        <v>1214</v>
      </c>
      <c r="K973" s="4" t="s">
        <v>5934</v>
      </c>
      <c r="L973" s="4" t="s">
        <v>1215</v>
      </c>
      <c r="M973" s="10">
        <v>3</v>
      </c>
      <c r="N973" s="95">
        <v>741.01739999999995</v>
      </c>
      <c r="O973" s="37" t="str">
        <f>HYPERLINK("http://ms.phosphosite.org:5080/cgi-bin/plot-msms.cgi?MassType=1&amp;NumAxis=1&amp;Mod6=170&amp;Mod11=160&amp;Mod18=147&amp;Pep=NALIHKSSVNCPFSSQDMK&amp;Dta=/var/www/html/dta/S01/10558.5765.3.dta&amp;Global_Mod=CS57.0215", "5765")</f>
        <v>5765</v>
      </c>
      <c r="P973" s="37" t="str">
        <f>HYPERLINK("http://ms.phosphosite.org:5080/cgi-bin/plot-msms.cgi?MassType=1&amp;NumAxis=1&amp;Mod6=170&amp;Mod11=160&amp;Mod18=147&amp;Pep=NALIHKSSVNCPFSSQDMK&amp;Dta=/var/www/html/dta/S01/10559.5730.3.dta&amp;Global_Mod=CS57.0215", "5730")</f>
        <v>5730</v>
      </c>
      <c r="Q973" s="38" t="s">
        <v>4854</v>
      </c>
      <c r="R973" s="38" t="s">
        <v>4854</v>
      </c>
      <c r="S973" s="38" t="s">
        <v>4854</v>
      </c>
      <c r="T973" s="38" t="s">
        <v>4854</v>
      </c>
      <c r="U973" s="38" t="s">
        <v>4854</v>
      </c>
      <c r="V973" s="38" t="s">
        <v>4854</v>
      </c>
      <c r="W973" s="10">
        <v>5789</v>
      </c>
      <c r="X973" s="10">
        <v>5722</v>
      </c>
      <c r="Y973" s="4" t="s">
        <v>4854</v>
      </c>
      <c r="Z973" s="4" t="s">
        <v>4854</v>
      </c>
      <c r="AA973" s="4" t="s">
        <v>4854</v>
      </c>
      <c r="AB973" s="4" t="s">
        <v>4854</v>
      </c>
      <c r="AC973" s="4" t="s">
        <v>4854</v>
      </c>
      <c r="AD973" s="4" t="s">
        <v>4854</v>
      </c>
      <c r="AE973" s="91">
        <v>4.1879999999999997</v>
      </c>
      <c r="AF973" s="91">
        <v>3.464</v>
      </c>
      <c r="AG973" s="100" t="s">
        <v>4854</v>
      </c>
      <c r="AH973" s="100" t="s">
        <v>4854</v>
      </c>
      <c r="AI973" s="100" t="s">
        <v>4854</v>
      </c>
      <c r="AJ973" s="100" t="s">
        <v>4854</v>
      </c>
      <c r="AK973" s="100" t="s">
        <v>4854</v>
      </c>
      <c r="AL973" s="100" t="s">
        <v>4854</v>
      </c>
      <c r="AM973" s="95">
        <v>0.82179999999999997</v>
      </c>
      <c r="AN973" s="95">
        <v>0.29820000000000002</v>
      </c>
      <c r="AO973" s="103" t="s">
        <v>4854</v>
      </c>
      <c r="AP973" s="103" t="s">
        <v>4854</v>
      </c>
      <c r="AQ973" s="103" t="s">
        <v>4854</v>
      </c>
      <c r="AR973" s="103" t="s">
        <v>4854</v>
      </c>
      <c r="AS973" s="103" t="s">
        <v>4854</v>
      </c>
      <c r="AT973" s="103" t="s">
        <v>4854</v>
      </c>
      <c r="AU973" s="95">
        <v>0.28699999999999998</v>
      </c>
      <c r="AV973" s="95">
        <v>0.27500000000000002</v>
      </c>
      <c r="AW973" s="103" t="s">
        <v>4854</v>
      </c>
      <c r="AX973" s="103" t="s">
        <v>4854</v>
      </c>
      <c r="AY973" s="103" t="s">
        <v>4854</v>
      </c>
      <c r="AZ973" s="103" t="s">
        <v>4854</v>
      </c>
      <c r="BA973" s="103" t="s">
        <v>4854</v>
      </c>
      <c r="BB973" s="103" t="s">
        <v>4854</v>
      </c>
      <c r="BC973" s="10">
        <v>1</v>
      </c>
      <c r="BD973" s="10">
        <v>1</v>
      </c>
      <c r="BE973" s="4" t="s">
        <v>4854</v>
      </c>
      <c r="BF973" s="4" t="s">
        <v>4854</v>
      </c>
      <c r="BG973" s="4" t="s">
        <v>4854</v>
      </c>
      <c r="BH973" s="4" t="s">
        <v>4854</v>
      </c>
      <c r="BI973" s="4" t="s">
        <v>4854</v>
      </c>
      <c r="BJ973" s="4" t="s">
        <v>4854</v>
      </c>
      <c r="BK973" s="91">
        <v>1</v>
      </c>
      <c r="BL973" s="91">
        <v>1</v>
      </c>
      <c r="BM973" s="100" t="s">
        <v>4854</v>
      </c>
      <c r="BN973" s="100" t="s">
        <v>4854</v>
      </c>
      <c r="BO973" s="100" t="s">
        <v>4854</v>
      </c>
      <c r="BP973" s="100" t="s">
        <v>4854</v>
      </c>
      <c r="BQ973" s="100" t="s">
        <v>4854</v>
      </c>
      <c r="BR973" s="100" t="s">
        <v>4854</v>
      </c>
      <c r="BS973" s="10" t="s">
        <v>4857</v>
      </c>
    </row>
    <row r="974" spans="1:71" s="30" customFormat="1" ht="17.100000000000001" customHeight="1">
      <c r="A974" s="14">
        <v>963</v>
      </c>
      <c r="B974" s="5" t="s">
        <v>1292</v>
      </c>
      <c r="C974" s="3" t="s">
        <v>1279</v>
      </c>
      <c r="D974" s="3" t="s">
        <v>1216</v>
      </c>
      <c r="E974" s="6" t="s">
        <v>1217</v>
      </c>
      <c r="F974" s="5" t="s">
        <v>5231</v>
      </c>
      <c r="G974" s="3" t="s">
        <v>1218</v>
      </c>
      <c r="H974" s="6" t="s">
        <v>1219</v>
      </c>
      <c r="I974" s="3" t="s">
        <v>1220</v>
      </c>
      <c r="J974" s="5" t="s">
        <v>4716</v>
      </c>
      <c r="K974" s="3" t="s">
        <v>5935</v>
      </c>
      <c r="L974" s="3" t="s">
        <v>1221</v>
      </c>
      <c r="M974" s="5">
        <v>2</v>
      </c>
      <c r="N974" s="21">
        <v>560.82169999999996</v>
      </c>
      <c r="O974" s="35" t="s">
        <v>4854</v>
      </c>
      <c r="P974" s="35" t="s">
        <v>4854</v>
      </c>
      <c r="Q974" s="35" t="s">
        <v>4854</v>
      </c>
      <c r="R974" s="35" t="s">
        <v>4854</v>
      </c>
      <c r="S974" s="35" t="s">
        <v>4854</v>
      </c>
      <c r="T974" s="35" t="s">
        <v>4854</v>
      </c>
      <c r="U974" s="35" t="s">
        <v>4854</v>
      </c>
      <c r="V974" s="36" t="str">
        <f>HYPERLINK("http://ms.phosphosite.org:5080/cgi-bin/plot-msms.cgi?MassType=1&amp;NumAxis=1&amp;Mod6=170&amp;Pep=NVIKEKYGK&amp;Dta=/var/www/html/dta/S01/10565.2730.2.dta&amp;Global_Mod=CS57.0215", "2730")</f>
        <v>2730</v>
      </c>
      <c r="W974" s="3" t="s">
        <v>4854</v>
      </c>
      <c r="X974" s="3" t="s">
        <v>4854</v>
      </c>
      <c r="Y974" s="3" t="s">
        <v>4854</v>
      </c>
      <c r="Z974" s="3" t="s">
        <v>4854</v>
      </c>
      <c r="AA974" s="3" t="s">
        <v>4854</v>
      </c>
      <c r="AB974" s="3" t="s">
        <v>4854</v>
      </c>
      <c r="AC974" s="3" t="s">
        <v>4854</v>
      </c>
      <c r="AD974" s="5">
        <v>2720</v>
      </c>
      <c r="AE974" s="99" t="s">
        <v>4854</v>
      </c>
      <c r="AF974" s="99" t="s">
        <v>4854</v>
      </c>
      <c r="AG974" s="99" t="s">
        <v>4854</v>
      </c>
      <c r="AH974" s="99" t="s">
        <v>4854</v>
      </c>
      <c r="AI974" s="99" t="s">
        <v>4854</v>
      </c>
      <c r="AJ974" s="99" t="s">
        <v>4854</v>
      </c>
      <c r="AK974" s="99" t="s">
        <v>4854</v>
      </c>
      <c r="AL974" s="90">
        <v>1.9430000000000001</v>
      </c>
      <c r="AM974" s="102" t="s">
        <v>4854</v>
      </c>
      <c r="AN974" s="102" t="s">
        <v>4854</v>
      </c>
      <c r="AO974" s="102" t="s">
        <v>4854</v>
      </c>
      <c r="AP974" s="102" t="s">
        <v>4854</v>
      </c>
      <c r="AQ974" s="102" t="s">
        <v>4854</v>
      </c>
      <c r="AR974" s="102" t="s">
        <v>4854</v>
      </c>
      <c r="AS974" s="102" t="s">
        <v>4854</v>
      </c>
      <c r="AT974" s="21">
        <v>1.5361</v>
      </c>
      <c r="AU974" s="102" t="s">
        <v>4854</v>
      </c>
      <c r="AV974" s="102" t="s">
        <v>4854</v>
      </c>
      <c r="AW974" s="102" t="s">
        <v>4854</v>
      </c>
      <c r="AX974" s="102" t="s">
        <v>4854</v>
      </c>
      <c r="AY974" s="102" t="s">
        <v>4854</v>
      </c>
      <c r="AZ974" s="102" t="s">
        <v>4854</v>
      </c>
      <c r="BA974" s="102" t="s">
        <v>4854</v>
      </c>
      <c r="BB974" s="21">
        <v>0.111</v>
      </c>
      <c r="BC974" s="3" t="s">
        <v>4854</v>
      </c>
      <c r="BD974" s="3" t="s">
        <v>4854</v>
      </c>
      <c r="BE974" s="3" t="s">
        <v>4854</v>
      </c>
      <c r="BF974" s="3" t="s">
        <v>4854</v>
      </c>
      <c r="BG974" s="3" t="s">
        <v>4854</v>
      </c>
      <c r="BH974" s="3" t="s">
        <v>4854</v>
      </c>
      <c r="BI974" s="3" t="s">
        <v>4854</v>
      </c>
      <c r="BJ974" s="5">
        <v>4</v>
      </c>
      <c r="BK974" s="99" t="s">
        <v>4854</v>
      </c>
      <c r="BL974" s="99" t="s">
        <v>4854</v>
      </c>
      <c r="BM974" s="99" t="s">
        <v>4854</v>
      </c>
      <c r="BN974" s="99" t="s">
        <v>4854</v>
      </c>
      <c r="BO974" s="99" t="s">
        <v>4854</v>
      </c>
      <c r="BP974" s="99" t="s">
        <v>4854</v>
      </c>
      <c r="BQ974" s="99" t="s">
        <v>4854</v>
      </c>
      <c r="BR974" s="90">
        <v>0.97299999999999998</v>
      </c>
      <c r="BS974" s="5" t="s">
        <v>4857</v>
      </c>
    </row>
    <row r="975" spans="1:71" s="30" customFormat="1" ht="17.100000000000001" customHeight="1">
      <c r="A975" s="10">
        <v>964</v>
      </c>
      <c r="B975" s="10" t="s">
        <v>1222</v>
      </c>
      <c r="C975" s="4" t="s">
        <v>1279</v>
      </c>
      <c r="D975" s="4" t="s">
        <v>1216</v>
      </c>
      <c r="E975" s="7" t="s">
        <v>1217</v>
      </c>
      <c r="F975" s="10" t="s">
        <v>5150</v>
      </c>
      <c r="G975" s="4" t="s">
        <v>1218</v>
      </c>
      <c r="H975" s="7" t="s">
        <v>1219</v>
      </c>
      <c r="I975" s="4" t="s">
        <v>1220</v>
      </c>
      <c r="J975" s="10" t="s">
        <v>4716</v>
      </c>
      <c r="K975" s="4" t="s">
        <v>5936</v>
      </c>
      <c r="L975" s="4" t="s">
        <v>1223</v>
      </c>
      <c r="M975" s="10">
        <v>3</v>
      </c>
      <c r="N975" s="95">
        <v>784.37649999999996</v>
      </c>
      <c r="O975" s="37" t="str">
        <f>HYPERLINK("http://ms.phosphosite.org:5080/cgi-bin/plot-msms.cgi?MassType=1&amp;NumAxis=1&amp;Mod3=170&amp;Pep=YGKDATNVGDEGGFAPNILENK&amp;Dta=/var/www/html/dta/S01/10558.9302.3.dta&amp;Global_Mod=CS57.0215", "9302")</f>
        <v>9302</v>
      </c>
      <c r="P975" s="38" t="s">
        <v>4854</v>
      </c>
      <c r="Q975" s="38" t="s">
        <v>4854</v>
      </c>
      <c r="R975" s="37" t="str">
        <f>HYPERLINK("http://ms.phosphosite.org:5080/cgi-bin/plot-msms.cgi?MassType=1&amp;NumAxis=1&amp;Mod3=170&amp;Pep=YGKDATNVGDEGGFAPNILENK&amp;Dta=/var/www/html/dta/S01/10561.9311.3.dta&amp;Global_Mod=CS57.0215", "9311")</f>
        <v>9311</v>
      </c>
      <c r="S975" s="37" t="str">
        <f>HYPERLINK("http://ms.phosphosite.org:5080/cgi-bin/plot-msms.cgi?MassType=1&amp;NumAxis=1&amp;Mod3=170&amp;Pep=YGKDATNVGDEGGFAPNILENK&amp;Dta=/var/www/html/dta/S01/10562.9442.3.dta&amp;Global_Mod=CS57.0215", "9442")</f>
        <v>9442</v>
      </c>
      <c r="T975" s="38" t="s">
        <v>4854</v>
      </c>
      <c r="U975" s="38" t="s">
        <v>4854</v>
      </c>
      <c r="V975" s="38" t="s">
        <v>4854</v>
      </c>
      <c r="W975" s="10">
        <v>9305</v>
      </c>
      <c r="X975" s="4" t="s">
        <v>4854</v>
      </c>
      <c r="Y975" s="4" t="s">
        <v>4854</v>
      </c>
      <c r="Z975" s="10">
        <v>9297</v>
      </c>
      <c r="AA975" s="10">
        <v>9436</v>
      </c>
      <c r="AB975" s="4" t="s">
        <v>4854</v>
      </c>
      <c r="AC975" s="4" t="s">
        <v>4854</v>
      </c>
      <c r="AD975" s="4" t="s">
        <v>4854</v>
      </c>
      <c r="AE975" s="91">
        <v>4.6289999999999996</v>
      </c>
      <c r="AF975" s="100" t="s">
        <v>4854</v>
      </c>
      <c r="AG975" s="100" t="s">
        <v>4854</v>
      </c>
      <c r="AH975" s="91">
        <v>4.0739999999999998</v>
      </c>
      <c r="AI975" s="91">
        <v>3.9020000000000001</v>
      </c>
      <c r="AJ975" s="100" t="s">
        <v>4854</v>
      </c>
      <c r="AK975" s="100" t="s">
        <v>4854</v>
      </c>
      <c r="AL975" s="100" t="s">
        <v>4854</v>
      </c>
      <c r="AM975" s="95">
        <v>1.0992</v>
      </c>
      <c r="AN975" s="103" t="s">
        <v>4854</v>
      </c>
      <c r="AO975" s="103" t="s">
        <v>4854</v>
      </c>
      <c r="AP975" s="95">
        <v>0.66069999999999995</v>
      </c>
      <c r="AQ975" s="95">
        <v>0.73860000000000003</v>
      </c>
      <c r="AR975" s="103" t="s">
        <v>4854</v>
      </c>
      <c r="AS975" s="103" t="s">
        <v>4854</v>
      </c>
      <c r="AT975" s="103" t="s">
        <v>4854</v>
      </c>
      <c r="AU975" s="95">
        <v>0.34</v>
      </c>
      <c r="AV975" s="103" t="s">
        <v>4854</v>
      </c>
      <c r="AW975" s="103" t="s">
        <v>4854</v>
      </c>
      <c r="AX975" s="95">
        <v>0.22700000000000001</v>
      </c>
      <c r="AY975" s="95">
        <v>0.21099999999999999</v>
      </c>
      <c r="AZ975" s="103" t="s">
        <v>4854</v>
      </c>
      <c r="BA975" s="103" t="s">
        <v>4854</v>
      </c>
      <c r="BB975" s="103" t="s">
        <v>4854</v>
      </c>
      <c r="BC975" s="10">
        <v>1</v>
      </c>
      <c r="BD975" s="4" t="s">
        <v>4854</v>
      </c>
      <c r="BE975" s="4" t="s">
        <v>4854</v>
      </c>
      <c r="BF975" s="10">
        <v>1</v>
      </c>
      <c r="BG975" s="10">
        <v>1</v>
      </c>
      <c r="BH975" s="4" t="s">
        <v>4854</v>
      </c>
      <c r="BI975" s="4" t="s">
        <v>4854</v>
      </c>
      <c r="BJ975" s="4" t="s">
        <v>4854</v>
      </c>
      <c r="BK975" s="91">
        <v>1</v>
      </c>
      <c r="BL975" s="100" t="s">
        <v>4854</v>
      </c>
      <c r="BM975" s="100" t="s">
        <v>4854</v>
      </c>
      <c r="BN975" s="91">
        <v>1</v>
      </c>
      <c r="BO975" s="91">
        <v>0.999</v>
      </c>
      <c r="BP975" s="100" t="s">
        <v>4854</v>
      </c>
      <c r="BQ975" s="100" t="s">
        <v>4854</v>
      </c>
      <c r="BR975" s="100" t="s">
        <v>4854</v>
      </c>
      <c r="BS975" s="10" t="s">
        <v>4857</v>
      </c>
    </row>
    <row r="976" spans="1:71" s="30" customFormat="1" ht="17.100000000000001" customHeight="1">
      <c r="A976" s="14">
        <v>965</v>
      </c>
      <c r="B976" s="5" t="s">
        <v>1224</v>
      </c>
      <c r="C976" s="3" t="s">
        <v>1279</v>
      </c>
      <c r="D976" s="3" t="s">
        <v>1216</v>
      </c>
      <c r="E976" s="6" t="s">
        <v>1217</v>
      </c>
      <c r="F976" s="5" t="s">
        <v>5202</v>
      </c>
      <c r="G976" s="3" t="s">
        <v>1218</v>
      </c>
      <c r="H976" s="6" t="s">
        <v>1219</v>
      </c>
      <c r="I976" s="3" t="s">
        <v>1220</v>
      </c>
      <c r="J976" s="5" t="s">
        <v>4716</v>
      </c>
      <c r="K976" s="3" t="s">
        <v>5937</v>
      </c>
      <c r="L976" s="3" t="s">
        <v>1095</v>
      </c>
      <c r="M976" s="5">
        <v>2</v>
      </c>
      <c r="N976" s="21">
        <v>580.84289999999999</v>
      </c>
      <c r="O976" s="36" t="str">
        <f>HYPERLINK("http://ms.phosphosite.org:5080/cgi-bin/plot-msms.cgi?MassType=1&amp;NumAxis=1&amp;Mod3=170&amp;Pep=LAKYNQILR&amp;Dta=/var/www/html/dta/S01/10558.6649.2.dta&amp;Global_Mod=CS57.0215", "6649")</f>
        <v>6649</v>
      </c>
      <c r="P976" s="35" t="s">
        <v>4854</v>
      </c>
      <c r="Q976" s="35" t="s">
        <v>4854</v>
      </c>
      <c r="R976" s="36" t="str">
        <f>HYPERLINK("http://ms.phosphosite.org:5080/cgi-bin/plot-msms.cgi?MassType=1&amp;NumAxis=1&amp;Mod3=170&amp;Pep=LAKYNQILR&amp;Dta=/var/www/html/dta/S01/10561.6633.2.dta&amp;Global_Mod=CS57.0215", "6633")</f>
        <v>6633</v>
      </c>
      <c r="S976" s="35" t="s">
        <v>4854</v>
      </c>
      <c r="T976" s="36" t="str">
        <f>HYPERLINK("http://ms.phosphosite.org:5080/cgi-bin/plot-msms.cgi?MassType=1&amp;NumAxis=1&amp;Mod3=170&amp;Pep=LAKYNQILR&amp;Dta=/var/www/html/dta/S01/10563.6700.2.dta&amp;Global_Mod=CS57.0215", "6700")</f>
        <v>6700</v>
      </c>
      <c r="U976" s="36" t="str">
        <f>HYPERLINK("http://ms.phosphosite.org:5080/cgi-bin/plot-msms.cgi?MassType=1&amp;NumAxis=1&amp;Mod3=170&amp;Pep=LAKYNQILR&amp;Dta=/var/www/html/dta/S01/10564.7060.2.dta&amp;Global_Mod=CS57.0215", "7060")</f>
        <v>7060</v>
      </c>
      <c r="V976" s="36" t="str">
        <f>HYPERLINK("http://ms.phosphosite.org:5080/cgi-bin/plot-msms.cgi?MassType=1&amp;NumAxis=1&amp;Mod3=170&amp;Pep=LAKYNQILR&amp;Dta=/var/www/html/dta/S01/10565.7135.2.dta&amp;Global_Mod=CS57.0215", "7135")</f>
        <v>7135</v>
      </c>
      <c r="W976" s="5">
        <v>6644</v>
      </c>
      <c r="X976" s="3" t="s">
        <v>4854</v>
      </c>
      <c r="Y976" s="3" t="s">
        <v>4854</v>
      </c>
      <c r="Z976" s="5">
        <v>6602</v>
      </c>
      <c r="AA976" s="3" t="s">
        <v>4854</v>
      </c>
      <c r="AB976" s="5">
        <v>6673</v>
      </c>
      <c r="AC976" s="5">
        <v>7057</v>
      </c>
      <c r="AD976" s="5">
        <v>7131</v>
      </c>
      <c r="AE976" s="90">
        <v>2.3180000000000001</v>
      </c>
      <c r="AF976" s="99" t="s">
        <v>4854</v>
      </c>
      <c r="AG976" s="99" t="s">
        <v>4854</v>
      </c>
      <c r="AH976" s="90">
        <v>2.5259999999999998</v>
      </c>
      <c r="AI976" s="99" t="s">
        <v>4854</v>
      </c>
      <c r="AJ976" s="90">
        <v>2.5059999999999998</v>
      </c>
      <c r="AK976" s="90">
        <v>2.5379999999999998</v>
      </c>
      <c r="AL976" s="90">
        <v>2.6480000000000001</v>
      </c>
      <c r="AM976" s="21">
        <v>1.6000000000000001E-3</v>
      </c>
      <c r="AN976" s="102" t="s">
        <v>4854</v>
      </c>
      <c r="AO976" s="102" t="s">
        <v>4854</v>
      </c>
      <c r="AP976" s="21">
        <v>0.48070000000000002</v>
      </c>
      <c r="AQ976" s="102" t="s">
        <v>4854</v>
      </c>
      <c r="AR976" s="21">
        <v>0.29199999999999998</v>
      </c>
      <c r="AS976" s="21">
        <v>0.62709999999999999</v>
      </c>
      <c r="AT976" s="21">
        <v>-0.187</v>
      </c>
      <c r="AU976" s="21">
        <v>8.8999999999999996E-2</v>
      </c>
      <c r="AV976" s="102" t="s">
        <v>4854</v>
      </c>
      <c r="AW976" s="102" t="s">
        <v>4854</v>
      </c>
      <c r="AX976" s="21">
        <v>6.8000000000000005E-2</v>
      </c>
      <c r="AY976" s="102" t="s">
        <v>4854</v>
      </c>
      <c r="AZ976" s="21">
        <v>0.15</v>
      </c>
      <c r="BA976" s="21">
        <v>0.14499999999999999</v>
      </c>
      <c r="BB976" s="21">
        <v>0.16400000000000001</v>
      </c>
      <c r="BC976" s="5">
        <v>1</v>
      </c>
      <c r="BD976" s="3" t="s">
        <v>4854</v>
      </c>
      <c r="BE976" s="3" t="s">
        <v>4854</v>
      </c>
      <c r="BF976" s="5">
        <v>1</v>
      </c>
      <c r="BG976" s="3" t="s">
        <v>4854</v>
      </c>
      <c r="BH976" s="5">
        <v>1</v>
      </c>
      <c r="BI976" s="5">
        <v>1</v>
      </c>
      <c r="BJ976" s="5">
        <v>1</v>
      </c>
      <c r="BK976" s="90">
        <v>0.99099999999999999</v>
      </c>
      <c r="BL976" s="99" t="s">
        <v>4854</v>
      </c>
      <c r="BM976" s="99" t="s">
        <v>4854</v>
      </c>
      <c r="BN976" s="90">
        <v>0.99299999999999999</v>
      </c>
      <c r="BO976" s="99" t="s">
        <v>4854</v>
      </c>
      <c r="BP976" s="90">
        <v>0.997</v>
      </c>
      <c r="BQ976" s="90">
        <v>0.997</v>
      </c>
      <c r="BR976" s="90">
        <v>0.998</v>
      </c>
      <c r="BS976" s="5" t="s">
        <v>4857</v>
      </c>
    </row>
    <row r="977" spans="1:71" s="30" customFormat="1" ht="17.100000000000001" customHeight="1">
      <c r="A977" s="10">
        <v>966</v>
      </c>
      <c r="B977" s="10" t="s">
        <v>1096</v>
      </c>
      <c r="C977" s="4" t="s">
        <v>1279</v>
      </c>
      <c r="D977" s="4" t="s">
        <v>1097</v>
      </c>
      <c r="E977" s="7" t="s">
        <v>1098</v>
      </c>
      <c r="F977" s="10" t="s">
        <v>5062</v>
      </c>
      <c r="G977" s="4" t="s">
        <v>1099</v>
      </c>
      <c r="H977" s="7" t="s">
        <v>1100</v>
      </c>
      <c r="I977" s="4" t="s">
        <v>1101</v>
      </c>
      <c r="J977" s="10" t="s">
        <v>4422</v>
      </c>
      <c r="K977" s="4" t="s">
        <v>5938</v>
      </c>
      <c r="L977" s="4" t="s">
        <v>1102</v>
      </c>
      <c r="M977" s="10">
        <v>4</v>
      </c>
      <c r="N977" s="95">
        <v>1002.7113000000001</v>
      </c>
      <c r="O977" s="38" t="s">
        <v>4854</v>
      </c>
      <c r="P977" s="38" t="s">
        <v>4854</v>
      </c>
      <c r="Q977" s="38" t="s">
        <v>4854</v>
      </c>
      <c r="R977" s="38" t="s">
        <v>4854</v>
      </c>
      <c r="S977" s="38" t="s">
        <v>4854</v>
      </c>
      <c r="T977" s="37" t="str">
        <f>HYPERLINK("http://ms.phosphosite.org:5080/cgi-bin/plot-msms.cgi?MassType=1&amp;NumAxis=1&amp;Mod6=147&amp;Mod20=147&amp;Mod35=170&amp;Pep=DVVFSMDQTESLFKPHLMAMNSIFDSSDDVAVTEK&amp;Dta=/var/www/html/dta/S01/10563.15036.4.dta&amp;Global_Mod=CS57.0215", "15036")</f>
        <v>15036</v>
      </c>
      <c r="U977" s="38" t="s">
        <v>4854</v>
      </c>
      <c r="V977" s="38" t="s">
        <v>4854</v>
      </c>
      <c r="W977" s="4" t="s">
        <v>4854</v>
      </c>
      <c r="X977" s="4" t="s">
        <v>4854</v>
      </c>
      <c r="Y977" s="4" t="s">
        <v>4854</v>
      </c>
      <c r="Z977" s="4" t="s">
        <v>4854</v>
      </c>
      <c r="AA977" s="4" t="s">
        <v>4854</v>
      </c>
      <c r="AB977" s="4" t="s">
        <v>4854</v>
      </c>
      <c r="AC977" s="4" t="s">
        <v>4854</v>
      </c>
      <c r="AD977" s="4" t="s">
        <v>4854</v>
      </c>
      <c r="AE977" s="100" t="s">
        <v>4854</v>
      </c>
      <c r="AF977" s="100" t="s">
        <v>4854</v>
      </c>
      <c r="AG977" s="100" t="s">
        <v>4854</v>
      </c>
      <c r="AH977" s="100" t="s">
        <v>4854</v>
      </c>
      <c r="AI977" s="100" t="s">
        <v>4854</v>
      </c>
      <c r="AJ977" s="91">
        <v>2.38</v>
      </c>
      <c r="AK977" s="100" t="s">
        <v>4854</v>
      </c>
      <c r="AL977" s="100" t="s">
        <v>4854</v>
      </c>
      <c r="AM977" s="103" t="s">
        <v>4854</v>
      </c>
      <c r="AN977" s="103" t="s">
        <v>4854</v>
      </c>
      <c r="AO977" s="103" t="s">
        <v>4854</v>
      </c>
      <c r="AP977" s="103" t="s">
        <v>4854</v>
      </c>
      <c r="AQ977" s="103" t="s">
        <v>4854</v>
      </c>
      <c r="AR977" s="95">
        <v>1.5045999999999999</v>
      </c>
      <c r="AS977" s="103" t="s">
        <v>4854</v>
      </c>
      <c r="AT977" s="103" t="s">
        <v>4854</v>
      </c>
      <c r="AU977" s="103" t="s">
        <v>4854</v>
      </c>
      <c r="AV977" s="103" t="s">
        <v>4854</v>
      </c>
      <c r="AW977" s="103" t="s">
        <v>4854</v>
      </c>
      <c r="AX977" s="103" t="s">
        <v>4854</v>
      </c>
      <c r="AY977" s="103" t="s">
        <v>4854</v>
      </c>
      <c r="AZ977" s="95">
        <v>0.112</v>
      </c>
      <c r="BA977" s="103" t="s">
        <v>4854</v>
      </c>
      <c r="BB977" s="103" t="s">
        <v>4854</v>
      </c>
      <c r="BC977" s="4" t="s">
        <v>4854</v>
      </c>
      <c r="BD977" s="4" t="s">
        <v>4854</v>
      </c>
      <c r="BE977" s="4" t="s">
        <v>4854</v>
      </c>
      <c r="BF977" s="4" t="s">
        <v>4854</v>
      </c>
      <c r="BG977" s="4" t="s">
        <v>4854</v>
      </c>
      <c r="BH977" s="10">
        <v>431</v>
      </c>
      <c r="BI977" s="4" t="s">
        <v>4854</v>
      </c>
      <c r="BJ977" s="4" t="s">
        <v>4854</v>
      </c>
      <c r="BK977" s="100" t="s">
        <v>4854</v>
      </c>
      <c r="BL977" s="100" t="s">
        <v>4854</v>
      </c>
      <c r="BM977" s="100" t="s">
        <v>4854</v>
      </c>
      <c r="BN977" s="100" t="s">
        <v>4854</v>
      </c>
      <c r="BO977" s="100" t="s">
        <v>4854</v>
      </c>
      <c r="BP977" s="91">
        <v>0.06</v>
      </c>
      <c r="BQ977" s="100" t="s">
        <v>4854</v>
      </c>
      <c r="BR977" s="100" t="s">
        <v>4854</v>
      </c>
      <c r="BS977" s="10" t="s">
        <v>4857</v>
      </c>
    </row>
    <row r="978" spans="1:71" s="30" customFormat="1" ht="17.100000000000001" customHeight="1">
      <c r="A978" s="14">
        <v>967</v>
      </c>
      <c r="B978" s="5" t="s">
        <v>1103</v>
      </c>
      <c r="C978" s="3" t="s">
        <v>1279</v>
      </c>
      <c r="D978" s="3" t="s">
        <v>1104</v>
      </c>
      <c r="E978" s="3" t="s">
        <v>1105</v>
      </c>
      <c r="F978" s="5" t="s">
        <v>5092</v>
      </c>
      <c r="G978" s="3" t="s">
        <v>1106</v>
      </c>
      <c r="H978" s="6" t="s">
        <v>1107</v>
      </c>
      <c r="I978" s="3" t="s">
        <v>1108</v>
      </c>
      <c r="J978" s="5" t="s">
        <v>3990</v>
      </c>
      <c r="K978" s="3" t="s">
        <v>5939</v>
      </c>
      <c r="L978" s="3" t="s">
        <v>1109</v>
      </c>
      <c r="M978" s="5">
        <v>2</v>
      </c>
      <c r="N978" s="21">
        <v>585.30110000000002</v>
      </c>
      <c r="O978" s="36" t="str">
        <f>HYPERLINK("http://ms.phosphosite.org:5080/cgi-bin/plot-msms.cgi?MassType=1&amp;NumAxis=1&amp;Mod6=170&amp;Pep=VATHEKEWK&amp;Dta=/var/www/html/dta/S01/10558.2278.2.dta&amp;Global_Mod=CS57.0215", "2278")</f>
        <v>2278</v>
      </c>
      <c r="P978" s="36" t="str">
        <f>HYPERLINK("http://ms.phosphosite.org:5080/cgi-bin/plot-msms.cgi?MassType=1&amp;NumAxis=1&amp;Mod6=170&amp;Pep=VATHEKEWK&amp;Dta=/var/www/html/dta/S01/10559.2219.2.dta&amp;Global_Mod=CS57.0215", "2219")</f>
        <v>2219</v>
      </c>
      <c r="Q978" s="36" t="str">
        <f>HYPERLINK("http://ms.phosphosite.org:5080/cgi-bin/plot-msms.cgi?MassType=1&amp;NumAxis=1&amp;Mod6=170&amp;Pep=VATHEKEWK&amp;Dta=/var/www/html/dta/S01/10560.2204.2.dta&amp;Global_Mod=CS57.0215", "2204")</f>
        <v>2204</v>
      </c>
      <c r="R978" s="36" t="str">
        <f>HYPERLINK("http://ms.phosphosite.org:5080/cgi-bin/plot-msms.cgi?MassType=1&amp;NumAxis=1&amp;Mod6=170&amp;Pep=VATHEKEWK&amp;Dta=/var/www/html/dta/S01/10561.2230.2.dta&amp;Global_Mod=CS57.0215", "2230")</f>
        <v>2230</v>
      </c>
      <c r="S978" s="36" t="str">
        <f>HYPERLINK("http://ms.phosphosite.org:5080/cgi-bin/plot-msms.cgi?MassType=1&amp;NumAxis=1&amp;Mod6=170&amp;Pep=VATHEKEWK&amp;Dta=/var/www/html/dta/S01/10562.2299.2.dta&amp;Global_Mod=CS57.0215", "2299")</f>
        <v>2299</v>
      </c>
      <c r="T978" s="36" t="str">
        <f>HYPERLINK("http://ms.phosphosite.org:5080/cgi-bin/plot-msms.cgi?MassType=1&amp;NumAxis=1&amp;Mod6=170&amp;Pep=VATHEKEWK&amp;Dta=/var/www/html/dta/S01/10563.2233.2.dta&amp;Global_Mod=CS57.0215", "2233")</f>
        <v>2233</v>
      </c>
      <c r="U978" s="36" t="str">
        <f>HYPERLINK("http://ms.phosphosite.org:5080/cgi-bin/plot-msms.cgi?MassType=1&amp;NumAxis=1&amp;Mod6=170&amp;Pep=VATHEKEWK&amp;Dta=/var/www/html/dta/S01/10564.2538.2.dta&amp;Global_Mod=CS57.0215", "2538")</f>
        <v>2538</v>
      </c>
      <c r="V978" s="36" t="str">
        <f>HYPERLINK("http://ms.phosphosite.org:5080/cgi-bin/plot-msms.cgi?MassType=1&amp;NumAxis=1&amp;Mod6=170&amp;Pep=VATHEKEWK&amp;Dta=/var/www/html/dta/S01/10565.2628.2.dta&amp;Global_Mod=CS57.0215", "2628")</f>
        <v>2628</v>
      </c>
      <c r="W978" s="5">
        <v>2284</v>
      </c>
      <c r="X978" s="5">
        <v>2222</v>
      </c>
      <c r="Y978" s="3" t="s">
        <v>4854</v>
      </c>
      <c r="Z978" s="5">
        <v>2234</v>
      </c>
      <c r="AA978" s="5">
        <v>2305</v>
      </c>
      <c r="AB978" s="5">
        <v>2236</v>
      </c>
      <c r="AC978" s="3" t="s">
        <v>4854</v>
      </c>
      <c r="AD978" s="5">
        <v>2643</v>
      </c>
      <c r="AE978" s="90">
        <v>2.3039999999999998</v>
      </c>
      <c r="AF978" s="90">
        <v>2.2509999999999999</v>
      </c>
      <c r="AG978" s="90">
        <v>1.875</v>
      </c>
      <c r="AH978" s="90">
        <v>2.48</v>
      </c>
      <c r="AI978" s="90">
        <v>1.857</v>
      </c>
      <c r="AJ978" s="90">
        <v>1.9830000000000001</v>
      </c>
      <c r="AK978" s="90">
        <v>2.2400000000000002</v>
      </c>
      <c r="AL978" s="90">
        <v>2.1920000000000002</v>
      </c>
      <c r="AM978" s="21">
        <v>-0.17449999999999999</v>
      </c>
      <c r="AN978" s="21">
        <v>0.59930000000000005</v>
      </c>
      <c r="AO978" s="21">
        <v>-0.6028</v>
      </c>
      <c r="AP978" s="21">
        <v>-9.7500000000000003E-2</v>
      </c>
      <c r="AQ978" s="21">
        <v>0.32740000000000002</v>
      </c>
      <c r="AR978" s="21">
        <v>-4.02E-2</v>
      </c>
      <c r="AS978" s="21">
        <v>-0.4788</v>
      </c>
      <c r="AT978" s="21">
        <v>-6.7599999999999993E-2</v>
      </c>
      <c r="AU978" s="21">
        <v>0.26</v>
      </c>
      <c r="AV978" s="21">
        <v>0.253</v>
      </c>
      <c r="AW978" s="21">
        <v>0.14299999999999999</v>
      </c>
      <c r="AX978" s="21">
        <v>0.20799999999999999</v>
      </c>
      <c r="AY978" s="21">
        <v>0.127</v>
      </c>
      <c r="AZ978" s="21">
        <v>0.16400000000000001</v>
      </c>
      <c r="BA978" s="21">
        <v>0.08</v>
      </c>
      <c r="BB978" s="21">
        <v>0.26100000000000001</v>
      </c>
      <c r="BC978" s="5">
        <v>14</v>
      </c>
      <c r="BD978" s="5">
        <v>15</v>
      </c>
      <c r="BE978" s="5">
        <v>418</v>
      </c>
      <c r="BF978" s="5">
        <v>1</v>
      </c>
      <c r="BG978" s="5">
        <v>4</v>
      </c>
      <c r="BH978" s="5">
        <v>29</v>
      </c>
      <c r="BI978" s="5">
        <v>74</v>
      </c>
      <c r="BJ978" s="5">
        <v>16</v>
      </c>
      <c r="BK978" s="90">
        <v>0.997</v>
      </c>
      <c r="BL978" s="90">
        <v>0.996</v>
      </c>
      <c r="BM978" s="90">
        <v>0.81699999999999995</v>
      </c>
      <c r="BN978" s="90">
        <v>0.998</v>
      </c>
      <c r="BO978" s="90">
        <v>0.97199999999999998</v>
      </c>
      <c r="BP978" s="90">
        <v>0.97599999999999998</v>
      </c>
      <c r="BQ978" s="90">
        <v>0.90400000000000003</v>
      </c>
      <c r="BR978" s="90">
        <v>0.996</v>
      </c>
      <c r="BS978" s="5" t="s">
        <v>4857</v>
      </c>
    </row>
    <row r="979" spans="1:71" s="30" customFormat="1" ht="17.100000000000001" customHeight="1">
      <c r="A979" s="14">
        <v>968</v>
      </c>
      <c r="B979" s="5" t="s">
        <v>1110</v>
      </c>
      <c r="C979" s="3" t="s">
        <v>1279</v>
      </c>
      <c r="D979" s="3" t="s">
        <v>1104</v>
      </c>
      <c r="E979" s="3" t="s">
        <v>1105</v>
      </c>
      <c r="F979" s="5" t="s">
        <v>5092</v>
      </c>
      <c r="G979" s="3" t="s">
        <v>1106</v>
      </c>
      <c r="H979" s="6" t="s">
        <v>1107</v>
      </c>
      <c r="I979" s="3" t="s">
        <v>1108</v>
      </c>
      <c r="J979" s="5" t="s">
        <v>3990</v>
      </c>
      <c r="K979" s="3" t="s">
        <v>5939</v>
      </c>
      <c r="L979" s="3" t="s">
        <v>1109</v>
      </c>
      <c r="M979" s="5">
        <v>3</v>
      </c>
      <c r="N979" s="21">
        <v>390.53649999999999</v>
      </c>
      <c r="O979" s="35" t="s">
        <v>4854</v>
      </c>
      <c r="P979" s="35" t="s">
        <v>4854</v>
      </c>
      <c r="Q979" s="35" t="s">
        <v>4854</v>
      </c>
      <c r="R979" s="35" t="s">
        <v>4854</v>
      </c>
      <c r="S979" s="36" t="str">
        <f>HYPERLINK("http://ms.phosphosite.org:5080/cgi-bin/plot-msms.cgi?MassType=1&amp;NumAxis=1&amp;Mod6=170&amp;Pep=VATHEKEWK&amp;Dta=/var/www/html/dta/S01/10562.2307.3.dta&amp;Global_Mod=CS57.0215", "2307")</f>
        <v>2307</v>
      </c>
      <c r="T979" s="35" t="s">
        <v>4854</v>
      </c>
      <c r="U979" s="35" t="s">
        <v>4854</v>
      </c>
      <c r="V979" s="35" t="s">
        <v>4854</v>
      </c>
      <c r="W979" s="3" t="s">
        <v>4854</v>
      </c>
      <c r="X979" s="3" t="s">
        <v>4854</v>
      </c>
      <c r="Y979" s="3" t="s">
        <v>4854</v>
      </c>
      <c r="Z979" s="3" t="s">
        <v>4854</v>
      </c>
      <c r="AA979" s="5">
        <v>2305</v>
      </c>
      <c r="AB979" s="3" t="s">
        <v>4854</v>
      </c>
      <c r="AC979" s="3" t="s">
        <v>4854</v>
      </c>
      <c r="AD979" s="3" t="s">
        <v>4854</v>
      </c>
      <c r="AE979" s="99" t="s">
        <v>4854</v>
      </c>
      <c r="AF979" s="99" t="s">
        <v>4854</v>
      </c>
      <c r="AG979" s="99" t="s">
        <v>4854</v>
      </c>
      <c r="AH979" s="99" t="s">
        <v>4854</v>
      </c>
      <c r="AI979" s="90">
        <v>2.0030000000000001</v>
      </c>
      <c r="AJ979" s="99" t="s">
        <v>4854</v>
      </c>
      <c r="AK979" s="99" t="s">
        <v>4854</v>
      </c>
      <c r="AL979" s="99" t="s">
        <v>4854</v>
      </c>
      <c r="AM979" s="102" t="s">
        <v>4854</v>
      </c>
      <c r="AN979" s="102" t="s">
        <v>4854</v>
      </c>
      <c r="AO979" s="102" t="s">
        <v>4854</v>
      </c>
      <c r="AP979" s="102" t="s">
        <v>4854</v>
      </c>
      <c r="AQ979" s="21">
        <v>0.33850000000000002</v>
      </c>
      <c r="AR979" s="102" t="s">
        <v>4854</v>
      </c>
      <c r="AS979" s="102" t="s">
        <v>4854</v>
      </c>
      <c r="AT979" s="102" t="s">
        <v>4854</v>
      </c>
      <c r="AU979" s="102" t="s">
        <v>4854</v>
      </c>
      <c r="AV979" s="102" t="s">
        <v>4854</v>
      </c>
      <c r="AW979" s="102" t="s">
        <v>4854</v>
      </c>
      <c r="AX979" s="102" t="s">
        <v>4854</v>
      </c>
      <c r="AY979" s="21">
        <v>0.14499999999999999</v>
      </c>
      <c r="AZ979" s="102" t="s">
        <v>4854</v>
      </c>
      <c r="BA979" s="102" t="s">
        <v>4854</v>
      </c>
      <c r="BB979" s="102" t="s">
        <v>4854</v>
      </c>
      <c r="BC979" s="3" t="s">
        <v>4854</v>
      </c>
      <c r="BD979" s="3" t="s">
        <v>4854</v>
      </c>
      <c r="BE979" s="3" t="s">
        <v>4854</v>
      </c>
      <c r="BF979" s="3" t="s">
        <v>4854</v>
      </c>
      <c r="BG979" s="5">
        <v>7</v>
      </c>
      <c r="BH979" s="3" t="s">
        <v>4854</v>
      </c>
      <c r="BI979" s="3" t="s">
        <v>4854</v>
      </c>
      <c r="BJ979" s="3" t="s">
        <v>4854</v>
      </c>
      <c r="BK979" s="99" t="s">
        <v>4854</v>
      </c>
      <c r="BL979" s="99" t="s">
        <v>4854</v>
      </c>
      <c r="BM979" s="99" t="s">
        <v>4854</v>
      </c>
      <c r="BN979" s="99" t="s">
        <v>4854</v>
      </c>
      <c r="BO979" s="90">
        <v>0.98499999999999999</v>
      </c>
      <c r="BP979" s="99" t="s">
        <v>4854</v>
      </c>
      <c r="BQ979" s="99" t="s">
        <v>4854</v>
      </c>
      <c r="BR979" s="99" t="s">
        <v>4854</v>
      </c>
      <c r="BS979" s="5" t="s">
        <v>4857</v>
      </c>
    </row>
    <row r="980" spans="1:71" s="30" customFormat="1" ht="17.100000000000001" customHeight="1">
      <c r="A980" s="10">
        <v>969</v>
      </c>
      <c r="B980" s="10" t="s">
        <v>1111</v>
      </c>
      <c r="C980" s="4" t="s">
        <v>1279</v>
      </c>
      <c r="D980" s="4" t="s">
        <v>1112</v>
      </c>
      <c r="E980" s="4" t="s">
        <v>1113</v>
      </c>
      <c r="F980" s="10" t="s">
        <v>5108</v>
      </c>
      <c r="G980" s="4" t="s">
        <v>1114</v>
      </c>
      <c r="H980" s="7" t="s">
        <v>1115</v>
      </c>
      <c r="I980" s="4" t="s">
        <v>1116</v>
      </c>
      <c r="J980" s="10" t="s">
        <v>1117</v>
      </c>
      <c r="K980" s="4" t="s">
        <v>5940</v>
      </c>
      <c r="L980" s="4" t="s">
        <v>1118</v>
      </c>
      <c r="M980" s="10">
        <v>4</v>
      </c>
      <c r="N980" s="95">
        <v>886.95920000000001</v>
      </c>
      <c r="O980" s="38" t="s">
        <v>4854</v>
      </c>
      <c r="P980" s="38" t="s">
        <v>4854</v>
      </c>
      <c r="Q980" s="37" t="str">
        <f>HYPERLINK("http://ms.phosphosite.org:5080/cgi-bin/plot-msms.cgi?MassType=1&amp;NumAxis=1&amp;Mod15=170&amp;Pep=IDDIADGAVKPPPNKYPIFFFGTHETAFLGPK&amp;Dta=/var/www/html/dta/S01/10560.12864.4.dta&amp;Global_Mod=CS57.0215", "12864")</f>
        <v>12864</v>
      </c>
      <c r="R980" s="38" t="s">
        <v>4854</v>
      </c>
      <c r="S980" s="38" t="s">
        <v>4854</v>
      </c>
      <c r="T980" s="38" t="s">
        <v>4854</v>
      </c>
      <c r="U980" s="38" t="s">
        <v>4854</v>
      </c>
      <c r="V980" s="37" t="str">
        <f>HYPERLINK("http://ms.phosphosite.org:5080/cgi-bin/plot-msms.cgi?MassType=1&amp;NumAxis=1&amp;Mod15=170&amp;Pep=IDDIADGAVKPPPNKYPIFFFGTHETAFLGPK&amp;Dta=/var/www/html/dta/S01/10565.13462.4.dta&amp;Global_Mod=CS57.0215", "13462")</f>
        <v>13462</v>
      </c>
      <c r="W980" s="4" t="s">
        <v>4854</v>
      </c>
      <c r="X980" s="4" t="s">
        <v>4854</v>
      </c>
      <c r="Y980" s="10">
        <v>12880</v>
      </c>
      <c r="Z980" s="4" t="s">
        <v>4854</v>
      </c>
      <c r="AA980" s="4" t="s">
        <v>4854</v>
      </c>
      <c r="AB980" s="4" t="s">
        <v>4854</v>
      </c>
      <c r="AC980" s="4" t="s">
        <v>4854</v>
      </c>
      <c r="AD980" s="10">
        <v>13427</v>
      </c>
      <c r="AE980" s="100" t="s">
        <v>4854</v>
      </c>
      <c r="AF980" s="100" t="s">
        <v>4854</v>
      </c>
      <c r="AG980" s="91">
        <v>3.6720000000000002</v>
      </c>
      <c r="AH980" s="100" t="s">
        <v>4854</v>
      </c>
      <c r="AI980" s="100" t="s">
        <v>4854</v>
      </c>
      <c r="AJ980" s="100" t="s">
        <v>4854</v>
      </c>
      <c r="AK980" s="100" t="s">
        <v>4854</v>
      </c>
      <c r="AL980" s="91">
        <v>3.911</v>
      </c>
      <c r="AM980" s="103" t="s">
        <v>4854</v>
      </c>
      <c r="AN980" s="103" t="s">
        <v>4854</v>
      </c>
      <c r="AO980" s="95">
        <v>2.149</v>
      </c>
      <c r="AP980" s="103" t="s">
        <v>4854</v>
      </c>
      <c r="AQ980" s="103" t="s">
        <v>4854</v>
      </c>
      <c r="AR980" s="103" t="s">
        <v>4854</v>
      </c>
      <c r="AS980" s="103" t="s">
        <v>4854</v>
      </c>
      <c r="AT980" s="95">
        <v>1.9644999999999999</v>
      </c>
      <c r="AU980" s="103" t="s">
        <v>4854</v>
      </c>
      <c r="AV980" s="103" t="s">
        <v>4854</v>
      </c>
      <c r="AW980" s="95">
        <v>0.21199999999999999</v>
      </c>
      <c r="AX980" s="103" t="s">
        <v>4854</v>
      </c>
      <c r="AY980" s="103" t="s">
        <v>4854</v>
      </c>
      <c r="AZ980" s="103" t="s">
        <v>4854</v>
      </c>
      <c r="BA980" s="103" t="s">
        <v>4854</v>
      </c>
      <c r="BB980" s="95">
        <v>0.26800000000000002</v>
      </c>
      <c r="BC980" s="4" t="s">
        <v>4854</v>
      </c>
      <c r="BD980" s="4" t="s">
        <v>4854</v>
      </c>
      <c r="BE980" s="10">
        <v>2</v>
      </c>
      <c r="BF980" s="4" t="s">
        <v>4854</v>
      </c>
      <c r="BG980" s="4" t="s">
        <v>4854</v>
      </c>
      <c r="BH980" s="4" t="s">
        <v>4854</v>
      </c>
      <c r="BI980" s="4" t="s">
        <v>4854</v>
      </c>
      <c r="BJ980" s="10">
        <v>2</v>
      </c>
      <c r="BK980" s="100" t="s">
        <v>4854</v>
      </c>
      <c r="BL980" s="100" t="s">
        <v>4854</v>
      </c>
      <c r="BM980" s="91">
        <v>0.996</v>
      </c>
      <c r="BN980" s="100" t="s">
        <v>4854</v>
      </c>
      <c r="BO980" s="100" t="s">
        <v>4854</v>
      </c>
      <c r="BP980" s="100" t="s">
        <v>4854</v>
      </c>
      <c r="BQ980" s="100" t="s">
        <v>4854</v>
      </c>
      <c r="BR980" s="91">
        <v>0.999</v>
      </c>
      <c r="BS980" s="10" t="s">
        <v>4857</v>
      </c>
    </row>
    <row r="981" spans="1:71" s="30" customFormat="1" ht="17.100000000000001" customHeight="1">
      <c r="A981" s="14">
        <v>970</v>
      </c>
      <c r="B981" s="5" t="s">
        <v>1119</v>
      </c>
      <c r="C981" s="3" t="s">
        <v>1279</v>
      </c>
      <c r="D981" s="3" t="s">
        <v>1120</v>
      </c>
      <c r="E981" s="3" t="s">
        <v>1121</v>
      </c>
      <c r="F981" s="5" t="s">
        <v>5156</v>
      </c>
      <c r="G981" s="3" t="s">
        <v>1122</v>
      </c>
      <c r="H981" s="6" t="s">
        <v>1123</v>
      </c>
      <c r="I981" s="3" t="s">
        <v>1124</v>
      </c>
      <c r="J981" s="5" t="s">
        <v>4825</v>
      </c>
      <c r="K981" s="3" t="s">
        <v>1132</v>
      </c>
      <c r="L981" s="3" t="s">
        <v>1125</v>
      </c>
      <c r="M981" s="5">
        <v>2</v>
      </c>
      <c r="N981" s="21">
        <v>716.84929999999997</v>
      </c>
      <c r="O981" s="36" t="str">
        <f>HYPERLINK("http://ms.phosphosite.org:5080/cgi-bin/plot-msms.cgi?MassType=1&amp;NumAxis=1&amp;Mod9=170&amp;Pep=KSPENTEGKDGTK&amp;Dta=/var/www/html/dta/S01/10558.1371.2.dta&amp;Global_Mod=CS57.0215", "1371")</f>
        <v>1371</v>
      </c>
      <c r="P981" s="36" t="str">
        <f>HYPERLINK("http://ms.phosphosite.org:5080/cgi-bin/plot-msms.cgi?MassType=1&amp;NumAxis=1&amp;Mod9=170&amp;Pep=KSPENTEGKDGTK&amp;Dta=/var/www/html/dta/S01/10559.1325.2.dta&amp;Global_Mod=CS57.0215", "1325")</f>
        <v>1325</v>
      </c>
      <c r="Q981" s="36" t="str">
        <f>HYPERLINK("http://ms.phosphosite.org:5080/cgi-bin/plot-msms.cgi?MassType=1&amp;NumAxis=1&amp;Mod9=170&amp;Pep=KSPENTEGKDGTK&amp;Dta=/var/www/html/dta/S01/10560.1321.2.dta&amp;Global_Mod=CS57.0215", "1321")</f>
        <v>1321</v>
      </c>
      <c r="R981" s="36" t="str">
        <f>HYPERLINK("http://ms.phosphosite.org:5080/cgi-bin/plot-msms.cgi?MassType=1&amp;NumAxis=1&amp;Mod9=170&amp;Pep=KSPENTEGKDGTK&amp;Dta=/var/www/html/dta/S01/10561.1324.2.dta&amp;Global_Mod=CS57.0215", "1324")</f>
        <v>1324</v>
      </c>
      <c r="S981" s="36" t="str">
        <f>HYPERLINK("http://ms.phosphosite.org:5080/cgi-bin/plot-msms.cgi?MassType=1&amp;NumAxis=1&amp;Mod9=170&amp;Pep=KSPENTEGKDGTK&amp;Dta=/var/www/html/dta/S01/10562.1376.2.dta&amp;Global_Mod=CS57.0215", "1376")</f>
        <v>1376</v>
      </c>
      <c r="T981" s="36" t="str">
        <f>HYPERLINK("http://ms.phosphosite.org:5080/cgi-bin/plot-msms.cgi?MassType=1&amp;NumAxis=1&amp;Mod9=170&amp;Pep=KSPENTEGKDGTK&amp;Dta=/var/www/html/dta/S01/10563.1330.2.dta&amp;Global_Mod=CS57.0215", "1330")</f>
        <v>1330</v>
      </c>
      <c r="U981" s="36" t="str">
        <f>HYPERLINK("http://ms.phosphosite.org:5080/cgi-bin/plot-msms.cgi?MassType=1&amp;NumAxis=1&amp;Mod9=170&amp;Pep=KSPENTEGKDGTK&amp;Dta=/var/www/html/dta/S01/10564.1534.2.dta&amp;Global_Mod=CS57.0215", "1534")</f>
        <v>1534</v>
      </c>
      <c r="V981" s="35" t="s">
        <v>4854</v>
      </c>
      <c r="W981" s="5">
        <v>1369</v>
      </c>
      <c r="X981" s="5">
        <v>1337</v>
      </c>
      <c r="Y981" s="5">
        <v>1319</v>
      </c>
      <c r="Z981" s="5">
        <v>1328</v>
      </c>
      <c r="AA981" s="5">
        <v>1380</v>
      </c>
      <c r="AB981" s="5">
        <v>1328</v>
      </c>
      <c r="AC981" s="3" t="s">
        <v>4854</v>
      </c>
      <c r="AD981" s="3" t="s">
        <v>4854</v>
      </c>
      <c r="AE981" s="90">
        <v>3.17</v>
      </c>
      <c r="AF981" s="90">
        <v>2.6230000000000002</v>
      </c>
      <c r="AG981" s="90">
        <v>3.2320000000000002</v>
      </c>
      <c r="AH981" s="90">
        <v>3.0640000000000001</v>
      </c>
      <c r="AI981" s="90">
        <v>3.5190000000000001</v>
      </c>
      <c r="AJ981" s="90">
        <v>3.339</v>
      </c>
      <c r="AK981" s="90">
        <v>1.9239999999999999</v>
      </c>
      <c r="AL981" s="99" t="s">
        <v>4854</v>
      </c>
      <c r="AM981" s="21">
        <v>7.4999999999999997E-3</v>
      </c>
      <c r="AN981" s="21">
        <v>0.44590000000000002</v>
      </c>
      <c r="AO981" s="21">
        <v>0.69989999999999997</v>
      </c>
      <c r="AP981" s="21">
        <v>0.4975</v>
      </c>
      <c r="AQ981" s="21">
        <v>0.59799999999999998</v>
      </c>
      <c r="AR981" s="21">
        <v>0.6532</v>
      </c>
      <c r="AS981" s="21">
        <v>0.35859999999999997</v>
      </c>
      <c r="AT981" s="102" t="s">
        <v>4854</v>
      </c>
      <c r="AU981" s="21">
        <v>0.41399999999999998</v>
      </c>
      <c r="AV981" s="21">
        <v>0.30199999999999999</v>
      </c>
      <c r="AW981" s="21">
        <v>0.379</v>
      </c>
      <c r="AX981" s="21">
        <v>0.34599999999999997</v>
      </c>
      <c r="AY981" s="21">
        <v>0.36299999999999999</v>
      </c>
      <c r="AZ981" s="21">
        <v>0.30399999999999999</v>
      </c>
      <c r="BA981" s="21">
        <v>0.217</v>
      </c>
      <c r="BB981" s="102" t="s">
        <v>4854</v>
      </c>
      <c r="BC981" s="5">
        <v>1</v>
      </c>
      <c r="BD981" s="5">
        <v>2</v>
      </c>
      <c r="BE981" s="5">
        <v>1</v>
      </c>
      <c r="BF981" s="5">
        <v>1</v>
      </c>
      <c r="BG981" s="5">
        <v>1</v>
      </c>
      <c r="BH981" s="5">
        <v>1</v>
      </c>
      <c r="BI981" s="5">
        <v>6</v>
      </c>
      <c r="BJ981" s="3" t="s">
        <v>4854</v>
      </c>
      <c r="BK981" s="90">
        <v>1</v>
      </c>
      <c r="BL981" s="90">
        <v>0.999</v>
      </c>
      <c r="BM981" s="90">
        <v>1</v>
      </c>
      <c r="BN981" s="90">
        <v>1</v>
      </c>
      <c r="BO981" s="90">
        <v>1</v>
      </c>
      <c r="BP981" s="90">
        <v>1</v>
      </c>
      <c r="BQ981" s="90">
        <v>0.98699999999999999</v>
      </c>
      <c r="BR981" s="99" t="s">
        <v>4854</v>
      </c>
      <c r="BS981" s="5" t="s">
        <v>4857</v>
      </c>
    </row>
    <row r="982" spans="1:71" s="30" customFormat="1" ht="17.100000000000001" customHeight="1">
      <c r="A982" s="14">
        <v>971</v>
      </c>
      <c r="B982" s="5" t="s">
        <v>1126</v>
      </c>
      <c r="C982" s="3" t="s">
        <v>1279</v>
      </c>
      <c r="D982" s="3" t="s">
        <v>1120</v>
      </c>
      <c r="E982" s="3" t="s">
        <v>1121</v>
      </c>
      <c r="F982" s="5" t="s">
        <v>5156</v>
      </c>
      <c r="G982" s="3" t="s">
        <v>1122</v>
      </c>
      <c r="H982" s="6" t="s">
        <v>1123</v>
      </c>
      <c r="I982" s="3" t="s">
        <v>1124</v>
      </c>
      <c r="J982" s="5" t="s">
        <v>4825</v>
      </c>
      <c r="K982" s="3" t="s">
        <v>1132</v>
      </c>
      <c r="L982" s="3" t="s">
        <v>1125</v>
      </c>
      <c r="M982" s="5">
        <v>3</v>
      </c>
      <c r="N982" s="21">
        <v>478.2353</v>
      </c>
      <c r="O982" s="36" t="str">
        <f>HYPERLINK("http://ms.phosphosite.org:5080/cgi-bin/plot-msms.cgi?MassType=1&amp;NumAxis=1&amp;Mod9=170&amp;Pep=KSPENTEGKDGTK&amp;Dta=/var/www/html/dta/S01/10558.1368.3.dta&amp;Global_Mod=CS57.0215", "1368")</f>
        <v>1368</v>
      </c>
      <c r="P982" s="36" t="str">
        <f>HYPERLINK("http://ms.phosphosite.org:5080/cgi-bin/plot-msms.cgi?MassType=1&amp;NumAxis=1&amp;Mod9=170&amp;Pep=KSPENTEGKDGTK&amp;Dta=/var/www/html/dta/S01/10559.1323.3.dta&amp;Global_Mod=CS57.0215", "1323")</f>
        <v>1323</v>
      </c>
      <c r="Q982" s="36" t="str">
        <f>HYPERLINK("http://ms.phosphosite.org:5080/cgi-bin/plot-msms.cgi?MassType=1&amp;NumAxis=1&amp;Mod9=170&amp;Pep=KSPENTEGKDGTK&amp;Dta=/var/www/html/dta/S01/10560.1320.3.dta&amp;Global_Mod=CS57.0215", "1320")</f>
        <v>1320</v>
      </c>
      <c r="R982" s="36" t="str">
        <f>HYPERLINK("http://ms.phosphosite.org:5080/cgi-bin/plot-msms.cgi?MassType=1&amp;NumAxis=1&amp;Mod9=170&amp;Pep=KSPENTEGKDGTK&amp;Dta=/var/www/html/dta/S01/10561.1320.3.dta&amp;Global_Mod=CS57.0215", "1320")</f>
        <v>1320</v>
      </c>
      <c r="S982" s="36" t="str">
        <f>HYPERLINK("http://ms.phosphosite.org:5080/cgi-bin/plot-msms.cgi?MassType=1&amp;NumAxis=1&amp;Mod9=170&amp;Pep=KSPENTEGKDGTK&amp;Dta=/var/www/html/dta/S01/10562.1371.3.dta&amp;Global_Mod=CS57.0215", "1371")</f>
        <v>1371</v>
      </c>
      <c r="T982" s="35" t="s">
        <v>4854</v>
      </c>
      <c r="U982" s="35" t="s">
        <v>4854</v>
      </c>
      <c r="V982" s="35" t="s">
        <v>4854</v>
      </c>
      <c r="W982" s="5">
        <v>1369</v>
      </c>
      <c r="X982" s="5">
        <v>1337</v>
      </c>
      <c r="Y982" s="5">
        <v>1319</v>
      </c>
      <c r="Z982" s="5">
        <v>1328</v>
      </c>
      <c r="AA982" s="5">
        <v>1380</v>
      </c>
      <c r="AB982" s="3" t="s">
        <v>4854</v>
      </c>
      <c r="AC982" s="3" t="s">
        <v>4854</v>
      </c>
      <c r="AD982" s="3" t="s">
        <v>4854</v>
      </c>
      <c r="AE982" s="90">
        <v>3.1480000000000001</v>
      </c>
      <c r="AF982" s="90">
        <v>2.7309999999999999</v>
      </c>
      <c r="AG982" s="90">
        <v>2.6150000000000002</v>
      </c>
      <c r="AH982" s="90">
        <v>2.274</v>
      </c>
      <c r="AI982" s="90">
        <v>2.8</v>
      </c>
      <c r="AJ982" s="99" t="s">
        <v>4854</v>
      </c>
      <c r="AK982" s="99" t="s">
        <v>4854</v>
      </c>
      <c r="AL982" s="99" t="s">
        <v>4854</v>
      </c>
      <c r="AM982" s="21">
        <v>-0.41610000000000003</v>
      </c>
      <c r="AN982" s="21">
        <v>7.9399999999999998E-2</v>
      </c>
      <c r="AO982" s="21">
        <v>-8.3199999999999996E-2</v>
      </c>
      <c r="AP982" s="21">
        <v>0.34050000000000002</v>
      </c>
      <c r="AQ982" s="21">
        <v>0.42559999999999998</v>
      </c>
      <c r="AR982" s="102" t="s">
        <v>4854</v>
      </c>
      <c r="AS982" s="102" t="s">
        <v>4854</v>
      </c>
      <c r="AT982" s="102" t="s">
        <v>4854</v>
      </c>
      <c r="AU982" s="21">
        <v>0.27600000000000002</v>
      </c>
      <c r="AV982" s="21">
        <v>0.23300000000000001</v>
      </c>
      <c r="AW982" s="21">
        <v>0.111</v>
      </c>
      <c r="AX982" s="21">
        <v>0.125</v>
      </c>
      <c r="AY982" s="21">
        <v>0.189</v>
      </c>
      <c r="AZ982" s="102" t="s">
        <v>4854</v>
      </c>
      <c r="BA982" s="102" t="s">
        <v>4854</v>
      </c>
      <c r="BB982" s="102" t="s">
        <v>4854</v>
      </c>
      <c r="BC982" s="5">
        <v>2</v>
      </c>
      <c r="BD982" s="5">
        <v>3</v>
      </c>
      <c r="BE982" s="5">
        <v>1</v>
      </c>
      <c r="BF982" s="5">
        <v>39</v>
      </c>
      <c r="BG982" s="5">
        <v>2</v>
      </c>
      <c r="BH982" s="3" t="s">
        <v>4854</v>
      </c>
      <c r="BI982" s="3" t="s">
        <v>4854</v>
      </c>
      <c r="BJ982" s="3" t="s">
        <v>4854</v>
      </c>
      <c r="BK982" s="90">
        <v>0.999</v>
      </c>
      <c r="BL982" s="90">
        <v>0.999</v>
      </c>
      <c r="BM982" s="90">
        <v>0.99299999999999999</v>
      </c>
      <c r="BN982" s="90">
        <v>0.97299999999999998</v>
      </c>
      <c r="BO982" s="90">
        <v>0.998</v>
      </c>
      <c r="BP982" s="99" t="s">
        <v>4854</v>
      </c>
      <c r="BQ982" s="99" t="s">
        <v>4854</v>
      </c>
      <c r="BR982" s="99" t="s">
        <v>4854</v>
      </c>
      <c r="BS982" s="5" t="s">
        <v>4857</v>
      </c>
    </row>
    <row r="983" spans="1:71" s="30" customFormat="1" ht="17.100000000000001" customHeight="1">
      <c r="A983" s="14">
        <v>972</v>
      </c>
      <c r="B983" s="5" t="s">
        <v>1127</v>
      </c>
      <c r="C983" s="3" t="s">
        <v>1279</v>
      </c>
      <c r="D983" s="3" t="s">
        <v>1120</v>
      </c>
      <c r="E983" s="3" t="s">
        <v>1121</v>
      </c>
      <c r="F983" s="5" t="s">
        <v>5156</v>
      </c>
      <c r="G983" s="3" t="s">
        <v>1122</v>
      </c>
      <c r="H983" s="6" t="s">
        <v>1123</v>
      </c>
      <c r="I983" s="3" t="s">
        <v>1124</v>
      </c>
      <c r="J983" s="5" t="s">
        <v>4825</v>
      </c>
      <c r="K983" s="3" t="s">
        <v>1132</v>
      </c>
      <c r="L983" s="3" t="s">
        <v>1128</v>
      </c>
      <c r="M983" s="5">
        <v>3</v>
      </c>
      <c r="N983" s="21">
        <v>592.31089999999995</v>
      </c>
      <c r="O983" s="36" t="str">
        <f>HYPERLINK("http://ms.phosphosite.org:5080/cgi-bin/plot-msms.cgi?MassType=1&amp;NumAxis=1&amp;Mod9=170&amp;Pep=KSPENTEGKDGTKLTK&amp;Dta=/var/www/html/dta/S01/10558.1612.3.dta&amp;Global_Mod=CS57.0215", "1612")</f>
        <v>1612</v>
      </c>
      <c r="P983" s="36" t="str">
        <f>HYPERLINK("http://ms.phosphosite.org:5080/cgi-bin/plot-msms.cgi?MassType=1&amp;NumAxis=1&amp;Mod9=170&amp;Pep=KSPENTEGKDGTKLTK&amp;Dta=/var/www/html/dta/S01/10559.1584.3.dta&amp;Global_Mod=CS57.0215", "1584")</f>
        <v>1584</v>
      </c>
      <c r="Q983" s="36" t="str">
        <f>HYPERLINK("http://ms.phosphosite.org:5080/cgi-bin/plot-msms.cgi?MassType=1&amp;NumAxis=1&amp;Mod9=170&amp;Pep=KSPENTEGKDGTKLTK&amp;Dta=/var/www/html/dta/S01/10560.1576.3.dta&amp;Global_Mod=CS57.0215", "1576")</f>
        <v>1576</v>
      </c>
      <c r="R983" s="35" t="s">
        <v>4854</v>
      </c>
      <c r="S983" s="36" t="str">
        <f>HYPERLINK("http://ms.phosphosite.org:5080/cgi-bin/plot-msms.cgi?MassType=1&amp;NumAxis=1&amp;Mod9=170&amp;Pep=KSPENTEGKDGTKLTK&amp;Dta=/var/www/html/dta/S01/10562.1636.3.dta&amp;Global_Mod=CS57.0215", "1636")</f>
        <v>1636</v>
      </c>
      <c r="T983" s="35" t="s">
        <v>4854</v>
      </c>
      <c r="U983" s="36" t="str">
        <f>HYPERLINK("http://ms.phosphosite.org:5080/cgi-bin/plot-msms.cgi?MassType=1&amp;NumAxis=1&amp;Mod9=170&amp;Pep=KSPENTEGKDGTKLTK&amp;Dta=/var/www/html/dta/S01/10564.1784.3.dta&amp;Global_Mod=CS57.0215", "1784")</f>
        <v>1784</v>
      </c>
      <c r="V983" s="36" t="str">
        <f>HYPERLINK("http://ms.phosphosite.org:5080/cgi-bin/plot-msms.cgi?MassType=1&amp;NumAxis=1&amp;Mod9=170&amp;Pep=KSPENTEGKDGTKLTK&amp;Dta=/var/www/html/dta/S01/10565.1835.3.dta&amp;Global_Mod=CS57.0215", "1835")</f>
        <v>1835</v>
      </c>
      <c r="W983" s="5">
        <v>1610</v>
      </c>
      <c r="X983" s="5">
        <v>1590</v>
      </c>
      <c r="Y983" s="5">
        <v>1572</v>
      </c>
      <c r="Z983" s="3" t="s">
        <v>4854</v>
      </c>
      <c r="AA983" s="5">
        <v>1644</v>
      </c>
      <c r="AB983" s="3" t="s">
        <v>4854</v>
      </c>
      <c r="AC983" s="5">
        <v>1782</v>
      </c>
      <c r="AD983" s="5">
        <v>1840</v>
      </c>
      <c r="AE983" s="90">
        <v>2.794</v>
      </c>
      <c r="AF983" s="90">
        <v>3.2519999999999998</v>
      </c>
      <c r="AG983" s="90">
        <v>3.0259999999999998</v>
      </c>
      <c r="AH983" s="99" t="s">
        <v>4854</v>
      </c>
      <c r="AI983" s="90">
        <v>3.9889999999999999</v>
      </c>
      <c r="AJ983" s="99" t="s">
        <v>4854</v>
      </c>
      <c r="AK983" s="90">
        <v>2.9089999999999998</v>
      </c>
      <c r="AL983" s="90">
        <v>3.2549999999999999</v>
      </c>
      <c r="AM983" s="21">
        <v>0.2661</v>
      </c>
      <c r="AN983" s="21">
        <v>4.6899999999999997E-2</v>
      </c>
      <c r="AO983" s="21">
        <v>0.53259999999999996</v>
      </c>
      <c r="AP983" s="102" t="s">
        <v>4854</v>
      </c>
      <c r="AQ983" s="21">
        <v>0.5101</v>
      </c>
      <c r="AR983" s="102" t="s">
        <v>4854</v>
      </c>
      <c r="AS983" s="21">
        <v>0.35060000000000002</v>
      </c>
      <c r="AT983" s="21">
        <v>-0.20319999999999999</v>
      </c>
      <c r="AU983" s="21">
        <v>0.24399999999999999</v>
      </c>
      <c r="AV983" s="21">
        <v>0.33700000000000002</v>
      </c>
      <c r="AW983" s="21">
        <v>0.29599999999999999</v>
      </c>
      <c r="AX983" s="102" t="s">
        <v>4854</v>
      </c>
      <c r="AY983" s="21">
        <v>0.41</v>
      </c>
      <c r="AZ983" s="102" t="s">
        <v>4854</v>
      </c>
      <c r="BA983" s="21">
        <v>0.35499999999999998</v>
      </c>
      <c r="BB983" s="21">
        <v>0.35599999999999998</v>
      </c>
      <c r="BC983" s="5">
        <v>3</v>
      </c>
      <c r="BD983" s="5">
        <v>1</v>
      </c>
      <c r="BE983" s="5">
        <v>3</v>
      </c>
      <c r="BF983" s="3" t="s">
        <v>4854</v>
      </c>
      <c r="BG983" s="5">
        <v>1</v>
      </c>
      <c r="BH983" s="3" t="s">
        <v>4854</v>
      </c>
      <c r="BI983" s="5">
        <v>1</v>
      </c>
      <c r="BJ983" s="5">
        <v>1</v>
      </c>
      <c r="BK983" s="90">
        <v>0.999</v>
      </c>
      <c r="BL983" s="90">
        <v>1</v>
      </c>
      <c r="BM983" s="90">
        <v>1</v>
      </c>
      <c r="BN983" s="99" t="s">
        <v>4854</v>
      </c>
      <c r="BO983" s="90">
        <v>1</v>
      </c>
      <c r="BP983" s="99" t="s">
        <v>4854</v>
      </c>
      <c r="BQ983" s="90">
        <v>1</v>
      </c>
      <c r="BR983" s="90">
        <v>1</v>
      </c>
      <c r="BS983" s="5" t="s">
        <v>4857</v>
      </c>
    </row>
    <row r="984" spans="1:71" s="30" customFormat="1" ht="17.100000000000001" customHeight="1">
      <c r="A984" s="14">
        <v>973</v>
      </c>
      <c r="B984" s="5" t="s">
        <v>1129</v>
      </c>
      <c r="C984" s="3" t="s">
        <v>1279</v>
      </c>
      <c r="D984" s="3" t="s">
        <v>1120</v>
      </c>
      <c r="E984" s="3" t="s">
        <v>1121</v>
      </c>
      <c r="F984" s="5" t="s">
        <v>5156</v>
      </c>
      <c r="G984" s="3" t="s">
        <v>1122</v>
      </c>
      <c r="H984" s="6" t="s">
        <v>1123</v>
      </c>
      <c r="I984" s="3" t="s">
        <v>1124</v>
      </c>
      <c r="J984" s="5" t="s">
        <v>4825</v>
      </c>
      <c r="K984" s="3" t="s">
        <v>1132</v>
      </c>
      <c r="L984" s="3" t="s">
        <v>1130</v>
      </c>
      <c r="M984" s="5">
        <v>2</v>
      </c>
      <c r="N984" s="21">
        <v>652.80190000000005</v>
      </c>
      <c r="O984" s="36" t="str">
        <f>HYPERLINK("http://ms.phosphosite.org:5080/cgi-bin/plot-msms.cgi?MassType=1&amp;NumAxis=1&amp;Mod8=170&amp;Pep=SPENTEGKDGTK&amp;Dta=/var/www/html/dta/S01/10558.1470.2.dta&amp;Global_Mod=CS57.0215", "1470")</f>
        <v>1470</v>
      </c>
      <c r="P984" s="36" t="str">
        <f>HYPERLINK("http://ms.phosphosite.org:5080/cgi-bin/plot-msms.cgi?MassType=1&amp;NumAxis=1&amp;Mod8=170&amp;Pep=SPENTEGKDGTK&amp;Dta=/var/www/html/dta/S01/10559.1448.2.dta&amp;Global_Mod=CS57.0215", "1448")</f>
        <v>1448</v>
      </c>
      <c r="Q984" s="36" t="str">
        <f>HYPERLINK("http://ms.phosphosite.org:5080/cgi-bin/plot-msms.cgi?MassType=1&amp;NumAxis=1&amp;Mod8=170&amp;Pep=SPENTEGKDGTK&amp;Dta=/var/www/html/dta/S01/10560.1420.2.dta&amp;Global_Mod=CS57.0215", "1420")</f>
        <v>1420</v>
      </c>
      <c r="R984" s="36" t="str">
        <f>HYPERLINK("http://ms.phosphosite.org:5080/cgi-bin/plot-msms.cgi?MassType=1&amp;NumAxis=1&amp;Mod8=170&amp;Pep=SPENTEGKDGTK&amp;Dta=/var/www/html/dta/S01/10561.1437.2.dta&amp;Global_Mod=CS57.0215", "1437")</f>
        <v>1437</v>
      </c>
      <c r="S984" s="36" t="str">
        <f>HYPERLINK("http://ms.phosphosite.org:5080/cgi-bin/plot-msms.cgi?MassType=1&amp;NumAxis=1&amp;Mod8=170&amp;Pep=SPENTEGKDGTK&amp;Dta=/var/www/html/dta/S01/10562.1494.2.dta&amp;Global_Mod=CS57.0215", "1494")</f>
        <v>1494</v>
      </c>
      <c r="T984" s="36" t="str">
        <f>HYPERLINK("http://ms.phosphosite.org:5080/cgi-bin/plot-msms.cgi?MassType=1&amp;NumAxis=1&amp;Mod8=170&amp;Pep=SPENTEGKDGTK&amp;Dta=/var/www/html/dta/S01/10563.1429.2.dta&amp;Global_Mod=CS57.0215", "1429")</f>
        <v>1429</v>
      </c>
      <c r="U984" s="36" t="str">
        <f>HYPERLINK("http://ms.phosphosite.org:5080/cgi-bin/plot-msms.cgi?MassType=1&amp;NumAxis=1&amp;Mod8=170&amp;Pep=SPENTEGKDGTK&amp;Dta=/var/www/html/dta/S01/10564.1630.2.dta&amp;Global_Mod=CS57.0215", "1630")</f>
        <v>1630</v>
      </c>
      <c r="V984" s="36" t="str">
        <f>HYPERLINK("http://ms.phosphosite.org:5080/cgi-bin/plot-msms.cgi?MassType=1&amp;NumAxis=1&amp;Mod8=170&amp;Pep=SPENTEGKDGTK&amp;Dta=/var/www/html/dta/S01/10565.1653.2.dta&amp;Global_Mod=CS57.0215", "1653")</f>
        <v>1653</v>
      </c>
      <c r="W984" s="5">
        <v>1468</v>
      </c>
      <c r="X984" s="5">
        <v>1447</v>
      </c>
      <c r="Y984" s="5">
        <v>1418</v>
      </c>
      <c r="Z984" s="5">
        <v>1445</v>
      </c>
      <c r="AA984" s="5">
        <v>1501</v>
      </c>
      <c r="AB984" s="5">
        <v>1438</v>
      </c>
      <c r="AC984" s="5">
        <v>1639</v>
      </c>
      <c r="AD984" s="5">
        <v>1657</v>
      </c>
      <c r="AE984" s="90">
        <v>3.5049999999999999</v>
      </c>
      <c r="AF984" s="90">
        <v>3.569</v>
      </c>
      <c r="AG984" s="90">
        <v>3.6150000000000002</v>
      </c>
      <c r="AH984" s="90">
        <v>3.53</v>
      </c>
      <c r="AI984" s="90">
        <v>3.2519999999999998</v>
      </c>
      <c r="AJ984" s="90">
        <v>3.7109999999999999</v>
      </c>
      <c r="AK984" s="90">
        <v>3.5049999999999999</v>
      </c>
      <c r="AL984" s="90">
        <v>3.3149999999999999</v>
      </c>
      <c r="AM984" s="21">
        <v>7.1900000000000006E-2</v>
      </c>
      <c r="AN984" s="21">
        <v>0.43909999999999999</v>
      </c>
      <c r="AO984" s="21">
        <v>0.52649999999999997</v>
      </c>
      <c r="AP984" s="21">
        <v>0.45900000000000002</v>
      </c>
      <c r="AQ984" s="21">
        <v>0.16769999999999999</v>
      </c>
      <c r="AR984" s="21">
        <v>0.71350000000000002</v>
      </c>
      <c r="AS984" s="21">
        <v>-3.2000000000000002E-3</v>
      </c>
      <c r="AT984" s="21">
        <v>-0.49230000000000002</v>
      </c>
      <c r="AU984" s="21">
        <v>0.30499999999999999</v>
      </c>
      <c r="AV984" s="21">
        <v>0.23300000000000001</v>
      </c>
      <c r="AW984" s="21">
        <v>0.308</v>
      </c>
      <c r="AX984" s="21">
        <v>0.33700000000000002</v>
      </c>
      <c r="AY984" s="21">
        <v>0.28999999999999998</v>
      </c>
      <c r="AZ984" s="21">
        <v>0.309</v>
      </c>
      <c r="BA984" s="21">
        <v>0.31</v>
      </c>
      <c r="BB984" s="21">
        <v>0.307</v>
      </c>
      <c r="BC984" s="5">
        <v>1</v>
      </c>
      <c r="BD984" s="5">
        <v>1</v>
      </c>
      <c r="BE984" s="5">
        <v>1</v>
      </c>
      <c r="BF984" s="5">
        <v>1</v>
      </c>
      <c r="BG984" s="5">
        <v>1</v>
      </c>
      <c r="BH984" s="5">
        <v>1</v>
      </c>
      <c r="BI984" s="5">
        <v>1</v>
      </c>
      <c r="BJ984" s="5">
        <v>1</v>
      </c>
      <c r="BK984" s="90">
        <v>1</v>
      </c>
      <c r="BL984" s="90">
        <v>1</v>
      </c>
      <c r="BM984" s="90">
        <v>1</v>
      </c>
      <c r="BN984" s="90">
        <v>1</v>
      </c>
      <c r="BO984" s="90">
        <v>1</v>
      </c>
      <c r="BP984" s="90">
        <v>1</v>
      </c>
      <c r="BQ984" s="90">
        <v>1</v>
      </c>
      <c r="BR984" s="90">
        <v>1</v>
      </c>
      <c r="BS984" s="5" t="s">
        <v>4857</v>
      </c>
    </row>
    <row r="985" spans="1:71" s="30" customFormat="1" ht="17.100000000000001" customHeight="1">
      <c r="A985" s="14">
        <v>974</v>
      </c>
      <c r="B985" s="5" t="s">
        <v>1131</v>
      </c>
      <c r="C985" s="3" t="s">
        <v>1279</v>
      </c>
      <c r="D985" s="3" t="s">
        <v>1120</v>
      </c>
      <c r="E985" s="3" t="s">
        <v>1121</v>
      </c>
      <c r="F985" s="5" t="s">
        <v>5156</v>
      </c>
      <c r="G985" s="3" t="s">
        <v>1122</v>
      </c>
      <c r="H985" s="6" t="s">
        <v>1123</v>
      </c>
      <c r="I985" s="3" t="s">
        <v>1124</v>
      </c>
      <c r="J985" s="5" t="s">
        <v>4825</v>
      </c>
      <c r="K985" s="3" t="s">
        <v>1132</v>
      </c>
      <c r="L985" s="3" t="s">
        <v>1132</v>
      </c>
      <c r="M985" s="5">
        <v>2</v>
      </c>
      <c r="N985" s="21">
        <v>823.91520000000003</v>
      </c>
      <c r="O985" s="36" t="str">
        <f>HYPERLINK("http://ms.phosphosite.org:5080/cgi-bin/plot-msms.cgi?MassType=1&amp;NumAxis=1&amp;Mod8=170&amp;Pep=SPENTEGKDGTKLTK&amp;Dta=/var/www/html/dta/S01/10558.1995.2.dta&amp;Global_Mod=CS57.0215", "1995")</f>
        <v>1995</v>
      </c>
      <c r="P985" s="36" t="str">
        <f>HYPERLINK("http://ms.phosphosite.org:5080/cgi-bin/plot-msms.cgi?MassType=1&amp;NumAxis=1&amp;Mod8=170&amp;Pep=SPENTEGKDGTKLTK&amp;Dta=/var/www/html/dta/S01/10559.1966.2.dta&amp;Global_Mod=CS57.0215", "1966")</f>
        <v>1966</v>
      </c>
      <c r="Q985" s="36" t="str">
        <f>HYPERLINK("http://ms.phosphosite.org:5080/cgi-bin/plot-msms.cgi?MassType=1&amp;NumAxis=1&amp;Mod8=170&amp;Pep=SPENTEGKDGTKLTK&amp;Dta=/var/www/html/dta/S01/10560.1950.2.dta&amp;Global_Mod=CS57.0215", "1950")</f>
        <v>1950</v>
      </c>
      <c r="R985" s="36" t="str">
        <f>HYPERLINK("http://ms.phosphosite.org:5080/cgi-bin/plot-msms.cgi?MassType=1&amp;NumAxis=1&amp;Mod8=170&amp;Pep=SPENTEGKDGTKLTK&amp;Dta=/var/www/html/dta/S01/10561.1984.2.dta&amp;Global_Mod=CS57.0215", "1984")</f>
        <v>1984</v>
      </c>
      <c r="S985" s="36" t="str">
        <f>HYPERLINK("http://ms.phosphosite.org:5080/cgi-bin/plot-msms.cgi?MassType=1&amp;NumAxis=1&amp;Mod8=170&amp;Pep=SPENTEGKDGTKLTK&amp;Dta=/var/www/html/dta/S01/10562.2042.2.dta&amp;Global_Mod=CS57.0215", "2042")</f>
        <v>2042</v>
      </c>
      <c r="T985" s="36" t="str">
        <f>HYPERLINK("http://ms.phosphosite.org:5080/cgi-bin/plot-msms.cgi?MassType=1&amp;NumAxis=1&amp;Mod8=170&amp;Pep=SPENTEGKDGTKLTK&amp;Dta=/var/www/html/dta/S01/10563.1959.2.dta&amp;Global_Mod=CS57.0215", "1959")</f>
        <v>1959</v>
      </c>
      <c r="U985" s="36" t="str">
        <f>HYPERLINK("http://ms.phosphosite.org:5080/cgi-bin/plot-msms.cgi?MassType=1&amp;NumAxis=1&amp;Mod8=170&amp;Pep=SPENTEGKDGTKLTK&amp;Dta=/var/www/html/dta/S01/10564.2227.2.dta&amp;Global_Mod=CS57.0215", "2227")</f>
        <v>2227</v>
      </c>
      <c r="V985" s="36" t="str">
        <f>HYPERLINK("http://ms.phosphosite.org:5080/cgi-bin/plot-msms.cgi?MassType=1&amp;NumAxis=1&amp;Mod8=170&amp;Pep=SPENTEGKDGTKLTK&amp;Dta=/var/www/html/dta/S01/10565.2265.2.dta&amp;Global_Mod=CS57.0215", "2265")</f>
        <v>2265</v>
      </c>
      <c r="W985" s="5">
        <v>2013</v>
      </c>
      <c r="X985" s="5">
        <v>1974</v>
      </c>
      <c r="Y985" s="5">
        <v>1958</v>
      </c>
      <c r="Z985" s="5">
        <v>1992</v>
      </c>
      <c r="AA985" s="5">
        <v>2039</v>
      </c>
      <c r="AB985" s="5">
        <v>1973</v>
      </c>
      <c r="AC985" s="5">
        <v>2241</v>
      </c>
      <c r="AD985" s="5">
        <v>2273</v>
      </c>
      <c r="AE985" s="90">
        <v>3.198</v>
      </c>
      <c r="AF985" s="90">
        <v>3.8319999999999999</v>
      </c>
      <c r="AG985" s="90">
        <v>3.8370000000000002</v>
      </c>
      <c r="AH985" s="90">
        <v>3.6349999999999998</v>
      </c>
      <c r="AI985" s="90">
        <v>4.0810000000000004</v>
      </c>
      <c r="AJ985" s="90">
        <v>3.4169999999999998</v>
      </c>
      <c r="AK985" s="90">
        <v>3.8650000000000002</v>
      </c>
      <c r="AL985" s="90">
        <v>4.5579999999999998</v>
      </c>
      <c r="AM985" s="21">
        <v>0.55640000000000001</v>
      </c>
      <c r="AN985" s="21">
        <v>0.46350000000000002</v>
      </c>
      <c r="AO985" s="21">
        <v>0.81630000000000003</v>
      </c>
      <c r="AP985" s="21">
        <v>1.8601000000000001</v>
      </c>
      <c r="AQ985" s="21">
        <v>0.69430000000000003</v>
      </c>
      <c r="AR985" s="21">
        <v>0.68520000000000003</v>
      </c>
      <c r="AS985" s="21">
        <v>0.47320000000000001</v>
      </c>
      <c r="AT985" s="21">
        <v>0.12709999999999999</v>
      </c>
      <c r="AU985" s="21">
        <v>0.42499999999999999</v>
      </c>
      <c r="AV985" s="21">
        <v>0.37</v>
      </c>
      <c r="AW985" s="21">
        <v>0.439</v>
      </c>
      <c r="AX985" s="21">
        <v>0.42399999999999999</v>
      </c>
      <c r="AY985" s="21">
        <v>0.47599999999999998</v>
      </c>
      <c r="AZ985" s="21">
        <v>0.20699999999999999</v>
      </c>
      <c r="BA985" s="21">
        <v>0.46200000000000002</v>
      </c>
      <c r="BB985" s="21">
        <v>0.45100000000000001</v>
      </c>
      <c r="BC985" s="5">
        <v>1</v>
      </c>
      <c r="BD985" s="5">
        <v>1</v>
      </c>
      <c r="BE985" s="5">
        <v>1</v>
      </c>
      <c r="BF985" s="5">
        <v>1</v>
      </c>
      <c r="BG985" s="5">
        <v>1</v>
      </c>
      <c r="BH985" s="5">
        <v>1</v>
      </c>
      <c r="BI985" s="5">
        <v>1</v>
      </c>
      <c r="BJ985" s="5">
        <v>1</v>
      </c>
      <c r="BK985" s="90">
        <v>1</v>
      </c>
      <c r="BL985" s="90">
        <v>1</v>
      </c>
      <c r="BM985" s="90">
        <v>1</v>
      </c>
      <c r="BN985" s="90">
        <v>1</v>
      </c>
      <c r="BO985" s="90">
        <v>1</v>
      </c>
      <c r="BP985" s="90">
        <v>0.999</v>
      </c>
      <c r="BQ985" s="90">
        <v>1</v>
      </c>
      <c r="BR985" s="90">
        <v>1</v>
      </c>
      <c r="BS985" s="5" t="s">
        <v>4857</v>
      </c>
    </row>
    <row r="986" spans="1:71" s="30" customFormat="1" ht="17.100000000000001" customHeight="1">
      <c r="A986" s="14">
        <v>975</v>
      </c>
      <c r="B986" s="5" t="s">
        <v>1133</v>
      </c>
      <c r="C986" s="3" t="s">
        <v>1279</v>
      </c>
      <c r="D986" s="3" t="s">
        <v>1120</v>
      </c>
      <c r="E986" s="3" t="s">
        <v>1121</v>
      </c>
      <c r="F986" s="5" t="s">
        <v>5156</v>
      </c>
      <c r="G986" s="3" t="s">
        <v>1122</v>
      </c>
      <c r="H986" s="6" t="s">
        <v>1123</v>
      </c>
      <c r="I986" s="3" t="s">
        <v>1124</v>
      </c>
      <c r="J986" s="5" t="s">
        <v>4825</v>
      </c>
      <c r="K986" s="3" t="s">
        <v>1132</v>
      </c>
      <c r="L986" s="3" t="s">
        <v>1132</v>
      </c>
      <c r="M986" s="5">
        <v>3</v>
      </c>
      <c r="N986" s="21">
        <v>549.61260000000004</v>
      </c>
      <c r="O986" s="36" t="str">
        <f>HYPERLINK("http://ms.phosphosite.org:5080/cgi-bin/plot-msms.cgi?MassType=1&amp;NumAxis=1&amp;Mod8=170&amp;Pep=SPENTEGKDGTKLTK&amp;Dta=/var/www/html/dta/S01/10558.1984.3.dta&amp;Global_Mod=CS57.0215", "1984")</f>
        <v>1984</v>
      </c>
      <c r="P986" s="36" t="str">
        <f>HYPERLINK("http://ms.phosphosite.org:5080/cgi-bin/plot-msms.cgi?MassType=1&amp;NumAxis=1&amp;Mod8=170&amp;Pep=SPENTEGKDGTKLTK&amp;Dta=/var/www/html/dta/S01/10559.1954.3.dta&amp;Global_Mod=CS57.0215", "1954")</f>
        <v>1954</v>
      </c>
      <c r="Q986" s="36" t="str">
        <f>HYPERLINK("http://ms.phosphosite.org:5080/cgi-bin/plot-msms.cgi?MassType=1&amp;NumAxis=1&amp;Mod8=170&amp;Pep=SPENTEGKDGTKLTK&amp;Dta=/var/www/html/dta/S01/10560.1928.3.dta&amp;Global_Mod=CS57.0215", "1928")</f>
        <v>1928</v>
      </c>
      <c r="R986" s="35" t="s">
        <v>4854</v>
      </c>
      <c r="S986" s="36" t="str">
        <f>HYPERLINK("http://ms.phosphosite.org:5080/cgi-bin/plot-msms.cgi?MassType=1&amp;NumAxis=1&amp;Mod8=170&amp;Pep=SPENTEGKDGTKLTK&amp;Dta=/var/www/html/dta/S01/10562.2029.3.dta&amp;Global_Mod=CS57.0215", "2029")</f>
        <v>2029</v>
      </c>
      <c r="T986" s="35" t="s">
        <v>4854</v>
      </c>
      <c r="U986" s="36" t="str">
        <f>HYPERLINK("http://ms.phosphosite.org:5080/cgi-bin/plot-msms.cgi?MassType=1&amp;NumAxis=1&amp;Mod8=170&amp;Pep=SPENTEGKDGTKLTK&amp;Dta=/var/www/html/dta/S01/10564.2220.3.dta&amp;Global_Mod=CS57.0215", "2220")</f>
        <v>2220</v>
      </c>
      <c r="V986" s="36" t="str">
        <f>HYPERLINK("http://ms.phosphosite.org:5080/cgi-bin/plot-msms.cgi?MassType=1&amp;NumAxis=1&amp;Mod8=170&amp;Pep=SPENTEGKDGTKLTK&amp;Dta=/var/www/html/dta/S01/10565.2257.3.dta&amp;Global_Mod=CS57.0215", "2257")</f>
        <v>2257</v>
      </c>
      <c r="W986" s="5">
        <v>2013</v>
      </c>
      <c r="X986" s="5">
        <v>1974</v>
      </c>
      <c r="Y986" s="5">
        <v>1947</v>
      </c>
      <c r="Z986" s="3" t="s">
        <v>4854</v>
      </c>
      <c r="AA986" s="5">
        <v>2039</v>
      </c>
      <c r="AB986" s="3" t="s">
        <v>4854</v>
      </c>
      <c r="AC986" s="5">
        <v>2241</v>
      </c>
      <c r="AD986" s="5">
        <v>2273</v>
      </c>
      <c r="AE986" s="90">
        <v>2.9870000000000001</v>
      </c>
      <c r="AF986" s="90">
        <v>3.347</v>
      </c>
      <c r="AG986" s="90">
        <v>3.4940000000000002</v>
      </c>
      <c r="AH986" s="99" t="s">
        <v>4854</v>
      </c>
      <c r="AI986" s="90">
        <v>2.964</v>
      </c>
      <c r="AJ986" s="99" t="s">
        <v>4854</v>
      </c>
      <c r="AK986" s="90">
        <v>3.621</v>
      </c>
      <c r="AL986" s="90">
        <v>3.3069999999999999</v>
      </c>
      <c r="AM986" s="21">
        <v>-0.2069</v>
      </c>
      <c r="AN986" s="21">
        <v>9.3700000000000006E-2</v>
      </c>
      <c r="AO986" s="21">
        <v>7.0000000000000007E-2</v>
      </c>
      <c r="AP986" s="102" t="s">
        <v>4854</v>
      </c>
      <c r="AQ986" s="21">
        <v>0.05</v>
      </c>
      <c r="AR986" s="102" t="s">
        <v>4854</v>
      </c>
      <c r="AS986" s="21">
        <v>-0.2427</v>
      </c>
      <c r="AT986" s="21">
        <v>-0.52559999999999996</v>
      </c>
      <c r="AU986" s="21">
        <v>0.29799999999999999</v>
      </c>
      <c r="AV986" s="21">
        <v>0.32200000000000001</v>
      </c>
      <c r="AW986" s="21">
        <v>0.35099999999999998</v>
      </c>
      <c r="AX986" s="102" t="s">
        <v>4854</v>
      </c>
      <c r="AY986" s="21">
        <v>0.375</v>
      </c>
      <c r="AZ986" s="102" t="s">
        <v>4854</v>
      </c>
      <c r="BA986" s="21">
        <v>0.42799999999999999</v>
      </c>
      <c r="BB986" s="21">
        <v>0.43</v>
      </c>
      <c r="BC986" s="5">
        <v>1</v>
      </c>
      <c r="BD986" s="5">
        <v>9</v>
      </c>
      <c r="BE986" s="5">
        <v>1</v>
      </c>
      <c r="BF986" s="3" t="s">
        <v>4854</v>
      </c>
      <c r="BG986" s="5">
        <v>1</v>
      </c>
      <c r="BH986" s="3" t="s">
        <v>4854</v>
      </c>
      <c r="BI986" s="5">
        <v>1</v>
      </c>
      <c r="BJ986" s="5">
        <v>1</v>
      </c>
      <c r="BK986" s="90">
        <v>1</v>
      </c>
      <c r="BL986" s="90">
        <v>1</v>
      </c>
      <c r="BM986" s="90">
        <v>1</v>
      </c>
      <c r="BN986" s="99" t="s">
        <v>4854</v>
      </c>
      <c r="BO986" s="90">
        <v>1</v>
      </c>
      <c r="BP986" s="99" t="s">
        <v>4854</v>
      </c>
      <c r="BQ986" s="90">
        <v>1</v>
      </c>
      <c r="BR986" s="90">
        <v>1</v>
      </c>
      <c r="BS986" s="5" t="s">
        <v>4857</v>
      </c>
    </row>
    <row r="987" spans="1:71" s="30" customFormat="1" ht="17.100000000000001" customHeight="1">
      <c r="A987" s="10">
        <v>976</v>
      </c>
      <c r="B987" s="10" t="s">
        <v>1134</v>
      </c>
      <c r="C987" s="4" t="s">
        <v>1279</v>
      </c>
      <c r="D987" s="4" t="s">
        <v>1120</v>
      </c>
      <c r="E987" s="4" t="s">
        <v>1121</v>
      </c>
      <c r="F987" s="10" t="s">
        <v>4701</v>
      </c>
      <c r="G987" s="4" t="s">
        <v>1122</v>
      </c>
      <c r="H987" s="7" t="s">
        <v>1123</v>
      </c>
      <c r="I987" s="4" t="s">
        <v>1124</v>
      </c>
      <c r="J987" s="10" t="s">
        <v>4825</v>
      </c>
      <c r="K987" s="4" t="s">
        <v>5941</v>
      </c>
      <c r="L987" s="4" t="s">
        <v>1135</v>
      </c>
      <c r="M987" s="10">
        <v>3</v>
      </c>
      <c r="N987" s="95">
        <v>558.3297</v>
      </c>
      <c r="O987" s="38" t="s">
        <v>4854</v>
      </c>
      <c r="P987" s="38" t="s">
        <v>4854</v>
      </c>
      <c r="Q987" s="38" t="s">
        <v>4854</v>
      </c>
      <c r="R987" s="37" t="str">
        <f>HYPERLINK("http://ms.phosphosite.org:5080/cgi-bin/plot-msms.cgi?MassType=1&amp;NumAxis=1&amp;Mod13=170&amp;Pep=LSAKPVPPKPESKPR&amp;Dta=/var/www/html/dta/S01/10561.2352.3.dta&amp;Global_Mod=CS57.0215", "2352")</f>
        <v>2352</v>
      </c>
      <c r="S987" s="38" t="s">
        <v>4854</v>
      </c>
      <c r="T987" s="38" t="s">
        <v>4854</v>
      </c>
      <c r="U987" s="38" t="s">
        <v>4854</v>
      </c>
      <c r="V987" s="38" t="s">
        <v>4854</v>
      </c>
      <c r="W987" s="4" t="s">
        <v>4854</v>
      </c>
      <c r="X987" s="4" t="s">
        <v>4854</v>
      </c>
      <c r="Y987" s="4" t="s">
        <v>4854</v>
      </c>
      <c r="Z987" s="10">
        <v>2344</v>
      </c>
      <c r="AA987" s="4" t="s">
        <v>4854</v>
      </c>
      <c r="AB987" s="4" t="s">
        <v>4854</v>
      </c>
      <c r="AC987" s="4" t="s">
        <v>4854</v>
      </c>
      <c r="AD987" s="4" t="s">
        <v>4854</v>
      </c>
      <c r="AE987" s="100" t="s">
        <v>4854</v>
      </c>
      <c r="AF987" s="100" t="s">
        <v>4854</v>
      </c>
      <c r="AG987" s="100" t="s">
        <v>4854</v>
      </c>
      <c r="AH987" s="91">
        <v>2.36</v>
      </c>
      <c r="AI987" s="100" t="s">
        <v>4854</v>
      </c>
      <c r="AJ987" s="100" t="s">
        <v>4854</v>
      </c>
      <c r="AK987" s="100" t="s">
        <v>4854</v>
      </c>
      <c r="AL987" s="100" t="s">
        <v>4854</v>
      </c>
      <c r="AM987" s="103" t="s">
        <v>4854</v>
      </c>
      <c r="AN987" s="103" t="s">
        <v>4854</v>
      </c>
      <c r="AO987" s="103" t="s">
        <v>4854</v>
      </c>
      <c r="AP987" s="95">
        <v>0.15970000000000001</v>
      </c>
      <c r="AQ987" s="103" t="s">
        <v>4854</v>
      </c>
      <c r="AR987" s="103" t="s">
        <v>4854</v>
      </c>
      <c r="AS987" s="103" t="s">
        <v>4854</v>
      </c>
      <c r="AT987" s="103" t="s">
        <v>4854</v>
      </c>
      <c r="AU987" s="103" t="s">
        <v>4854</v>
      </c>
      <c r="AV987" s="103" t="s">
        <v>4854</v>
      </c>
      <c r="AW987" s="103" t="s">
        <v>4854</v>
      </c>
      <c r="AX987" s="95">
        <v>0.06</v>
      </c>
      <c r="AY987" s="103" t="s">
        <v>4854</v>
      </c>
      <c r="AZ987" s="103" t="s">
        <v>4854</v>
      </c>
      <c r="BA987" s="103" t="s">
        <v>4854</v>
      </c>
      <c r="BB987" s="103" t="s">
        <v>4854</v>
      </c>
      <c r="BC987" s="4" t="s">
        <v>4854</v>
      </c>
      <c r="BD987" s="4" t="s">
        <v>4854</v>
      </c>
      <c r="BE987" s="4" t="s">
        <v>4854</v>
      </c>
      <c r="BF987" s="10">
        <v>380</v>
      </c>
      <c r="BG987" s="4" t="s">
        <v>4854</v>
      </c>
      <c r="BH987" s="4" t="s">
        <v>4854</v>
      </c>
      <c r="BI987" s="4" t="s">
        <v>4854</v>
      </c>
      <c r="BJ987" s="4" t="s">
        <v>4854</v>
      </c>
      <c r="BK987" s="100" t="s">
        <v>4854</v>
      </c>
      <c r="BL987" s="100" t="s">
        <v>4854</v>
      </c>
      <c r="BM987" s="100" t="s">
        <v>4854</v>
      </c>
      <c r="BN987" s="91">
        <v>0.97899999999999998</v>
      </c>
      <c r="BO987" s="100" t="s">
        <v>4854</v>
      </c>
      <c r="BP987" s="100" t="s">
        <v>4854</v>
      </c>
      <c r="BQ987" s="100" t="s">
        <v>4854</v>
      </c>
      <c r="BR987" s="100" t="s">
        <v>4854</v>
      </c>
      <c r="BS987" s="10" t="s">
        <v>4857</v>
      </c>
    </row>
    <row r="988" spans="1:71" s="30" customFormat="1" ht="17.100000000000001" customHeight="1">
      <c r="A988" s="14">
        <v>977</v>
      </c>
      <c r="B988" s="5" t="s">
        <v>1136</v>
      </c>
      <c r="C988" s="3" t="s">
        <v>1279</v>
      </c>
      <c r="D988" s="3" t="s">
        <v>1120</v>
      </c>
      <c r="E988" s="3" t="s">
        <v>1120</v>
      </c>
      <c r="F988" s="5" t="s">
        <v>4528</v>
      </c>
      <c r="G988" s="3" t="s">
        <v>1137</v>
      </c>
      <c r="H988" s="6" t="s">
        <v>1138</v>
      </c>
      <c r="I988" s="3" t="s">
        <v>1139</v>
      </c>
      <c r="J988" s="5" t="s">
        <v>4865</v>
      </c>
      <c r="K988" s="3" t="s">
        <v>5942</v>
      </c>
      <c r="L988" s="3" t="s">
        <v>1140</v>
      </c>
      <c r="M988" s="5">
        <v>3</v>
      </c>
      <c r="N988" s="21">
        <v>602.27800000000002</v>
      </c>
      <c r="O988" s="36" t="str">
        <f>HYPERLINK("http://ms.phosphosite.org:5080/cgi-bin/plot-msms.cgi?MassType=1&amp;NumAxis=1&amp;Mod2=170&amp;Pep=GKKEEKQEAGEEGTEN&amp;Dta=/var/www/html/dta/S01/10558.1381.3.dta&amp;Global_Mod=CS57.0215", "1381")</f>
        <v>1381</v>
      </c>
      <c r="P988" s="35" t="s">
        <v>4854</v>
      </c>
      <c r="Q988" s="35" t="s">
        <v>4854</v>
      </c>
      <c r="R988" s="36" t="str">
        <f>HYPERLINK("http://ms.phosphosite.org:5080/cgi-bin/plot-msms.cgi?MassType=1&amp;NumAxis=1&amp;Mod2=170&amp;Pep=GKKEEKQEAGEEGTEN&amp;Dta=/var/www/html/dta/S01/10561.1342.3.dta&amp;Global_Mod=CS57.0215", "1342")</f>
        <v>1342</v>
      </c>
      <c r="S988" s="35" t="s">
        <v>4854</v>
      </c>
      <c r="T988" s="35" t="s">
        <v>4854</v>
      </c>
      <c r="U988" s="36" t="str">
        <f>HYPERLINK("http://ms.phosphosite.org:5080/cgi-bin/plot-msms.cgi?MassType=1&amp;NumAxis=1&amp;Mod2=170&amp;Pep=GKKEEKQEAGEEGTEN&amp;Dta=/var/www/html/dta/S01/10564.1533.3.dta&amp;Global_Mod=CS57.0215", "1533")</f>
        <v>1533</v>
      </c>
      <c r="V988" s="35" t="s">
        <v>4854</v>
      </c>
      <c r="W988" s="3" t="s">
        <v>4854</v>
      </c>
      <c r="X988" s="3" t="s">
        <v>4854</v>
      </c>
      <c r="Y988" s="3" t="s">
        <v>4854</v>
      </c>
      <c r="Z988" s="5">
        <v>1339</v>
      </c>
      <c r="AA988" s="3" t="s">
        <v>4854</v>
      </c>
      <c r="AB988" s="3" t="s">
        <v>4854</v>
      </c>
      <c r="AC988" s="5">
        <v>1529</v>
      </c>
      <c r="AD988" s="3" t="s">
        <v>4854</v>
      </c>
      <c r="AE988" s="90">
        <v>1.5920000000000001</v>
      </c>
      <c r="AF988" s="99" t="s">
        <v>4854</v>
      </c>
      <c r="AG988" s="99" t="s">
        <v>4854</v>
      </c>
      <c r="AH988" s="90">
        <v>1.8640000000000001</v>
      </c>
      <c r="AI988" s="99" t="s">
        <v>4854</v>
      </c>
      <c r="AJ988" s="99" t="s">
        <v>4854</v>
      </c>
      <c r="AK988" s="90">
        <v>1.726</v>
      </c>
      <c r="AL988" s="99" t="s">
        <v>4854</v>
      </c>
      <c r="AM988" s="21">
        <v>-4.3E-3</v>
      </c>
      <c r="AN988" s="102" t="s">
        <v>4854</v>
      </c>
      <c r="AO988" s="102" t="s">
        <v>4854</v>
      </c>
      <c r="AP988" s="21">
        <v>0.58130000000000004</v>
      </c>
      <c r="AQ988" s="102" t="s">
        <v>4854</v>
      </c>
      <c r="AR988" s="102" t="s">
        <v>4854</v>
      </c>
      <c r="AS988" s="21">
        <v>0.58630000000000004</v>
      </c>
      <c r="AT988" s="102" t="s">
        <v>4854</v>
      </c>
      <c r="AU988" s="21">
        <v>0.13300000000000001</v>
      </c>
      <c r="AV988" s="102" t="s">
        <v>4854</v>
      </c>
      <c r="AW988" s="102" t="s">
        <v>4854</v>
      </c>
      <c r="AX988" s="21">
        <v>0.17199999999999999</v>
      </c>
      <c r="AY988" s="102" t="s">
        <v>4854</v>
      </c>
      <c r="AZ988" s="102" t="s">
        <v>4854</v>
      </c>
      <c r="BA988" s="21">
        <v>0.157</v>
      </c>
      <c r="BB988" s="102" t="s">
        <v>4854</v>
      </c>
      <c r="BC988" s="5">
        <v>30</v>
      </c>
      <c r="BD988" s="3" t="s">
        <v>4854</v>
      </c>
      <c r="BE988" s="3" t="s">
        <v>4854</v>
      </c>
      <c r="BF988" s="5">
        <v>2</v>
      </c>
      <c r="BG988" s="3" t="s">
        <v>4854</v>
      </c>
      <c r="BH988" s="3" t="s">
        <v>4854</v>
      </c>
      <c r="BI988" s="5">
        <v>3</v>
      </c>
      <c r="BJ988" s="3" t="s">
        <v>4854</v>
      </c>
      <c r="BK988" s="90">
        <v>0.91600000000000004</v>
      </c>
      <c r="BL988" s="99" t="s">
        <v>4854</v>
      </c>
      <c r="BM988" s="99" t="s">
        <v>4854</v>
      </c>
      <c r="BN988" s="90">
        <v>0.98499999999999999</v>
      </c>
      <c r="BO988" s="99" t="s">
        <v>4854</v>
      </c>
      <c r="BP988" s="99" t="s">
        <v>4854</v>
      </c>
      <c r="BQ988" s="90">
        <v>0.97399999999999998</v>
      </c>
      <c r="BR988" s="99" t="s">
        <v>4854</v>
      </c>
      <c r="BS988" s="5" t="s">
        <v>4857</v>
      </c>
    </row>
    <row r="989" spans="1:71" s="30" customFormat="1" ht="17.100000000000001" customHeight="1">
      <c r="A989" s="10">
        <v>978</v>
      </c>
      <c r="B989" s="10" t="s">
        <v>1141</v>
      </c>
      <c r="C989" s="4" t="s">
        <v>1279</v>
      </c>
      <c r="D989" s="4" t="s">
        <v>1120</v>
      </c>
      <c r="E989" s="4" t="s">
        <v>1120</v>
      </c>
      <c r="F989" s="10" t="s">
        <v>4530</v>
      </c>
      <c r="G989" s="4" t="s">
        <v>1137</v>
      </c>
      <c r="H989" s="7" t="s">
        <v>1138</v>
      </c>
      <c r="I989" s="4" t="s">
        <v>1139</v>
      </c>
      <c r="J989" s="10" t="s">
        <v>4865</v>
      </c>
      <c r="K989" s="4" t="s">
        <v>5943</v>
      </c>
      <c r="L989" s="4" t="s">
        <v>1142</v>
      </c>
      <c r="M989" s="10">
        <v>2</v>
      </c>
      <c r="N989" s="95">
        <v>902.91340000000002</v>
      </c>
      <c r="O989" s="37" t="str">
        <f>HYPERLINK("http://ms.phosphosite.org:5080/cgi-bin/plot-msms.cgi?MassType=1&amp;NumAxis=1&amp;Mod3=170&amp;Pep=GKKEEKQEAGEEGTEN&amp;Dta=/var/www/html/dta/S01/10558.1385.2.dta&amp;Global_Mod=CS57.0215", "1385")</f>
        <v>1385</v>
      </c>
      <c r="P989" s="38" t="s">
        <v>4854</v>
      </c>
      <c r="Q989" s="38" t="s">
        <v>4854</v>
      </c>
      <c r="R989" s="38" t="s">
        <v>4854</v>
      </c>
      <c r="S989" s="38" t="s">
        <v>4854</v>
      </c>
      <c r="T989" s="37" t="str">
        <f>HYPERLINK("http://ms.phosphosite.org:5080/cgi-bin/plot-msms.cgi?MassType=1&amp;NumAxis=1&amp;Mod3=170&amp;Pep=GKKEEKQEAGEEGTEN&amp;Dta=/var/www/html/dta/S01/10563.1347.2.dta&amp;Global_Mod=CS57.0215", "1347")</f>
        <v>1347</v>
      </c>
      <c r="U989" s="38" t="s">
        <v>4854</v>
      </c>
      <c r="V989" s="38" t="s">
        <v>4854</v>
      </c>
      <c r="W989" s="4" t="s">
        <v>4854</v>
      </c>
      <c r="X989" s="4" t="s">
        <v>4854</v>
      </c>
      <c r="Y989" s="4" t="s">
        <v>4854</v>
      </c>
      <c r="Z989" s="4" t="s">
        <v>4854</v>
      </c>
      <c r="AA989" s="4" t="s">
        <v>4854</v>
      </c>
      <c r="AB989" s="4" t="s">
        <v>4854</v>
      </c>
      <c r="AC989" s="4" t="s">
        <v>4854</v>
      </c>
      <c r="AD989" s="4" t="s">
        <v>4854</v>
      </c>
      <c r="AE989" s="91">
        <v>1.3440000000000001</v>
      </c>
      <c r="AF989" s="100" t="s">
        <v>4854</v>
      </c>
      <c r="AG989" s="100" t="s">
        <v>4854</v>
      </c>
      <c r="AH989" s="100" t="s">
        <v>4854</v>
      </c>
      <c r="AI989" s="100" t="s">
        <v>4854</v>
      </c>
      <c r="AJ989" s="91">
        <v>1.331</v>
      </c>
      <c r="AK989" s="100" t="s">
        <v>4854</v>
      </c>
      <c r="AL989" s="100" t="s">
        <v>4854</v>
      </c>
      <c r="AM989" s="95">
        <v>0.52090000000000003</v>
      </c>
      <c r="AN989" s="103" t="s">
        <v>4854</v>
      </c>
      <c r="AO989" s="103" t="s">
        <v>4854</v>
      </c>
      <c r="AP989" s="103" t="s">
        <v>4854</v>
      </c>
      <c r="AQ989" s="103" t="s">
        <v>4854</v>
      </c>
      <c r="AR989" s="95">
        <v>1.4001999999999999</v>
      </c>
      <c r="AS989" s="103" t="s">
        <v>4854</v>
      </c>
      <c r="AT989" s="103" t="s">
        <v>4854</v>
      </c>
      <c r="AU989" s="95">
        <v>0.29899999999999999</v>
      </c>
      <c r="AV989" s="103" t="s">
        <v>4854</v>
      </c>
      <c r="AW989" s="103" t="s">
        <v>4854</v>
      </c>
      <c r="AX989" s="103" t="s">
        <v>4854</v>
      </c>
      <c r="AY989" s="103" t="s">
        <v>4854</v>
      </c>
      <c r="AZ989" s="95">
        <v>1.2E-2</v>
      </c>
      <c r="BA989" s="103" t="s">
        <v>4854</v>
      </c>
      <c r="BB989" s="103" t="s">
        <v>4854</v>
      </c>
      <c r="BC989" s="10">
        <v>623</v>
      </c>
      <c r="BD989" s="4" t="s">
        <v>4854</v>
      </c>
      <c r="BE989" s="4" t="s">
        <v>4854</v>
      </c>
      <c r="BF989" s="4" t="s">
        <v>4854</v>
      </c>
      <c r="BG989" s="4" t="s">
        <v>4854</v>
      </c>
      <c r="BH989" s="10">
        <v>6</v>
      </c>
      <c r="BI989" s="4" t="s">
        <v>4854</v>
      </c>
      <c r="BJ989" s="4" t="s">
        <v>4854</v>
      </c>
      <c r="BK989" s="91">
        <v>0.88200000000000001</v>
      </c>
      <c r="BL989" s="100" t="s">
        <v>4854</v>
      </c>
      <c r="BM989" s="100" t="s">
        <v>4854</v>
      </c>
      <c r="BN989" s="100" t="s">
        <v>4854</v>
      </c>
      <c r="BO989" s="100" t="s">
        <v>4854</v>
      </c>
      <c r="BP989" s="91">
        <v>0.29299999999999998</v>
      </c>
      <c r="BQ989" s="100" t="s">
        <v>4854</v>
      </c>
      <c r="BR989" s="100" t="s">
        <v>4854</v>
      </c>
      <c r="BS989" s="10" t="s">
        <v>4857</v>
      </c>
    </row>
    <row r="990" spans="1:71" s="30" customFormat="1" ht="17.100000000000001" customHeight="1">
      <c r="A990" s="14">
        <v>979</v>
      </c>
      <c r="B990" s="5" t="s">
        <v>1143</v>
      </c>
      <c r="C990" s="3" t="s">
        <v>1279</v>
      </c>
      <c r="D990" s="3" t="s">
        <v>1144</v>
      </c>
      <c r="E990" s="3" t="s">
        <v>1145</v>
      </c>
      <c r="F990" s="5" t="s">
        <v>5232</v>
      </c>
      <c r="G990" s="3" t="s">
        <v>1146</v>
      </c>
      <c r="H990" s="6" t="s">
        <v>1147</v>
      </c>
      <c r="I990" s="3" t="s">
        <v>1148</v>
      </c>
      <c r="J990" s="5" t="s">
        <v>4477</v>
      </c>
      <c r="K990" s="3" t="s">
        <v>5944</v>
      </c>
      <c r="L990" s="3" t="s">
        <v>1149</v>
      </c>
      <c r="M990" s="5">
        <v>3</v>
      </c>
      <c r="N990" s="21">
        <v>560.96159999999998</v>
      </c>
      <c r="O990" s="36" t="str">
        <f>HYPERLINK("http://ms.phosphosite.org:5080/cgi-bin/plot-msms.cgi?MassType=1&amp;NumAxis=1&amp;Mod5=170&amp;Pep=HLYTKDIDIHEVR&amp;Dta=/var/www/html/dta/S01/10558.5637.3.dta&amp;Global_Mod=CS57.0215", "5637")</f>
        <v>5637</v>
      </c>
      <c r="P990" s="36" t="str">
        <f>HYPERLINK("http://ms.phosphosite.org:5080/cgi-bin/plot-msms.cgi?MassType=1&amp;NumAxis=1&amp;Mod5=170&amp;Pep=HLYTKDIDIHEVR&amp;Dta=/var/www/html/dta/S01/10559.5582.3.dta&amp;Global_Mod=CS57.0215", "5582")</f>
        <v>5582</v>
      </c>
      <c r="Q990" s="36" t="str">
        <f>HYPERLINK("http://ms.phosphosite.org:5080/cgi-bin/plot-msms.cgi?MassType=1&amp;NumAxis=1&amp;Mod5=170&amp;Pep=HLYTKDIDIHEVR&amp;Dta=/var/www/html/dta/S01/10560.5576.3.dta&amp;Global_Mod=CS57.0215", "5576")</f>
        <v>5576</v>
      </c>
      <c r="R990" s="36" t="str">
        <f>HYPERLINK("http://ms.phosphosite.org:5080/cgi-bin/plot-msms.cgi?MassType=1&amp;NumAxis=1&amp;Mod5=170&amp;Pep=HLYTKDIDIHEVR&amp;Dta=/var/www/html/dta/S01/10561.5650.3.dta&amp;Global_Mod=CS57.0215", "5650")</f>
        <v>5650</v>
      </c>
      <c r="S990" s="35" t="s">
        <v>4854</v>
      </c>
      <c r="T990" s="36" t="str">
        <f>HYPERLINK("http://ms.phosphosite.org:5080/cgi-bin/plot-msms.cgi?MassType=1&amp;NumAxis=1&amp;Mod5=170&amp;Pep=HLYTKDIDIHEVR&amp;Dta=/var/www/html/dta/S01/10563.5651.3.dta&amp;Global_Mod=CS57.0215", "5651")</f>
        <v>5651</v>
      </c>
      <c r="U990" s="36" t="str">
        <f>HYPERLINK("http://ms.phosphosite.org:5080/cgi-bin/plot-msms.cgi?MassType=1&amp;NumAxis=1&amp;Mod5=170&amp;Pep=HLYTKDIDIHEVR&amp;Dta=/var/www/html/dta/S01/10564.5973.3.dta&amp;Global_Mod=CS57.0215", "5973")</f>
        <v>5973</v>
      </c>
      <c r="V990" s="36" t="str">
        <f>HYPERLINK("http://ms.phosphosite.org:5080/cgi-bin/plot-msms.cgi?MassType=1&amp;NumAxis=1&amp;Mod5=170&amp;Pep=HLYTKDIDIHEVR&amp;Dta=/var/www/html/dta/S01/10565.6045.3.dta&amp;Global_Mod=CS57.0215", "6045")</f>
        <v>6045</v>
      </c>
      <c r="W990" s="5">
        <v>5668</v>
      </c>
      <c r="X990" s="5">
        <v>5590</v>
      </c>
      <c r="Y990" s="5">
        <v>5596</v>
      </c>
      <c r="Z990" s="5">
        <v>5634</v>
      </c>
      <c r="AA990" s="3" t="s">
        <v>4854</v>
      </c>
      <c r="AB990" s="5">
        <v>5672</v>
      </c>
      <c r="AC990" s="5">
        <v>5968</v>
      </c>
      <c r="AD990" s="5">
        <v>6064</v>
      </c>
      <c r="AE990" s="90">
        <v>4.6520000000000001</v>
      </c>
      <c r="AF990" s="90">
        <v>4.7750000000000004</v>
      </c>
      <c r="AG990" s="90">
        <v>4.5090000000000003</v>
      </c>
      <c r="AH990" s="90">
        <v>4.7210000000000001</v>
      </c>
      <c r="AI990" s="99" t="s">
        <v>4854</v>
      </c>
      <c r="AJ990" s="90">
        <v>4.3819999999999997</v>
      </c>
      <c r="AK990" s="90">
        <v>4.891</v>
      </c>
      <c r="AL990" s="90">
        <v>4.383</v>
      </c>
      <c r="AM990" s="21">
        <v>-9.6100000000000005E-2</v>
      </c>
      <c r="AN990" s="21">
        <v>0.62609999999999999</v>
      </c>
      <c r="AO990" s="21">
        <v>0.2787</v>
      </c>
      <c r="AP990" s="21">
        <v>0.4274</v>
      </c>
      <c r="AQ990" s="102" t="s">
        <v>4854</v>
      </c>
      <c r="AR990" s="21">
        <v>0.42859999999999998</v>
      </c>
      <c r="AS990" s="21">
        <v>0.15970000000000001</v>
      </c>
      <c r="AT990" s="21">
        <v>0.2198</v>
      </c>
      <c r="AU990" s="21">
        <v>0.40500000000000003</v>
      </c>
      <c r="AV990" s="21">
        <v>0.4</v>
      </c>
      <c r="AW990" s="21">
        <v>0.376</v>
      </c>
      <c r="AX990" s="21">
        <v>0.40300000000000002</v>
      </c>
      <c r="AY990" s="102" t="s">
        <v>4854</v>
      </c>
      <c r="AZ990" s="21">
        <v>0.36499999999999999</v>
      </c>
      <c r="BA990" s="21">
        <v>0.32200000000000001</v>
      </c>
      <c r="BB990" s="21">
        <v>0.372</v>
      </c>
      <c r="BC990" s="5">
        <v>1</v>
      </c>
      <c r="BD990" s="5">
        <v>1</v>
      </c>
      <c r="BE990" s="5">
        <v>1</v>
      </c>
      <c r="BF990" s="5">
        <v>1</v>
      </c>
      <c r="BG990" s="3" t="s">
        <v>4854</v>
      </c>
      <c r="BH990" s="5">
        <v>1</v>
      </c>
      <c r="BI990" s="5">
        <v>1</v>
      </c>
      <c r="BJ990" s="5">
        <v>1</v>
      </c>
      <c r="BK990" s="90">
        <v>1</v>
      </c>
      <c r="BL990" s="90">
        <v>1</v>
      </c>
      <c r="BM990" s="90">
        <v>1</v>
      </c>
      <c r="BN990" s="90">
        <v>1</v>
      </c>
      <c r="BO990" s="99" t="s">
        <v>4854</v>
      </c>
      <c r="BP990" s="90">
        <v>1</v>
      </c>
      <c r="BQ990" s="90">
        <v>1</v>
      </c>
      <c r="BR990" s="90">
        <v>1</v>
      </c>
      <c r="BS990" s="5" t="s">
        <v>4857</v>
      </c>
    </row>
    <row r="991" spans="1:71" s="30" customFormat="1" ht="17.100000000000001" customHeight="1">
      <c r="A991" s="14">
        <v>980</v>
      </c>
      <c r="B991" s="5" t="s">
        <v>1150</v>
      </c>
      <c r="C991" s="3" t="s">
        <v>1279</v>
      </c>
      <c r="D991" s="3" t="s">
        <v>1144</v>
      </c>
      <c r="E991" s="3" t="s">
        <v>1145</v>
      </c>
      <c r="F991" s="5" t="s">
        <v>5232</v>
      </c>
      <c r="G991" s="3" t="s">
        <v>1146</v>
      </c>
      <c r="H991" s="6" t="s">
        <v>1147</v>
      </c>
      <c r="I991" s="3" t="s">
        <v>1148</v>
      </c>
      <c r="J991" s="5" t="s">
        <v>4477</v>
      </c>
      <c r="K991" s="3" t="s">
        <v>5944</v>
      </c>
      <c r="L991" s="3" t="s">
        <v>1149</v>
      </c>
      <c r="M991" s="5">
        <v>3</v>
      </c>
      <c r="N991" s="21">
        <v>560.96159999999998</v>
      </c>
      <c r="O991" s="36" t="str">
        <f>HYPERLINK("http://ms.phosphosite.org:5080/cgi-bin/plot-msms.cgi?MassType=1&amp;NumAxis=1&amp;Mod5=170&amp;Pep=HLYTKDIDIHEVR&amp;Dta=/var/www/html/dta/S01/10558.5621.3.dta&amp;Global_Mod=CS57.0215", "5621")</f>
        <v>5621</v>
      </c>
      <c r="P991" s="35" t="s">
        <v>4854</v>
      </c>
      <c r="Q991" s="35" t="s">
        <v>4854</v>
      </c>
      <c r="R991" s="35" t="s">
        <v>4854</v>
      </c>
      <c r="S991" s="35" t="s">
        <v>4854</v>
      </c>
      <c r="T991" s="35" t="s">
        <v>4854</v>
      </c>
      <c r="U991" s="36" t="str">
        <f>HYPERLINK("http://ms.phosphosite.org:5080/cgi-bin/plot-msms.cgi?MassType=1&amp;NumAxis=1&amp;Mod5=170&amp;Pep=HLYTKDIDIHEVR&amp;Dta=/var/www/html/dta/S01/10564.5963.3.dta&amp;Global_Mod=CS57.0215", "5963")</f>
        <v>5963</v>
      </c>
      <c r="V991" s="35" t="s">
        <v>4854</v>
      </c>
      <c r="W991" s="5">
        <v>5668</v>
      </c>
      <c r="X991" s="3" t="s">
        <v>4854</v>
      </c>
      <c r="Y991" s="3" t="s">
        <v>4854</v>
      </c>
      <c r="Z991" s="3" t="s">
        <v>4854</v>
      </c>
      <c r="AA991" s="3" t="s">
        <v>4854</v>
      </c>
      <c r="AB991" s="3" t="s">
        <v>4854</v>
      </c>
      <c r="AC991" s="5">
        <v>5968</v>
      </c>
      <c r="AD991" s="3" t="s">
        <v>4854</v>
      </c>
      <c r="AE991" s="90">
        <v>4.109</v>
      </c>
      <c r="AF991" s="99" t="s">
        <v>4854</v>
      </c>
      <c r="AG991" s="99" t="s">
        <v>4854</v>
      </c>
      <c r="AH991" s="99" t="s">
        <v>4854</v>
      </c>
      <c r="AI991" s="99" t="s">
        <v>4854</v>
      </c>
      <c r="AJ991" s="99" t="s">
        <v>4854</v>
      </c>
      <c r="AK991" s="90">
        <v>4.5999999999999996</v>
      </c>
      <c r="AL991" s="99" t="s">
        <v>4854</v>
      </c>
      <c r="AM991" s="21">
        <v>-9.6100000000000005E-2</v>
      </c>
      <c r="AN991" s="102" t="s">
        <v>4854</v>
      </c>
      <c r="AO991" s="102" t="s">
        <v>4854</v>
      </c>
      <c r="AP991" s="102" t="s">
        <v>4854</v>
      </c>
      <c r="AQ991" s="102" t="s">
        <v>4854</v>
      </c>
      <c r="AR991" s="102" t="s">
        <v>4854</v>
      </c>
      <c r="AS991" s="21">
        <v>0.15970000000000001</v>
      </c>
      <c r="AT991" s="102" t="s">
        <v>4854</v>
      </c>
      <c r="AU991" s="21">
        <v>0.39900000000000002</v>
      </c>
      <c r="AV991" s="102" t="s">
        <v>4854</v>
      </c>
      <c r="AW991" s="102" t="s">
        <v>4854</v>
      </c>
      <c r="AX991" s="102" t="s">
        <v>4854</v>
      </c>
      <c r="AY991" s="102" t="s">
        <v>4854</v>
      </c>
      <c r="AZ991" s="102" t="s">
        <v>4854</v>
      </c>
      <c r="BA991" s="21">
        <v>0.36399999999999999</v>
      </c>
      <c r="BB991" s="102" t="s">
        <v>4854</v>
      </c>
      <c r="BC991" s="5">
        <v>1</v>
      </c>
      <c r="BD991" s="3" t="s">
        <v>4854</v>
      </c>
      <c r="BE991" s="3" t="s">
        <v>4854</v>
      </c>
      <c r="BF991" s="3" t="s">
        <v>4854</v>
      </c>
      <c r="BG991" s="3" t="s">
        <v>4854</v>
      </c>
      <c r="BH991" s="3" t="s">
        <v>4854</v>
      </c>
      <c r="BI991" s="5">
        <v>1</v>
      </c>
      <c r="BJ991" s="3" t="s">
        <v>4854</v>
      </c>
      <c r="BK991" s="90">
        <v>1</v>
      </c>
      <c r="BL991" s="99" t="s">
        <v>4854</v>
      </c>
      <c r="BM991" s="99" t="s">
        <v>4854</v>
      </c>
      <c r="BN991" s="99" t="s">
        <v>4854</v>
      </c>
      <c r="BO991" s="99" t="s">
        <v>4854</v>
      </c>
      <c r="BP991" s="99" t="s">
        <v>4854</v>
      </c>
      <c r="BQ991" s="90">
        <v>1</v>
      </c>
      <c r="BR991" s="99" t="s">
        <v>4854</v>
      </c>
      <c r="BS991" s="5" t="s">
        <v>4857</v>
      </c>
    </row>
    <row r="992" spans="1:71" s="30" customFormat="1" ht="17.100000000000001" customHeight="1">
      <c r="A992" s="10">
        <v>981</v>
      </c>
      <c r="B992" s="10" t="s">
        <v>1151</v>
      </c>
      <c r="C992" s="4" t="s">
        <v>1279</v>
      </c>
      <c r="D992" s="4" t="s">
        <v>1144</v>
      </c>
      <c r="E992" s="4" t="s">
        <v>1145</v>
      </c>
      <c r="F992" s="10" t="s">
        <v>5151</v>
      </c>
      <c r="G992" s="4" t="s">
        <v>1146</v>
      </c>
      <c r="H992" s="7" t="s">
        <v>1147</v>
      </c>
      <c r="I992" s="4" t="s">
        <v>1148</v>
      </c>
      <c r="J992" s="10" t="s">
        <v>4477</v>
      </c>
      <c r="K992" s="4" t="s">
        <v>5945</v>
      </c>
      <c r="L992" s="4" t="s">
        <v>1152</v>
      </c>
      <c r="M992" s="10">
        <v>4</v>
      </c>
      <c r="N992" s="95">
        <v>925.90959999999995</v>
      </c>
      <c r="O992" s="38" t="s">
        <v>4854</v>
      </c>
      <c r="P992" s="37" t="str">
        <f>HYPERLINK("http://ms.phosphosite.org:5080/cgi-bin/plot-msms.cgi?MassType=1&amp;NumAxis=1&amp;Mod18=170&amp;Pep=NQSQGYNQWQQGQFWGQKPWSQHYHQGYY&amp;Dta=/var/www/html/dta/S01/10559.10566.4.dta&amp;Global_Mod=CS57.0215", "10566")</f>
        <v>10566</v>
      </c>
      <c r="Q992" s="38" t="s">
        <v>4854</v>
      </c>
      <c r="R992" s="38" t="s">
        <v>4854</v>
      </c>
      <c r="S992" s="37" t="str">
        <f>HYPERLINK("http://ms.phosphosite.org:5080/cgi-bin/plot-msms.cgi?MassType=1&amp;NumAxis=1&amp;Mod18=170&amp;Pep=NQSQGYNQWQQGQFWGQKPWSQHYHQGYY&amp;Dta=/var/www/html/dta/S01/10562.10764.4.dta&amp;Global_Mod=CS57.0215", "10764")</f>
        <v>10764</v>
      </c>
      <c r="T992" s="38" t="s">
        <v>4854</v>
      </c>
      <c r="U992" s="38" t="s">
        <v>4854</v>
      </c>
      <c r="V992" s="38" t="s">
        <v>4854</v>
      </c>
      <c r="W992" s="4" t="s">
        <v>4854</v>
      </c>
      <c r="X992" s="10">
        <v>10542</v>
      </c>
      <c r="Y992" s="4" t="s">
        <v>4854</v>
      </c>
      <c r="Z992" s="4" t="s">
        <v>4854</v>
      </c>
      <c r="AA992" s="10">
        <v>10763</v>
      </c>
      <c r="AB992" s="4" t="s">
        <v>4854</v>
      </c>
      <c r="AC992" s="4" t="s">
        <v>4854</v>
      </c>
      <c r="AD992" s="4" t="s">
        <v>4854</v>
      </c>
      <c r="AE992" s="100" t="s">
        <v>4854</v>
      </c>
      <c r="AF992" s="91">
        <v>5.47</v>
      </c>
      <c r="AG992" s="100" t="s">
        <v>4854</v>
      </c>
      <c r="AH992" s="100" t="s">
        <v>4854</v>
      </c>
      <c r="AI992" s="91">
        <v>4.84</v>
      </c>
      <c r="AJ992" s="100" t="s">
        <v>4854</v>
      </c>
      <c r="AK992" s="100" t="s">
        <v>4854</v>
      </c>
      <c r="AL992" s="100" t="s">
        <v>4854</v>
      </c>
      <c r="AM992" s="103" t="s">
        <v>4854</v>
      </c>
      <c r="AN992" s="95">
        <v>2.0846</v>
      </c>
      <c r="AO992" s="103" t="s">
        <v>4854</v>
      </c>
      <c r="AP992" s="103" t="s">
        <v>4854</v>
      </c>
      <c r="AQ992" s="95">
        <v>2.5448</v>
      </c>
      <c r="AR992" s="103" t="s">
        <v>4854</v>
      </c>
      <c r="AS992" s="103" t="s">
        <v>4854</v>
      </c>
      <c r="AT992" s="103" t="s">
        <v>4854</v>
      </c>
      <c r="AU992" s="103" t="s">
        <v>4854</v>
      </c>
      <c r="AV992" s="95">
        <v>0.46800000000000003</v>
      </c>
      <c r="AW992" s="103" t="s">
        <v>4854</v>
      </c>
      <c r="AX992" s="103" t="s">
        <v>4854</v>
      </c>
      <c r="AY992" s="95">
        <v>0.39400000000000002</v>
      </c>
      <c r="AZ992" s="103" t="s">
        <v>4854</v>
      </c>
      <c r="BA992" s="103" t="s">
        <v>4854</v>
      </c>
      <c r="BB992" s="103" t="s">
        <v>4854</v>
      </c>
      <c r="BC992" s="4" t="s">
        <v>4854</v>
      </c>
      <c r="BD992" s="10">
        <v>1</v>
      </c>
      <c r="BE992" s="4" t="s">
        <v>4854</v>
      </c>
      <c r="BF992" s="4" t="s">
        <v>4854</v>
      </c>
      <c r="BG992" s="10">
        <v>1</v>
      </c>
      <c r="BH992" s="4" t="s">
        <v>4854</v>
      </c>
      <c r="BI992" s="4" t="s">
        <v>4854</v>
      </c>
      <c r="BJ992" s="4" t="s">
        <v>4854</v>
      </c>
      <c r="BK992" s="100" t="s">
        <v>4854</v>
      </c>
      <c r="BL992" s="91">
        <v>1</v>
      </c>
      <c r="BM992" s="100" t="s">
        <v>4854</v>
      </c>
      <c r="BN992" s="100" t="s">
        <v>4854</v>
      </c>
      <c r="BO992" s="91">
        <v>1</v>
      </c>
      <c r="BP992" s="100" t="s">
        <v>4854</v>
      </c>
      <c r="BQ992" s="100" t="s">
        <v>4854</v>
      </c>
      <c r="BR992" s="100" t="s">
        <v>4854</v>
      </c>
      <c r="BS992" s="10" t="s">
        <v>4857</v>
      </c>
    </row>
    <row r="993" spans="1:71" s="30" customFormat="1" ht="17.100000000000001" customHeight="1">
      <c r="A993" s="14">
        <v>982</v>
      </c>
      <c r="B993" s="5" t="s">
        <v>1153</v>
      </c>
      <c r="C993" s="3" t="s">
        <v>1279</v>
      </c>
      <c r="D993" s="3" t="s">
        <v>1154</v>
      </c>
      <c r="E993" s="3" t="s">
        <v>1155</v>
      </c>
      <c r="F993" s="5" t="s">
        <v>1156</v>
      </c>
      <c r="G993" s="3" t="s">
        <v>1157</v>
      </c>
      <c r="H993" s="6" t="s">
        <v>1158</v>
      </c>
      <c r="I993" s="3" t="s">
        <v>1052</v>
      </c>
      <c r="J993" s="5" t="s">
        <v>4693</v>
      </c>
      <c r="K993" s="3" t="s">
        <v>5946</v>
      </c>
      <c r="L993" s="3" t="s">
        <v>1053</v>
      </c>
      <c r="M993" s="5">
        <v>2</v>
      </c>
      <c r="N993" s="21">
        <v>626.34029999999996</v>
      </c>
      <c r="O993" s="36" t="str">
        <f>HYPERLINK("http://ms.phosphosite.org:5080/cgi-bin/plot-msms.cgi?MassType=1&amp;NumAxis=1&amp;Mod3=170&amp;Mod9=170&amp;Pep=RMKMKKMSK&amp;Dta=/var/www/html/dta/S01/10558.12661.2.dta&amp;Global_Mod=CS57.0215", "12661")</f>
        <v>12661</v>
      </c>
      <c r="P993" s="35" t="s">
        <v>4854</v>
      </c>
      <c r="Q993" s="35" t="s">
        <v>4854</v>
      </c>
      <c r="R993" s="35" t="s">
        <v>4854</v>
      </c>
      <c r="S993" s="35" t="s">
        <v>4854</v>
      </c>
      <c r="T993" s="35" t="s">
        <v>4854</v>
      </c>
      <c r="U993" s="35" t="s">
        <v>4854</v>
      </c>
      <c r="V993" s="35" t="s">
        <v>4854</v>
      </c>
      <c r="W993" s="3" t="s">
        <v>4854</v>
      </c>
      <c r="X993" s="3" t="s">
        <v>4854</v>
      </c>
      <c r="Y993" s="3" t="s">
        <v>4854</v>
      </c>
      <c r="Z993" s="3" t="s">
        <v>4854</v>
      </c>
      <c r="AA993" s="3" t="s">
        <v>4854</v>
      </c>
      <c r="AB993" s="3" t="s">
        <v>4854</v>
      </c>
      <c r="AC993" s="3" t="s">
        <v>4854</v>
      </c>
      <c r="AD993" s="3" t="s">
        <v>4854</v>
      </c>
      <c r="AE993" s="90">
        <v>1.0289999999999999</v>
      </c>
      <c r="AF993" s="99" t="s">
        <v>4854</v>
      </c>
      <c r="AG993" s="99" t="s">
        <v>4854</v>
      </c>
      <c r="AH993" s="99" t="s">
        <v>4854</v>
      </c>
      <c r="AI993" s="99" t="s">
        <v>4854</v>
      </c>
      <c r="AJ993" s="99" t="s">
        <v>4854</v>
      </c>
      <c r="AK993" s="99" t="s">
        <v>4854</v>
      </c>
      <c r="AL993" s="99" t="s">
        <v>4854</v>
      </c>
      <c r="AM993" s="21">
        <v>0.1384</v>
      </c>
      <c r="AN993" s="102" t="s">
        <v>4854</v>
      </c>
      <c r="AO993" s="102" t="s">
        <v>4854</v>
      </c>
      <c r="AP993" s="102" t="s">
        <v>4854</v>
      </c>
      <c r="AQ993" s="102" t="s">
        <v>4854</v>
      </c>
      <c r="AR993" s="102" t="s">
        <v>4854</v>
      </c>
      <c r="AS993" s="102" t="s">
        <v>4854</v>
      </c>
      <c r="AT993" s="102" t="s">
        <v>4854</v>
      </c>
      <c r="AU993" s="21">
        <v>6.4000000000000001E-2</v>
      </c>
      <c r="AV993" s="102" t="s">
        <v>4854</v>
      </c>
      <c r="AW993" s="102" t="s">
        <v>4854</v>
      </c>
      <c r="AX993" s="102" t="s">
        <v>4854</v>
      </c>
      <c r="AY993" s="102" t="s">
        <v>4854</v>
      </c>
      <c r="AZ993" s="102" t="s">
        <v>4854</v>
      </c>
      <c r="BA993" s="102" t="s">
        <v>4854</v>
      </c>
      <c r="BB993" s="102" t="s">
        <v>4854</v>
      </c>
      <c r="BC993" s="5">
        <v>32</v>
      </c>
      <c r="BD993" s="3" t="s">
        <v>4854</v>
      </c>
      <c r="BE993" s="3" t="s">
        <v>4854</v>
      </c>
      <c r="BF993" s="3" t="s">
        <v>4854</v>
      </c>
      <c r="BG993" s="3" t="s">
        <v>4854</v>
      </c>
      <c r="BH993" s="3" t="s">
        <v>4854</v>
      </c>
      <c r="BI993" s="3" t="s">
        <v>4854</v>
      </c>
      <c r="BJ993" s="3" t="s">
        <v>4854</v>
      </c>
      <c r="BK993" s="90">
        <v>0.37</v>
      </c>
      <c r="BL993" s="99" t="s">
        <v>4854</v>
      </c>
      <c r="BM993" s="99" t="s">
        <v>4854</v>
      </c>
      <c r="BN993" s="99" t="s">
        <v>4854</v>
      </c>
      <c r="BO993" s="99" t="s">
        <v>4854</v>
      </c>
      <c r="BP993" s="99" t="s">
        <v>4854</v>
      </c>
      <c r="BQ993" s="99" t="s">
        <v>4854</v>
      </c>
      <c r="BR993" s="99" t="s">
        <v>4854</v>
      </c>
      <c r="BS993" s="5" t="s">
        <v>4857</v>
      </c>
    </row>
    <row r="994" spans="1:71" s="30" customFormat="1" ht="17.100000000000001" customHeight="1">
      <c r="A994" s="10">
        <v>983</v>
      </c>
      <c r="B994" s="10" t="s">
        <v>1054</v>
      </c>
      <c r="C994" s="4" t="s">
        <v>1279</v>
      </c>
      <c r="D994" s="4" t="s">
        <v>1055</v>
      </c>
      <c r="E994" s="4" t="s">
        <v>1056</v>
      </c>
      <c r="F994" s="10" t="s">
        <v>5190</v>
      </c>
      <c r="G994" s="4" t="s">
        <v>1057</v>
      </c>
      <c r="H994" s="7" t="s">
        <v>1058</v>
      </c>
      <c r="I994" s="4" t="s">
        <v>1059</v>
      </c>
      <c r="J994" s="10" t="s">
        <v>4716</v>
      </c>
      <c r="K994" s="4" t="s">
        <v>5947</v>
      </c>
      <c r="L994" s="4" t="s">
        <v>1060</v>
      </c>
      <c r="M994" s="10">
        <v>3</v>
      </c>
      <c r="N994" s="95">
        <v>569.62139999999999</v>
      </c>
      <c r="O994" s="38" t="s">
        <v>4854</v>
      </c>
      <c r="P994" s="38" t="s">
        <v>4854</v>
      </c>
      <c r="Q994" s="37" t="str">
        <f>HYPERLINK("http://ms.phosphosite.org:5080/cgi-bin/plot-msms.cgi?MassType=1&amp;NumAxis=1&amp;Mod8=170&amp;Pep=NNDFQLGKEFSIPR&amp;Dta=/var/www/html/dta/S01/10560.10518.3.dta&amp;Global_Mod=CS57.0215", "10518")</f>
        <v>10518</v>
      </c>
      <c r="R994" s="38" t="s">
        <v>4854</v>
      </c>
      <c r="S994" s="38" t="s">
        <v>4854</v>
      </c>
      <c r="T994" s="38" t="s">
        <v>4854</v>
      </c>
      <c r="U994" s="37" t="str">
        <f>HYPERLINK("http://ms.phosphosite.org:5080/cgi-bin/plot-msms.cgi?MassType=1&amp;NumAxis=1&amp;Mod8=170&amp;Pep=NNDFQLGKEFSIPR&amp;Dta=/var/www/html/dta/S01/10564.11135.3.dta&amp;Global_Mod=CS57.0215", "11135")</f>
        <v>11135</v>
      </c>
      <c r="V994" s="38" t="s">
        <v>4854</v>
      </c>
      <c r="W994" s="4" t="s">
        <v>4854</v>
      </c>
      <c r="X994" s="4" t="s">
        <v>4854</v>
      </c>
      <c r="Y994" s="10">
        <v>10513</v>
      </c>
      <c r="Z994" s="4" t="s">
        <v>4854</v>
      </c>
      <c r="AA994" s="4" t="s">
        <v>4854</v>
      </c>
      <c r="AB994" s="4" t="s">
        <v>4854</v>
      </c>
      <c r="AC994" s="10">
        <v>11149</v>
      </c>
      <c r="AD994" s="4" t="s">
        <v>4854</v>
      </c>
      <c r="AE994" s="100" t="s">
        <v>4854</v>
      </c>
      <c r="AF994" s="100" t="s">
        <v>4854</v>
      </c>
      <c r="AG994" s="91">
        <v>3.0670000000000002</v>
      </c>
      <c r="AH994" s="100" t="s">
        <v>4854</v>
      </c>
      <c r="AI994" s="100" t="s">
        <v>4854</v>
      </c>
      <c r="AJ994" s="100" t="s">
        <v>4854</v>
      </c>
      <c r="AK994" s="91">
        <v>2.508</v>
      </c>
      <c r="AL994" s="100" t="s">
        <v>4854</v>
      </c>
      <c r="AM994" s="103" t="s">
        <v>4854</v>
      </c>
      <c r="AN994" s="103" t="s">
        <v>4854</v>
      </c>
      <c r="AO994" s="95">
        <v>1.0621</v>
      </c>
      <c r="AP994" s="103" t="s">
        <v>4854</v>
      </c>
      <c r="AQ994" s="103" t="s">
        <v>4854</v>
      </c>
      <c r="AR994" s="103" t="s">
        <v>4854</v>
      </c>
      <c r="AS994" s="95">
        <v>0.83709999999999996</v>
      </c>
      <c r="AT994" s="103" t="s">
        <v>4854</v>
      </c>
      <c r="AU994" s="103" t="s">
        <v>4854</v>
      </c>
      <c r="AV994" s="103" t="s">
        <v>4854</v>
      </c>
      <c r="AW994" s="95">
        <v>0.20399999999999999</v>
      </c>
      <c r="AX994" s="103" t="s">
        <v>4854</v>
      </c>
      <c r="AY994" s="103" t="s">
        <v>4854</v>
      </c>
      <c r="AZ994" s="103" t="s">
        <v>4854</v>
      </c>
      <c r="BA994" s="95">
        <v>0.185</v>
      </c>
      <c r="BB994" s="103" t="s">
        <v>4854</v>
      </c>
      <c r="BC994" s="4" t="s">
        <v>4854</v>
      </c>
      <c r="BD994" s="4" t="s">
        <v>4854</v>
      </c>
      <c r="BE994" s="10">
        <v>1</v>
      </c>
      <c r="BF994" s="4" t="s">
        <v>4854</v>
      </c>
      <c r="BG994" s="4" t="s">
        <v>4854</v>
      </c>
      <c r="BH994" s="4" t="s">
        <v>4854</v>
      </c>
      <c r="BI994" s="10">
        <v>1</v>
      </c>
      <c r="BJ994" s="4" t="s">
        <v>4854</v>
      </c>
      <c r="BK994" s="100" t="s">
        <v>4854</v>
      </c>
      <c r="BL994" s="100" t="s">
        <v>4854</v>
      </c>
      <c r="BM994" s="91">
        <v>0.999</v>
      </c>
      <c r="BN994" s="100" t="s">
        <v>4854</v>
      </c>
      <c r="BO994" s="100" t="s">
        <v>4854</v>
      </c>
      <c r="BP994" s="100" t="s">
        <v>4854</v>
      </c>
      <c r="BQ994" s="91">
        <v>0.997</v>
      </c>
      <c r="BR994" s="100" t="s">
        <v>4854</v>
      </c>
      <c r="BS994" s="10" t="s">
        <v>4857</v>
      </c>
    </row>
    <row r="995" spans="1:71" s="30" customFormat="1" ht="17.100000000000001" customHeight="1">
      <c r="A995" s="14">
        <v>984</v>
      </c>
      <c r="B995" s="5" t="s">
        <v>1061</v>
      </c>
      <c r="C995" s="3" t="s">
        <v>1279</v>
      </c>
      <c r="D995" s="3" t="s">
        <v>1062</v>
      </c>
      <c r="E995" s="3" t="s">
        <v>1063</v>
      </c>
      <c r="F995" s="5" t="s">
        <v>5291</v>
      </c>
      <c r="G995" s="3" t="s">
        <v>1064</v>
      </c>
      <c r="H995" s="6" t="s">
        <v>1065</v>
      </c>
      <c r="I995" s="3" t="s">
        <v>1066</v>
      </c>
      <c r="J995" s="5" t="s">
        <v>1067</v>
      </c>
      <c r="K995" s="3" t="s">
        <v>5948</v>
      </c>
      <c r="L995" s="3" t="s">
        <v>1068</v>
      </c>
      <c r="M995" s="5">
        <v>3</v>
      </c>
      <c r="N995" s="21">
        <v>710.33420000000001</v>
      </c>
      <c r="O995" s="35" t="s">
        <v>4854</v>
      </c>
      <c r="P995" s="35" t="s">
        <v>4854</v>
      </c>
      <c r="Q995" s="36" t="str">
        <f>HYPERLINK("http://ms.phosphosite.org:5080/cgi-bin/plot-msms.cgi?MassType=1&amp;NumAxis=1&amp;Mod2=170&amp;Mod15=170&amp;Mod17=170&amp;Pep=EKQIESSDYDSSSSKGKK&amp;Dta=/var/www/html/dta/S01/10560.3889.3.dta&amp;Global_Mod=CS57.0215", "3889")</f>
        <v>3889</v>
      </c>
      <c r="R995" s="35" t="s">
        <v>4854</v>
      </c>
      <c r="S995" s="35" t="s">
        <v>4854</v>
      </c>
      <c r="T995" s="35" t="s">
        <v>4854</v>
      </c>
      <c r="U995" s="35" t="s">
        <v>4854</v>
      </c>
      <c r="V995" s="35" t="s">
        <v>4854</v>
      </c>
      <c r="W995" s="3" t="s">
        <v>4854</v>
      </c>
      <c r="X995" s="3" t="s">
        <v>4854</v>
      </c>
      <c r="Y995" s="5">
        <v>3883</v>
      </c>
      <c r="Z995" s="3" t="s">
        <v>4854</v>
      </c>
      <c r="AA995" s="3" t="s">
        <v>4854</v>
      </c>
      <c r="AB995" s="3" t="s">
        <v>4854</v>
      </c>
      <c r="AC995" s="3" t="s">
        <v>4854</v>
      </c>
      <c r="AD995" s="3" t="s">
        <v>4854</v>
      </c>
      <c r="AE995" s="99" t="s">
        <v>4854</v>
      </c>
      <c r="AF995" s="99" t="s">
        <v>4854</v>
      </c>
      <c r="AG995" s="90">
        <v>3.9249999999999998</v>
      </c>
      <c r="AH995" s="99" t="s">
        <v>4854</v>
      </c>
      <c r="AI995" s="99" t="s">
        <v>4854</v>
      </c>
      <c r="AJ995" s="99" t="s">
        <v>4854</v>
      </c>
      <c r="AK995" s="99" t="s">
        <v>4854</v>
      </c>
      <c r="AL995" s="99" t="s">
        <v>4854</v>
      </c>
      <c r="AM995" s="102" t="s">
        <v>4854</v>
      </c>
      <c r="AN995" s="102" t="s">
        <v>4854</v>
      </c>
      <c r="AO995" s="21">
        <v>0.38250000000000001</v>
      </c>
      <c r="AP995" s="102" t="s">
        <v>4854</v>
      </c>
      <c r="AQ995" s="102" t="s">
        <v>4854</v>
      </c>
      <c r="AR995" s="102" t="s">
        <v>4854</v>
      </c>
      <c r="AS995" s="102" t="s">
        <v>4854</v>
      </c>
      <c r="AT995" s="102" t="s">
        <v>4854</v>
      </c>
      <c r="AU995" s="102" t="s">
        <v>4854</v>
      </c>
      <c r="AV995" s="102" t="s">
        <v>4854</v>
      </c>
      <c r="AW995" s="21">
        <v>0.41</v>
      </c>
      <c r="AX995" s="102" t="s">
        <v>4854</v>
      </c>
      <c r="AY995" s="102" t="s">
        <v>4854</v>
      </c>
      <c r="AZ995" s="102" t="s">
        <v>4854</v>
      </c>
      <c r="BA995" s="102" t="s">
        <v>4854</v>
      </c>
      <c r="BB995" s="102" t="s">
        <v>4854</v>
      </c>
      <c r="BC995" s="3" t="s">
        <v>4854</v>
      </c>
      <c r="BD995" s="3" t="s">
        <v>4854</v>
      </c>
      <c r="BE995" s="5">
        <v>1</v>
      </c>
      <c r="BF995" s="3" t="s">
        <v>4854</v>
      </c>
      <c r="BG995" s="3" t="s">
        <v>4854</v>
      </c>
      <c r="BH995" s="3" t="s">
        <v>4854</v>
      </c>
      <c r="BI995" s="3" t="s">
        <v>4854</v>
      </c>
      <c r="BJ995" s="3" t="s">
        <v>4854</v>
      </c>
      <c r="BK995" s="99" t="s">
        <v>4854</v>
      </c>
      <c r="BL995" s="99" t="s">
        <v>4854</v>
      </c>
      <c r="BM995" s="90">
        <v>1</v>
      </c>
      <c r="BN995" s="99" t="s">
        <v>4854</v>
      </c>
      <c r="BO995" s="99" t="s">
        <v>4854</v>
      </c>
      <c r="BP995" s="99" t="s">
        <v>4854</v>
      </c>
      <c r="BQ995" s="99" t="s">
        <v>4854</v>
      </c>
      <c r="BR995" s="99" t="s">
        <v>4854</v>
      </c>
      <c r="BS995" s="5" t="s">
        <v>4857</v>
      </c>
    </row>
    <row r="996" spans="1:71" s="30" customFormat="1" ht="17.100000000000001" customHeight="1">
      <c r="A996" s="10">
        <v>985</v>
      </c>
      <c r="B996" s="10" t="s">
        <v>1069</v>
      </c>
      <c r="C996" s="4" t="s">
        <v>1279</v>
      </c>
      <c r="D996" s="4" t="s">
        <v>1062</v>
      </c>
      <c r="E996" s="4" t="s">
        <v>1063</v>
      </c>
      <c r="F996" s="10" t="s">
        <v>5185</v>
      </c>
      <c r="G996" s="4" t="s">
        <v>1064</v>
      </c>
      <c r="H996" s="7" t="s">
        <v>1065</v>
      </c>
      <c r="I996" s="4" t="s">
        <v>1066</v>
      </c>
      <c r="J996" s="10" t="s">
        <v>1067</v>
      </c>
      <c r="K996" s="4" t="s">
        <v>5949</v>
      </c>
      <c r="L996" s="4" t="s">
        <v>1070</v>
      </c>
      <c r="M996" s="10">
        <v>3</v>
      </c>
      <c r="N996" s="95">
        <v>696.33069999999998</v>
      </c>
      <c r="O996" s="38" t="s">
        <v>4854</v>
      </c>
      <c r="P996" s="38" t="s">
        <v>4854</v>
      </c>
      <c r="Q996" s="38" t="s">
        <v>4854</v>
      </c>
      <c r="R996" s="38" t="s">
        <v>4854</v>
      </c>
      <c r="S996" s="38" t="s">
        <v>4854</v>
      </c>
      <c r="T996" s="38" t="s">
        <v>4854</v>
      </c>
      <c r="U996" s="37" t="str">
        <f>HYPERLINK("http://ms.phosphosite.org:5080/cgi-bin/plot-msms.cgi?MassType=1&amp;NumAxis=1&amp;Mod15=170&amp;Mod17=170&amp;Pep=EKQIESSDYDSSSSKGKK&amp;Dta=/var/www/html/dta/S01/10564.2653.3.dta&amp;Global_Mod=CS57.0215", "2653")</f>
        <v>2653</v>
      </c>
      <c r="V996" s="38" t="s">
        <v>4854</v>
      </c>
      <c r="W996" s="4" t="s">
        <v>4854</v>
      </c>
      <c r="X996" s="4" t="s">
        <v>4854</v>
      </c>
      <c r="Y996" s="4" t="s">
        <v>4854</v>
      </c>
      <c r="Z996" s="4" t="s">
        <v>4854</v>
      </c>
      <c r="AA996" s="4" t="s">
        <v>4854</v>
      </c>
      <c r="AB996" s="4" t="s">
        <v>4854</v>
      </c>
      <c r="AC996" s="10">
        <v>2643</v>
      </c>
      <c r="AD996" s="4" t="s">
        <v>4854</v>
      </c>
      <c r="AE996" s="100" t="s">
        <v>4854</v>
      </c>
      <c r="AF996" s="100" t="s">
        <v>4854</v>
      </c>
      <c r="AG996" s="100" t="s">
        <v>4854</v>
      </c>
      <c r="AH996" s="100" t="s">
        <v>4854</v>
      </c>
      <c r="AI996" s="100" t="s">
        <v>4854</v>
      </c>
      <c r="AJ996" s="100" t="s">
        <v>4854</v>
      </c>
      <c r="AK996" s="91">
        <v>2.911</v>
      </c>
      <c r="AL996" s="100" t="s">
        <v>4854</v>
      </c>
      <c r="AM996" s="103" t="s">
        <v>4854</v>
      </c>
      <c r="AN996" s="103" t="s">
        <v>4854</v>
      </c>
      <c r="AO996" s="103" t="s">
        <v>4854</v>
      </c>
      <c r="AP996" s="103" t="s">
        <v>4854</v>
      </c>
      <c r="AQ996" s="103" t="s">
        <v>4854</v>
      </c>
      <c r="AR996" s="103" t="s">
        <v>4854</v>
      </c>
      <c r="AS996" s="95">
        <v>2.597</v>
      </c>
      <c r="AT996" s="103" t="s">
        <v>4854</v>
      </c>
      <c r="AU996" s="103" t="s">
        <v>4854</v>
      </c>
      <c r="AV996" s="103" t="s">
        <v>4854</v>
      </c>
      <c r="AW996" s="103" t="s">
        <v>4854</v>
      </c>
      <c r="AX996" s="103" t="s">
        <v>4854</v>
      </c>
      <c r="AY996" s="103" t="s">
        <v>4854</v>
      </c>
      <c r="AZ996" s="103" t="s">
        <v>4854</v>
      </c>
      <c r="BA996" s="95">
        <v>0.188</v>
      </c>
      <c r="BB996" s="103" t="s">
        <v>4854</v>
      </c>
      <c r="BC996" s="4" t="s">
        <v>4854</v>
      </c>
      <c r="BD996" s="4" t="s">
        <v>4854</v>
      </c>
      <c r="BE996" s="4" t="s">
        <v>4854</v>
      </c>
      <c r="BF996" s="4" t="s">
        <v>4854</v>
      </c>
      <c r="BG996" s="4" t="s">
        <v>4854</v>
      </c>
      <c r="BH996" s="4" t="s">
        <v>4854</v>
      </c>
      <c r="BI996" s="10">
        <v>2</v>
      </c>
      <c r="BJ996" s="4" t="s">
        <v>4854</v>
      </c>
      <c r="BK996" s="100" t="s">
        <v>4854</v>
      </c>
      <c r="BL996" s="100" t="s">
        <v>4854</v>
      </c>
      <c r="BM996" s="100" t="s">
        <v>4854</v>
      </c>
      <c r="BN996" s="100" t="s">
        <v>4854</v>
      </c>
      <c r="BO996" s="100" t="s">
        <v>4854</v>
      </c>
      <c r="BP996" s="100" t="s">
        <v>4854</v>
      </c>
      <c r="BQ996" s="91">
        <v>0.99</v>
      </c>
      <c r="BR996" s="100" t="s">
        <v>4854</v>
      </c>
      <c r="BS996" s="10" t="s">
        <v>4857</v>
      </c>
    </row>
    <row r="997" spans="1:71" s="30" customFormat="1" ht="17.100000000000001" customHeight="1">
      <c r="A997" s="10">
        <v>986</v>
      </c>
      <c r="B997" s="10" t="s">
        <v>1071</v>
      </c>
      <c r="C997" s="4" t="s">
        <v>1279</v>
      </c>
      <c r="D997" s="4" t="s">
        <v>1062</v>
      </c>
      <c r="E997" s="4" t="s">
        <v>1063</v>
      </c>
      <c r="F997" s="10" t="s">
        <v>5185</v>
      </c>
      <c r="G997" s="4" t="s">
        <v>1064</v>
      </c>
      <c r="H997" s="7" t="s">
        <v>1065</v>
      </c>
      <c r="I997" s="4" t="s">
        <v>1066</v>
      </c>
      <c r="J997" s="10" t="s">
        <v>1067</v>
      </c>
      <c r="K997" s="4" t="s">
        <v>5949</v>
      </c>
      <c r="L997" s="4" t="s">
        <v>1072</v>
      </c>
      <c r="M997" s="10">
        <v>2</v>
      </c>
      <c r="N997" s="95">
        <v>915.42359999999996</v>
      </c>
      <c r="O997" s="37" t="str">
        <f>HYPERLINK("http://ms.phosphosite.org:5080/cgi-bin/plot-msms.cgi?MassType=1&amp;NumAxis=1&amp;Mod13=170&amp;Mod15=170&amp;Pep=QIESSDYDSSSSKGKK&amp;Dta=/var/www/html/dta/S01/10558.2955.2.dta&amp;Global_Mod=CS57.0215", "2955")</f>
        <v>2955</v>
      </c>
      <c r="P997" s="37" t="str">
        <f>HYPERLINK("http://ms.phosphosite.org:5080/cgi-bin/plot-msms.cgi?MassType=1&amp;NumAxis=1&amp;Mod13=170&amp;Mod15=170&amp;Pep=QIESSDYDSSSSKGKK&amp;Dta=/var/www/html/dta/S01/10559.2911.2.dta&amp;Global_Mod=CS57.0215", "2911")</f>
        <v>2911</v>
      </c>
      <c r="Q997" s="37" t="str">
        <f>HYPERLINK("http://ms.phosphosite.org:5080/cgi-bin/plot-msms.cgi?MassType=1&amp;NumAxis=1&amp;Mod13=170&amp;Mod15=170&amp;Pep=QIESSDYDSSSSKGKK&amp;Dta=/var/www/html/dta/S01/10560.2866.2.dta&amp;Global_Mod=CS57.0215", "2866")</f>
        <v>2866</v>
      </c>
      <c r="R997" s="37" t="str">
        <f>HYPERLINK("http://ms.phosphosite.org:5080/cgi-bin/plot-msms.cgi?MassType=1&amp;NumAxis=1&amp;Mod13=170&amp;Mod15=170&amp;Pep=QIESSDYDSSSSKGKK&amp;Dta=/var/www/html/dta/S01/10561.2896.2.dta&amp;Global_Mod=CS57.0215", "2896")</f>
        <v>2896</v>
      </c>
      <c r="S997" s="37" t="str">
        <f>HYPERLINK("http://ms.phosphosite.org:5080/cgi-bin/plot-msms.cgi?MassType=1&amp;NumAxis=1&amp;Mod13=170&amp;Mod15=170&amp;Pep=QIESSDYDSSSSKGKK&amp;Dta=/var/www/html/dta/S01/10562.3005.2.dta&amp;Global_Mod=CS57.0215", "3005")</f>
        <v>3005</v>
      </c>
      <c r="T997" s="37" t="str">
        <f>HYPERLINK("http://ms.phosphosite.org:5080/cgi-bin/plot-msms.cgi?MassType=1&amp;NumAxis=1&amp;Mod13=170&amp;Mod15=170&amp;Pep=QIESSDYDSSSSKGKK&amp;Dta=/var/www/html/dta/S01/10563.2935.2.dta&amp;Global_Mod=CS57.0215", "2935")</f>
        <v>2935</v>
      </c>
      <c r="U997" s="37" t="str">
        <f>HYPERLINK("http://ms.phosphosite.org:5080/cgi-bin/plot-msms.cgi?MassType=1&amp;NumAxis=1&amp;Mod13=170&amp;Mod15=170&amp;Pep=QIESSDYDSSSSKGKK&amp;Dta=/var/www/html/dta/S01/10564.3223.2.dta&amp;Global_Mod=CS57.0215", "3223")</f>
        <v>3223</v>
      </c>
      <c r="V997" s="37" t="str">
        <f>HYPERLINK("http://ms.phosphosite.org:5080/cgi-bin/plot-msms.cgi?MassType=1&amp;NumAxis=1&amp;Mod13=170&amp;Mod15=170&amp;Pep=QIESSDYDSSSSKGKK&amp;Dta=/var/www/html/dta/S01/10565.3282.2.dta&amp;Global_Mod=CS57.0215", "3282")</f>
        <v>3282</v>
      </c>
      <c r="W997" s="10">
        <v>2964</v>
      </c>
      <c r="X997" s="10">
        <v>2925</v>
      </c>
      <c r="Y997" s="10">
        <v>2860</v>
      </c>
      <c r="Z997" s="10">
        <v>2910</v>
      </c>
      <c r="AA997" s="10">
        <v>3013</v>
      </c>
      <c r="AB997" s="10">
        <v>2943</v>
      </c>
      <c r="AC997" s="10">
        <v>3228</v>
      </c>
      <c r="AD997" s="10">
        <v>3305</v>
      </c>
      <c r="AE997" s="91">
        <v>4.4050000000000002</v>
      </c>
      <c r="AF997" s="91">
        <v>3.18</v>
      </c>
      <c r="AG997" s="91">
        <v>3.504</v>
      </c>
      <c r="AH997" s="91">
        <v>4.2619999999999996</v>
      </c>
      <c r="AI997" s="91">
        <v>3.61</v>
      </c>
      <c r="AJ997" s="91">
        <v>3.3639999999999999</v>
      </c>
      <c r="AK997" s="91">
        <v>3.8279999999999998</v>
      </c>
      <c r="AL997" s="91">
        <v>4.391</v>
      </c>
      <c r="AM997" s="95">
        <v>1.2553000000000001</v>
      </c>
      <c r="AN997" s="95">
        <v>1.1842999999999999</v>
      </c>
      <c r="AO997" s="95">
        <v>1.0913999999999999</v>
      </c>
      <c r="AP997" s="95">
        <v>1.1782999999999999</v>
      </c>
      <c r="AQ997" s="95">
        <v>0.93179999999999996</v>
      </c>
      <c r="AR997" s="95">
        <v>0.499</v>
      </c>
      <c r="AS997" s="95">
        <v>0.89410000000000001</v>
      </c>
      <c r="AT997" s="95">
        <v>0.22850000000000001</v>
      </c>
      <c r="AU997" s="95">
        <v>0.51700000000000002</v>
      </c>
      <c r="AV997" s="95">
        <v>0.54</v>
      </c>
      <c r="AW997" s="95">
        <v>0.505</v>
      </c>
      <c r="AX997" s="95">
        <v>0.47799999999999998</v>
      </c>
      <c r="AY997" s="95">
        <v>0.52</v>
      </c>
      <c r="AZ997" s="95">
        <v>0.52900000000000003</v>
      </c>
      <c r="BA997" s="95">
        <v>0.46800000000000003</v>
      </c>
      <c r="BB997" s="95">
        <v>0.54500000000000004</v>
      </c>
      <c r="BC997" s="10">
        <v>1</v>
      </c>
      <c r="BD997" s="10">
        <v>1</v>
      </c>
      <c r="BE997" s="10">
        <v>1</v>
      </c>
      <c r="BF997" s="10">
        <v>1</v>
      </c>
      <c r="BG997" s="10">
        <v>1</v>
      </c>
      <c r="BH997" s="10">
        <v>1</v>
      </c>
      <c r="BI997" s="10">
        <v>1</v>
      </c>
      <c r="BJ997" s="10">
        <v>1</v>
      </c>
      <c r="BK997" s="91">
        <v>1</v>
      </c>
      <c r="BL997" s="91">
        <v>1</v>
      </c>
      <c r="BM997" s="91">
        <v>1</v>
      </c>
      <c r="BN997" s="91">
        <v>1</v>
      </c>
      <c r="BO997" s="91">
        <v>1</v>
      </c>
      <c r="BP997" s="91">
        <v>1</v>
      </c>
      <c r="BQ997" s="91">
        <v>1</v>
      </c>
      <c r="BR997" s="91">
        <v>1</v>
      </c>
      <c r="BS997" s="10" t="s">
        <v>4857</v>
      </c>
    </row>
    <row r="998" spans="1:71" s="30" customFormat="1" ht="17.100000000000001" customHeight="1">
      <c r="A998" s="10">
        <v>987</v>
      </c>
      <c r="B998" s="10" t="s">
        <v>1073</v>
      </c>
      <c r="C998" s="4" t="s">
        <v>1279</v>
      </c>
      <c r="D998" s="4" t="s">
        <v>1062</v>
      </c>
      <c r="E998" s="4" t="s">
        <v>1063</v>
      </c>
      <c r="F998" s="10" t="s">
        <v>5185</v>
      </c>
      <c r="G998" s="4" t="s">
        <v>1064</v>
      </c>
      <c r="H998" s="7" t="s">
        <v>1065</v>
      </c>
      <c r="I998" s="4" t="s">
        <v>1066</v>
      </c>
      <c r="J998" s="10" t="s">
        <v>1067</v>
      </c>
      <c r="K998" s="4" t="s">
        <v>5949</v>
      </c>
      <c r="L998" s="4" t="s">
        <v>1072</v>
      </c>
      <c r="M998" s="10">
        <v>3</v>
      </c>
      <c r="N998" s="95">
        <v>610.6182</v>
      </c>
      <c r="O998" s="37" t="str">
        <f>HYPERLINK("http://ms.phosphosite.org:5080/cgi-bin/plot-msms.cgi?MassType=1&amp;NumAxis=1&amp;Mod13=170&amp;Mod15=170&amp;Pep=QIESSDYDSSSSKGKK&amp;Dta=/var/www/html/dta/S01/10558.2966.3.dta&amp;Global_Mod=CS57.0215", "2966")</f>
        <v>2966</v>
      </c>
      <c r="P998" s="37" t="str">
        <f>HYPERLINK("http://ms.phosphosite.org:5080/cgi-bin/plot-msms.cgi?MassType=1&amp;NumAxis=1&amp;Mod13=170&amp;Mod15=170&amp;Pep=QIESSDYDSSSSKGKK&amp;Dta=/var/www/html/dta/S01/10559.2901.3.dta&amp;Global_Mod=CS57.0215", "2901")</f>
        <v>2901</v>
      </c>
      <c r="Q998" s="37" t="str">
        <f>HYPERLINK("http://ms.phosphosite.org:5080/cgi-bin/plot-msms.cgi?MassType=1&amp;NumAxis=1&amp;Mod13=170&amp;Mod15=170&amp;Pep=QIESSDYDSSSSKGKK&amp;Dta=/var/www/html/dta/S01/10560.2862.3.dta&amp;Global_Mod=CS57.0215", "2862")</f>
        <v>2862</v>
      </c>
      <c r="R998" s="37" t="str">
        <f>HYPERLINK("http://ms.phosphosite.org:5080/cgi-bin/plot-msms.cgi?MassType=1&amp;NumAxis=1&amp;Mod13=170&amp;Mod15=170&amp;Pep=QIESSDYDSSSSKGKK&amp;Dta=/var/www/html/dta/S01/10561.2891.3.dta&amp;Global_Mod=CS57.0215", "2891")</f>
        <v>2891</v>
      </c>
      <c r="S998" s="37" t="str">
        <f>HYPERLINK("http://ms.phosphosite.org:5080/cgi-bin/plot-msms.cgi?MassType=1&amp;NumAxis=1&amp;Mod13=170&amp;Mod15=170&amp;Pep=QIESSDYDSSSSKGKK&amp;Dta=/var/www/html/dta/S01/10562.2996.3.dta&amp;Global_Mod=CS57.0215", "2996")</f>
        <v>2996</v>
      </c>
      <c r="T998" s="37" t="str">
        <f>HYPERLINK("http://ms.phosphosite.org:5080/cgi-bin/plot-msms.cgi?MassType=1&amp;NumAxis=1&amp;Mod13=170&amp;Mod15=170&amp;Pep=QIESSDYDSSSSKGKK&amp;Dta=/var/www/html/dta/S01/10563.2924.3.dta&amp;Global_Mod=CS57.0215", "2924")</f>
        <v>2924</v>
      </c>
      <c r="U998" s="37" t="str">
        <f>HYPERLINK("http://ms.phosphosite.org:5080/cgi-bin/plot-msms.cgi?MassType=1&amp;NumAxis=1&amp;Mod13=170&amp;Mod15=170&amp;Pep=QIESSDYDSSSSKGKK&amp;Dta=/var/www/html/dta/S01/10564.3221.3.dta&amp;Global_Mod=CS57.0215", "3221")</f>
        <v>3221</v>
      </c>
      <c r="V998" s="37" t="str">
        <f>HYPERLINK("http://ms.phosphosite.org:5080/cgi-bin/plot-msms.cgi?MassType=1&amp;NumAxis=1&amp;Mod13=170&amp;Mod15=170&amp;Pep=QIESSDYDSSSSKGKK&amp;Dta=/var/www/html/dta/S01/10565.3307.3.dta&amp;Global_Mod=CS57.0215", "3307")</f>
        <v>3307</v>
      </c>
      <c r="W998" s="10">
        <v>2964</v>
      </c>
      <c r="X998" s="10">
        <v>2925</v>
      </c>
      <c r="Y998" s="10">
        <v>2871</v>
      </c>
      <c r="Z998" s="10">
        <v>2910</v>
      </c>
      <c r="AA998" s="10">
        <v>3013</v>
      </c>
      <c r="AB998" s="10">
        <v>2943</v>
      </c>
      <c r="AC998" s="10">
        <v>3228</v>
      </c>
      <c r="AD998" s="10">
        <v>3294</v>
      </c>
      <c r="AE998" s="91">
        <v>3.577</v>
      </c>
      <c r="AF998" s="91">
        <v>3.4780000000000002</v>
      </c>
      <c r="AG998" s="91">
        <v>4.4450000000000003</v>
      </c>
      <c r="AH998" s="91">
        <v>3.8959999999999999</v>
      </c>
      <c r="AI998" s="91">
        <v>4.1920000000000002</v>
      </c>
      <c r="AJ998" s="91">
        <v>3.5739999999999998</v>
      </c>
      <c r="AK998" s="91">
        <v>4.8010000000000002</v>
      </c>
      <c r="AL998" s="91">
        <v>3.956</v>
      </c>
      <c r="AM998" s="95">
        <v>0.55310000000000004</v>
      </c>
      <c r="AN998" s="95">
        <v>0.1804</v>
      </c>
      <c r="AO998" s="95">
        <v>0.54979999999999996</v>
      </c>
      <c r="AP998" s="95">
        <v>0.3831</v>
      </c>
      <c r="AQ998" s="95">
        <v>0.22140000000000001</v>
      </c>
      <c r="AR998" s="95">
        <v>0.1011</v>
      </c>
      <c r="AS998" s="95">
        <v>0.3962</v>
      </c>
      <c r="AT998" s="95">
        <v>7.7600000000000002E-2</v>
      </c>
      <c r="AU998" s="95">
        <v>0.42</v>
      </c>
      <c r="AV998" s="95">
        <v>0.377</v>
      </c>
      <c r="AW998" s="95">
        <v>0.37</v>
      </c>
      <c r="AX998" s="95">
        <v>0.42699999999999999</v>
      </c>
      <c r="AY998" s="95">
        <v>0.35599999999999998</v>
      </c>
      <c r="AZ998" s="95">
        <v>0.27600000000000002</v>
      </c>
      <c r="BA998" s="95">
        <v>0.44400000000000001</v>
      </c>
      <c r="BB998" s="95">
        <v>0.44700000000000001</v>
      </c>
      <c r="BC998" s="10">
        <v>1</v>
      </c>
      <c r="BD998" s="10">
        <v>1</v>
      </c>
      <c r="BE998" s="10">
        <v>1</v>
      </c>
      <c r="BF998" s="10">
        <v>1</v>
      </c>
      <c r="BG998" s="10">
        <v>1</v>
      </c>
      <c r="BH998" s="10">
        <v>1</v>
      </c>
      <c r="BI998" s="10">
        <v>1</v>
      </c>
      <c r="BJ998" s="10">
        <v>1</v>
      </c>
      <c r="BK998" s="91">
        <v>1</v>
      </c>
      <c r="BL998" s="91">
        <v>1</v>
      </c>
      <c r="BM998" s="91">
        <v>1</v>
      </c>
      <c r="BN998" s="91">
        <v>1</v>
      </c>
      <c r="BO998" s="91">
        <v>1</v>
      </c>
      <c r="BP998" s="91">
        <v>1</v>
      </c>
      <c r="BQ998" s="91">
        <v>1</v>
      </c>
      <c r="BR998" s="91">
        <v>1</v>
      </c>
      <c r="BS998" s="10" t="s">
        <v>4857</v>
      </c>
    </row>
    <row r="999" spans="1:71" s="30" customFormat="1" ht="17.100000000000001" customHeight="1">
      <c r="A999" s="14">
        <v>988</v>
      </c>
      <c r="B999" s="5" t="s">
        <v>1074</v>
      </c>
      <c r="C999" s="3" t="s">
        <v>1279</v>
      </c>
      <c r="D999" s="3" t="s">
        <v>1075</v>
      </c>
      <c r="E999" s="3" t="s">
        <v>1076</v>
      </c>
      <c r="F999" s="5" t="s">
        <v>5018</v>
      </c>
      <c r="G999" s="3" t="s">
        <v>1064</v>
      </c>
      <c r="H999" s="6" t="s">
        <v>1077</v>
      </c>
      <c r="I999" s="3" t="s">
        <v>1078</v>
      </c>
      <c r="J999" s="5" t="s">
        <v>4672</v>
      </c>
      <c r="K999" s="3" t="s">
        <v>5950</v>
      </c>
      <c r="L999" s="3" t="s">
        <v>1079</v>
      </c>
      <c r="M999" s="5">
        <v>3</v>
      </c>
      <c r="N999" s="21">
        <v>705.66610000000003</v>
      </c>
      <c r="O999" s="35" t="s">
        <v>4854</v>
      </c>
      <c r="P999" s="35" t="s">
        <v>4854</v>
      </c>
      <c r="Q999" s="35" t="s">
        <v>4854</v>
      </c>
      <c r="R999" s="36" t="str">
        <f>HYPERLINK("http://ms.phosphosite.org:5080/cgi-bin/plot-msms.cgi?MassType=1&amp;NumAxis=1&amp;Mod13=170&amp;Mod15=170&amp;Mod16=170&amp;Pep=QIESSDYDSSSSKGKKSR&amp;Dta=/var/www/html/dta/S01/10561.3541.3.dta&amp;Global_Mod=CS57.0215", "3541")</f>
        <v>3541</v>
      </c>
      <c r="S999" s="35" t="s">
        <v>4854</v>
      </c>
      <c r="T999" s="35" t="s">
        <v>4854</v>
      </c>
      <c r="U999" s="36" t="str">
        <f>HYPERLINK("http://ms.phosphosite.org:5080/cgi-bin/plot-msms.cgi?MassType=1&amp;NumAxis=1&amp;Mod13=170&amp;Mod15=170&amp;Mod16=170&amp;Pep=QIESSDYDSSSSKGKKSR&amp;Dta=/var/www/html/dta/S01/10564.3867.3.dta&amp;Global_Mod=CS57.0215", "3867")</f>
        <v>3867</v>
      </c>
      <c r="V999" s="36" t="str">
        <f>HYPERLINK("http://ms.phosphosite.org:5080/cgi-bin/plot-msms.cgi?MassType=1&amp;NumAxis=1&amp;Mod13=170&amp;Mod15=170&amp;Mod16=170&amp;Pep=QIESSDYDSSSSKGKKSR&amp;Dta=/var/www/html/dta/S01/10565.3973.3.dta&amp;Global_Mod=CS57.0215", "3973")</f>
        <v>3973</v>
      </c>
      <c r="W999" s="3" t="s">
        <v>4854</v>
      </c>
      <c r="X999" s="3" t="s">
        <v>4854</v>
      </c>
      <c r="Y999" s="3" t="s">
        <v>4854</v>
      </c>
      <c r="Z999" s="5">
        <v>3533</v>
      </c>
      <c r="AA999" s="3" t="s">
        <v>4854</v>
      </c>
      <c r="AB999" s="3" t="s">
        <v>4854</v>
      </c>
      <c r="AC999" s="5">
        <v>3857</v>
      </c>
      <c r="AD999" s="5">
        <v>3960</v>
      </c>
      <c r="AE999" s="99" t="s">
        <v>4854</v>
      </c>
      <c r="AF999" s="99" t="s">
        <v>4854</v>
      </c>
      <c r="AG999" s="99" t="s">
        <v>4854</v>
      </c>
      <c r="AH999" s="90">
        <v>2.831</v>
      </c>
      <c r="AI999" s="99" t="s">
        <v>4854</v>
      </c>
      <c r="AJ999" s="99" t="s">
        <v>4854</v>
      </c>
      <c r="AK999" s="90">
        <v>3.101</v>
      </c>
      <c r="AL999" s="90">
        <v>2.2839999999999998</v>
      </c>
      <c r="AM999" s="102" t="s">
        <v>4854</v>
      </c>
      <c r="AN999" s="102" t="s">
        <v>4854</v>
      </c>
      <c r="AO999" s="102" t="s">
        <v>4854</v>
      </c>
      <c r="AP999" s="21">
        <v>1.2930999999999999</v>
      </c>
      <c r="AQ999" s="102" t="s">
        <v>4854</v>
      </c>
      <c r="AR999" s="102" t="s">
        <v>4854</v>
      </c>
      <c r="AS999" s="21">
        <v>1.1853</v>
      </c>
      <c r="AT999" s="21">
        <v>1.2486999999999999</v>
      </c>
      <c r="AU999" s="102" t="s">
        <v>4854</v>
      </c>
      <c r="AV999" s="102" t="s">
        <v>4854</v>
      </c>
      <c r="AW999" s="102" t="s">
        <v>4854</v>
      </c>
      <c r="AX999" s="21">
        <v>0.23100000000000001</v>
      </c>
      <c r="AY999" s="102" t="s">
        <v>4854</v>
      </c>
      <c r="AZ999" s="102" t="s">
        <v>4854</v>
      </c>
      <c r="BA999" s="21">
        <v>0.224</v>
      </c>
      <c r="BB999" s="21">
        <v>0.223</v>
      </c>
      <c r="BC999" s="3" t="s">
        <v>4854</v>
      </c>
      <c r="BD999" s="3" t="s">
        <v>4854</v>
      </c>
      <c r="BE999" s="3" t="s">
        <v>4854</v>
      </c>
      <c r="BF999" s="5">
        <v>1</v>
      </c>
      <c r="BG999" s="3" t="s">
        <v>4854</v>
      </c>
      <c r="BH999" s="3" t="s">
        <v>4854</v>
      </c>
      <c r="BI999" s="5">
        <v>1</v>
      </c>
      <c r="BJ999" s="5">
        <v>1</v>
      </c>
      <c r="BK999" s="99" t="s">
        <v>4854</v>
      </c>
      <c r="BL999" s="99" t="s">
        <v>4854</v>
      </c>
      <c r="BM999" s="99" t="s">
        <v>4854</v>
      </c>
      <c r="BN999" s="90">
        <v>0.999</v>
      </c>
      <c r="BO999" s="99" t="s">
        <v>4854</v>
      </c>
      <c r="BP999" s="99" t="s">
        <v>4854</v>
      </c>
      <c r="BQ999" s="90">
        <v>0.999</v>
      </c>
      <c r="BR999" s="90">
        <v>0.997</v>
      </c>
      <c r="BS999" s="5" t="s">
        <v>4857</v>
      </c>
    </row>
    <row r="1000" spans="1:71" s="30" customFormat="1" ht="17.100000000000001" customHeight="1">
      <c r="A1000" s="10">
        <v>989</v>
      </c>
      <c r="B1000" s="10" t="s">
        <v>1080</v>
      </c>
      <c r="C1000" s="4" t="s">
        <v>1279</v>
      </c>
      <c r="D1000" s="4" t="s">
        <v>1062</v>
      </c>
      <c r="E1000" s="4" t="s">
        <v>1063</v>
      </c>
      <c r="F1000" s="10" t="s">
        <v>4961</v>
      </c>
      <c r="G1000" s="4" t="s">
        <v>1064</v>
      </c>
      <c r="H1000" s="7" t="s">
        <v>1065</v>
      </c>
      <c r="I1000" s="4" t="s">
        <v>1066</v>
      </c>
      <c r="J1000" s="10" t="s">
        <v>1067</v>
      </c>
      <c r="K1000" s="4" t="s">
        <v>5951</v>
      </c>
      <c r="L1000" s="4" t="s">
        <v>1081</v>
      </c>
      <c r="M1000" s="10">
        <v>2</v>
      </c>
      <c r="N1000" s="95">
        <v>687.33079999999995</v>
      </c>
      <c r="O1000" s="37" t="str">
        <f>HYPERLINK("http://ms.phosphosite.org:5080/cgi-bin/plot-msms.cgi?MassType=1&amp;NumAxis=1&amp;Mod2=170&amp;Mod4=170&amp;Pep=SKGKNSDEEAPK&amp;Dta=/var/www/html/dta/S01/10558.1713.2.dta&amp;Global_Mod=CS57.0215", "1713")</f>
        <v>1713</v>
      </c>
      <c r="P1000" s="37" t="str">
        <f>HYPERLINK("http://ms.phosphosite.org:5080/cgi-bin/plot-msms.cgi?MassType=1&amp;NumAxis=1&amp;Mod2=170&amp;Mod4=170&amp;Pep=SKGKNSDEEAPK&amp;Dta=/var/www/html/dta/S01/10559.1680.2.dta&amp;Global_Mod=CS57.0215", "1680")</f>
        <v>1680</v>
      </c>
      <c r="Q1000" s="37" t="str">
        <f>HYPERLINK("http://ms.phosphosite.org:5080/cgi-bin/plot-msms.cgi?MassType=1&amp;NumAxis=1&amp;Mod2=170&amp;Mod4=170&amp;Pep=SKGKNSDEEAPK&amp;Dta=/var/www/html/dta/S01/10560.1675.2.dta&amp;Global_Mod=CS57.0215", "1675")</f>
        <v>1675</v>
      </c>
      <c r="R1000" s="37" t="str">
        <f>HYPERLINK("http://ms.phosphosite.org:5080/cgi-bin/plot-msms.cgi?MassType=1&amp;NumAxis=1&amp;Mod2=170&amp;Mod4=170&amp;Pep=SKGKNSDEEAPK&amp;Dta=/var/www/html/dta/S01/10561.1668.2.dta&amp;Global_Mod=CS57.0215", "1668")</f>
        <v>1668</v>
      </c>
      <c r="S1000" s="37" t="str">
        <f>HYPERLINK("http://ms.phosphosite.org:5080/cgi-bin/plot-msms.cgi?MassType=1&amp;NumAxis=1&amp;Mod2=170&amp;Mod4=170&amp;Pep=SKGKNSDEEAPK&amp;Dta=/var/www/html/dta/S01/10562.1734.2.dta&amp;Global_Mod=CS57.0215", "1734")</f>
        <v>1734</v>
      </c>
      <c r="T1000" s="37" t="str">
        <f>HYPERLINK("http://ms.phosphosite.org:5080/cgi-bin/plot-msms.cgi?MassType=1&amp;NumAxis=1&amp;Mod2=170&amp;Mod4=170&amp;Pep=SKGKNSDEEAPK&amp;Dta=/var/www/html/dta/S01/10563.1653.2.dta&amp;Global_Mod=CS57.0215", "1653")</f>
        <v>1653</v>
      </c>
      <c r="U1000" s="38" t="s">
        <v>4854</v>
      </c>
      <c r="V1000" s="38" t="s">
        <v>4854</v>
      </c>
      <c r="W1000" s="10">
        <v>1719</v>
      </c>
      <c r="X1000" s="10">
        <v>1667</v>
      </c>
      <c r="Y1000" s="10">
        <v>1660</v>
      </c>
      <c r="Z1000" s="10">
        <v>1676</v>
      </c>
      <c r="AA1000" s="10">
        <v>1732</v>
      </c>
      <c r="AB1000" s="10">
        <v>1658</v>
      </c>
      <c r="AC1000" s="4" t="s">
        <v>4854</v>
      </c>
      <c r="AD1000" s="4" t="s">
        <v>4854</v>
      </c>
      <c r="AE1000" s="91">
        <v>3.3940000000000001</v>
      </c>
      <c r="AF1000" s="91">
        <v>3.5249999999999999</v>
      </c>
      <c r="AG1000" s="91">
        <v>3.47</v>
      </c>
      <c r="AH1000" s="91">
        <v>3.2370000000000001</v>
      </c>
      <c r="AI1000" s="91">
        <v>3.222</v>
      </c>
      <c r="AJ1000" s="91">
        <v>3.3050000000000002</v>
      </c>
      <c r="AK1000" s="100" t="s">
        <v>4854</v>
      </c>
      <c r="AL1000" s="100" t="s">
        <v>4854</v>
      </c>
      <c r="AM1000" s="95">
        <v>-2.2549000000000001</v>
      </c>
      <c r="AN1000" s="95">
        <v>-2.2111999999999998</v>
      </c>
      <c r="AO1000" s="95">
        <v>-2.1652999999999998</v>
      </c>
      <c r="AP1000" s="95">
        <v>-2.3159999999999998</v>
      </c>
      <c r="AQ1000" s="95">
        <v>-2.3633000000000002</v>
      </c>
      <c r="AR1000" s="95">
        <v>-2.4194</v>
      </c>
      <c r="AS1000" s="103" t="s">
        <v>4854</v>
      </c>
      <c r="AT1000" s="103" t="s">
        <v>4854</v>
      </c>
      <c r="AU1000" s="95">
        <v>0.29099999999999998</v>
      </c>
      <c r="AV1000" s="95">
        <v>0.32100000000000001</v>
      </c>
      <c r="AW1000" s="95">
        <v>0.34799999999999998</v>
      </c>
      <c r="AX1000" s="95">
        <v>0.24</v>
      </c>
      <c r="AY1000" s="95">
        <v>0.28199999999999997</v>
      </c>
      <c r="AZ1000" s="95">
        <v>0.39900000000000002</v>
      </c>
      <c r="BA1000" s="103" t="s">
        <v>4854</v>
      </c>
      <c r="BB1000" s="103" t="s">
        <v>4854</v>
      </c>
      <c r="BC1000" s="10">
        <v>1</v>
      </c>
      <c r="BD1000" s="10">
        <v>1</v>
      </c>
      <c r="BE1000" s="10">
        <v>1</v>
      </c>
      <c r="BF1000" s="10">
        <v>1</v>
      </c>
      <c r="BG1000" s="10">
        <v>1</v>
      </c>
      <c r="BH1000" s="10">
        <v>1</v>
      </c>
      <c r="BI1000" s="4" t="s">
        <v>4854</v>
      </c>
      <c r="BJ1000" s="4" t="s">
        <v>4854</v>
      </c>
      <c r="BK1000" s="91">
        <v>0.98499999999999999</v>
      </c>
      <c r="BL1000" s="91">
        <v>0.99</v>
      </c>
      <c r="BM1000" s="91">
        <v>0.99199999999999999</v>
      </c>
      <c r="BN1000" s="91">
        <v>0.97</v>
      </c>
      <c r="BO1000" s="91">
        <v>0.98</v>
      </c>
      <c r="BP1000" s="91">
        <v>0.99399999999999999</v>
      </c>
      <c r="BQ1000" s="100" t="s">
        <v>4854</v>
      </c>
      <c r="BR1000" s="100" t="s">
        <v>4854</v>
      </c>
      <c r="BS1000" s="10" t="s">
        <v>4857</v>
      </c>
    </row>
    <row r="1001" spans="1:71" s="30" customFormat="1" ht="17.100000000000001" customHeight="1">
      <c r="A1001" s="14">
        <v>990</v>
      </c>
      <c r="B1001" s="5" t="s">
        <v>1082</v>
      </c>
      <c r="C1001" s="3" t="s">
        <v>1279</v>
      </c>
      <c r="D1001" s="3" t="s">
        <v>1062</v>
      </c>
      <c r="E1001" s="3" t="s">
        <v>1063</v>
      </c>
      <c r="F1001" s="5" t="s">
        <v>5153</v>
      </c>
      <c r="G1001" s="3" t="s">
        <v>1064</v>
      </c>
      <c r="H1001" s="6" t="s">
        <v>1065</v>
      </c>
      <c r="I1001" s="3" t="s">
        <v>1066</v>
      </c>
      <c r="J1001" s="5" t="s">
        <v>1067</v>
      </c>
      <c r="K1001" s="3" t="s">
        <v>5952</v>
      </c>
      <c r="L1001" s="3" t="s">
        <v>1083</v>
      </c>
      <c r="M1001" s="5">
        <v>2</v>
      </c>
      <c r="N1001" s="21">
        <v>907.45</v>
      </c>
      <c r="O1001" s="36" t="str">
        <f>HYPERLINK("http://ms.phosphosite.org:5080/cgi-bin/plot-msms.cgi?MassType=1&amp;NumAxis=1&amp;Mod2=170&amp;Mod4=170&amp;Mod12=170&amp;Pep=SKGKNSDEEAPKAAQK&amp;Dta=/var/www/html/dta/S01/10558.2342.2.dta&amp;Global_Mod=CS57.0215", "2342")</f>
        <v>2342</v>
      </c>
      <c r="P1001" s="36" t="str">
        <f>HYPERLINK("http://ms.phosphosite.org:5080/cgi-bin/plot-msms.cgi?MassType=1&amp;NumAxis=1&amp;Mod2=170&amp;Mod4=170&amp;Mod12=170&amp;Pep=SKGKNSDEEAPKAAQK&amp;Dta=/var/www/html/dta/S01/10559.2286.2.dta&amp;Global_Mod=CS57.0215", "2286")</f>
        <v>2286</v>
      </c>
      <c r="Q1001" s="36" t="str">
        <f>HYPERLINK("http://ms.phosphosite.org:5080/cgi-bin/plot-msms.cgi?MassType=1&amp;NumAxis=1&amp;Mod2=170&amp;Mod4=170&amp;Mod12=170&amp;Pep=SKGKNSDEEAPKAAQK&amp;Dta=/var/www/html/dta/S01/10560.2282.2.dta&amp;Global_Mod=CS57.0215", "2282")</f>
        <v>2282</v>
      </c>
      <c r="R1001" s="36" t="str">
        <f>HYPERLINK("http://ms.phosphosite.org:5080/cgi-bin/plot-msms.cgi?MassType=1&amp;NumAxis=1&amp;Mod2=170&amp;Mod4=170&amp;Mod12=170&amp;Pep=SKGKNSDEEAPKAAQK&amp;Dta=/var/www/html/dta/S01/10561.2330.2.dta&amp;Global_Mod=CS57.0215", "2330")</f>
        <v>2330</v>
      </c>
      <c r="S1001" s="36" t="str">
        <f>HYPERLINK("http://ms.phosphosite.org:5080/cgi-bin/plot-msms.cgi?MassType=1&amp;NumAxis=1&amp;Mod2=170&amp;Mod4=170&amp;Mod12=170&amp;Pep=SKGKNSDEEAPKAAQK&amp;Dta=/var/www/html/dta/S01/10562.2388.2.dta&amp;Global_Mod=CS57.0215", "2388")</f>
        <v>2388</v>
      </c>
      <c r="T1001" s="36" t="str">
        <f>HYPERLINK("http://ms.phosphosite.org:5080/cgi-bin/plot-msms.cgi?MassType=1&amp;NumAxis=1&amp;Mod2=170&amp;Mod4=170&amp;Mod12=170&amp;Pep=SKGKNSDEEAPKAAQK&amp;Dta=/var/www/html/dta/S01/10563.2318.2.dta&amp;Global_Mod=CS57.0215", "2318")</f>
        <v>2318</v>
      </c>
      <c r="U1001" s="36" t="str">
        <f>HYPERLINK("http://ms.phosphosite.org:5080/cgi-bin/plot-msms.cgi?MassType=1&amp;NumAxis=1&amp;Mod2=170&amp;Mod4=170&amp;Mod12=170&amp;Pep=SKGKNSDEEAPKAAQK&amp;Dta=/var/www/html/dta/S01/10564.2594.2.dta&amp;Global_Mod=CS57.0215", "2594")</f>
        <v>2594</v>
      </c>
      <c r="V1001" s="36" t="str">
        <f>HYPERLINK("http://ms.phosphosite.org:5080/cgi-bin/plot-msms.cgi?MassType=1&amp;NumAxis=1&amp;Mod2=170&amp;Mod4=170&amp;Mod12=170&amp;Pep=SKGKNSDEEAPKAAQK&amp;Dta=/var/www/html/dta/S01/10565.2660.2.dta&amp;Global_Mod=CS57.0215", "2660")</f>
        <v>2660</v>
      </c>
      <c r="W1001" s="5">
        <v>2356</v>
      </c>
      <c r="X1001" s="5">
        <v>2299</v>
      </c>
      <c r="Y1001" s="5">
        <v>2274</v>
      </c>
      <c r="Z1001" s="5">
        <v>2344</v>
      </c>
      <c r="AA1001" s="5">
        <v>2393</v>
      </c>
      <c r="AB1001" s="5">
        <v>2324</v>
      </c>
      <c r="AC1001" s="5">
        <v>2588</v>
      </c>
      <c r="AD1001" s="5">
        <v>2665</v>
      </c>
      <c r="AE1001" s="90">
        <v>4.0620000000000003</v>
      </c>
      <c r="AF1001" s="90">
        <v>3.431</v>
      </c>
      <c r="AG1001" s="90">
        <v>3.343</v>
      </c>
      <c r="AH1001" s="90">
        <v>2.7930000000000001</v>
      </c>
      <c r="AI1001" s="90">
        <v>3.7120000000000002</v>
      </c>
      <c r="AJ1001" s="90">
        <v>3.32</v>
      </c>
      <c r="AK1001" s="90">
        <v>3.3439999999999999</v>
      </c>
      <c r="AL1001" s="90">
        <v>3.3</v>
      </c>
      <c r="AM1001" s="21">
        <v>0.6885</v>
      </c>
      <c r="AN1001" s="21">
        <v>0.72650000000000003</v>
      </c>
      <c r="AO1001" s="21">
        <v>1.4570000000000001</v>
      </c>
      <c r="AP1001" s="21">
        <v>0.60250000000000004</v>
      </c>
      <c r="AQ1001" s="21">
        <v>1.2552000000000001</v>
      </c>
      <c r="AR1001" s="21">
        <v>0.65100000000000002</v>
      </c>
      <c r="AS1001" s="21">
        <v>0.7</v>
      </c>
      <c r="AT1001" s="21">
        <v>0.1757</v>
      </c>
      <c r="AU1001" s="21">
        <v>0.47899999999999998</v>
      </c>
      <c r="AV1001" s="21">
        <v>0.4</v>
      </c>
      <c r="AW1001" s="21">
        <v>0.49399999999999999</v>
      </c>
      <c r="AX1001" s="21">
        <v>0.36</v>
      </c>
      <c r="AY1001" s="21">
        <v>0.46899999999999997</v>
      </c>
      <c r="AZ1001" s="21">
        <v>0.52600000000000002</v>
      </c>
      <c r="BA1001" s="21">
        <v>0.40799999999999997</v>
      </c>
      <c r="BB1001" s="21">
        <v>0.41199999999999998</v>
      </c>
      <c r="BC1001" s="5">
        <v>1</v>
      </c>
      <c r="BD1001" s="5">
        <v>1</v>
      </c>
      <c r="BE1001" s="5">
        <v>1</v>
      </c>
      <c r="BF1001" s="5">
        <v>1</v>
      </c>
      <c r="BG1001" s="5">
        <v>1</v>
      </c>
      <c r="BH1001" s="5">
        <v>1</v>
      </c>
      <c r="BI1001" s="5">
        <v>1</v>
      </c>
      <c r="BJ1001" s="5">
        <v>1</v>
      </c>
      <c r="BK1001" s="90">
        <v>1</v>
      </c>
      <c r="BL1001" s="90">
        <v>0.999</v>
      </c>
      <c r="BM1001" s="90">
        <v>1</v>
      </c>
      <c r="BN1001" s="90">
        <v>0.998</v>
      </c>
      <c r="BO1001" s="90">
        <v>1</v>
      </c>
      <c r="BP1001" s="90">
        <v>1</v>
      </c>
      <c r="BQ1001" s="90">
        <v>0.999</v>
      </c>
      <c r="BR1001" s="90">
        <v>0.999</v>
      </c>
      <c r="BS1001" s="5" t="s">
        <v>4857</v>
      </c>
    </row>
    <row r="1002" spans="1:71" s="30" customFormat="1" ht="17.100000000000001" customHeight="1">
      <c r="A1002" s="14">
        <v>991</v>
      </c>
      <c r="B1002" s="5" t="s">
        <v>1084</v>
      </c>
      <c r="C1002" s="3" t="s">
        <v>1279</v>
      </c>
      <c r="D1002" s="3" t="s">
        <v>1062</v>
      </c>
      <c r="E1002" s="3" t="s">
        <v>1063</v>
      </c>
      <c r="F1002" s="5" t="s">
        <v>5153</v>
      </c>
      <c r="G1002" s="3" t="s">
        <v>1064</v>
      </c>
      <c r="H1002" s="6" t="s">
        <v>1065</v>
      </c>
      <c r="I1002" s="3" t="s">
        <v>1066</v>
      </c>
      <c r="J1002" s="5" t="s">
        <v>1067</v>
      </c>
      <c r="K1002" s="3" t="s">
        <v>5952</v>
      </c>
      <c r="L1002" s="3" t="s">
        <v>1083</v>
      </c>
      <c r="M1002" s="5">
        <v>3</v>
      </c>
      <c r="N1002" s="21">
        <v>605.30240000000003</v>
      </c>
      <c r="O1002" s="35" t="s">
        <v>4854</v>
      </c>
      <c r="P1002" s="36" t="str">
        <f>HYPERLINK("http://ms.phosphosite.org:5080/cgi-bin/plot-msms.cgi?MassType=1&amp;NumAxis=1&amp;Mod2=170&amp;Mod4=170&amp;Mod12=170&amp;Pep=SKGKNSDEEAPKAAQK&amp;Dta=/var/www/html/dta/S01/10559.2323.3.dta&amp;Global_Mod=CS57.0215", "2323")</f>
        <v>2323</v>
      </c>
      <c r="Q1002" s="36" t="str">
        <f>HYPERLINK("http://ms.phosphosite.org:5080/cgi-bin/plot-msms.cgi?MassType=1&amp;NumAxis=1&amp;Mod2=170&amp;Mod4=170&amp;Mod12=170&amp;Pep=SKGKNSDEEAPKAAQK&amp;Dta=/var/www/html/dta/S01/10560.2310.3.dta&amp;Global_Mod=CS57.0215", "2310")</f>
        <v>2310</v>
      </c>
      <c r="R1002" s="36" t="str">
        <f>HYPERLINK("http://ms.phosphosite.org:5080/cgi-bin/plot-msms.cgi?MassType=1&amp;NumAxis=1&amp;Mod2=170&amp;Mod4=170&amp;Mod12=170&amp;Pep=SKGKNSDEEAPKAAQK&amp;Dta=/var/www/html/dta/S01/10561.2357.3.dta&amp;Global_Mod=CS57.0215", "2357")</f>
        <v>2357</v>
      </c>
      <c r="S1002" s="36" t="str">
        <f>HYPERLINK("http://ms.phosphosite.org:5080/cgi-bin/plot-msms.cgi?MassType=1&amp;NumAxis=1&amp;Mod2=170&amp;Mod4=170&amp;Mod12=170&amp;Pep=SKGKNSDEEAPKAAQK&amp;Dta=/var/www/html/dta/S01/10562.2378.3.dta&amp;Global_Mod=CS57.0215", "2378")</f>
        <v>2378</v>
      </c>
      <c r="T1002" s="36" t="str">
        <f>HYPERLINK("http://ms.phosphosite.org:5080/cgi-bin/plot-msms.cgi?MassType=1&amp;NumAxis=1&amp;Mod2=170&amp;Mod4=170&amp;Mod12=170&amp;Pep=SKGKNSDEEAPKAAQK&amp;Dta=/var/www/html/dta/S01/10563.2306.3.dta&amp;Global_Mod=CS57.0215", "2306")</f>
        <v>2306</v>
      </c>
      <c r="U1002" s="35" t="s">
        <v>4854</v>
      </c>
      <c r="V1002" s="35" t="s">
        <v>4854</v>
      </c>
      <c r="W1002" s="3" t="s">
        <v>4854</v>
      </c>
      <c r="X1002" s="5">
        <v>2310</v>
      </c>
      <c r="Y1002" s="3" t="s">
        <v>4854</v>
      </c>
      <c r="Z1002" s="3" t="s">
        <v>4854</v>
      </c>
      <c r="AA1002" s="5">
        <v>2393</v>
      </c>
      <c r="AB1002" s="5">
        <v>2324</v>
      </c>
      <c r="AC1002" s="3" t="s">
        <v>4854</v>
      </c>
      <c r="AD1002" s="3" t="s">
        <v>4854</v>
      </c>
      <c r="AE1002" s="99" t="s">
        <v>4854</v>
      </c>
      <c r="AF1002" s="90">
        <v>3.0979999999999999</v>
      </c>
      <c r="AG1002" s="90">
        <v>2.9169999999999998</v>
      </c>
      <c r="AH1002" s="90">
        <v>2.7309999999999999</v>
      </c>
      <c r="AI1002" s="90">
        <v>3.7530000000000001</v>
      </c>
      <c r="AJ1002" s="90">
        <v>3.298</v>
      </c>
      <c r="AK1002" s="99" t="s">
        <v>4854</v>
      </c>
      <c r="AL1002" s="99" t="s">
        <v>4854</v>
      </c>
      <c r="AM1002" s="102" t="s">
        <v>4854</v>
      </c>
      <c r="AN1002" s="21">
        <v>0.25619999999999998</v>
      </c>
      <c r="AO1002" s="21">
        <v>0.43149999999999999</v>
      </c>
      <c r="AP1002" s="21">
        <v>0.4773</v>
      </c>
      <c r="AQ1002" s="21">
        <v>0.28989999999999999</v>
      </c>
      <c r="AR1002" s="21">
        <v>0.6532</v>
      </c>
      <c r="AS1002" s="102" t="s">
        <v>4854</v>
      </c>
      <c r="AT1002" s="102" t="s">
        <v>4854</v>
      </c>
      <c r="AU1002" s="102" t="s">
        <v>4854</v>
      </c>
      <c r="AV1002" s="21">
        <v>0.23599999999999999</v>
      </c>
      <c r="AW1002" s="21">
        <v>0.11600000000000001</v>
      </c>
      <c r="AX1002" s="21">
        <v>1.2E-2</v>
      </c>
      <c r="AY1002" s="21">
        <v>0.246</v>
      </c>
      <c r="AZ1002" s="21">
        <v>0.18</v>
      </c>
      <c r="BA1002" s="102" t="s">
        <v>4854</v>
      </c>
      <c r="BB1002" s="102" t="s">
        <v>4854</v>
      </c>
      <c r="BC1002" s="3" t="s">
        <v>4854</v>
      </c>
      <c r="BD1002" s="5">
        <v>1</v>
      </c>
      <c r="BE1002" s="5">
        <v>1</v>
      </c>
      <c r="BF1002" s="5">
        <v>1</v>
      </c>
      <c r="BG1002" s="5">
        <v>1</v>
      </c>
      <c r="BH1002" s="5">
        <v>1</v>
      </c>
      <c r="BI1002" s="3" t="s">
        <v>4854</v>
      </c>
      <c r="BJ1002" s="3" t="s">
        <v>4854</v>
      </c>
      <c r="BK1002" s="99" t="s">
        <v>4854</v>
      </c>
      <c r="BL1002" s="90">
        <v>0.98899999999999999</v>
      </c>
      <c r="BM1002" s="90">
        <v>0.92900000000000005</v>
      </c>
      <c r="BN1002" s="90">
        <v>0.69299999999999995</v>
      </c>
      <c r="BO1002" s="90">
        <v>0.995</v>
      </c>
      <c r="BP1002" s="90">
        <v>0.98099999999999998</v>
      </c>
      <c r="BQ1002" s="99" t="s">
        <v>4854</v>
      </c>
      <c r="BR1002" s="99" t="s">
        <v>4854</v>
      </c>
      <c r="BS1002" s="5" t="s">
        <v>4857</v>
      </c>
    </row>
    <row r="1003" spans="1:71" s="30" customFormat="1" ht="17.100000000000001" customHeight="1">
      <c r="A1003" s="14">
        <v>992</v>
      </c>
      <c r="B1003" s="5" t="s">
        <v>1085</v>
      </c>
      <c r="C1003" s="3" t="s">
        <v>1279</v>
      </c>
      <c r="D1003" s="3" t="s">
        <v>1062</v>
      </c>
      <c r="E1003" s="3" t="s">
        <v>1063</v>
      </c>
      <c r="F1003" s="5" t="s">
        <v>5153</v>
      </c>
      <c r="G1003" s="3" t="s">
        <v>1064</v>
      </c>
      <c r="H1003" s="6" t="s">
        <v>1065</v>
      </c>
      <c r="I1003" s="3" t="s">
        <v>1066</v>
      </c>
      <c r="J1003" s="5" t="s">
        <v>1067</v>
      </c>
      <c r="K1003" s="3" t="s">
        <v>5952</v>
      </c>
      <c r="L1003" s="3" t="s">
        <v>1086</v>
      </c>
      <c r="M1003" s="5">
        <v>3</v>
      </c>
      <c r="N1003" s="21">
        <v>648.00070000000005</v>
      </c>
      <c r="O1003" s="36" t="str">
        <f>HYPERLINK("http://ms.phosphosite.org:5080/cgi-bin/plot-msms.cgi?MassType=1&amp;NumAxis=1&amp;Mod2=170&amp;Mod4=170&amp;Mod12=170&amp;Pep=SKGKNSDEEAPKAAQKK&amp;Dta=/var/www/html/dta/S01/10558.1821.3.dta&amp;Global_Mod=CS57.0215", "1821")</f>
        <v>1821</v>
      </c>
      <c r="P1003" s="36" t="str">
        <f>HYPERLINK("http://ms.phosphosite.org:5080/cgi-bin/plot-msms.cgi?MassType=1&amp;NumAxis=1&amp;Mod2=170&amp;Mod4=170&amp;Mod12=170&amp;Pep=SKGKNSDEEAPKAAQKK&amp;Dta=/var/www/html/dta/S01/10559.1796.3.dta&amp;Global_Mod=CS57.0215", "1796")</f>
        <v>1796</v>
      </c>
      <c r="Q1003" s="36" t="str">
        <f>HYPERLINK("http://ms.phosphosite.org:5080/cgi-bin/plot-msms.cgi?MassType=1&amp;NumAxis=1&amp;Mod2=170&amp;Mod4=170&amp;Mod12=170&amp;Pep=SKGKNSDEEAPKAAQKK&amp;Dta=/var/www/html/dta/S01/10560.1755.3.dta&amp;Global_Mod=CS57.0215", "1755")</f>
        <v>1755</v>
      </c>
      <c r="R1003" s="36" t="str">
        <f>HYPERLINK("http://ms.phosphosite.org:5080/cgi-bin/plot-msms.cgi?MassType=1&amp;NumAxis=1&amp;Mod2=170&amp;Mod4=170&amp;Mod12=170&amp;Pep=SKGKNSDEEAPKAAQKK&amp;Dta=/var/www/html/dta/S01/10561.1812.3.dta&amp;Global_Mod=CS57.0215", "1812")</f>
        <v>1812</v>
      </c>
      <c r="S1003" s="36" t="str">
        <f>HYPERLINK("http://ms.phosphosite.org:5080/cgi-bin/plot-msms.cgi?MassType=1&amp;NumAxis=1&amp;Mod2=170&amp;Mod4=170&amp;Mod12=170&amp;Pep=SKGKNSDEEAPKAAQKK&amp;Dta=/var/www/html/dta/S01/10562.1856.3.dta&amp;Global_Mod=CS57.0215", "1856")</f>
        <v>1856</v>
      </c>
      <c r="T1003" s="36" t="str">
        <f>HYPERLINK("http://ms.phosphosite.org:5080/cgi-bin/plot-msms.cgi?MassType=1&amp;NumAxis=1&amp;Mod2=170&amp;Mod4=170&amp;Mod12=170&amp;Pep=SKGKNSDEEAPKAAQKK&amp;Dta=/var/www/html/dta/S01/10563.1771.3.dta&amp;Global_Mod=CS57.0215", "1771")</f>
        <v>1771</v>
      </c>
      <c r="U1003" s="35" t="s">
        <v>4854</v>
      </c>
      <c r="V1003" s="36" t="str">
        <f>HYPERLINK("http://ms.phosphosite.org:5080/cgi-bin/plot-msms.cgi?MassType=1&amp;NumAxis=1&amp;Mod2=170&amp;Mod4=170&amp;Mod12=170&amp;Pep=SKGKNSDEEAPKAAQKK&amp;Dta=/var/www/html/dta/S01/10565.2071.3.dta&amp;Global_Mod=CS57.0215", "2071")</f>
        <v>2071</v>
      </c>
      <c r="W1003" s="5">
        <v>1829</v>
      </c>
      <c r="X1003" s="3" t="s">
        <v>4854</v>
      </c>
      <c r="Y1003" s="5">
        <v>1759</v>
      </c>
      <c r="Z1003" s="5">
        <v>1819</v>
      </c>
      <c r="AA1003" s="5">
        <v>1864</v>
      </c>
      <c r="AB1003" s="5">
        <v>1779</v>
      </c>
      <c r="AC1003" s="3" t="s">
        <v>4854</v>
      </c>
      <c r="AD1003" s="5">
        <v>2070</v>
      </c>
      <c r="AE1003" s="90">
        <v>3.657</v>
      </c>
      <c r="AF1003" s="90">
        <v>2.6789999999999998</v>
      </c>
      <c r="AG1003" s="90">
        <v>3.4630000000000001</v>
      </c>
      <c r="AH1003" s="90">
        <v>3.081</v>
      </c>
      <c r="AI1003" s="90">
        <v>3.4359999999999999</v>
      </c>
      <c r="AJ1003" s="90">
        <v>4.0750000000000002</v>
      </c>
      <c r="AK1003" s="99" t="s">
        <v>4854</v>
      </c>
      <c r="AL1003" s="90">
        <v>3.512</v>
      </c>
      <c r="AM1003" s="21">
        <v>0.57509999999999994</v>
      </c>
      <c r="AN1003" s="21">
        <v>0.35210000000000002</v>
      </c>
      <c r="AO1003" s="21">
        <v>0.70330000000000004</v>
      </c>
      <c r="AP1003" s="21">
        <v>0.29959999999999998</v>
      </c>
      <c r="AQ1003" s="21">
        <v>0.6482</v>
      </c>
      <c r="AR1003" s="21">
        <v>0.77690000000000003</v>
      </c>
      <c r="AS1003" s="102" t="s">
        <v>4854</v>
      </c>
      <c r="AT1003" s="21">
        <v>-0.48620000000000002</v>
      </c>
      <c r="AU1003" s="21">
        <v>0.25700000000000001</v>
      </c>
      <c r="AV1003" s="21">
        <v>0.18</v>
      </c>
      <c r="AW1003" s="21">
        <v>0.24299999999999999</v>
      </c>
      <c r="AX1003" s="21">
        <v>0.27</v>
      </c>
      <c r="AY1003" s="21">
        <v>0.312</v>
      </c>
      <c r="AZ1003" s="21">
        <v>0.35699999999999998</v>
      </c>
      <c r="BA1003" s="102" t="s">
        <v>4854</v>
      </c>
      <c r="BB1003" s="21">
        <v>0.35299999999999998</v>
      </c>
      <c r="BC1003" s="5">
        <v>2</v>
      </c>
      <c r="BD1003" s="5">
        <v>3</v>
      </c>
      <c r="BE1003" s="5">
        <v>4</v>
      </c>
      <c r="BF1003" s="5">
        <v>1</v>
      </c>
      <c r="BG1003" s="5">
        <v>3</v>
      </c>
      <c r="BH1003" s="5">
        <v>3</v>
      </c>
      <c r="BI1003" s="3" t="s">
        <v>4854</v>
      </c>
      <c r="BJ1003" s="5">
        <v>1</v>
      </c>
      <c r="BK1003" s="90">
        <v>0.99399999999999999</v>
      </c>
      <c r="BL1003" s="90">
        <v>0.94599999999999995</v>
      </c>
      <c r="BM1003" s="90">
        <v>0.99</v>
      </c>
      <c r="BN1003" s="90">
        <v>0.99299999999999999</v>
      </c>
      <c r="BO1003" s="90">
        <v>0.996</v>
      </c>
      <c r="BP1003" s="90">
        <v>0.999</v>
      </c>
      <c r="BQ1003" s="99" t="s">
        <v>4854</v>
      </c>
      <c r="BR1003" s="90">
        <v>0.996</v>
      </c>
      <c r="BS1003" s="5" t="s">
        <v>4857</v>
      </c>
    </row>
    <row r="1004" spans="1:71" s="30" customFormat="1" ht="17.100000000000001" customHeight="1">
      <c r="A1004" s="10">
        <v>993</v>
      </c>
      <c r="B1004" s="10" t="s">
        <v>1087</v>
      </c>
      <c r="C1004" s="4" t="s">
        <v>1279</v>
      </c>
      <c r="D1004" s="4" t="s">
        <v>1062</v>
      </c>
      <c r="E1004" s="4" t="s">
        <v>1063</v>
      </c>
      <c r="F1004" s="10" t="s">
        <v>5172</v>
      </c>
      <c r="G1004" s="4" t="s">
        <v>1064</v>
      </c>
      <c r="H1004" s="7" t="s">
        <v>1065</v>
      </c>
      <c r="I1004" s="4" t="s">
        <v>1066</v>
      </c>
      <c r="J1004" s="10" t="s">
        <v>1067</v>
      </c>
      <c r="K1004" s="4" t="s">
        <v>5953</v>
      </c>
      <c r="L1004" s="4" t="s">
        <v>1088</v>
      </c>
      <c r="M1004" s="10">
        <v>3</v>
      </c>
      <c r="N1004" s="95">
        <v>662.00419999999997</v>
      </c>
      <c r="O1004" s="37" t="str">
        <f>HYPERLINK("http://ms.phosphosite.org:5080/cgi-bin/plot-msms.cgi?MassType=1&amp;NumAxis=1&amp;Mod2=170&amp;Mod4=170&amp;Mod12=170&amp;Mod16=170&amp;Pep=SKGKNSDEEAPKAAQKK&amp;Dta=/var/www/html/dta/S01/10558.2960.3.dta&amp;Global_Mod=CS57.0215", "2960")</f>
        <v>2960</v>
      </c>
      <c r="P1004" s="38" t="s">
        <v>4854</v>
      </c>
      <c r="Q1004" s="37" t="str">
        <f>HYPERLINK("http://ms.phosphosite.org:5080/cgi-bin/plot-msms.cgi?MassType=1&amp;NumAxis=1&amp;Mod2=170&amp;Mod4=170&amp;Mod12=170&amp;Mod16=170&amp;Pep=SKGKNSDEEAPKAAQKK&amp;Dta=/var/www/html/dta/S01/10560.2891.3.dta&amp;Global_Mod=CS57.0215", "2891")</f>
        <v>2891</v>
      </c>
      <c r="R1004" s="38" t="s">
        <v>4854</v>
      </c>
      <c r="S1004" s="38" t="s">
        <v>4854</v>
      </c>
      <c r="T1004" s="38" t="s">
        <v>4854</v>
      </c>
      <c r="U1004" s="38" t="s">
        <v>4854</v>
      </c>
      <c r="V1004" s="37" t="str">
        <f>HYPERLINK("http://ms.phosphosite.org:5080/cgi-bin/plot-msms.cgi?MassType=1&amp;NumAxis=1&amp;Mod2=170&amp;Mod4=170&amp;Mod12=170&amp;Mod16=170&amp;Pep=SKGKNSDEEAPKAAQKK&amp;Dta=/var/www/html/dta/S01/10565.3287.3.dta&amp;Global_Mod=CS57.0215", "3287")</f>
        <v>3287</v>
      </c>
      <c r="W1004" s="4" t="s">
        <v>4854</v>
      </c>
      <c r="X1004" s="4" t="s">
        <v>4854</v>
      </c>
      <c r="Y1004" s="10">
        <v>2893</v>
      </c>
      <c r="Z1004" s="4" t="s">
        <v>4854</v>
      </c>
      <c r="AA1004" s="4" t="s">
        <v>4854</v>
      </c>
      <c r="AB1004" s="4" t="s">
        <v>4854</v>
      </c>
      <c r="AC1004" s="4" t="s">
        <v>4854</v>
      </c>
      <c r="AD1004" s="10">
        <v>3294</v>
      </c>
      <c r="AE1004" s="91">
        <v>2.7610000000000001</v>
      </c>
      <c r="AF1004" s="100" t="s">
        <v>4854</v>
      </c>
      <c r="AG1004" s="91">
        <v>3.21</v>
      </c>
      <c r="AH1004" s="100" t="s">
        <v>4854</v>
      </c>
      <c r="AI1004" s="100" t="s">
        <v>4854</v>
      </c>
      <c r="AJ1004" s="100" t="s">
        <v>4854</v>
      </c>
      <c r="AK1004" s="100" t="s">
        <v>4854</v>
      </c>
      <c r="AL1004" s="91">
        <v>3.661</v>
      </c>
      <c r="AM1004" s="95">
        <v>0.84030000000000005</v>
      </c>
      <c r="AN1004" s="103" t="s">
        <v>4854</v>
      </c>
      <c r="AO1004" s="95">
        <v>1.7112000000000001</v>
      </c>
      <c r="AP1004" s="103" t="s">
        <v>4854</v>
      </c>
      <c r="AQ1004" s="103" t="s">
        <v>4854</v>
      </c>
      <c r="AR1004" s="103" t="s">
        <v>4854</v>
      </c>
      <c r="AS1004" s="103" t="s">
        <v>4854</v>
      </c>
      <c r="AT1004" s="95">
        <v>1.4103000000000001</v>
      </c>
      <c r="AU1004" s="95">
        <v>6.8000000000000005E-2</v>
      </c>
      <c r="AV1004" s="103" t="s">
        <v>4854</v>
      </c>
      <c r="AW1004" s="95">
        <v>0.19500000000000001</v>
      </c>
      <c r="AX1004" s="103" t="s">
        <v>4854</v>
      </c>
      <c r="AY1004" s="103" t="s">
        <v>4854</v>
      </c>
      <c r="AZ1004" s="103" t="s">
        <v>4854</v>
      </c>
      <c r="BA1004" s="103" t="s">
        <v>4854</v>
      </c>
      <c r="BB1004" s="95">
        <v>0.307</v>
      </c>
      <c r="BC1004" s="10">
        <v>47</v>
      </c>
      <c r="BD1004" s="4" t="s">
        <v>4854</v>
      </c>
      <c r="BE1004" s="10">
        <v>1</v>
      </c>
      <c r="BF1004" s="4" t="s">
        <v>4854</v>
      </c>
      <c r="BG1004" s="4" t="s">
        <v>4854</v>
      </c>
      <c r="BH1004" s="4" t="s">
        <v>4854</v>
      </c>
      <c r="BI1004" s="4" t="s">
        <v>4854</v>
      </c>
      <c r="BJ1004" s="10">
        <v>1</v>
      </c>
      <c r="BK1004" s="91">
        <v>0.64200000000000002</v>
      </c>
      <c r="BL1004" s="100" t="s">
        <v>4854</v>
      </c>
      <c r="BM1004" s="91">
        <v>0.98199999999999998</v>
      </c>
      <c r="BN1004" s="100" t="s">
        <v>4854</v>
      </c>
      <c r="BO1004" s="100" t="s">
        <v>4854</v>
      </c>
      <c r="BP1004" s="100" t="s">
        <v>4854</v>
      </c>
      <c r="BQ1004" s="100" t="s">
        <v>4854</v>
      </c>
      <c r="BR1004" s="91">
        <v>0.997</v>
      </c>
      <c r="BS1004" s="10" t="s">
        <v>4857</v>
      </c>
    </row>
    <row r="1005" spans="1:71" s="30" customFormat="1" ht="17.100000000000001" customHeight="1">
      <c r="A1005" s="14">
        <v>994</v>
      </c>
      <c r="B1005" s="5" t="s">
        <v>1089</v>
      </c>
      <c r="C1005" s="3" t="s">
        <v>1279</v>
      </c>
      <c r="D1005" s="3" t="s">
        <v>1062</v>
      </c>
      <c r="E1005" s="3" t="s">
        <v>1063</v>
      </c>
      <c r="F1005" s="5" t="s">
        <v>5059</v>
      </c>
      <c r="G1005" s="3" t="s">
        <v>1064</v>
      </c>
      <c r="H1005" s="6" t="s">
        <v>1065</v>
      </c>
      <c r="I1005" s="3" t="s">
        <v>1066</v>
      </c>
      <c r="J1005" s="5" t="s">
        <v>1067</v>
      </c>
      <c r="K1005" s="3" t="s">
        <v>5954</v>
      </c>
      <c r="L1005" s="3" t="s">
        <v>1090</v>
      </c>
      <c r="M1005" s="5">
        <v>3</v>
      </c>
      <c r="N1005" s="21">
        <v>648.00070000000005</v>
      </c>
      <c r="O1005" s="35" t="s">
        <v>4854</v>
      </c>
      <c r="P1005" s="35" t="s">
        <v>4854</v>
      </c>
      <c r="Q1005" s="35" t="s">
        <v>4854</v>
      </c>
      <c r="R1005" s="35" t="s">
        <v>4854</v>
      </c>
      <c r="S1005" s="35" t="s">
        <v>4854</v>
      </c>
      <c r="T1005" s="35" t="s">
        <v>4854</v>
      </c>
      <c r="U1005" s="36" t="str">
        <f>HYPERLINK("http://ms.phosphosite.org:5080/cgi-bin/plot-msms.cgi?MassType=1&amp;NumAxis=1&amp;Mod2=170&amp;Mod4=170&amp;Mod16=170&amp;Pep=SKGKNSDEEAPKAAQKK&amp;Dta=/var/www/html/dta/S01/10564.2020.3.dta&amp;Global_Mod=CS57.0215", "2020")</f>
        <v>2020</v>
      </c>
      <c r="V1005" s="35" t="s">
        <v>4854</v>
      </c>
      <c r="W1005" s="3" t="s">
        <v>4854</v>
      </c>
      <c r="X1005" s="3" t="s">
        <v>4854</v>
      </c>
      <c r="Y1005" s="3" t="s">
        <v>4854</v>
      </c>
      <c r="Z1005" s="3" t="s">
        <v>4854</v>
      </c>
      <c r="AA1005" s="3" t="s">
        <v>4854</v>
      </c>
      <c r="AB1005" s="3" t="s">
        <v>4854</v>
      </c>
      <c r="AC1005" s="5">
        <v>2023</v>
      </c>
      <c r="AD1005" s="3" t="s">
        <v>4854</v>
      </c>
      <c r="AE1005" s="99" t="s">
        <v>4854</v>
      </c>
      <c r="AF1005" s="99" t="s">
        <v>4854</v>
      </c>
      <c r="AG1005" s="99" t="s">
        <v>4854</v>
      </c>
      <c r="AH1005" s="99" t="s">
        <v>4854</v>
      </c>
      <c r="AI1005" s="99" t="s">
        <v>4854</v>
      </c>
      <c r="AJ1005" s="99" t="s">
        <v>4854</v>
      </c>
      <c r="AK1005" s="90">
        <v>3.0910000000000002</v>
      </c>
      <c r="AL1005" s="99" t="s">
        <v>4854</v>
      </c>
      <c r="AM1005" s="102" t="s">
        <v>4854</v>
      </c>
      <c r="AN1005" s="102" t="s">
        <v>4854</v>
      </c>
      <c r="AO1005" s="102" t="s">
        <v>4854</v>
      </c>
      <c r="AP1005" s="102" t="s">
        <v>4854</v>
      </c>
      <c r="AQ1005" s="102" t="s">
        <v>4854</v>
      </c>
      <c r="AR1005" s="102" t="s">
        <v>4854</v>
      </c>
      <c r="AS1005" s="21">
        <v>0.56479999999999997</v>
      </c>
      <c r="AT1005" s="102" t="s">
        <v>4854</v>
      </c>
      <c r="AU1005" s="102" t="s">
        <v>4854</v>
      </c>
      <c r="AV1005" s="102" t="s">
        <v>4854</v>
      </c>
      <c r="AW1005" s="102" t="s">
        <v>4854</v>
      </c>
      <c r="AX1005" s="102" t="s">
        <v>4854</v>
      </c>
      <c r="AY1005" s="102" t="s">
        <v>4854</v>
      </c>
      <c r="AZ1005" s="102" t="s">
        <v>4854</v>
      </c>
      <c r="BA1005" s="21">
        <v>0.35899999999999999</v>
      </c>
      <c r="BB1005" s="102" t="s">
        <v>4854</v>
      </c>
      <c r="BC1005" s="3" t="s">
        <v>4854</v>
      </c>
      <c r="BD1005" s="3" t="s">
        <v>4854</v>
      </c>
      <c r="BE1005" s="3" t="s">
        <v>4854</v>
      </c>
      <c r="BF1005" s="3" t="s">
        <v>4854</v>
      </c>
      <c r="BG1005" s="3" t="s">
        <v>4854</v>
      </c>
      <c r="BH1005" s="3" t="s">
        <v>4854</v>
      </c>
      <c r="BI1005" s="5">
        <v>1</v>
      </c>
      <c r="BJ1005" s="3" t="s">
        <v>4854</v>
      </c>
      <c r="BK1005" s="99" t="s">
        <v>4854</v>
      </c>
      <c r="BL1005" s="99" t="s">
        <v>4854</v>
      </c>
      <c r="BM1005" s="99" t="s">
        <v>4854</v>
      </c>
      <c r="BN1005" s="99" t="s">
        <v>4854</v>
      </c>
      <c r="BO1005" s="99" t="s">
        <v>4854</v>
      </c>
      <c r="BP1005" s="99" t="s">
        <v>4854</v>
      </c>
      <c r="BQ1005" s="90">
        <v>0.998</v>
      </c>
      <c r="BR1005" s="99" t="s">
        <v>4854</v>
      </c>
      <c r="BS1005" s="5" t="s">
        <v>4857</v>
      </c>
    </row>
    <row r="1006" spans="1:71" s="30" customFormat="1" ht="17.100000000000001" customHeight="1">
      <c r="A1006" s="10">
        <v>995</v>
      </c>
      <c r="B1006" s="10" t="s">
        <v>1091</v>
      </c>
      <c r="C1006" s="4" t="s">
        <v>1279</v>
      </c>
      <c r="D1006" s="4" t="s">
        <v>1092</v>
      </c>
      <c r="E1006" s="4" t="s">
        <v>1093</v>
      </c>
      <c r="F1006" s="10" t="s">
        <v>5236</v>
      </c>
      <c r="G1006" s="4" t="s">
        <v>1064</v>
      </c>
      <c r="H1006" s="7" t="s">
        <v>1094</v>
      </c>
      <c r="I1006" s="4" t="s">
        <v>1066</v>
      </c>
      <c r="J1006" s="10" t="s">
        <v>985</v>
      </c>
      <c r="K1006" s="4" t="s">
        <v>5955</v>
      </c>
      <c r="L1006" s="4" t="s">
        <v>986</v>
      </c>
      <c r="M1006" s="10">
        <v>2</v>
      </c>
      <c r="N1006" s="95">
        <v>496.74220000000003</v>
      </c>
      <c r="O1006" s="38" t="s">
        <v>4854</v>
      </c>
      <c r="P1006" s="37" t="str">
        <f>HYPERLINK("http://ms.phosphosite.org:5080/cgi-bin/plot-msms.cgi?MassType=1&amp;NumAxis=1&amp;Mod2=170&amp;Mod5=160&amp;Pep=GKWFCPR&amp;Dta=/var/www/html/dta/S01/10559.6626.2.dta&amp;Global_Mod=CS57.0215", "6626")</f>
        <v>6626</v>
      </c>
      <c r="Q1006" s="37" t="str">
        <f>HYPERLINK("http://ms.phosphosite.org:5080/cgi-bin/plot-msms.cgi?MassType=1&amp;NumAxis=1&amp;Mod2=170&amp;Mod5=160&amp;Pep=GKWFCPR&amp;Dta=/var/www/html/dta/S01/10560.6631.2.dta&amp;Global_Mod=CS57.0215", "6631")</f>
        <v>6631</v>
      </c>
      <c r="R1006" s="38" t="s">
        <v>4854</v>
      </c>
      <c r="S1006" s="38" t="s">
        <v>4854</v>
      </c>
      <c r="T1006" s="38" t="s">
        <v>4854</v>
      </c>
      <c r="U1006" s="38" t="s">
        <v>4854</v>
      </c>
      <c r="V1006" s="38" t="s">
        <v>4854</v>
      </c>
      <c r="W1006" s="4" t="s">
        <v>4854</v>
      </c>
      <c r="X1006" s="10">
        <v>6635</v>
      </c>
      <c r="Y1006" s="10">
        <v>6630</v>
      </c>
      <c r="Z1006" s="4" t="s">
        <v>4854</v>
      </c>
      <c r="AA1006" s="4" t="s">
        <v>4854</v>
      </c>
      <c r="AB1006" s="4" t="s">
        <v>4854</v>
      </c>
      <c r="AC1006" s="4" t="s">
        <v>4854</v>
      </c>
      <c r="AD1006" s="4" t="s">
        <v>4854</v>
      </c>
      <c r="AE1006" s="100" t="s">
        <v>4854</v>
      </c>
      <c r="AF1006" s="91">
        <v>2.3650000000000002</v>
      </c>
      <c r="AG1006" s="91">
        <v>2.4529999999999998</v>
      </c>
      <c r="AH1006" s="100" t="s">
        <v>4854</v>
      </c>
      <c r="AI1006" s="100" t="s">
        <v>4854</v>
      </c>
      <c r="AJ1006" s="100" t="s">
        <v>4854</v>
      </c>
      <c r="AK1006" s="100" t="s">
        <v>4854</v>
      </c>
      <c r="AL1006" s="100" t="s">
        <v>4854</v>
      </c>
      <c r="AM1006" s="103" t="s">
        <v>4854</v>
      </c>
      <c r="AN1006" s="95">
        <v>0.1164</v>
      </c>
      <c r="AO1006" s="95">
        <v>0.18790000000000001</v>
      </c>
      <c r="AP1006" s="103" t="s">
        <v>4854</v>
      </c>
      <c r="AQ1006" s="103" t="s">
        <v>4854</v>
      </c>
      <c r="AR1006" s="103" t="s">
        <v>4854</v>
      </c>
      <c r="AS1006" s="103" t="s">
        <v>4854</v>
      </c>
      <c r="AT1006" s="103" t="s">
        <v>4854</v>
      </c>
      <c r="AU1006" s="103" t="s">
        <v>4854</v>
      </c>
      <c r="AV1006" s="95">
        <v>0.183</v>
      </c>
      <c r="AW1006" s="95">
        <v>0.23799999999999999</v>
      </c>
      <c r="AX1006" s="103" t="s">
        <v>4854</v>
      </c>
      <c r="AY1006" s="103" t="s">
        <v>4854</v>
      </c>
      <c r="AZ1006" s="103" t="s">
        <v>4854</v>
      </c>
      <c r="BA1006" s="103" t="s">
        <v>4854</v>
      </c>
      <c r="BB1006" s="103" t="s">
        <v>4854</v>
      </c>
      <c r="BC1006" s="4" t="s">
        <v>4854</v>
      </c>
      <c r="BD1006" s="10">
        <v>1</v>
      </c>
      <c r="BE1006" s="10">
        <v>1</v>
      </c>
      <c r="BF1006" s="4" t="s">
        <v>4854</v>
      </c>
      <c r="BG1006" s="4" t="s">
        <v>4854</v>
      </c>
      <c r="BH1006" s="4" t="s">
        <v>4854</v>
      </c>
      <c r="BI1006" s="4" t="s">
        <v>4854</v>
      </c>
      <c r="BJ1006" s="4" t="s">
        <v>4854</v>
      </c>
      <c r="BK1006" s="100" t="s">
        <v>4854</v>
      </c>
      <c r="BL1006" s="91">
        <v>0.998</v>
      </c>
      <c r="BM1006" s="91">
        <v>0.999</v>
      </c>
      <c r="BN1006" s="100" t="s">
        <v>4854</v>
      </c>
      <c r="BO1006" s="100" t="s">
        <v>4854</v>
      </c>
      <c r="BP1006" s="100" t="s">
        <v>4854</v>
      </c>
      <c r="BQ1006" s="100" t="s">
        <v>4854</v>
      </c>
      <c r="BR1006" s="100" t="s">
        <v>4854</v>
      </c>
      <c r="BS1006" s="10" t="s">
        <v>4857</v>
      </c>
    </row>
    <row r="1007" spans="1:71" s="30" customFormat="1" ht="17.100000000000001" customHeight="1">
      <c r="A1007" s="14">
        <v>996</v>
      </c>
      <c r="B1007" s="5" t="s">
        <v>987</v>
      </c>
      <c r="C1007" s="3" t="s">
        <v>1279</v>
      </c>
      <c r="D1007" s="3" t="s">
        <v>988</v>
      </c>
      <c r="E1007" s="3" t="s">
        <v>989</v>
      </c>
      <c r="F1007" s="5" t="s">
        <v>5028</v>
      </c>
      <c r="G1007" s="3" t="s">
        <v>990</v>
      </c>
      <c r="H1007" s="6" t="s">
        <v>991</v>
      </c>
      <c r="I1007" s="3" t="s">
        <v>992</v>
      </c>
      <c r="J1007" s="5" t="s">
        <v>4697</v>
      </c>
      <c r="K1007" s="3" t="s">
        <v>5956</v>
      </c>
      <c r="L1007" s="3" t="s">
        <v>993</v>
      </c>
      <c r="M1007" s="5">
        <v>2</v>
      </c>
      <c r="N1007" s="21">
        <v>599.3184</v>
      </c>
      <c r="O1007" s="36" t="str">
        <f>HYPERLINK("http://ms.phosphosite.org:5080/cgi-bin/plot-msms.cgi?MassType=1&amp;NumAxis=1&amp;Mod9=170&amp;Pep=MGHALEEIKK&amp;Dta=/var/www/html/dta/S01/10558.3800.2.dta&amp;Global_Mod=CS57.0215", "3800")</f>
        <v>3800</v>
      </c>
      <c r="P1007" s="36" t="str">
        <f>HYPERLINK("http://ms.phosphosite.org:5080/cgi-bin/plot-msms.cgi?MassType=1&amp;NumAxis=1&amp;Mod9=170&amp;Pep=MGHALEEIKK&amp;Dta=/var/www/html/dta/S01/10559.3680.2.dta&amp;Global_Mod=CS57.0215", "3680")</f>
        <v>3680</v>
      </c>
      <c r="Q1007" s="36" t="str">
        <f>HYPERLINK("http://ms.phosphosite.org:5080/cgi-bin/plot-msms.cgi?MassType=1&amp;NumAxis=1&amp;Mod9=170&amp;Pep=MGHALEEIKK&amp;Dta=/var/www/html/dta/S01/10560.3694.2.dta&amp;Global_Mod=CS57.0215", "3694")</f>
        <v>3694</v>
      </c>
      <c r="R1007" s="36" t="str">
        <f>HYPERLINK("http://ms.phosphosite.org:5080/cgi-bin/plot-msms.cgi?MassType=1&amp;NumAxis=1&amp;Mod9=170&amp;Pep=MGHALEEIKK&amp;Dta=/var/www/html/dta/S01/10561.3704.2.dta&amp;Global_Mod=CS57.0215", "3704")</f>
        <v>3704</v>
      </c>
      <c r="S1007" s="36" t="str">
        <f>HYPERLINK("http://ms.phosphosite.org:5080/cgi-bin/plot-msms.cgi?MassType=1&amp;NumAxis=1&amp;Mod9=170&amp;Pep=MGHALEEIKK&amp;Dta=/var/www/html/dta/S01/10562.3867.2.dta&amp;Global_Mod=CS57.0215", "3867")</f>
        <v>3867</v>
      </c>
      <c r="T1007" s="35" t="s">
        <v>4854</v>
      </c>
      <c r="U1007" s="36" t="str">
        <f>HYPERLINK("http://ms.phosphosite.org:5080/cgi-bin/plot-msms.cgi?MassType=1&amp;NumAxis=1&amp;Mod9=170&amp;Pep=MGHALEEIKK&amp;Dta=/var/www/html/dta/S01/10564.4069.2.dta&amp;Global_Mod=CS57.0215", "4069")</f>
        <v>4069</v>
      </c>
      <c r="V1007" s="36" t="str">
        <f>HYPERLINK("http://ms.phosphosite.org:5080/cgi-bin/plot-msms.cgi?MassType=1&amp;NumAxis=1&amp;Mod9=170&amp;Pep=MGHALEEIKK&amp;Dta=/var/www/html/dta/S01/10565.4152.2.dta&amp;Global_Mod=CS57.0215", "4152")</f>
        <v>4152</v>
      </c>
      <c r="W1007" s="5">
        <v>3788</v>
      </c>
      <c r="X1007" s="5">
        <v>3706</v>
      </c>
      <c r="Y1007" s="5">
        <v>3723</v>
      </c>
      <c r="Z1007" s="5">
        <v>3742</v>
      </c>
      <c r="AA1007" s="5">
        <v>3840</v>
      </c>
      <c r="AB1007" s="3" t="s">
        <v>4854</v>
      </c>
      <c r="AC1007" s="5">
        <v>4087</v>
      </c>
      <c r="AD1007" s="5">
        <v>4179</v>
      </c>
      <c r="AE1007" s="90">
        <v>2.8879999999999999</v>
      </c>
      <c r="AF1007" s="90">
        <v>2.6949999999999998</v>
      </c>
      <c r="AG1007" s="90">
        <v>2.8330000000000002</v>
      </c>
      <c r="AH1007" s="90">
        <v>2.5659999999999998</v>
      </c>
      <c r="AI1007" s="90">
        <v>2.7360000000000002</v>
      </c>
      <c r="AJ1007" s="99" t="s">
        <v>4854</v>
      </c>
      <c r="AK1007" s="90">
        <v>2.7570000000000001</v>
      </c>
      <c r="AL1007" s="90">
        <v>2.7509999999999999</v>
      </c>
      <c r="AM1007" s="21">
        <v>-0.1236</v>
      </c>
      <c r="AN1007" s="21">
        <v>-7.51E-2</v>
      </c>
      <c r="AO1007" s="21">
        <v>6.7000000000000002E-3</v>
      </c>
      <c r="AP1007" s="21">
        <v>1.7500000000000002E-2</v>
      </c>
      <c r="AQ1007" s="21">
        <v>-0.1202</v>
      </c>
      <c r="AR1007" s="102" t="s">
        <v>4854</v>
      </c>
      <c r="AS1007" s="21">
        <v>0.2263</v>
      </c>
      <c r="AT1007" s="21">
        <v>0.33650000000000002</v>
      </c>
      <c r="AU1007" s="21">
        <v>0.111</v>
      </c>
      <c r="AV1007" s="21">
        <v>0.187</v>
      </c>
      <c r="AW1007" s="21">
        <v>0.108</v>
      </c>
      <c r="AX1007" s="21">
        <v>0.16600000000000001</v>
      </c>
      <c r="AY1007" s="21">
        <v>0.23599999999999999</v>
      </c>
      <c r="AZ1007" s="102" t="s">
        <v>4854</v>
      </c>
      <c r="BA1007" s="21">
        <v>0.27200000000000002</v>
      </c>
      <c r="BB1007" s="21">
        <v>0.24299999999999999</v>
      </c>
      <c r="BC1007" s="5">
        <v>1</v>
      </c>
      <c r="BD1007" s="5">
        <v>1</v>
      </c>
      <c r="BE1007" s="5">
        <v>1</v>
      </c>
      <c r="BF1007" s="5">
        <v>1</v>
      </c>
      <c r="BG1007" s="5">
        <v>1</v>
      </c>
      <c r="BH1007" s="3" t="s">
        <v>4854</v>
      </c>
      <c r="BI1007" s="5">
        <v>2</v>
      </c>
      <c r="BJ1007" s="5">
        <v>1</v>
      </c>
      <c r="BK1007" s="90">
        <v>1</v>
      </c>
      <c r="BL1007" s="90">
        <v>1</v>
      </c>
      <c r="BM1007" s="90">
        <v>1</v>
      </c>
      <c r="BN1007" s="90">
        <v>1</v>
      </c>
      <c r="BO1007" s="90">
        <v>1</v>
      </c>
      <c r="BP1007" s="99" t="s">
        <v>4854</v>
      </c>
      <c r="BQ1007" s="90">
        <v>1</v>
      </c>
      <c r="BR1007" s="90">
        <v>1</v>
      </c>
      <c r="BS1007" s="5" t="s">
        <v>4857</v>
      </c>
    </row>
    <row r="1008" spans="1:71" s="30" customFormat="1" ht="17.100000000000001" customHeight="1">
      <c r="A1008" s="14">
        <v>997</v>
      </c>
      <c r="B1008" s="5" t="s">
        <v>994</v>
      </c>
      <c r="C1008" s="3" t="s">
        <v>1279</v>
      </c>
      <c r="D1008" s="3" t="s">
        <v>988</v>
      </c>
      <c r="E1008" s="3" t="s">
        <v>989</v>
      </c>
      <c r="F1008" s="5" t="s">
        <v>5028</v>
      </c>
      <c r="G1008" s="3" t="s">
        <v>990</v>
      </c>
      <c r="H1008" s="6" t="s">
        <v>991</v>
      </c>
      <c r="I1008" s="3" t="s">
        <v>992</v>
      </c>
      <c r="J1008" s="5" t="s">
        <v>4697</v>
      </c>
      <c r="K1008" s="3" t="s">
        <v>5956</v>
      </c>
      <c r="L1008" s="3" t="s">
        <v>993</v>
      </c>
      <c r="M1008" s="5">
        <v>3</v>
      </c>
      <c r="N1008" s="21">
        <v>399.88139999999999</v>
      </c>
      <c r="O1008" s="36" t="str">
        <f>HYPERLINK("http://ms.phosphosite.org:5080/cgi-bin/plot-msms.cgi?MassType=1&amp;NumAxis=1&amp;Mod9=170&amp;Pep=MGHALEEIKK&amp;Dta=/var/www/html/dta/S01/10558.3751.3.dta&amp;Global_Mod=CS57.0215", "3751")</f>
        <v>3751</v>
      </c>
      <c r="P1008" s="35" t="s">
        <v>4854</v>
      </c>
      <c r="Q1008" s="36" t="str">
        <f>HYPERLINK("http://ms.phosphosite.org:5080/cgi-bin/plot-msms.cgi?MassType=1&amp;NumAxis=1&amp;Mod9=170&amp;Pep=MGHALEEIKK&amp;Dta=/var/www/html/dta/S01/10560.3681.3.dta&amp;Global_Mod=CS57.0215", "3681")</f>
        <v>3681</v>
      </c>
      <c r="R1008" s="35" t="s">
        <v>4854</v>
      </c>
      <c r="S1008" s="36" t="str">
        <f>HYPERLINK("http://ms.phosphosite.org:5080/cgi-bin/plot-msms.cgi?MassType=1&amp;NumAxis=1&amp;Mod9=170&amp;Pep=MGHALEEIKK&amp;Dta=/var/www/html/dta/S01/10562.3790.3.dta&amp;Global_Mod=CS57.0215", "3790")</f>
        <v>3790</v>
      </c>
      <c r="T1008" s="35" t="s">
        <v>4854</v>
      </c>
      <c r="U1008" s="36" t="str">
        <f>HYPERLINK("http://ms.phosphosite.org:5080/cgi-bin/plot-msms.cgi?MassType=1&amp;NumAxis=1&amp;Mod9=170&amp;Pep=MGHALEEIKK&amp;Dta=/var/www/html/dta/S01/10564.4077.3.dta&amp;Global_Mod=CS57.0215", "4077")</f>
        <v>4077</v>
      </c>
      <c r="V1008" s="36" t="str">
        <f>HYPERLINK("http://ms.phosphosite.org:5080/cgi-bin/plot-msms.cgi?MassType=1&amp;NumAxis=1&amp;Mod9=170&amp;Pep=MGHALEEIKK&amp;Dta=/var/www/html/dta/S01/10565.4169.3.dta&amp;Global_Mod=CS57.0215", "4169")</f>
        <v>4169</v>
      </c>
      <c r="W1008" s="5">
        <v>3788</v>
      </c>
      <c r="X1008" s="3" t="s">
        <v>4854</v>
      </c>
      <c r="Y1008" s="5">
        <v>3723</v>
      </c>
      <c r="Z1008" s="3" t="s">
        <v>4854</v>
      </c>
      <c r="AA1008" s="5">
        <v>3829</v>
      </c>
      <c r="AB1008" s="3" t="s">
        <v>4854</v>
      </c>
      <c r="AC1008" s="5">
        <v>4087</v>
      </c>
      <c r="AD1008" s="5">
        <v>4190</v>
      </c>
      <c r="AE1008" s="90">
        <v>2.879</v>
      </c>
      <c r="AF1008" s="99" t="s">
        <v>4854</v>
      </c>
      <c r="AG1008" s="90">
        <v>2.5350000000000001</v>
      </c>
      <c r="AH1008" s="99" t="s">
        <v>4854</v>
      </c>
      <c r="AI1008" s="90">
        <v>2.681</v>
      </c>
      <c r="AJ1008" s="99" t="s">
        <v>4854</v>
      </c>
      <c r="AK1008" s="90">
        <v>3.2330000000000001</v>
      </c>
      <c r="AL1008" s="90">
        <v>3.0819999999999999</v>
      </c>
      <c r="AM1008" s="21">
        <v>-6.7000000000000002E-3</v>
      </c>
      <c r="AN1008" s="102" t="s">
        <v>4854</v>
      </c>
      <c r="AO1008" s="21">
        <v>0.26469999999999999</v>
      </c>
      <c r="AP1008" s="102" t="s">
        <v>4854</v>
      </c>
      <c r="AQ1008" s="21">
        <v>0.2964</v>
      </c>
      <c r="AR1008" s="102" t="s">
        <v>4854</v>
      </c>
      <c r="AS1008" s="21">
        <v>-0.27050000000000002</v>
      </c>
      <c r="AT1008" s="21">
        <v>-0.58950000000000002</v>
      </c>
      <c r="AU1008" s="21">
        <v>2.1000000000000001E-2</v>
      </c>
      <c r="AV1008" s="102" t="s">
        <v>4854</v>
      </c>
      <c r="AW1008" s="21">
        <v>2.4E-2</v>
      </c>
      <c r="AX1008" s="102" t="s">
        <v>4854</v>
      </c>
      <c r="AY1008" s="21">
        <v>0.08</v>
      </c>
      <c r="AZ1008" s="102" t="s">
        <v>4854</v>
      </c>
      <c r="BA1008" s="21">
        <v>0.105</v>
      </c>
      <c r="BB1008" s="21">
        <v>7.0000000000000007E-2</v>
      </c>
      <c r="BC1008" s="5">
        <v>31</v>
      </c>
      <c r="BD1008" s="3" t="s">
        <v>4854</v>
      </c>
      <c r="BE1008" s="5">
        <v>53</v>
      </c>
      <c r="BF1008" s="3" t="s">
        <v>4854</v>
      </c>
      <c r="BG1008" s="5">
        <v>20</v>
      </c>
      <c r="BH1008" s="3" t="s">
        <v>4854</v>
      </c>
      <c r="BI1008" s="5">
        <v>30</v>
      </c>
      <c r="BJ1008" s="5">
        <v>16</v>
      </c>
      <c r="BK1008" s="90">
        <v>0.99399999999999999</v>
      </c>
      <c r="BL1008" s="99" t="s">
        <v>4854</v>
      </c>
      <c r="BM1008" s="90">
        <v>0.98899999999999999</v>
      </c>
      <c r="BN1008" s="99" t="s">
        <v>4854</v>
      </c>
      <c r="BO1008" s="90">
        <v>0.997</v>
      </c>
      <c r="BP1008" s="99" t="s">
        <v>4854</v>
      </c>
      <c r="BQ1008" s="90">
        <v>0.999</v>
      </c>
      <c r="BR1008" s="90">
        <v>0.996</v>
      </c>
      <c r="BS1008" s="5" t="s">
        <v>4857</v>
      </c>
    </row>
    <row r="1009" spans="1:71" s="30" customFormat="1" ht="17.100000000000001" customHeight="1">
      <c r="A1009" s="14">
        <v>998</v>
      </c>
      <c r="B1009" s="5" t="s">
        <v>995</v>
      </c>
      <c r="C1009" s="3" t="s">
        <v>1279</v>
      </c>
      <c r="D1009" s="3" t="s">
        <v>988</v>
      </c>
      <c r="E1009" s="3" t="s">
        <v>989</v>
      </c>
      <c r="F1009" s="5" t="s">
        <v>5028</v>
      </c>
      <c r="G1009" s="3" t="s">
        <v>990</v>
      </c>
      <c r="H1009" s="6" t="s">
        <v>991</v>
      </c>
      <c r="I1009" s="3" t="s">
        <v>992</v>
      </c>
      <c r="J1009" s="5" t="s">
        <v>4697</v>
      </c>
      <c r="K1009" s="3" t="s">
        <v>5956</v>
      </c>
      <c r="L1009" s="3" t="s">
        <v>996</v>
      </c>
      <c r="M1009" s="5">
        <v>2</v>
      </c>
      <c r="N1009" s="21">
        <v>607.31590000000006</v>
      </c>
      <c r="O1009" s="35" t="s">
        <v>4854</v>
      </c>
      <c r="P1009" s="36" t="str">
        <f>HYPERLINK("http://ms.phosphosite.org:5080/cgi-bin/plot-msms.cgi?MassType=1&amp;NumAxis=1&amp;Mod1=147&amp;Mod9=170&amp;Pep=MGHALEEIKK&amp;Dta=/var/www/html/dta/S01/10559.2950.2.dta&amp;Global_Mod=CS57.0215", "2950")</f>
        <v>2950</v>
      </c>
      <c r="Q1009" s="36" t="str">
        <f>HYPERLINK("http://ms.phosphosite.org:5080/cgi-bin/plot-msms.cgi?MassType=1&amp;NumAxis=1&amp;Mod1=147&amp;Mod9=170&amp;Pep=MGHALEEIKK&amp;Dta=/var/www/html/dta/S01/10560.2930.2.dta&amp;Global_Mod=CS57.0215", "2930")</f>
        <v>2930</v>
      </c>
      <c r="R1009" s="35" t="s">
        <v>4854</v>
      </c>
      <c r="S1009" s="35" t="s">
        <v>4854</v>
      </c>
      <c r="T1009" s="35" t="s">
        <v>4854</v>
      </c>
      <c r="U1009" s="36" t="str">
        <f>HYPERLINK("http://ms.phosphosite.org:5080/cgi-bin/plot-msms.cgi?MassType=1&amp;NumAxis=1&amp;Mod1=147&amp;Mod9=170&amp;Pep=MGHALEEIKK&amp;Dta=/var/www/html/dta/S01/10564.3285.2.dta&amp;Global_Mod=CS57.0215", "3285")</f>
        <v>3285</v>
      </c>
      <c r="V1009" s="36" t="str">
        <f>HYPERLINK("http://ms.phosphosite.org:5080/cgi-bin/plot-msms.cgi?MassType=1&amp;NumAxis=1&amp;Mod1=147&amp;Mod9=170&amp;Pep=MGHALEEIKK&amp;Dta=/var/www/html/dta/S01/10565.3359.2.dta&amp;Global_Mod=CS57.0215", "3359")</f>
        <v>3359</v>
      </c>
      <c r="W1009" s="3" t="s">
        <v>4854</v>
      </c>
      <c r="X1009" s="5">
        <v>2925</v>
      </c>
      <c r="Y1009" s="5">
        <v>2893</v>
      </c>
      <c r="Z1009" s="3" t="s">
        <v>4854</v>
      </c>
      <c r="AA1009" s="3" t="s">
        <v>4854</v>
      </c>
      <c r="AB1009" s="3" t="s">
        <v>4854</v>
      </c>
      <c r="AC1009" s="5">
        <v>3283</v>
      </c>
      <c r="AD1009" s="5">
        <v>3357</v>
      </c>
      <c r="AE1009" s="99" t="s">
        <v>4854</v>
      </c>
      <c r="AF1009" s="90">
        <v>2.827</v>
      </c>
      <c r="AG1009" s="90">
        <v>2.1230000000000002</v>
      </c>
      <c r="AH1009" s="99" t="s">
        <v>4854</v>
      </c>
      <c r="AI1009" s="99" t="s">
        <v>4854</v>
      </c>
      <c r="AJ1009" s="99" t="s">
        <v>4854</v>
      </c>
      <c r="AK1009" s="90">
        <v>2.6269999999999998</v>
      </c>
      <c r="AL1009" s="90">
        <v>2.9009999999999998</v>
      </c>
      <c r="AM1009" s="102" t="s">
        <v>4854</v>
      </c>
      <c r="AN1009" s="21">
        <v>5.3900000000000003E-2</v>
      </c>
      <c r="AO1009" s="21">
        <v>0.25659999999999999</v>
      </c>
      <c r="AP1009" s="102" t="s">
        <v>4854</v>
      </c>
      <c r="AQ1009" s="102" t="s">
        <v>4854</v>
      </c>
      <c r="AR1009" s="102" t="s">
        <v>4854</v>
      </c>
      <c r="AS1009" s="21">
        <v>0.1643</v>
      </c>
      <c r="AT1009" s="21">
        <v>0.13539999999999999</v>
      </c>
      <c r="AU1009" s="102" t="s">
        <v>4854</v>
      </c>
      <c r="AV1009" s="21">
        <v>0.115</v>
      </c>
      <c r="AW1009" s="21">
        <v>0.13700000000000001</v>
      </c>
      <c r="AX1009" s="102" t="s">
        <v>4854</v>
      </c>
      <c r="AY1009" s="102" t="s">
        <v>4854</v>
      </c>
      <c r="AZ1009" s="102" t="s">
        <v>4854</v>
      </c>
      <c r="BA1009" s="21">
        <v>0.13300000000000001</v>
      </c>
      <c r="BB1009" s="21">
        <v>0.24399999999999999</v>
      </c>
      <c r="BC1009" s="3" t="s">
        <v>4854</v>
      </c>
      <c r="BD1009" s="5">
        <v>1</v>
      </c>
      <c r="BE1009" s="5">
        <v>7</v>
      </c>
      <c r="BF1009" s="3" t="s">
        <v>4854</v>
      </c>
      <c r="BG1009" s="3" t="s">
        <v>4854</v>
      </c>
      <c r="BH1009" s="3" t="s">
        <v>4854</v>
      </c>
      <c r="BI1009" s="5">
        <v>1</v>
      </c>
      <c r="BJ1009" s="5">
        <v>1</v>
      </c>
      <c r="BK1009" s="99" t="s">
        <v>4854</v>
      </c>
      <c r="BL1009" s="90">
        <v>1</v>
      </c>
      <c r="BM1009" s="90">
        <v>0.997</v>
      </c>
      <c r="BN1009" s="99" t="s">
        <v>4854</v>
      </c>
      <c r="BO1009" s="99" t="s">
        <v>4854</v>
      </c>
      <c r="BP1009" s="99" t="s">
        <v>4854</v>
      </c>
      <c r="BQ1009" s="90">
        <v>0.999</v>
      </c>
      <c r="BR1009" s="90">
        <v>1</v>
      </c>
      <c r="BS1009" s="5" t="s">
        <v>4857</v>
      </c>
    </row>
    <row r="1010" spans="1:71" s="30" customFormat="1" ht="17.100000000000001" customHeight="1">
      <c r="A1010" s="10">
        <v>999</v>
      </c>
      <c r="B1010" s="10" t="s">
        <v>997</v>
      </c>
      <c r="C1010" s="4" t="s">
        <v>1279</v>
      </c>
      <c r="D1010" s="4" t="s">
        <v>998</v>
      </c>
      <c r="E1010" s="4" t="s">
        <v>999</v>
      </c>
      <c r="F1010" s="10" t="s">
        <v>4221</v>
      </c>
      <c r="G1010" s="4" t="s">
        <v>1000</v>
      </c>
      <c r="H1010" s="7" t="s">
        <v>1001</v>
      </c>
      <c r="I1010" s="4" t="s">
        <v>1002</v>
      </c>
      <c r="J1010" s="10" t="s">
        <v>4782</v>
      </c>
      <c r="K1010" s="4" t="s">
        <v>5957</v>
      </c>
      <c r="L1010" s="4" t="s">
        <v>1003</v>
      </c>
      <c r="M1010" s="10">
        <v>2</v>
      </c>
      <c r="N1010" s="95">
        <v>546.26110000000006</v>
      </c>
      <c r="O1010" s="38" t="s">
        <v>4854</v>
      </c>
      <c r="P1010" s="37" t="str">
        <f>HYPERLINK("http://ms.phosphosite.org:5080/cgi-bin/plot-msms.cgi?MassType=1&amp;NumAxis=1&amp;Mod9=170&amp;Pep=EAATRNMEK&amp;Dta=/var/www/html/dta/S01/10559.2848.2.dta&amp;Global_Mod=CS57.0215", "2848")</f>
        <v>2848</v>
      </c>
      <c r="Q1010" s="38" t="s">
        <v>4854</v>
      </c>
      <c r="R1010" s="38" t="s">
        <v>4854</v>
      </c>
      <c r="S1010" s="38" t="s">
        <v>4854</v>
      </c>
      <c r="T1010" s="38" t="s">
        <v>4854</v>
      </c>
      <c r="U1010" s="38" t="s">
        <v>4854</v>
      </c>
      <c r="V1010" s="38" t="s">
        <v>4854</v>
      </c>
      <c r="W1010" s="4" t="s">
        <v>4854</v>
      </c>
      <c r="X1010" s="4" t="s">
        <v>4854</v>
      </c>
      <c r="Y1010" s="4" t="s">
        <v>4854</v>
      </c>
      <c r="Z1010" s="4" t="s">
        <v>4854</v>
      </c>
      <c r="AA1010" s="4" t="s">
        <v>4854</v>
      </c>
      <c r="AB1010" s="4" t="s">
        <v>4854</v>
      </c>
      <c r="AC1010" s="4" t="s">
        <v>4854</v>
      </c>
      <c r="AD1010" s="4" t="s">
        <v>4854</v>
      </c>
      <c r="AE1010" s="100" t="s">
        <v>4854</v>
      </c>
      <c r="AF1010" s="91">
        <v>1.595</v>
      </c>
      <c r="AG1010" s="100" t="s">
        <v>4854</v>
      </c>
      <c r="AH1010" s="100" t="s">
        <v>4854</v>
      </c>
      <c r="AI1010" s="100" t="s">
        <v>4854</v>
      </c>
      <c r="AJ1010" s="100" t="s">
        <v>4854</v>
      </c>
      <c r="AK1010" s="100" t="s">
        <v>4854</v>
      </c>
      <c r="AL1010" s="100" t="s">
        <v>4854</v>
      </c>
      <c r="AM1010" s="103" t="s">
        <v>4854</v>
      </c>
      <c r="AN1010" s="95">
        <v>0.36720000000000003</v>
      </c>
      <c r="AO1010" s="103" t="s">
        <v>4854</v>
      </c>
      <c r="AP1010" s="103" t="s">
        <v>4854</v>
      </c>
      <c r="AQ1010" s="103" t="s">
        <v>4854</v>
      </c>
      <c r="AR1010" s="103" t="s">
        <v>4854</v>
      </c>
      <c r="AS1010" s="103" t="s">
        <v>4854</v>
      </c>
      <c r="AT1010" s="103" t="s">
        <v>4854</v>
      </c>
      <c r="AU1010" s="103" t="s">
        <v>4854</v>
      </c>
      <c r="AV1010" s="95">
        <v>1E-3</v>
      </c>
      <c r="AW1010" s="103" t="s">
        <v>4854</v>
      </c>
      <c r="AX1010" s="103" t="s">
        <v>4854</v>
      </c>
      <c r="AY1010" s="103" t="s">
        <v>4854</v>
      </c>
      <c r="AZ1010" s="103" t="s">
        <v>4854</v>
      </c>
      <c r="BA1010" s="103" t="s">
        <v>4854</v>
      </c>
      <c r="BB1010" s="103" t="s">
        <v>4854</v>
      </c>
      <c r="BC1010" s="4" t="s">
        <v>4854</v>
      </c>
      <c r="BD1010" s="10">
        <v>12</v>
      </c>
      <c r="BE1010" s="4" t="s">
        <v>4854</v>
      </c>
      <c r="BF1010" s="4" t="s">
        <v>4854</v>
      </c>
      <c r="BG1010" s="4" t="s">
        <v>4854</v>
      </c>
      <c r="BH1010" s="4" t="s">
        <v>4854</v>
      </c>
      <c r="BI1010" s="4" t="s">
        <v>4854</v>
      </c>
      <c r="BJ1010" s="4" t="s">
        <v>4854</v>
      </c>
      <c r="BK1010" s="100" t="s">
        <v>4854</v>
      </c>
      <c r="BL1010" s="91">
        <v>0.71499999999999997</v>
      </c>
      <c r="BM1010" s="100" t="s">
        <v>4854</v>
      </c>
      <c r="BN1010" s="100" t="s">
        <v>4854</v>
      </c>
      <c r="BO1010" s="100" t="s">
        <v>4854</v>
      </c>
      <c r="BP1010" s="100" t="s">
        <v>4854</v>
      </c>
      <c r="BQ1010" s="100" t="s">
        <v>4854</v>
      </c>
      <c r="BR1010" s="100" t="s">
        <v>4854</v>
      </c>
      <c r="BS1010" s="10" t="s">
        <v>4857</v>
      </c>
    </row>
    <row r="1011" spans="1:71" s="30" customFormat="1" ht="17.100000000000001" customHeight="1">
      <c r="A1011" s="14">
        <v>1000</v>
      </c>
      <c r="B1011" s="5" t="s">
        <v>1004</v>
      </c>
      <c r="C1011" s="3" t="s">
        <v>1279</v>
      </c>
      <c r="D1011" s="3" t="s">
        <v>1005</v>
      </c>
      <c r="E1011" s="3" t="s">
        <v>1006</v>
      </c>
      <c r="F1011" s="5" t="s">
        <v>5107</v>
      </c>
      <c r="G1011" s="3" t="s">
        <v>1007</v>
      </c>
      <c r="H1011" s="6" t="s">
        <v>1008</v>
      </c>
      <c r="I1011" s="3" t="s">
        <v>1009</v>
      </c>
      <c r="J1011" s="5" t="s">
        <v>2474</v>
      </c>
      <c r="K1011" s="3" t="s">
        <v>5958</v>
      </c>
      <c r="L1011" s="3" t="s">
        <v>1010</v>
      </c>
      <c r="M1011" s="5">
        <v>2</v>
      </c>
      <c r="N1011" s="21">
        <v>644.3306</v>
      </c>
      <c r="O1011" s="36" t="str">
        <f>HYPERLINK("http://ms.phosphosite.org:5080/cgi-bin/plot-msms.cgi?MassType=1&amp;NumAxis=1&amp;Mod8=170&amp;Pep=LVESANEKAER&amp;Dta=/var/www/html/dta/S01/10558.2328.2.dta&amp;Global_Mod=CS57.0215", "2328")</f>
        <v>2328</v>
      </c>
      <c r="P1011" s="36" t="str">
        <f>HYPERLINK("http://ms.phosphosite.org:5080/cgi-bin/plot-msms.cgi?MassType=1&amp;NumAxis=1&amp;Mod8=170&amp;Pep=LVESANEKAER&amp;Dta=/var/www/html/dta/S01/10559.2282.2.dta&amp;Global_Mod=CS57.0215", "2282")</f>
        <v>2282</v>
      </c>
      <c r="Q1011" s="36" t="str">
        <f>HYPERLINK("http://ms.phosphosite.org:5080/cgi-bin/plot-msms.cgi?MassType=1&amp;NumAxis=1&amp;Mod8=170&amp;Pep=LVESANEKAER&amp;Dta=/var/www/html/dta/S01/10560.2267.2.dta&amp;Global_Mod=CS57.0215", "2267")</f>
        <v>2267</v>
      </c>
      <c r="R1011" s="36" t="str">
        <f>HYPERLINK("http://ms.phosphosite.org:5080/cgi-bin/plot-msms.cgi?MassType=1&amp;NumAxis=1&amp;Mod8=170&amp;Pep=LVESANEKAER&amp;Dta=/var/www/html/dta/S01/10561.2315.2.dta&amp;Global_Mod=CS57.0215", "2315")</f>
        <v>2315</v>
      </c>
      <c r="S1011" s="36" t="str">
        <f>HYPERLINK("http://ms.phosphosite.org:5080/cgi-bin/plot-msms.cgi?MassType=1&amp;NumAxis=1&amp;Mod8=170&amp;Pep=LVESANEKAER&amp;Dta=/var/www/html/dta/S01/10562.2366.2.dta&amp;Global_Mod=CS57.0215", "2366")</f>
        <v>2366</v>
      </c>
      <c r="T1011" s="36" t="str">
        <f>HYPERLINK("http://ms.phosphosite.org:5080/cgi-bin/plot-msms.cgi?MassType=1&amp;NumAxis=1&amp;Mod8=170&amp;Pep=LVESANEKAER&amp;Dta=/var/www/html/dta/S01/10563.2299.2.dta&amp;Global_Mod=CS57.0215", "2299")</f>
        <v>2299</v>
      </c>
      <c r="U1011" s="36" t="str">
        <f>HYPERLINK("http://ms.phosphosite.org:5080/cgi-bin/plot-msms.cgi?MassType=1&amp;NumAxis=1&amp;Mod8=170&amp;Pep=LVESANEKAER&amp;Dta=/var/www/html/dta/S01/10564.2586.2.dta&amp;Global_Mod=CS57.0215", "2586")</f>
        <v>2586</v>
      </c>
      <c r="V1011" s="36" t="str">
        <f>HYPERLINK("http://ms.phosphosite.org:5080/cgi-bin/plot-msms.cgi?MassType=1&amp;NumAxis=1&amp;Mod8=170&amp;Pep=LVESANEKAER&amp;Dta=/var/www/html/dta/S01/10565.2657.2.dta&amp;Global_Mod=CS57.0215", "2657")</f>
        <v>2657</v>
      </c>
      <c r="W1011" s="5">
        <v>2345</v>
      </c>
      <c r="X1011" s="5">
        <v>2288</v>
      </c>
      <c r="Y1011" s="5">
        <v>2274</v>
      </c>
      <c r="Z1011" s="5">
        <v>2322</v>
      </c>
      <c r="AA1011" s="5">
        <v>2371</v>
      </c>
      <c r="AB1011" s="5">
        <v>2313</v>
      </c>
      <c r="AC1011" s="5">
        <v>2588</v>
      </c>
      <c r="AD1011" s="5">
        <v>2665</v>
      </c>
      <c r="AE1011" s="90">
        <v>3.2519999999999998</v>
      </c>
      <c r="AF1011" s="90">
        <v>3.0539999999999998</v>
      </c>
      <c r="AG1011" s="90">
        <v>3.1680000000000001</v>
      </c>
      <c r="AH1011" s="90">
        <v>3.3290000000000002</v>
      </c>
      <c r="AI1011" s="90">
        <v>3.2679999999999998</v>
      </c>
      <c r="AJ1011" s="90">
        <v>3.3370000000000002</v>
      </c>
      <c r="AK1011" s="90">
        <v>3.2149999999999999</v>
      </c>
      <c r="AL1011" s="90">
        <v>3.3220000000000001</v>
      </c>
      <c r="AM1011" s="21">
        <v>-5.8599999999999999E-2</v>
      </c>
      <c r="AN1011" s="21">
        <v>-1.44E-2</v>
      </c>
      <c r="AO1011" s="21">
        <v>0.73199999999999998</v>
      </c>
      <c r="AP1011" s="21">
        <v>0.7056</v>
      </c>
      <c r="AQ1011" s="21">
        <v>0.35220000000000001</v>
      </c>
      <c r="AR1011" s="21">
        <v>0.72889999999999999</v>
      </c>
      <c r="AS1011" s="21">
        <v>0.29160000000000003</v>
      </c>
      <c r="AT1011" s="21">
        <v>-0.193</v>
      </c>
      <c r="AU1011" s="21">
        <v>0.40100000000000002</v>
      </c>
      <c r="AV1011" s="21">
        <v>0.40699999999999997</v>
      </c>
      <c r="AW1011" s="21">
        <v>0.441</v>
      </c>
      <c r="AX1011" s="21">
        <v>0.40100000000000002</v>
      </c>
      <c r="AY1011" s="21">
        <v>0.35499999999999998</v>
      </c>
      <c r="AZ1011" s="21">
        <v>0.375</v>
      </c>
      <c r="BA1011" s="21">
        <v>0.36199999999999999</v>
      </c>
      <c r="BB1011" s="21">
        <v>0.40600000000000003</v>
      </c>
      <c r="BC1011" s="5">
        <v>1</v>
      </c>
      <c r="BD1011" s="5">
        <v>1</v>
      </c>
      <c r="BE1011" s="5">
        <v>1</v>
      </c>
      <c r="BF1011" s="5">
        <v>1</v>
      </c>
      <c r="BG1011" s="5">
        <v>1</v>
      </c>
      <c r="BH1011" s="5">
        <v>1</v>
      </c>
      <c r="BI1011" s="5">
        <v>1</v>
      </c>
      <c r="BJ1011" s="5">
        <v>1</v>
      </c>
      <c r="BK1011" s="90">
        <v>1</v>
      </c>
      <c r="BL1011" s="90">
        <v>1</v>
      </c>
      <c r="BM1011" s="90">
        <v>1</v>
      </c>
      <c r="BN1011" s="90">
        <v>1</v>
      </c>
      <c r="BO1011" s="90">
        <v>1</v>
      </c>
      <c r="BP1011" s="90">
        <v>1</v>
      </c>
      <c r="BQ1011" s="90">
        <v>1</v>
      </c>
      <c r="BR1011" s="90">
        <v>1</v>
      </c>
      <c r="BS1011" s="5" t="s">
        <v>4857</v>
      </c>
    </row>
    <row r="1012" spans="1:71" s="30" customFormat="1" ht="17.100000000000001" customHeight="1">
      <c r="A1012" s="10">
        <v>1001</v>
      </c>
      <c r="B1012" s="10" t="s">
        <v>1011</v>
      </c>
      <c r="C1012" s="4" t="s">
        <v>1279</v>
      </c>
      <c r="D1012" s="4" t="s">
        <v>1005</v>
      </c>
      <c r="E1012" s="4" t="s">
        <v>1006</v>
      </c>
      <c r="F1012" s="10" t="s">
        <v>5017</v>
      </c>
      <c r="G1012" s="4" t="s">
        <v>1007</v>
      </c>
      <c r="H1012" s="7" t="s">
        <v>1008</v>
      </c>
      <c r="I1012" s="4" t="s">
        <v>1009</v>
      </c>
      <c r="J1012" s="10" t="s">
        <v>2474</v>
      </c>
      <c r="K1012" s="4" t="s">
        <v>5959</v>
      </c>
      <c r="L1012" s="4" t="s">
        <v>1012</v>
      </c>
      <c r="M1012" s="10">
        <v>3</v>
      </c>
      <c r="N1012" s="95">
        <v>822.44050000000004</v>
      </c>
      <c r="O1012" s="38" t="s">
        <v>4854</v>
      </c>
      <c r="P1012" s="37" t="str">
        <f>HYPERLINK("http://ms.phosphosite.org:5080/cgi-bin/plot-msms.cgi?MassType=1&amp;NumAxis=1&amp;Mod15=170&amp;Mod21=147&amp;Pep=VEPAPPATSLSLGLKPGQTVMGTR&amp;Dta=/var/www/html/dta/S01/10559.9093.3.dta&amp;Global_Mod=CS57.0215", "9093")</f>
        <v>9093</v>
      </c>
      <c r="Q1012" s="37" t="str">
        <f>HYPERLINK("http://ms.phosphosite.org:5080/cgi-bin/plot-msms.cgi?MassType=1&amp;NumAxis=1&amp;Mod15=170&amp;Mod21=147&amp;Pep=VEPAPPATSLSLGLKPGQTVMGTR&amp;Dta=/var/www/html/dta/S01/10560.9119.3.dta&amp;Global_Mod=CS57.0215", "9119")</f>
        <v>9119</v>
      </c>
      <c r="R1012" s="37" t="str">
        <f>HYPERLINK("http://ms.phosphosite.org:5080/cgi-bin/plot-msms.cgi?MassType=1&amp;NumAxis=1&amp;Mod15=170&amp;Mod21=147&amp;Pep=VEPAPPATSLSLGLKPGQTVMGTR&amp;Dta=/var/www/html/dta/S01/10561.9137.3.dta&amp;Global_Mod=CS57.0215", "9137")</f>
        <v>9137</v>
      </c>
      <c r="S1012" s="38" t="s">
        <v>4854</v>
      </c>
      <c r="T1012" s="38" t="s">
        <v>4854</v>
      </c>
      <c r="U1012" s="38" t="s">
        <v>4854</v>
      </c>
      <c r="V1012" s="38" t="s">
        <v>4854</v>
      </c>
      <c r="W1012" s="4" t="s">
        <v>4854</v>
      </c>
      <c r="X1012" s="10">
        <v>9099</v>
      </c>
      <c r="Y1012" s="10">
        <v>9127</v>
      </c>
      <c r="Z1012" s="10">
        <v>9154</v>
      </c>
      <c r="AA1012" s="4" t="s">
        <v>4854</v>
      </c>
      <c r="AB1012" s="4" t="s">
        <v>4854</v>
      </c>
      <c r="AC1012" s="4" t="s">
        <v>4854</v>
      </c>
      <c r="AD1012" s="4" t="s">
        <v>4854</v>
      </c>
      <c r="AE1012" s="100" t="s">
        <v>4854</v>
      </c>
      <c r="AF1012" s="91">
        <v>3</v>
      </c>
      <c r="AG1012" s="91">
        <v>3.0510000000000002</v>
      </c>
      <c r="AH1012" s="91">
        <v>2.38</v>
      </c>
      <c r="AI1012" s="100" t="s">
        <v>4854</v>
      </c>
      <c r="AJ1012" s="100" t="s">
        <v>4854</v>
      </c>
      <c r="AK1012" s="100" t="s">
        <v>4854</v>
      </c>
      <c r="AL1012" s="100" t="s">
        <v>4854</v>
      </c>
      <c r="AM1012" s="103" t="s">
        <v>4854</v>
      </c>
      <c r="AN1012" s="95">
        <v>0.62150000000000005</v>
      </c>
      <c r="AO1012" s="95">
        <v>0.68469999999999998</v>
      </c>
      <c r="AP1012" s="95">
        <v>1.2870999999999999</v>
      </c>
      <c r="AQ1012" s="103" t="s">
        <v>4854</v>
      </c>
      <c r="AR1012" s="103" t="s">
        <v>4854</v>
      </c>
      <c r="AS1012" s="103" t="s">
        <v>4854</v>
      </c>
      <c r="AT1012" s="103" t="s">
        <v>4854</v>
      </c>
      <c r="AU1012" s="103" t="s">
        <v>4854</v>
      </c>
      <c r="AV1012" s="95">
        <v>0.13</v>
      </c>
      <c r="AW1012" s="95">
        <v>0.22</v>
      </c>
      <c r="AX1012" s="95">
        <v>8.5000000000000006E-2</v>
      </c>
      <c r="AY1012" s="103" t="s">
        <v>4854</v>
      </c>
      <c r="AZ1012" s="103" t="s">
        <v>4854</v>
      </c>
      <c r="BA1012" s="103" t="s">
        <v>4854</v>
      </c>
      <c r="BB1012" s="103" t="s">
        <v>4854</v>
      </c>
      <c r="BC1012" s="4" t="s">
        <v>4854</v>
      </c>
      <c r="BD1012" s="10">
        <v>1</v>
      </c>
      <c r="BE1012" s="10">
        <v>2</v>
      </c>
      <c r="BF1012" s="10">
        <v>4</v>
      </c>
      <c r="BG1012" s="4" t="s">
        <v>4854</v>
      </c>
      <c r="BH1012" s="4" t="s">
        <v>4854</v>
      </c>
      <c r="BI1012" s="4" t="s">
        <v>4854</v>
      </c>
      <c r="BJ1012" s="4" t="s">
        <v>4854</v>
      </c>
      <c r="BK1012" s="100" t="s">
        <v>4854</v>
      </c>
      <c r="BL1012" s="91">
        <v>0.999</v>
      </c>
      <c r="BM1012" s="91">
        <v>1</v>
      </c>
      <c r="BN1012" s="91">
        <v>0.99399999999999999</v>
      </c>
      <c r="BO1012" s="100" t="s">
        <v>4854</v>
      </c>
      <c r="BP1012" s="100" t="s">
        <v>4854</v>
      </c>
      <c r="BQ1012" s="100" t="s">
        <v>4854</v>
      </c>
      <c r="BR1012" s="100" t="s">
        <v>4854</v>
      </c>
      <c r="BS1012" s="10" t="s">
        <v>4857</v>
      </c>
    </row>
    <row r="1013" spans="1:71" s="30" customFormat="1" ht="17.100000000000001" customHeight="1">
      <c r="A1013" s="14">
        <v>1002</v>
      </c>
      <c r="B1013" s="5" t="s">
        <v>1013</v>
      </c>
      <c r="C1013" s="3" t="s">
        <v>1279</v>
      </c>
      <c r="D1013" s="3" t="s">
        <v>1014</v>
      </c>
      <c r="E1013" s="6" t="s">
        <v>1015</v>
      </c>
      <c r="F1013" s="5" t="s">
        <v>5085</v>
      </c>
      <c r="G1013" s="3" t="s">
        <v>1016</v>
      </c>
      <c r="H1013" s="6" t="s">
        <v>1017</v>
      </c>
      <c r="I1013" s="3" t="s">
        <v>1018</v>
      </c>
      <c r="J1013" s="5" t="s">
        <v>4653</v>
      </c>
      <c r="K1013" s="3" t="s">
        <v>5960</v>
      </c>
      <c r="L1013" s="3" t="s">
        <v>1019</v>
      </c>
      <c r="M1013" s="5">
        <v>2</v>
      </c>
      <c r="N1013" s="21">
        <v>416.73180000000002</v>
      </c>
      <c r="O1013" s="36" t="str">
        <f>HYPERLINK("http://ms.phosphosite.org:5080/cgi-bin/plot-msms.cgi?MassType=1&amp;NumAxis=1&amp;Mod4=170&amp;Pep=AAFKEPK&amp;Dta=/var/www/html/dta/S01/10558.2608.2.dta&amp;Global_Mod=CS57.0215", "2608")</f>
        <v>2608</v>
      </c>
      <c r="P1013" s="36" t="str">
        <f>HYPERLINK("http://ms.phosphosite.org:5080/cgi-bin/plot-msms.cgi?MassType=1&amp;NumAxis=1&amp;Mod4=170&amp;Pep=AAFKEPK&amp;Dta=/var/www/html/dta/S01/10559.2565.2.dta&amp;Global_Mod=CS57.0215", "2565")</f>
        <v>2565</v>
      </c>
      <c r="Q1013" s="36" t="str">
        <f>HYPERLINK("http://ms.phosphosite.org:5080/cgi-bin/plot-msms.cgi?MassType=1&amp;NumAxis=1&amp;Mod4=170&amp;Pep=AAFKEPK&amp;Dta=/var/www/html/dta/S01/10560.2549.2.dta&amp;Global_Mod=CS57.0215", "2549")</f>
        <v>2549</v>
      </c>
      <c r="R1013" s="36" t="str">
        <f>HYPERLINK("http://ms.phosphosite.org:5080/cgi-bin/plot-msms.cgi?MassType=1&amp;NumAxis=1&amp;Mod4=170&amp;Pep=AAFKEPK&amp;Dta=/var/www/html/dta/S01/10561.2589.2.dta&amp;Global_Mod=CS57.0215", "2589")</f>
        <v>2589</v>
      </c>
      <c r="S1013" s="36" t="str">
        <f>HYPERLINK("http://ms.phosphosite.org:5080/cgi-bin/plot-msms.cgi?MassType=1&amp;NumAxis=1&amp;Mod4=170&amp;Pep=AAFKEPK&amp;Dta=/var/www/html/dta/S01/10562.2661.2.dta&amp;Global_Mod=CS57.0215", "2661")</f>
        <v>2661</v>
      </c>
      <c r="T1013" s="36" t="str">
        <f>HYPERLINK("http://ms.phosphosite.org:5080/cgi-bin/plot-msms.cgi?MassType=1&amp;NumAxis=1&amp;Mod4=170&amp;Pep=AAFKEPK&amp;Dta=/var/www/html/dta/S01/10563.2590.2.dta&amp;Global_Mod=CS57.0215", "2590")</f>
        <v>2590</v>
      </c>
      <c r="U1013" s="36" t="str">
        <f>HYPERLINK("http://ms.phosphosite.org:5080/cgi-bin/plot-msms.cgi?MassType=1&amp;NumAxis=1&amp;Mod4=170&amp;Pep=AAFKEPK&amp;Dta=/var/www/html/dta/S01/10564.2914.2.dta&amp;Global_Mod=CS57.0215", "2914")</f>
        <v>2914</v>
      </c>
      <c r="V1013" s="35" t="s">
        <v>4854</v>
      </c>
      <c r="W1013" s="5">
        <v>2633</v>
      </c>
      <c r="X1013" s="5">
        <v>2589</v>
      </c>
      <c r="Y1013" s="5">
        <v>2570</v>
      </c>
      <c r="Z1013" s="5">
        <v>2608</v>
      </c>
      <c r="AA1013" s="5">
        <v>2679</v>
      </c>
      <c r="AB1013" s="5">
        <v>2599</v>
      </c>
      <c r="AC1013" s="5">
        <v>2940</v>
      </c>
      <c r="AD1013" s="3" t="s">
        <v>4854</v>
      </c>
      <c r="AE1013" s="90">
        <v>1.8440000000000001</v>
      </c>
      <c r="AF1013" s="90">
        <v>1.9419999999999999</v>
      </c>
      <c r="AG1013" s="90">
        <v>1.994</v>
      </c>
      <c r="AH1013" s="90">
        <v>2.0059999999999998</v>
      </c>
      <c r="AI1013" s="90">
        <v>2.1040000000000001</v>
      </c>
      <c r="AJ1013" s="90">
        <v>2.3650000000000002</v>
      </c>
      <c r="AK1013" s="90">
        <v>2.1669999999999998</v>
      </c>
      <c r="AL1013" s="99" t="s">
        <v>4854</v>
      </c>
      <c r="AM1013" s="21">
        <v>-6.2799999999999995E-2</v>
      </c>
      <c r="AN1013" s="21">
        <v>-0.10009999999999999</v>
      </c>
      <c r="AO1013" s="21">
        <v>0.2399</v>
      </c>
      <c r="AP1013" s="21">
        <v>0.24709999999999999</v>
      </c>
      <c r="AQ1013" s="21">
        <v>0.2591</v>
      </c>
      <c r="AR1013" s="21">
        <v>0.22789999999999999</v>
      </c>
      <c r="AS1013" s="21">
        <v>2E-3</v>
      </c>
      <c r="AT1013" s="102" t="s">
        <v>4854</v>
      </c>
      <c r="AU1013" s="21">
        <v>6.2E-2</v>
      </c>
      <c r="AV1013" s="21">
        <v>9.9000000000000005E-2</v>
      </c>
      <c r="AW1013" s="21">
        <v>0.16400000000000001</v>
      </c>
      <c r="AX1013" s="21">
        <v>0.15</v>
      </c>
      <c r="AY1013" s="21">
        <v>0.105</v>
      </c>
      <c r="AZ1013" s="21">
        <v>0.17499999999999999</v>
      </c>
      <c r="BA1013" s="21">
        <v>0.16</v>
      </c>
      <c r="BB1013" s="102" t="s">
        <v>4854</v>
      </c>
      <c r="BC1013" s="5">
        <v>1</v>
      </c>
      <c r="BD1013" s="5">
        <v>1</v>
      </c>
      <c r="BE1013" s="5">
        <v>2</v>
      </c>
      <c r="BF1013" s="5">
        <v>1</v>
      </c>
      <c r="BG1013" s="5">
        <v>1</v>
      </c>
      <c r="BH1013" s="5">
        <v>4</v>
      </c>
      <c r="BI1013" s="5">
        <v>1</v>
      </c>
      <c r="BJ1013" s="3" t="s">
        <v>4854</v>
      </c>
      <c r="BK1013" s="90">
        <v>0.97</v>
      </c>
      <c r="BL1013" s="90">
        <v>0.98599999999999999</v>
      </c>
      <c r="BM1013" s="90">
        <v>0.99299999999999999</v>
      </c>
      <c r="BN1013" s="90">
        <v>0.99399999999999999</v>
      </c>
      <c r="BO1013" s="90">
        <v>0.99199999999999999</v>
      </c>
      <c r="BP1013" s="90">
        <v>0.997</v>
      </c>
      <c r="BQ1013" s="90">
        <v>0.996</v>
      </c>
      <c r="BR1013" s="99" t="s">
        <v>4854</v>
      </c>
      <c r="BS1013" s="5" t="s">
        <v>4857</v>
      </c>
    </row>
    <row r="1014" spans="1:71" s="30" customFormat="1" ht="17.100000000000001" customHeight="1">
      <c r="A1014" s="10">
        <v>1003</v>
      </c>
      <c r="B1014" s="10" t="s">
        <v>1020</v>
      </c>
      <c r="C1014" s="4" t="s">
        <v>1279</v>
      </c>
      <c r="D1014" s="4" t="s">
        <v>1021</v>
      </c>
      <c r="E1014" s="4" t="s">
        <v>1022</v>
      </c>
      <c r="F1014" s="10" t="s">
        <v>1023</v>
      </c>
      <c r="G1014" s="4" t="s">
        <v>1024</v>
      </c>
      <c r="H1014" s="7" t="s">
        <v>1025</v>
      </c>
      <c r="I1014" s="4" t="s">
        <v>1026</v>
      </c>
      <c r="J1014" s="10" t="s">
        <v>1027</v>
      </c>
      <c r="K1014" s="4" t="s">
        <v>5961</v>
      </c>
      <c r="L1014" s="4" t="s">
        <v>1028</v>
      </c>
      <c r="M1014" s="10">
        <v>3</v>
      </c>
      <c r="N1014" s="95">
        <v>786.01430000000005</v>
      </c>
      <c r="O1014" s="38" t="s">
        <v>4854</v>
      </c>
      <c r="P1014" s="37" t="str">
        <f>HYPERLINK("http://ms.phosphosite.org:5080/cgi-bin/plot-msms.cgi?MassType=1&amp;NumAxis=1&amp;Mod5=170&amp;Pep=ADADKSEAAAGDDGSQQQPAEPR&amp;Dta=/var/www/html/dta/S01/10559.2586.3.dta&amp;Global_Mod=CS57.0215", "2586")</f>
        <v>2586</v>
      </c>
      <c r="Q1014" s="37" t="str">
        <f>HYPERLINK("http://ms.phosphosite.org:5080/cgi-bin/plot-msms.cgi?MassType=1&amp;NumAxis=1&amp;Mod5=170&amp;Pep=ADADKSEAAAGDDGSQQQPAEPR&amp;Dta=/var/www/html/dta/S01/10560.2558.3.dta&amp;Global_Mod=CS57.0215", "2558")</f>
        <v>2558</v>
      </c>
      <c r="R1014" s="37" t="str">
        <f>HYPERLINK("http://ms.phosphosite.org:5080/cgi-bin/plot-msms.cgi?MassType=1&amp;NumAxis=1&amp;Mod5=170&amp;Pep=ADADKSEAAAGDDGSQQQPAEPR&amp;Dta=/var/www/html/dta/S01/10561.2607.3.dta&amp;Global_Mod=CS57.0215", "2607")</f>
        <v>2607</v>
      </c>
      <c r="S1014" s="37" t="str">
        <f>HYPERLINK("http://ms.phosphosite.org:5080/cgi-bin/plot-msms.cgi?MassType=1&amp;NumAxis=1&amp;Mod5=170&amp;Pep=ADADKSEAAAGDDGSQQQPAEPR&amp;Dta=/var/www/html/dta/S01/10562.2675.3.dta&amp;Global_Mod=CS57.0215", "2675")</f>
        <v>2675</v>
      </c>
      <c r="T1014" s="38" t="s">
        <v>4854</v>
      </c>
      <c r="U1014" s="38" t="s">
        <v>4854</v>
      </c>
      <c r="V1014" s="38" t="s">
        <v>4854</v>
      </c>
      <c r="W1014" s="4" t="s">
        <v>4854</v>
      </c>
      <c r="X1014" s="4" t="s">
        <v>4854</v>
      </c>
      <c r="Y1014" s="4" t="s">
        <v>4854</v>
      </c>
      <c r="Z1014" s="4" t="s">
        <v>4854</v>
      </c>
      <c r="AA1014" s="4" t="s">
        <v>4854</v>
      </c>
      <c r="AB1014" s="4" t="s">
        <v>4854</v>
      </c>
      <c r="AC1014" s="4" t="s">
        <v>4854</v>
      </c>
      <c r="AD1014" s="4" t="s">
        <v>4854</v>
      </c>
      <c r="AE1014" s="100" t="s">
        <v>4854</v>
      </c>
      <c r="AF1014" s="91">
        <v>2.351</v>
      </c>
      <c r="AG1014" s="91">
        <v>2.5510000000000002</v>
      </c>
      <c r="AH1014" s="91">
        <v>1.9750000000000001</v>
      </c>
      <c r="AI1014" s="91">
        <v>2.4489999999999998</v>
      </c>
      <c r="AJ1014" s="100" t="s">
        <v>4854</v>
      </c>
      <c r="AK1014" s="100" t="s">
        <v>4854</v>
      </c>
      <c r="AL1014" s="100" t="s">
        <v>4854</v>
      </c>
      <c r="AM1014" s="103" t="s">
        <v>4854</v>
      </c>
      <c r="AN1014" s="95">
        <v>1.01</v>
      </c>
      <c r="AO1014" s="95">
        <v>1.2553000000000001</v>
      </c>
      <c r="AP1014" s="95">
        <v>1.7413000000000001</v>
      </c>
      <c r="AQ1014" s="95">
        <v>0.82320000000000004</v>
      </c>
      <c r="AR1014" s="103" t="s">
        <v>4854</v>
      </c>
      <c r="AS1014" s="103" t="s">
        <v>4854</v>
      </c>
      <c r="AT1014" s="103" t="s">
        <v>4854</v>
      </c>
      <c r="AU1014" s="103" t="s">
        <v>4854</v>
      </c>
      <c r="AV1014" s="95">
        <v>0.151</v>
      </c>
      <c r="AW1014" s="95">
        <v>0.224</v>
      </c>
      <c r="AX1014" s="95">
        <v>0.124</v>
      </c>
      <c r="AY1014" s="95">
        <v>0.27100000000000002</v>
      </c>
      <c r="AZ1014" s="103" t="s">
        <v>4854</v>
      </c>
      <c r="BA1014" s="103" t="s">
        <v>4854</v>
      </c>
      <c r="BB1014" s="103" t="s">
        <v>4854</v>
      </c>
      <c r="BC1014" s="4" t="s">
        <v>4854</v>
      </c>
      <c r="BD1014" s="10">
        <v>1</v>
      </c>
      <c r="BE1014" s="10">
        <v>1</v>
      </c>
      <c r="BF1014" s="10">
        <v>1</v>
      </c>
      <c r="BG1014" s="10">
        <v>1</v>
      </c>
      <c r="BH1014" s="4" t="s">
        <v>4854</v>
      </c>
      <c r="BI1014" s="4" t="s">
        <v>4854</v>
      </c>
      <c r="BJ1014" s="4" t="s">
        <v>4854</v>
      </c>
      <c r="BK1014" s="100" t="s">
        <v>4854</v>
      </c>
      <c r="BL1014" s="91">
        <v>0.32100000000000001</v>
      </c>
      <c r="BM1014" s="91">
        <v>0.64200000000000002</v>
      </c>
      <c r="BN1014" s="91">
        <v>0.11799999999999999</v>
      </c>
      <c r="BO1014" s="91">
        <v>0.75600000000000001</v>
      </c>
      <c r="BP1014" s="100" t="s">
        <v>4854</v>
      </c>
      <c r="BQ1014" s="100" t="s">
        <v>4854</v>
      </c>
      <c r="BR1014" s="100" t="s">
        <v>4854</v>
      </c>
      <c r="BS1014" s="10" t="s">
        <v>4857</v>
      </c>
    </row>
    <row r="1015" spans="1:71" s="30" customFormat="1" ht="17.100000000000001" customHeight="1">
      <c r="A1015" s="14">
        <v>1004</v>
      </c>
      <c r="B1015" s="5" t="s">
        <v>1029</v>
      </c>
      <c r="C1015" s="3" t="s">
        <v>1279</v>
      </c>
      <c r="D1015" s="3" t="s">
        <v>1030</v>
      </c>
      <c r="E1015" s="3" t="s">
        <v>1031</v>
      </c>
      <c r="F1015" s="5" t="s">
        <v>5315</v>
      </c>
      <c r="G1015" s="3" t="s">
        <v>1032</v>
      </c>
      <c r="H1015" s="6" t="s">
        <v>1033</v>
      </c>
      <c r="I1015" s="3" t="s">
        <v>1034</v>
      </c>
      <c r="J1015" s="5" t="s">
        <v>4556</v>
      </c>
      <c r="K1015" s="3" t="s">
        <v>5962</v>
      </c>
      <c r="L1015" s="3" t="s">
        <v>1035</v>
      </c>
      <c r="M1015" s="5">
        <v>3</v>
      </c>
      <c r="N1015" s="21">
        <v>688.32299999999998</v>
      </c>
      <c r="O1015" s="35" t="s">
        <v>4854</v>
      </c>
      <c r="P1015" s="35" t="s">
        <v>4854</v>
      </c>
      <c r="Q1015" s="35" t="s">
        <v>4854</v>
      </c>
      <c r="R1015" s="35" t="s">
        <v>4854</v>
      </c>
      <c r="S1015" s="35" t="s">
        <v>4854</v>
      </c>
      <c r="T1015" s="35" t="s">
        <v>4854</v>
      </c>
      <c r="U1015" s="35" t="s">
        <v>4854</v>
      </c>
      <c r="V1015" s="36" t="str">
        <f>HYPERLINK("http://ms.phosphosite.org:5080/cgi-bin/plot-msms.cgi?MassType=1&amp;NumAxis=1&amp;Mod1=160&amp;Mod6=160&amp;Mod15=170&amp;Pep=CPTPGCNSLGHLTGKHER&amp;Dta=/var/www/html/dta/S01/10565.4079.3.dta&amp;Global_Mod=CS57.0215", "4079")</f>
        <v>4079</v>
      </c>
      <c r="W1015" s="3" t="s">
        <v>4854</v>
      </c>
      <c r="X1015" s="3" t="s">
        <v>4854</v>
      </c>
      <c r="Y1015" s="3" t="s">
        <v>4854</v>
      </c>
      <c r="Z1015" s="3" t="s">
        <v>4854</v>
      </c>
      <c r="AA1015" s="3" t="s">
        <v>4854</v>
      </c>
      <c r="AB1015" s="3" t="s">
        <v>4854</v>
      </c>
      <c r="AC1015" s="3" t="s">
        <v>4854</v>
      </c>
      <c r="AD1015" s="3" t="s">
        <v>4854</v>
      </c>
      <c r="AE1015" s="99" t="s">
        <v>4854</v>
      </c>
      <c r="AF1015" s="99" t="s">
        <v>4854</v>
      </c>
      <c r="AG1015" s="99" t="s">
        <v>4854</v>
      </c>
      <c r="AH1015" s="99" t="s">
        <v>4854</v>
      </c>
      <c r="AI1015" s="99" t="s">
        <v>4854</v>
      </c>
      <c r="AJ1015" s="99" t="s">
        <v>4854</v>
      </c>
      <c r="AK1015" s="99" t="s">
        <v>4854</v>
      </c>
      <c r="AL1015" s="90">
        <v>1.792</v>
      </c>
      <c r="AM1015" s="102" t="s">
        <v>4854</v>
      </c>
      <c r="AN1015" s="102" t="s">
        <v>4854</v>
      </c>
      <c r="AO1015" s="102" t="s">
        <v>4854</v>
      </c>
      <c r="AP1015" s="102" t="s">
        <v>4854</v>
      </c>
      <c r="AQ1015" s="102" t="s">
        <v>4854</v>
      </c>
      <c r="AR1015" s="102" t="s">
        <v>4854</v>
      </c>
      <c r="AS1015" s="102" t="s">
        <v>4854</v>
      </c>
      <c r="AT1015" s="21">
        <v>0.32250000000000001</v>
      </c>
      <c r="AU1015" s="102" t="s">
        <v>4854</v>
      </c>
      <c r="AV1015" s="102" t="s">
        <v>4854</v>
      </c>
      <c r="AW1015" s="102" t="s">
        <v>4854</v>
      </c>
      <c r="AX1015" s="102" t="s">
        <v>4854</v>
      </c>
      <c r="AY1015" s="102" t="s">
        <v>4854</v>
      </c>
      <c r="AZ1015" s="102" t="s">
        <v>4854</v>
      </c>
      <c r="BA1015" s="102" t="s">
        <v>4854</v>
      </c>
      <c r="BB1015" s="21">
        <v>7.9000000000000001E-2</v>
      </c>
      <c r="BC1015" s="3" t="s">
        <v>4854</v>
      </c>
      <c r="BD1015" s="3" t="s">
        <v>4854</v>
      </c>
      <c r="BE1015" s="3" t="s">
        <v>4854</v>
      </c>
      <c r="BF1015" s="3" t="s">
        <v>4854</v>
      </c>
      <c r="BG1015" s="3" t="s">
        <v>4854</v>
      </c>
      <c r="BH1015" s="3" t="s">
        <v>4854</v>
      </c>
      <c r="BI1015" s="3" t="s">
        <v>4854</v>
      </c>
      <c r="BJ1015" s="5">
        <v>13</v>
      </c>
      <c r="BK1015" s="99" t="s">
        <v>4854</v>
      </c>
      <c r="BL1015" s="99" t="s">
        <v>4854</v>
      </c>
      <c r="BM1015" s="99" t="s">
        <v>4854</v>
      </c>
      <c r="BN1015" s="99" t="s">
        <v>4854</v>
      </c>
      <c r="BO1015" s="99" t="s">
        <v>4854</v>
      </c>
      <c r="BP1015" s="99" t="s">
        <v>4854</v>
      </c>
      <c r="BQ1015" s="99" t="s">
        <v>4854</v>
      </c>
      <c r="BR1015" s="90">
        <v>0.90100000000000002</v>
      </c>
      <c r="BS1015" s="5" t="s">
        <v>4857</v>
      </c>
    </row>
    <row r="1016" spans="1:71" s="30" customFormat="1" ht="17.100000000000001" customHeight="1">
      <c r="A1016" s="10">
        <v>1005</v>
      </c>
      <c r="B1016" s="10" t="s">
        <v>1036</v>
      </c>
      <c r="C1016" s="4" t="s">
        <v>1279</v>
      </c>
      <c r="D1016" s="4" t="s">
        <v>1030</v>
      </c>
      <c r="E1016" s="4" t="s">
        <v>1031</v>
      </c>
      <c r="F1016" s="10" t="s">
        <v>3734</v>
      </c>
      <c r="G1016" s="4" t="s">
        <v>1032</v>
      </c>
      <c r="H1016" s="7" t="s">
        <v>1033</v>
      </c>
      <c r="I1016" s="4" t="s">
        <v>1034</v>
      </c>
      <c r="J1016" s="10" t="s">
        <v>4556</v>
      </c>
      <c r="K1016" s="4" t="s">
        <v>5963</v>
      </c>
      <c r="L1016" s="4" t="s">
        <v>1037</v>
      </c>
      <c r="M1016" s="10">
        <v>2</v>
      </c>
      <c r="N1016" s="95">
        <v>645.33839999999998</v>
      </c>
      <c r="O1016" s="38" t="s">
        <v>4854</v>
      </c>
      <c r="P1016" s="38" t="s">
        <v>4854</v>
      </c>
      <c r="Q1016" s="38" t="s">
        <v>4854</v>
      </c>
      <c r="R1016" s="37" t="str">
        <f>HYPERLINK("http://ms.phosphosite.org:5080/cgi-bin/plot-msms.cgi?MassType=1&amp;NumAxis=1&amp;Mod6=170&amp;Pep=NSGLSKEQKEK&amp;Dta=/var/www/html/dta/S01/10561.1442.2.dta&amp;Global_Mod=CS57.0215", "1442")</f>
        <v>1442</v>
      </c>
      <c r="S1016" s="37" t="str">
        <f>HYPERLINK("http://ms.phosphosite.org:5080/cgi-bin/plot-msms.cgi?MassType=1&amp;NumAxis=1&amp;Mod6=170&amp;Pep=NSGLSKEQKEK&amp;Dta=/var/www/html/dta/S01/10562.1500.2.dta&amp;Global_Mod=CS57.0215", "1500")</f>
        <v>1500</v>
      </c>
      <c r="T1016" s="37" t="str">
        <f>HYPERLINK("http://ms.phosphosite.org:5080/cgi-bin/plot-msms.cgi?MassType=1&amp;NumAxis=1&amp;Mod6=170&amp;Pep=NSGLSKEQKEK&amp;Dta=/var/www/html/dta/S01/10563.1436.2.dta&amp;Global_Mod=CS57.0215", "1436")</f>
        <v>1436</v>
      </c>
      <c r="U1016" s="37" t="str">
        <f>HYPERLINK("http://ms.phosphosite.org:5080/cgi-bin/plot-msms.cgi?MassType=1&amp;NumAxis=1&amp;Mod6=170&amp;Pep=NSGLSKEQKEK&amp;Dta=/var/www/html/dta/S01/10564.1633.2.dta&amp;Global_Mod=CS57.0215", "1633")</f>
        <v>1633</v>
      </c>
      <c r="V1016" s="38" t="s">
        <v>4854</v>
      </c>
      <c r="W1016" s="4" t="s">
        <v>4854</v>
      </c>
      <c r="X1016" s="4" t="s">
        <v>4854</v>
      </c>
      <c r="Y1016" s="4" t="s">
        <v>4854</v>
      </c>
      <c r="Z1016" s="4" t="s">
        <v>4854</v>
      </c>
      <c r="AA1016" s="4" t="s">
        <v>4854</v>
      </c>
      <c r="AB1016" s="10">
        <v>1427</v>
      </c>
      <c r="AC1016" s="4" t="s">
        <v>4854</v>
      </c>
      <c r="AD1016" s="4" t="s">
        <v>4854</v>
      </c>
      <c r="AE1016" s="100" t="s">
        <v>4854</v>
      </c>
      <c r="AF1016" s="100" t="s">
        <v>4854</v>
      </c>
      <c r="AG1016" s="100" t="s">
        <v>4854</v>
      </c>
      <c r="AH1016" s="91">
        <v>2.2040000000000002</v>
      </c>
      <c r="AI1016" s="91">
        <v>2.056</v>
      </c>
      <c r="AJ1016" s="91">
        <v>3.601</v>
      </c>
      <c r="AK1016" s="91">
        <v>2.5870000000000002</v>
      </c>
      <c r="AL1016" s="100" t="s">
        <v>4854</v>
      </c>
      <c r="AM1016" s="103" t="s">
        <v>4854</v>
      </c>
      <c r="AN1016" s="103" t="s">
        <v>4854</v>
      </c>
      <c r="AO1016" s="103" t="s">
        <v>4854</v>
      </c>
      <c r="AP1016" s="95">
        <v>-0.81850000000000001</v>
      </c>
      <c r="AQ1016" s="95">
        <v>0.87729999999999997</v>
      </c>
      <c r="AR1016" s="95">
        <v>-0.43149999999999999</v>
      </c>
      <c r="AS1016" s="95">
        <v>-0.79290000000000005</v>
      </c>
      <c r="AT1016" s="103" t="s">
        <v>4854</v>
      </c>
      <c r="AU1016" s="103" t="s">
        <v>4854</v>
      </c>
      <c r="AV1016" s="103" t="s">
        <v>4854</v>
      </c>
      <c r="AW1016" s="103" t="s">
        <v>4854</v>
      </c>
      <c r="AX1016" s="95">
        <v>0.151</v>
      </c>
      <c r="AY1016" s="95">
        <v>2.1999999999999999E-2</v>
      </c>
      <c r="AZ1016" s="95">
        <v>0.27600000000000002</v>
      </c>
      <c r="BA1016" s="95">
        <v>0.11600000000000001</v>
      </c>
      <c r="BB1016" s="103" t="s">
        <v>4854</v>
      </c>
      <c r="BC1016" s="4" t="s">
        <v>4854</v>
      </c>
      <c r="BD1016" s="4" t="s">
        <v>4854</v>
      </c>
      <c r="BE1016" s="4" t="s">
        <v>4854</v>
      </c>
      <c r="BF1016" s="10">
        <v>1</v>
      </c>
      <c r="BG1016" s="10">
        <v>125</v>
      </c>
      <c r="BH1016" s="10">
        <v>1</v>
      </c>
      <c r="BI1016" s="10">
        <v>9</v>
      </c>
      <c r="BJ1016" s="4" t="s">
        <v>4854</v>
      </c>
      <c r="BK1016" s="100" t="s">
        <v>4854</v>
      </c>
      <c r="BL1016" s="100" t="s">
        <v>4854</v>
      </c>
      <c r="BM1016" s="100" t="s">
        <v>4854</v>
      </c>
      <c r="BN1016" s="91">
        <v>0.98499999999999999</v>
      </c>
      <c r="BO1016" s="91">
        <v>0.81100000000000005</v>
      </c>
      <c r="BP1016" s="91">
        <v>1</v>
      </c>
      <c r="BQ1016" s="91">
        <v>0.97799999999999998</v>
      </c>
      <c r="BR1016" s="100" t="s">
        <v>4854</v>
      </c>
      <c r="BS1016" s="10" t="s">
        <v>4857</v>
      </c>
    </row>
    <row r="1017" spans="1:71" s="30" customFormat="1" ht="17.100000000000001" customHeight="1">
      <c r="A1017" s="14">
        <v>1006</v>
      </c>
      <c r="B1017" s="5" t="s">
        <v>1038</v>
      </c>
      <c r="C1017" s="3" t="s">
        <v>1279</v>
      </c>
      <c r="D1017" s="3" t="s">
        <v>1039</v>
      </c>
      <c r="E1017" s="6" t="s">
        <v>1040</v>
      </c>
      <c r="F1017" s="5" t="s">
        <v>3301</v>
      </c>
      <c r="G1017" s="3" t="s">
        <v>1041</v>
      </c>
      <c r="H1017" s="6" t="s">
        <v>1042</v>
      </c>
      <c r="I1017" s="3" t="s">
        <v>1043</v>
      </c>
      <c r="J1017" s="5" t="s">
        <v>4675</v>
      </c>
      <c r="K1017" s="3" t="s">
        <v>5964</v>
      </c>
      <c r="L1017" s="3" t="s">
        <v>1044</v>
      </c>
      <c r="M1017" s="5">
        <v>2</v>
      </c>
      <c r="N1017" s="21">
        <v>502.27460000000002</v>
      </c>
      <c r="O1017" s="36" t="str">
        <f>HYPERLINK("http://ms.phosphosite.org:5080/cgi-bin/plot-msms.cgi?MassType=1&amp;NumAxis=1&amp;Mod7=170&amp;Pep=LVSQDGKSK&amp;Dta=/var/www/html/dta/S01/10558.1552.2.dta&amp;Global_Mod=CS57.0215", "1552")</f>
        <v>1552</v>
      </c>
      <c r="P1017" s="35" t="s">
        <v>4854</v>
      </c>
      <c r="Q1017" s="35" t="s">
        <v>4854</v>
      </c>
      <c r="R1017" s="36" t="str">
        <f>HYPERLINK("http://ms.phosphosite.org:5080/cgi-bin/plot-msms.cgi?MassType=1&amp;NumAxis=1&amp;Mod7=170&amp;Pep=LVSQDGKSK&amp;Dta=/var/www/html/dta/S01/10561.1527.2.dta&amp;Global_Mod=CS57.0215", "1527")</f>
        <v>1527</v>
      </c>
      <c r="S1017" s="35" t="s">
        <v>4854</v>
      </c>
      <c r="T1017" s="35" t="s">
        <v>4854</v>
      </c>
      <c r="U1017" s="36" t="str">
        <f>HYPERLINK("http://ms.phosphosite.org:5080/cgi-bin/plot-msms.cgi?MassType=1&amp;NumAxis=1&amp;Mod7=170&amp;Pep=LVSQDGKSK&amp;Dta=/var/www/html/dta/S01/10564.1730.2.dta&amp;Global_Mod=CS57.0215", "1730")</f>
        <v>1730</v>
      </c>
      <c r="V1017" s="36" t="str">
        <f>HYPERLINK("http://ms.phosphosite.org:5080/cgi-bin/plot-msms.cgi?MassType=1&amp;NumAxis=1&amp;Mod7=170&amp;Pep=LVSQDGKSK&amp;Dta=/var/www/html/dta/S01/10565.1777.2.dta&amp;Global_Mod=CS57.0215", "1777")</f>
        <v>1777</v>
      </c>
      <c r="W1017" s="3" t="s">
        <v>4854</v>
      </c>
      <c r="X1017" s="3" t="s">
        <v>4854</v>
      </c>
      <c r="Y1017" s="3" t="s">
        <v>4854</v>
      </c>
      <c r="Z1017" s="3" t="s">
        <v>4854</v>
      </c>
      <c r="AA1017" s="3" t="s">
        <v>4854</v>
      </c>
      <c r="AB1017" s="3" t="s">
        <v>4854</v>
      </c>
      <c r="AC1017" s="5">
        <v>1727</v>
      </c>
      <c r="AD1017" s="5">
        <v>1775</v>
      </c>
      <c r="AE1017" s="90">
        <v>1.7669999999999999</v>
      </c>
      <c r="AF1017" s="99" t="s">
        <v>4854</v>
      </c>
      <c r="AG1017" s="99" t="s">
        <v>4854</v>
      </c>
      <c r="AH1017" s="90">
        <v>1.4690000000000001</v>
      </c>
      <c r="AI1017" s="99" t="s">
        <v>4854</v>
      </c>
      <c r="AJ1017" s="99" t="s">
        <v>4854</v>
      </c>
      <c r="AK1017" s="90">
        <v>2.0369999999999999</v>
      </c>
      <c r="AL1017" s="90">
        <v>1.9279999999999999</v>
      </c>
      <c r="AM1017" s="21">
        <v>-1.1069</v>
      </c>
      <c r="AN1017" s="102" t="s">
        <v>4854</v>
      </c>
      <c r="AO1017" s="102" t="s">
        <v>4854</v>
      </c>
      <c r="AP1017" s="21">
        <v>0.43859999999999999</v>
      </c>
      <c r="AQ1017" s="102" t="s">
        <v>4854</v>
      </c>
      <c r="AR1017" s="102" t="s">
        <v>4854</v>
      </c>
      <c r="AS1017" s="21">
        <v>6.3899999999999998E-2</v>
      </c>
      <c r="AT1017" s="21">
        <v>-1.1149</v>
      </c>
      <c r="AU1017" s="21">
        <v>6.0000000000000001E-3</v>
      </c>
      <c r="AV1017" s="102" t="s">
        <v>4854</v>
      </c>
      <c r="AW1017" s="102" t="s">
        <v>4854</v>
      </c>
      <c r="AX1017" s="21">
        <v>7.1999999999999995E-2</v>
      </c>
      <c r="AY1017" s="102" t="s">
        <v>4854</v>
      </c>
      <c r="AZ1017" s="102" t="s">
        <v>4854</v>
      </c>
      <c r="BA1017" s="21">
        <v>1.4E-2</v>
      </c>
      <c r="BB1017" s="21">
        <v>0.215</v>
      </c>
      <c r="BC1017" s="5">
        <v>1</v>
      </c>
      <c r="BD1017" s="3" t="s">
        <v>4854</v>
      </c>
      <c r="BE1017" s="3" t="s">
        <v>4854</v>
      </c>
      <c r="BF1017" s="5">
        <v>1</v>
      </c>
      <c r="BG1017" s="3" t="s">
        <v>4854</v>
      </c>
      <c r="BH1017" s="3" t="s">
        <v>4854</v>
      </c>
      <c r="BI1017" s="5">
        <v>1</v>
      </c>
      <c r="BJ1017" s="5">
        <v>1</v>
      </c>
      <c r="BK1017" s="90">
        <v>0.81899999999999995</v>
      </c>
      <c r="BL1017" s="99" t="s">
        <v>4854</v>
      </c>
      <c r="BM1017" s="99" t="s">
        <v>4854</v>
      </c>
      <c r="BN1017" s="90">
        <v>0.89</v>
      </c>
      <c r="BO1017" s="99" t="s">
        <v>4854</v>
      </c>
      <c r="BP1017" s="99" t="s">
        <v>4854</v>
      </c>
      <c r="BQ1017" s="90">
        <v>0.95799999999999996</v>
      </c>
      <c r="BR1017" s="90">
        <v>0.98899999999999999</v>
      </c>
      <c r="BS1017" s="5" t="s">
        <v>4857</v>
      </c>
    </row>
    <row r="1018" spans="1:71" s="30" customFormat="1" ht="17.100000000000001" customHeight="1">
      <c r="A1018" s="10">
        <v>1007</v>
      </c>
      <c r="B1018" s="10" t="s">
        <v>1045</v>
      </c>
      <c r="C1018" s="4" t="s">
        <v>1279</v>
      </c>
      <c r="D1018" s="4" t="s">
        <v>1039</v>
      </c>
      <c r="E1018" s="7" t="s">
        <v>1040</v>
      </c>
      <c r="F1018" s="10" t="s">
        <v>5054</v>
      </c>
      <c r="G1018" s="4" t="s">
        <v>1041</v>
      </c>
      <c r="H1018" s="7" t="s">
        <v>1042</v>
      </c>
      <c r="I1018" s="4" t="s">
        <v>1043</v>
      </c>
      <c r="J1018" s="10" t="s">
        <v>4675</v>
      </c>
      <c r="K1018" s="4" t="s">
        <v>5965</v>
      </c>
      <c r="L1018" s="4" t="s">
        <v>1046</v>
      </c>
      <c r="M1018" s="10">
        <v>3</v>
      </c>
      <c r="N1018" s="95">
        <v>802.04939999999999</v>
      </c>
      <c r="O1018" s="37" t="str">
        <f>HYPERLINK("http://ms.phosphosite.org:5080/cgi-bin/plot-msms.cgi?MassType=1&amp;NumAxis=1&amp;Mod3=147&amp;Mod19=170&amp;Pep=EAMEDGEIDGNKVTLDWAKPK&amp;Dta=/var/www/html/dta/S01/10558.8311.3.dta&amp;Global_Mod=CS57.0215", "8311")</f>
        <v>8311</v>
      </c>
      <c r="P1018" s="37" t="str">
        <f>HYPERLINK("http://ms.phosphosite.org:5080/cgi-bin/plot-msms.cgi?MassType=1&amp;NumAxis=1&amp;Mod3=147&amp;Mod19=170&amp;Pep=EAMEDGEIDGNKVTLDWAKPK&amp;Dta=/var/www/html/dta/S01/10559.8293.3.dta&amp;Global_Mod=CS57.0215", "8293")</f>
        <v>8293</v>
      </c>
      <c r="Q1018" s="37" t="str">
        <f>HYPERLINK("http://ms.phosphosite.org:5080/cgi-bin/plot-msms.cgi?MassType=1&amp;NumAxis=1&amp;Mod3=147&amp;Mod19=170&amp;Pep=EAMEDGEIDGNKVTLDWAKPK&amp;Dta=/var/www/html/dta/S01/10560.8279.3.dta&amp;Global_Mod=CS57.0215", "8279")</f>
        <v>8279</v>
      </c>
      <c r="R1018" s="37" t="str">
        <f>HYPERLINK("http://ms.phosphosite.org:5080/cgi-bin/plot-msms.cgi?MassType=1&amp;NumAxis=1&amp;Mod3=147&amp;Mod19=170&amp;Pep=EAMEDGEIDGNKVTLDWAKPK&amp;Dta=/var/www/html/dta/S01/10561.8316.3.dta&amp;Global_Mod=CS57.0215", "8316")</f>
        <v>8316</v>
      </c>
      <c r="S1018" s="37" t="str">
        <f>HYPERLINK("http://ms.phosphosite.org:5080/cgi-bin/plot-msms.cgi?MassType=1&amp;NumAxis=1&amp;Mod3=147&amp;Mod19=170&amp;Pep=EAMEDGEIDGNKVTLDWAKPK&amp;Dta=/var/www/html/dta/S01/10562.8434.3.dta&amp;Global_Mod=CS57.0215", "8434")</f>
        <v>8434</v>
      </c>
      <c r="T1018" s="37" t="str">
        <f>HYPERLINK("http://ms.phosphosite.org:5080/cgi-bin/plot-msms.cgi?MassType=1&amp;NumAxis=1&amp;Mod3=147&amp;Mod19=170&amp;Pep=EAMEDGEIDGNKVTLDWAKPK&amp;Dta=/var/www/html/dta/S01/10563.8408.3.dta&amp;Global_Mod=CS57.0215", "8408")</f>
        <v>8408</v>
      </c>
      <c r="U1018" s="37" t="str">
        <f>HYPERLINK("http://ms.phosphosite.org:5080/cgi-bin/plot-msms.cgi?MassType=1&amp;NumAxis=1&amp;Mod3=147&amp;Mod19=170&amp;Pep=EAMEDGEIDGNKVTLDWAKPK&amp;Dta=/var/www/html/dta/S01/10564.8822.3.dta&amp;Global_Mod=CS57.0215", "8822")</f>
        <v>8822</v>
      </c>
      <c r="V1018" s="37" t="str">
        <f>HYPERLINK("http://ms.phosphosite.org:5080/cgi-bin/plot-msms.cgi?MassType=1&amp;NumAxis=1&amp;Mod3=147&amp;Mod19=170&amp;Pep=EAMEDGEIDGNKVTLDWAKPK&amp;Dta=/var/www/html/dta/S01/10565.8823.3.dta&amp;Global_Mod=CS57.0215", "8823")</f>
        <v>8823</v>
      </c>
      <c r="W1018" s="10">
        <v>8304</v>
      </c>
      <c r="X1018" s="10">
        <v>8285</v>
      </c>
      <c r="Y1018" s="10">
        <v>8280</v>
      </c>
      <c r="Z1018" s="10">
        <v>8329</v>
      </c>
      <c r="AA1018" s="10">
        <v>8457</v>
      </c>
      <c r="AB1018" s="10">
        <v>8400</v>
      </c>
      <c r="AC1018" s="10">
        <v>8839</v>
      </c>
      <c r="AD1018" s="10">
        <v>8814</v>
      </c>
      <c r="AE1018" s="91">
        <v>2.81</v>
      </c>
      <c r="AF1018" s="91">
        <v>3.0830000000000002</v>
      </c>
      <c r="AG1018" s="91">
        <v>3.052</v>
      </c>
      <c r="AH1018" s="91">
        <v>3.9279999999999999</v>
      </c>
      <c r="AI1018" s="91">
        <v>3.4470000000000001</v>
      </c>
      <c r="AJ1018" s="91">
        <v>3.516</v>
      </c>
      <c r="AK1018" s="91">
        <v>3.3290000000000002</v>
      </c>
      <c r="AL1018" s="91">
        <v>4.5679999999999996</v>
      </c>
      <c r="AM1018" s="95">
        <v>0.99739999999999995</v>
      </c>
      <c r="AN1018" s="95">
        <v>1.1546000000000001</v>
      </c>
      <c r="AO1018" s="95">
        <v>1.0273000000000001</v>
      </c>
      <c r="AP1018" s="95">
        <v>1.4762</v>
      </c>
      <c r="AQ1018" s="95">
        <v>0.52569999999999995</v>
      </c>
      <c r="AR1018" s="95">
        <v>0.46460000000000001</v>
      </c>
      <c r="AS1018" s="95">
        <v>0.82809999999999995</v>
      </c>
      <c r="AT1018" s="95">
        <v>0.48409999999999997</v>
      </c>
      <c r="AU1018" s="95">
        <v>0.115</v>
      </c>
      <c r="AV1018" s="95">
        <v>0.221</v>
      </c>
      <c r="AW1018" s="95">
        <v>0.126</v>
      </c>
      <c r="AX1018" s="95">
        <v>0.27400000000000002</v>
      </c>
      <c r="AY1018" s="95">
        <v>0.23699999999999999</v>
      </c>
      <c r="AZ1018" s="95">
        <v>0.29799999999999999</v>
      </c>
      <c r="BA1018" s="95">
        <v>0.28999999999999998</v>
      </c>
      <c r="BB1018" s="95">
        <v>0.38100000000000001</v>
      </c>
      <c r="BC1018" s="10">
        <v>4</v>
      </c>
      <c r="BD1018" s="10">
        <v>1</v>
      </c>
      <c r="BE1018" s="10">
        <v>13</v>
      </c>
      <c r="BF1018" s="10">
        <v>1</v>
      </c>
      <c r="BG1018" s="10">
        <v>1</v>
      </c>
      <c r="BH1018" s="10">
        <v>1</v>
      </c>
      <c r="BI1018" s="10">
        <v>1</v>
      </c>
      <c r="BJ1018" s="10">
        <v>1</v>
      </c>
      <c r="BK1018" s="91">
        <v>0.98799999999999999</v>
      </c>
      <c r="BL1018" s="91">
        <v>0.999</v>
      </c>
      <c r="BM1018" s="91">
        <v>0.98899999999999999</v>
      </c>
      <c r="BN1018" s="91">
        <v>1</v>
      </c>
      <c r="BO1018" s="91">
        <v>0.999</v>
      </c>
      <c r="BP1018" s="91">
        <v>1</v>
      </c>
      <c r="BQ1018" s="91">
        <v>1</v>
      </c>
      <c r="BR1018" s="91">
        <v>1</v>
      </c>
      <c r="BS1018" s="10" t="s">
        <v>4857</v>
      </c>
    </row>
    <row r="1019" spans="1:71" s="30" customFormat="1" ht="17.100000000000001" customHeight="1">
      <c r="A1019" s="14">
        <v>1008</v>
      </c>
      <c r="B1019" s="5" t="s">
        <v>1047</v>
      </c>
      <c r="C1019" s="3" t="s">
        <v>1279</v>
      </c>
      <c r="D1019" s="3" t="s">
        <v>1048</v>
      </c>
      <c r="E1019" s="3" t="s">
        <v>1049</v>
      </c>
      <c r="F1019" s="5" t="s">
        <v>1994</v>
      </c>
      <c r="G1019" s="3" t="s">
        <v>1050</v>
      </c>
      <c r="H1019" s="6" t="s">
        <v>1051</v>
      </c>
      <c r="I1019" s="3" t="s">
        <v>921</v>
      </c>
      <c r="J1019" s="5" t="s">
        <v>3907</v>
      </c>
      <c r="K1019" s="3" t="s">
        <v>5966</v>
      </c>
      <c r="L1019" s="3" t="s">
        <v>922</v>
      </c>
      <c r="M1019" s="5">
        <v>4</v>
      </c>
      <c r="N1019" s="21">
        <v>552.5027</v>
      </c>
      <c r="O1019" s="35" t="s">
        <v>4854</v>
      </c>
      <c r="P1019" s="35" t="s">
        <v>4854</v>
      </c>
      <c r="Q1019" s="35" t="s">
        <v>4854</v>
      </c>
      <c r="R1019" s="35" t="s">
        <v>4854</v>
      </c>
      <c r="S1019" s="35" t="s">
        <v>4854</v>
      </c>
      <c r="T1019" s="35" t="s">
        <v>4854</v>
      </c>
      <c r="U1019" s="35" t="s">
        <v>4854</v>
      </c>
      <c r="V1019" s="36" t="str">
        <f>HYPERLINK("http://ms.phosphosite.org:5080/cgi-bin/plot-msms.cgi?MassType=1&amp;NumAxis=1&amp;Mod5=147&amp;Mod14=147&amp;Mod18=170&amp;Pep=QQNPMIEQIMTNQMQGNK&amp;Dta=/var/www/html/dta/S01/10565.9583.4.dta&amp;Global_Mod=CS57.0215", "9583")</f>
        <v>9583</v>
      </c>
      <c r="W1019" s="3" t="s">
        <v>4854</v>
      </c>
      <c r="X1019" s="3" t="s">
        <v>4854</v>
      </c>
      <c r="Y1019" s="3" t="s">
        <v>4854</v>
      </c>
      <c r="Z1019" s="3" t="s">
        <v>4854</v>
      </c>
      <c r="AA1019" s="3" t="s">
        <v>4854</v>
      </c>
      <c r="AB1019" s="3" t="s">
        <v>4854</v>
      </c>
      <c r="AC1019" s="3" t="s">
        <v>4854</v>
      </c>
      <c r="AD1019" s="3" t="s">
        <v>4854</v>
      </c>
      <c r="AE1019" s="99" t="s">
        <v>4854</v>
      </c>
      <c r="AF1019" s="99" t="s">
        <v>4854</v>
      </c>
      <c r="AG1019" s="99" t="s">
        <v>4854</v>
      </c>
      <c r="AH1019" s="99" t="s">
        <v>4854</v>
      </c>
      <c r="AI1019" s="99" t="s">
        <v>4854</v>
      </c>
      <c r="AJ1019" s="99" t="s">
        <v>4854</v>
      </c>
      <c r="AK1019" s="99" t="s">
        <v>4854</v>
      </c>
      <c r="AL1019" s="90">
        <v>2.5630000000000002</v>
      </c>
      <c r="AM1019" s="102" t="s">
        <v>4854</v>
      </c>
      <c r="AN1019" s="102" t="s">
        <v>4854</v>
      </c>
      <c r="AO1019" s="102" t="s">
        <v>4854</v>
      </c>
      <c r="AP1019" s="102" t="s">
        <v>4854</v>
      </c>
      <c r="AQ1019" s="102" t="s">
        <v>4854</v>
      </c>
      <c r="AR1019" s="102" t="s">
        <v>4854</v>
      </c>
      <c r="AS1019" s="102" t="s">
        <v>4854</v>
      </c>
      <c r="AT1019" s="21">
        <v>2.2732999999999999</v>
      </c>
      <c r="AU1019" s="102" t="s">
        <v>4854</v>
      </c>
      <c r="AV1019" s="102" t="s">
        <v>4854</v>
      </c>
      <c r="AW1019" s="102" t="s">
        <v>4854</v>
      </c>
      <c r="AX1019" s="102" t="s">
        <v>4854</v>
      </c>
      <c r="AY1019" s="102" t="s">
        <v>4854</v>
      </c>
      <c r="AZ1019" s="102" t="s">
        <v>4854</v>
      </c>
      <c r="BA1019" s="102" t="s">
        <v>4854</v>
      </c>
      <c r="BB1019" s="21">
        <v>6.5000000000000002E-2</v>
      </c>
      <c r="BC1019" s="3" t="s">
        <v>4854</v>
      </c>
      <c r="BD1019" s="3" t="s">
        <v>4854</v>
      </c>
      <c r="BE1019" s="3" t="s">
        <v>4854</v>
      </c>
      <c r="BF1019" s="3" t="s">
        <v>4854</v>
      </c>
      <c r="BG1019" s="3" t="s">
        <v>4854</v>
      </c>
      <c r="BH1019" s="3" t="s">
        <v>4854</v>
      </c>
      <c r="BI1019" s="3" t="s">
        <v>4854</v>
      </c>
      <c r="BJ1019" s="5">
        <v>13</v>
      </c>
      <c r="BK1019" s="99" t="s">
        <v>4854</v>
      </c>
      <c r="BL1019" s="99" t="s">
        <v>4854</v>
      </c>
      <c r="BM1019" s="99" t="s">
        <v>4854</v>
      </c>
      <c r="BN1019" s="99" t="s">
        <v>4854</v>
      </c>
      <c r="BO1019" s="99" t="s">
        <v>4854</v>
      </c>
      <c r="BP1019" s="99" t="s">
        <v>4854</v>
      </c>
      <c r="BQ1019" s="99" t="s">
        <v>4854</v>
      </c>
      <c r="BR1019" s="90">
        <v>0.316</v>
      </c>
      <c r="BS1019" s="5" t="s">
        <v>4857</v>
      </c>
    </row>
    <row r="1020" spans="1:71" s="30" customFormat="1" ht="17.100000000000001" customHeight="1">
      <c r="A1020" s="10">
        <v>1009</v>
      </c>
      <c r="B1020" s="10" t="s">
        <v>923</v>
      </c>
      <c r="C1020" s="4" t="s">
        <v>1279</v>
      </c>
      <c r="D1020" s="4" t="s">
        <v>924</v>
      </c>
      <c r="E1020" s="4" t="s">
        <v>925</v>
      </c>
      <c r="F1020" s="10" t="s">
        <v>5243</v>
      </c>
      <c r="G1020" s="4" t="s">
        <v>926</v>
      </c>
      <c r="H1020" s="7" t="s">
        <v>927</v>
      </c>
      <c r="I1020" s="4" t="s">
        <v>928</v>
      </c>
      <c r="J1020" s="10" t="s">
        <v>929</v>
      </c>
      <c r="K1020" s="4" t="s">
        <v>5967</v>
      </c>
      <c r="L1020" s="4" t="s">
        <v>930</v>
      </c>
      <c r="M1020" s="10">
        <v>2</v>
      </c>
      <c r="N1020" s="95">
        <v>859.45960000000002</v>
      </c>
      <c r="O1020" s="37" t="str">
        <f>HYPERLINK("http://ms.phosphosite.org:5080/cgi-bin/plot-msms.cgi?MassType=1&amp;NumAxis=1&amp;Mod4=170&amp;Pep=TQSKPFSIQELELR&amp;Dta=/var/www/html/dta/S01/10558.10797.2.dta&amp;Global_Mod=CS57.0215", "10797")</f>
        <v>10797</v>
      </c>
      <c r="P1020" s="38" t="s">
        <v>4854</v>
      </c>
      <c r="Q1020" s="37" t="str">
        <f>HYPERLINK("http://ms.phosphosite.org:5080/cgi-bin/plot-msms.cgi?MassType=1&amp;NumAxis=1&amp;Mod4=170&amp;Pep=TQSKPFSIQELELR&amp;Dta=/var/www/html/dta/S01/10560.10834.2.dta&amp;Global_Mod=CS57.0215", "10834")</f>
        <v>10834</v>
      </c>
      <c r="R1020" s="37" t="str">
        <f>HYPERLINK("http://ms.phosphosite.org:5080/cgi-bin/plot-msms.cgi?MassType=1&amp;NumAxis=1&amp;Mod4=170&amp;Pep=TQSKPFSIQELELR&amp;Dta=/var/www/html/dta/S01/10561.10845.2.dta&amp;Global_Mod=CS57.0215", "10845")</f>
        <v>10845</v>
      </c>
      <c r="S1020" s="37" t="str">
        <f>HYPERLINK("http://ms.phosphosite.org:5080/cgi-bin/plot-msms.cgi?MassType=1&amp;NumAxis=1&amp;Mod4=170&amp;Pep=TQSKPFSIQELELR&amp;Dta=/var/www/html/dta/S01/10562.11026.2.dta&amp;Global_Mod=CS57.0215", "11026")</f>
        <v>11026</v>
      </c>
      <c r="T1020" s="37" t="str">
        <f>HYPERLINK("http://ms.phosphosite.org:5080/cgi-bin/plot-msms.cgi?MassType=1&amp;NumAxis=1&amp;Mod4=170&amp;Pep=TQSKPFSIQELELR&amp;Dta=/var/www/html/dta/S01/10563.10961.2.dta&amp;Global_Mod=CS57.0215", "10961")</f>
        <v>10961</v>
      </c>
      <c r="U1020" s="37" t="str">
        <f>HYPERLINK("http://ms.phosphosite.org:5080/cgi-bin/plot-msms.cgi?MassType=1&amp;NumAxis=1&amp;Mod4=170&amp;Pep=TQSKPFSIQELELR&amp;Dta=/var/www/html/dta/S01/10564.11497.2.dta&amp;Global_Mod=CS57.0215", "11497")</f>
        <v>11497</v>
      </c>
      <c r="V1020" s="37" t="str">
        <f>HYPERLINK("http://ms.phosphosite.org:5080/cgi-bin/plot-msms.cgi?MassType=1&amp;NumAxis=1&amp;Mod4=170&amp;Pep=TQSKPFSIQELELR&amp;Dta=/var/www/html/dta/S01/10565.11416.2.dta&amp;Global_Mod=CS57.0215", "11416")</f>
        <v>11416</v>
      </c>
      <c r="W1020" s="10">
        <v>10830</v>
      </c>
      <c r="X1020" s="4" t="s">
        <v>4854</v>
      </c>
      <c r="Y1020" s="10">
        <v>10856</v>
      </c>
      <c r="Z1020" s="10">
        <v>10856</v>
      </c>
      <c r="AA1020" s="10">
        <v>11017</v>
      </c>
      <c r="AB1020" s="10">
        <v>10973</v>
      </c>
      <c r="AC1020" s="10">
        <v>11490</v>
      </c>
      <c r="AD1020" s="10">
        <v>11410</v>
      </c>
      <c r="AE1020" s="91">
        <v>2.7229999999999999</v>
      </c>
      <c r="AF1020" s="100" t="s">
        <v>4854</v>
      </c>
      <c r="AG1020" s="91">
        <v>3.3690000000000002</v>
      </c>
      <c r="AH1020" s="91">
        <v>2.778</v>
      </c>
      <c r="AI1020" s="91">
        <v>1.869</v>
      </c>
      <c r="AJ1020" s="91">
        <v>2.383</v>
      </c>
      <c r="AK1020" s="91">
        <v>2.7229999999999999</v>
      </c>
      <c r="AL1020" s="91">
        <v>2.7989999999999999</v>
      </c>
      <c r="AM1020" s="95">
        <v>0.30380000000000001</v>
      </c>
      <c r="AN1020" s="103" t="s">
        <v>4854</v>
      </c>
      <c r="AO1020" s="95">
        <v>0.77939999999999998</v>
      </c>
      <c r="AP1020" s="95">
        <v>0.45169999999999999</v>
      </c>
      <c r="AQ1020" s="95">
        <v>4.0000000000000001E-3</v>
      </c>
      <c r="AR1020" s="95">
        <v>0.23449999999999999</v>
      </c>
      <c r="AS1020" s="95">
        <v>0.47960000000000003</v>
      </c>
      <c r="AT1020" s="95">
        <v>-0.13220000000000001</v>
      </c>
      <c r="AU1020" s="95">
        <v>0.32900000000000001</v>
      </c>
      <c r="AV1020" s="103" t="s">
        <v>4854</v>
      </c>
      <c r="AW1020" s="95">
        <v>0.32300000000000001</v>
      </c>
      <c r="AX1020" s="95">
        <v>0.28399999999999997</v>
      </c>
      <c r="AY1020" s="95">
        <v>9.0999999999999998E-2</v>
      </c>
      <c r="AZ1020" s="95">
        <v>0.16</v>
      </c>
      <c r="BA1020" s="95">
        <v>0.28999999999999998</v>
      </c>
      <c r="BB1020" s="95">
        <v>0.28299999999999997</v>
      </c>
      <c r="BC1020" s="10">
        <v>1</v>
      </c>
      <c r="BD1020" s="4" t="s">
        <v>4854</v>
      </c>
      <c r="BE1020" s="10">
        <v>1</v>
      </c>
      <c r="BF1020" s="10">
        <v>1</v>
      </c>
      <c r="BG1020" s="10">
        <v>15</v>
      </c>
      <c r="BH1020" s="10">
        <v>57</v>
      </c>
      <c r="BI1020" s="10">
        <v>1</v>
      </c>
      <c r="BJ1020" s="10">
        <v>1</v>
      </c>
      <c r="BK1020" s="91">
        <v>1</v>
      </c>
      <c r="BL1020" s="100" t="s">
        <v>4854</v>
      </c>
      <c r="BM1020" s="91">
        <v>1</v>
      </c>
      <c r="BN1020" s="91">
        <v>1</v>
      </c>
      <c r="BO1020" s="91">
        <v>0.98199999999999998</v>
      </c>
      <c r="BP1020" s="91">
        <v>0.996</v>
      </c>
      <c r="BQ1020" s="91">
        <v>1</v>
      </c>
      <c r="BR1020" s="91">
        <v>1</v>
      </c>
      <c r="BS1020" s="10" t="s">
        <v>4857</v>
      </c>
    </row>
    <row r="1021" spans="1:71" s="30" customFormat="1" ht="17.100000000000001" customHeight="1">
      <c r="A1021" s="14">
        <v>1010</v>
      </c>
      <c r="B1021" s="5" t="s">
        <v>931</v>
      </c>
      <c r="C1021" s="3" t="s">
        <v>1279</v>
      </c>
      <c r="D1021" s="3" t="s">
        <v>932</v>
      </c>
      <c r="E1021" s="3" t="s">
        <v>933</v>
      </c>
      <c r="F1021" s="5" t="s">
        <v>5265</v>
      </c>
      <c r="G1021" s="3" t="s">
        <v>934</v>
      </c>
      <c r="H1021" s="6" t="s">
        <v>935</v>
      </c>
      <c r="I1021" s="3" t="s">
        <v>936</v>
      </c>
      <c r="J1021" s="5" t="s">
        <v>4238</v>
      </c>
      <c r="K1021" s="3" t="s">
        <v>5968</v>
      </c>
      <c r="L1021" s="3" t="s">
        <v>937</v>
      </c>
      <c r="M1021" s="5">
        <v>3</v>
      </c>
      <c r="N1021" s="21">
        <v>1079.2564</v>
      </c>
      <c r="O1021" s="35" t="s">
        <v>4854</v>
      </c>
      <c r="P1021" s="36" t="str">
        <f>HYPERLINK("http://ms.phosphosite.org:5080/cgi-bin/plot-msms.cgi?MassType=1&amp;NumAxis=1&amp;Mod6=170&amp;Pep=LIAGNKPVSFLTAQQLQQLQQQGQATQVR&amp;Dta=/var/www/html/dta/S01/10559.11419.3.dta&amp;Global_Mod=CS57.0215", "11419")</f>
        <v>11419</v>
      </c>
      <c r="Q1021" s="36" t="str">
        <f>HYPERLINK("http://ms.phosphosite.org:5080/cgi-bin/plot-msms.cgi?MassType=1&amp;NumAxis=1&amp;Mod6=170&amp;Pep=LIAGNKPVSFLTAQQLQQLQQQGQATQVR&amp;Dta=/var/www/html/dta/S01/10560.11423.3.dta&amp;Global_Mod=CS57.0215", "11423")</f>
        <v>11423</v>
      </c>
      <c r="R1021" s="36" t="str">
        <f>HYPERLINK("http://ms.phosphosite.org:5080/cgi-bin/plot-msms.cgi?MassType=1&amp;NumAxis=1&amp;Mod6=170&amp;Pep=LIAGNKPVSFLTAQQLQQLQQQGQATQVR&amp;Dta=/var/www/html/dta/S01/10561.11493.3.dta&amp;Global_Mod=CS57.0215", "11493")</f>
        <v>11493</v>
      </c>
      <c r="S1021" s="36" t="str">
        <f>HYPERLINK("http://ms.phosphosite.org:5080/cgi-bin/plot-msms.cgi?MassType=1&amp;NumAxis=1&amp;Mod6=170&amp;Pep=LIAGNKPVSFLTAQQLQQLQQQGQATQVR&amp;Dta=/var/www/html/dta/S01/10562.11637.3.dta&amp;Global_Mod=CS57.0215", "11637")</f>
        <v>11637</v>
      </c>
      <c r="T1021" s="36" t="str">
        <f>HYPERLINK("http://ms.phosphosite.org:5080/cgi-bin/plot-msms.cgi?MassType=1&amp;NumAxis=1&amp;Mod6=170&amp;Pep=LIAGNKPVSFLTAQQLQQLQQQGQATQVR&amp;Dta=/var/www/html/dta/S01/10563.11560.3.dta&amp;Global_Mod=CS57.0215", "11560")</f>
        <v>11560</v>
      </c>
      <c r="U1021" s="36" t="str">
        <f>HYPERLINK("http://ms.phosphosite.org:5080/cgi-bin/plot-msms.cgi?MassType=1&amp;NumAxis=1&amp;Mod6=170&amp;Pep=LIAGNKPVSFLTAQQLQQLQQQGQATQVR&amp;Dta=/var/www/html/dta/S01/10564.12069.3.dta&amp;Global_Mod=CS57.0215", "12069")</f>
        <v>12069</v>
      </c>
      <c r="V1021" s="36" t="str">
        <f>HYPERLINK("http://ms.phosphosite.org:5080/cgi-bin/plot-msms.cgi?MassType=1&amp;NumAxis=1&amp;Mod6=170&amp;Pep=LIAGNKPVSFLTAQQLQQLQQQGQATQVR&amp;Dta=/var/www/html/dta/S01/10565.11996.3.dta&amp;Global_Mod=CS57.0215", "11996")</f>
        <v>11996</v>
      </c>
      <c r="W1021" s="3" t="s">
        <v>4854</v>
      </c>
      <c r="X1021" s="5">
        <v>11427</v>
      </c>
      <c r="Y1021" s="5">
        <v>11428</v>
      </c>
      <c r="Z1021" s="5">
        <v>11500</v>
      </c>
      <c r="AA1021" s="5">
        <v>11665</v>
      </c>
      <c r="AB1021" s="5">
        <v>11586</v>
      </c>
      <c r="AC1021" s="5">
        <v>12087</v>
      </c>
      <c r="AD1021" s="5">
        <v>12030</v>
      </c>
      <c r="AE1021" s="99" t="s">
        <v>4854</v>
      </c>
      <c r="AF1021" s="90">
        <v>2.7789999999999999</v>
      </c>
      <c r="AG1021" s="90">
        <v>3.0569999999999999</v>
      </c>
      <c r="AH1021" s="90">
        <v>3.2759999999999998</v>
      </c>
      <c r="AI1021" s="90">
        <v>2.105</v>
      </c>
      <c r="AJ1021" s="90">
        <v>3.98</v>
      </c>
      <c r="AK1021" s="90">
        <v>2.4079999999999999</v>
      </c>
      <c r="AL1021" s="90">
        <v>4.4210000000000003</v>
      </c>
      <c r="AM1021" s="102" t="s">
        <v>4854</v>
      </c>
      <c r="AN1021" s="21">
        <v>1.4817</v>
      </c>
      <c r="AO1021" s="21">
        <v>1.2351000000000001</v>
      </c>
      <c r="AP1021" s="21">
        <v>1.2907</v>
      </c>
      <c r="AQ1021" s="21">
        <v>1.1362000000000001</v>
      </c>
      <c r="AR1021" s="21">
        <v>1.2107000000000001</v>
      </c>
      <c r="AS1021" s="21">
        <v>0.72109999999999996</v>
      </c>
      <c r="AT1021" s="21">
        <v>1.2070000000000001</v>
      </c>
      <c r="AU1021" s="102" t="s">
        <v>4854</v>
      </c>
      <c r="AV1021" s="21">
        <v>0.29199999999999998</v>
      </c>
      <c r="AW1021" s="21">
        <v>0.317</v>
      </c>
      <c r="AX1021" s="21">
        <v>0.39500000000000002</v>
      </c>
      <c r="AY1021" s="21">
        <v>9.8000000000000004E-2</v>
      </c>
      <c r="AZ1021" s="21">
        <v>0.47299999999999998</v>
      </c>
      <c r="BA1021" s="21">
        <v>0.30599999999999999</v>
      </c>
      <c r="BB1021" s="21">
        <v>0.375</v>
      </c>
      <c r="BC1021" s="3" t="s">
        <v>4854</v>
      </c>
      <c r="BD1021" s="5">
        <v>1</v>
      </c>
      <c r="BE1021" s="5">
        <v>1</v>
      </c>
      <c r="BF1021" s="5">
        <v>1</v>
      </c>
      <c r="BG1021" s="5">
        <v>1</v>
      </c>
      <c r="BH1021" s="5">
        <v>1</v>
      </c>
      <c r="BI1021" s="5">
        <v>1</v>
      </c>
      <c r="BJ1021" s="5">
        <v>1</v>
      </c>
      <c r="BK1021" s="99" t="s">
        <v>4854</v>
      </c>
      <c r="BL1021" s="90">
        <v>1</v>
      </c>
      <c r="BM1021" s="90">
        <v>1</v>
      </c>
      <c r="BN1021" s="90">
        <v>1</v>
      </c>
      <c r="BO1021" s="90">
        <v>0.99299999999999999</v>
      </c>
      <c r="BP1021" s="90">
        <v>1</v>
      </c>
      <c r="BQ1021" s="90">
        <v>1</v>
      </c>
      <c r="BR1021" s="90">
        <v>1</v>
      </c>
      <c r="BS1021" s="5" t="s">
        <v>4857</v>
      </c>
    </row>
    <row r="1022" spans="1:71" s="30" customFormat="1" ht="17.100000000000001" customHeight="1">
      <c r="A1022" s="14">
        <v>1011</v>
      </c>
      <c r="B1022" s="5" t="s">
        <v>938</v>
      </c>
      <c r="C1022" s="3" t="s">
        <v>1279</v>
      </c>
      <c r="D1022" s="3" t="s">
        <v>932</v>
      </c>
      <c r="E1022" s="3" t="s">
        <v>933</v>
      </c>
      <c r="F1022" s="5" t="s">
        <v>5265</v>
      </c>
      <c r="G1022" s="3" t="s">
        <v>934</v>
      </c>
      <c r="H1022" s="6" t="s">
        <v>935</v>
      </c>
      <c r="I1022" s="3" t="s">
        <v>936</v>
      </c>
      <c r="J1022" s="5" t="s">
        <v>4238</v>
      </c>
      <c r="K1022" s="3" t="s">
        <v>5968</v>
      </c>
      <c r="L1022" s="3" t="s">
        <v>937</v>
      </c>
      <c r="M1022" s="5">
        <v>4</v>
      </c>
      <c r="N1022" s="21">
        <v>809.69410000000005</v>
      </c>
      <c r="O1022" s="36" t="str">
        <f>HYPERLINK("http://ms.phosphosite.org:5080/cgi-bin/plot-msms.cgi?MassType=1&amp;NumAxis=1&amp;Mod6=170&amp;Pep=LIAGNKPVSFLTAQQLQQLQQQGQATQVR&amp;Dta=/var/www/html/dta/S01/10558.11424.4.dta&amp;Global_Mod=CS57.0215", "11424")</f>
        <v>11424</v>
      </c>
      <c r="P1022" s="36" t="str">
        <f>HYPERLINK("http://ms.phosphosite.org:5080/cgi-bin/plot-msms.cgi?MassType=1&amp;NumAxis=1&amp;Mod6=170&amp;Pep=LIAGNKPVSFLTAQQLQQLQQQGQATQVR&amp;Dta=/var/www/html/dta/S01/10559.11426.4.dta&amp;Global_Mod=CS57.0215", "11426")</f>
        <v>11426</v>
      </c>
      <c r="Q1022" s="36" t="str">
        <f>HYPERLINK("http://ms.phosphosite.org:5080/cgi-bin/plot-msms.cgi?MassType=1&amp;NumAxis=1&amp;Mod6=170&amp;Pep=LIAGNKPVSFLTAQQLQQLQQQGQATQVR&amp;Dta=/var/www/html/dta/S01/10560.11429.4.dta&amp;Global_Mod=CS57.0215", "11429")</f>
        <v>11429</v>
      </c>
      <c r="R1022" s="36" t="str">
        <f>HYPERLINK("http://ms.phosphosite.org:5080/cgi-bin/plot-msms.cgi?MassType=1&amp;NumAxis=1&amp;Mod6=170&amp;Pep=LIAGNKPVSFLTAQQLQQLQQQGQATQVR&amp;Dta=/var/www/html/dta/S01/10561.11517.4.dta&amp;Global_Mod=CS57.0215", "11517")</f>
        <v>11517</v>
      </c>
      <c r="S1022" s="36" t="str">
        <f>HYPERLINK("http://ms.phosphosite.org:5080/cgi-bin/plot-msms.cgi?MassType=1&amp;NumAxis=1&amp;Mod6=170&amp;Pep=LIAGNKPVSFLTAQQLQQLQQQGQATQVR&amp;Dta=/var/www/html/dta/S01/10562.11642.4.dta&amp;Global_Mod=CS57.0215", "11642")</f>
        <v>11642</v>
      </c>
      <c r="T1022" s="36" t="str">
        <f>HYPERLINK("http://ms.phosphosite.org:5080/cgi-bin/plot-msms.cgi?MassType=1&amp;NumAxis=1&amp;Mod6=170&amp;Pep=LIAGNKPVSFLTAQQLQQLQQQGQATQVR&amp;Dta=/var/www/html/dta/S01/10563.11595.4.dta&amp;Global_Mod=CS57.0215", "11595")</f>
        <v>11595</v>
      </c>
      <c r="U1022" s="36" t="str">
        <f>HYPERLINK("http://ms.phosphosite.org:5080/cgi-bin/plot-msms.cgi?MassType=1&amp;NumAxis=1&amp;Mod6=170&amp;Pep=LIAGNKPVSFLTAQQLQQLQQQGQATQVR&amp;Dta=/var/www/html/dta/S01/10564.12100.4.dta&amp;Global_Mod=CS57.0215", "12100")</f>
        <v>12100</v>
      </c>
      <c r="V1022" s="36" t="str">
        <f>HYPERLINK("http://ms.phosphosite.org:5080/cgi-bin/plot-msms.cgi?MassType=1&amp;NumAxis=1&amp;Mod6=170&amp;Pep=LIAGNKPVSFLTAQQLQQLQQQGQATQVR&amp;Dta=/var/www/html/dta/S01/10565.12010.4.dta&amp;Global_Mod=CS57.0215", "12010")</f>
        <v>12010</v>
      </c>
      <c r="W1022" s="5">
        <v>11416</v>
      </c>
      <c r="X1022" s="5">
        <v>11438</v>
      </c>
      <c r="Y1022" s="5">
        <v>11450</v>
      </c>
      <c r="Z1022" s="5">
        <v>11511</v>
      </c>
      <c r="AA1022" s="5">
        <v>11665</v>
      </c>
      <c r="AB1022" s="5">
        <v>11597</v>
      </c>
      <c r="AC1022" s="5">
        <v>12065</v>
      </c>
      <c r="AD1022" s="5">
        <v>12030</v>
      </c>
      <c r="AE1022" s="90">
        <v>5.05</v>
      </c>
      <c r="AF1022" s="90">
        <v>5.0209999999999999</v>
      </c>
      <c r="AG1022" s="90">
        <v>5.4279999999999999</v>
      </c>
      <c r="AH1022" s="90">
        <v>4.4729999999999999</v>
      </c>
      <c r="AI1022" s="90">
        <v>5.4249999999999998</v>
      </c>
      <c r="AJ1022" s="90">
        <v>4.8090000000000002</v>
      </c>
      <c r="AK1022" s="90">
        <v>3.7480000000000002</v>
      </c>
      <c r="AL1022" s="90">
        <v>4.1559999999999997</v>
      </c>
      <c r="AM1022" s="21">
        <v>0.49399999999999999</v>
      </c>
      <c r="AN1022" s="21">
        <v>0.2727</v>
      </c>
      <c r="AO1022" s="21">
        <v>1.4161999999999999</v>
      </c>
      <c r="AP1022" s="21">
        <v>0.86819999999999997</v>
      </c>
      <c r="AQ1022" s="21">
        <v>0.50019999999999998</v>
      </c>
      <c r="AR1022" s="21">
        <v>1.2861</v>
      </c>
      <c r="AS1022" s="21">
        <v>-0.31969999999999998</v>
      </c>
      <c r="AT1022" s="21">
        <v>-7.4999999999999997E-2</v>
      </c>
      <c r="AU1022" s="21">
        <v>0.35699999999999998</v>
      </c>
      <c r="AV1022" s="21">
        <v>0.41</v>
      </c>
      <c r="AW1022" s="21">
        <v>0.439</v>
      </c>
      <c r="AX1022" s="21">
        <v>0.27700000000000002</v>
      </c>
      <c r="AY1022" s="21">
        <v>0.36299999999999999</v>
      </c>
      <c r="AZ1022" s="21">
        <v>0.379</v>
      </c>
      <c r="BA1022" s="21">
        <v>0.308</v>
      </c>
      <c r="BB1022" s="21">
        <v>0.313</v>
      </c>
      <c r="BC1022" s="5">
        <v>1</v>
      </c>
      <c r="BD1022" s="5">
        <v>1</v>
      </c>
      <c r="BE1022" s="5">
        <v>2</v>
      </c>
      <c r="BF1022" s="5">
        <v>1</v>
      </c>
      <c r="BG1022" s="5">
        <v>1</v>
      </c>
      <c r="BH1022" s="5">
        <v>1</v>
      </c>
      <c r="BI1022" s="5">
        <v>2</v>
      </c>
      <c r="BJ1022" s="5">
        <v>1</v>
      </c>
      <c r="BK1022" s="90">
        <v>1</v>
      </c>
      <c r="BL1022" s="90">
        <v>1</v>
      </c>
      <c r="BM1022" s="90">
        <v>1</v>
      </c>
      <c r="BN1022" s="90">
        <v>1</v>
      </c>
      <c r="BO1022" s="90">
        <v>1</v>
      </c>
      <c r="BP1022" s="90">
        <v>1</v>
      </c>
      <c r="BQ1022" s="90">
        <v>1</v>
      </c>
      <c r="BR1022" s="90">
        <v>1</v>
      </c>
      <c r="BS1022" s="5" t="s">
        <v>4857</v>
      </c>
    </row>
    <row r="1023" spans="1:71" s="30" customFormat="1" ht="17.100000000000001" customHeight="1">
      <c r="A1023" s="14">
        <v>1012</v>
      </c>
      <c r="B1023" s="5" t="s">
        <v>939</v>
      </c>
      <c r="C1023" s="3" t="s">
        <v>1279</v>
      </c>
      <c r="D1023" s="3" t="s">
        <v>932</v>
      </c>
      <c r="E1023" s="3" t="s">
        <v>933</v>
      </c>
      <c r="F1023" s="5" t="s">
        <v>5265</v>
      </c>
      <c r="G1023" s="3" t="s">
        <v>934</v>
      </c>
      <c r="H1023" s="6" t="s">
        <v>935</v>
      </c>
      <c r="I1023" s="3" t="s">
        <v>936</v>
      </c>
      <c r="J1023" s="5" t="s">
        <v>4238</v>
      </c>
      <c r="K1023" s="3" t="s">
        <v>5968</v>
      </c>
      <c r="L1023" s="3" t="s">
        <v>937</v>
      </c>
      <c r="M1023" s="5">
        <v>4</v>
      </c>
      <c r="N1023" s="21">
        <v>809.69410000000005</v>
      </c>
      <c r="O1023" s="35" t="s">
        <v>4854</v>
      </c>
      <c r="P1023" s="35" t="s">
        <v>4854</v>
      </c>
      <c r="Q1023" s="35" t="s">
        <v>4854</v>
      </c>
      <c r="R1023" s="35" t="s">
        <v>4854</v>
      </c>
      <c r="S1023" s="35" t="s">
        <v>4854</v>
      </c>
      <c r="T1023" s="36" t="str">
        <f>HYPERLINK("http://ms.phosphosite.org:5080/cgi-bin/plot-msms.cgi?MassType=1&amp;NumAxis=1&amp;Mod6=170&amp;Pep=LIAGNKPVSFLTAQQLQQLQQQGQATQVR&amp;Dta=/var/www/html/dta/S01/10563.11610.4.dta&amp;Global_Mod=CS57.0215", "11610")</f>
        <v>11610</v>
      </c>
      <c r="U1023" s="35" t="s">
        <v>4854</v>
      </c>
      <c r="V1023" s="35" t="s">
        <v>4854</v>
      </c>
      <c r="W1023" s="3" t="s">
        <v>4854</v>
      </c>
      <c r="X1023" s="3" t="s">
        <v>4854</v>
      </c>
      <c r="Y1023" s="3" t="s">
        <v>4854</v>
      </c>
      <c r="Z1023" s="3" t="s">
        <v>4854</v>
      </c>
      <c r="AA1023" s="3" t="s">
        <v>4854</v>
      </c>
      <c r="AB1023" s="5">
        <v>11597</v>
      </c>
      <c r="AC1023" s="3" t="s">
        <v>4854</v>
      </c>
      <c r="AD1023" s="3" t="s">
        <v>4854</v>
      </c>
      <c r="AE1023" s="99" t="s">
        <v>4854</v>
      </c>
      <c r="AF1023" s="99" t="s">
        <v>4854</v>
      </c>
      <c r="AG1023" s="99" t="s">
        <v>4854</v>
      </c>
      <c r="AH1023" s="99" t="s">
        <v>4854</v>
      </c>
      <c r="AI1023" s="99" t="s">
        <v>4854</v>
      </c>
      <c r="AJ1023" s="90">
        <v>4.2510000000000003</v>
      </c>
      <c r="AK1023" s="99" t="s">
        <v>4854</v>
      </c>
      <c r="AL1023" s="99" t="s">
        <v>4854</v>
      </c>
      <c r="AM1023" s="102" t="s">
        <v>4854</v>
      </c>
      <c r="AN1023" s="102" t="s">
        <v>4854</v>
      </c>
      <c r="AO1023" s="102" t="s">
        <v>4854</v>
      </c>
      <c r="AP1023" s="102" t="s">
        <v>4854</v>
      </c>
      <c r="AQ1023" s="102" t="s">
        <v>4854</v>
      </c>
      <c r="AR1023" s="21">
        <v>1.2923</v>
      </c>
      <c r="AS1023" s="102" t="s">
        <v>4854</v>
      </c>
      <c r="AT1023" s="102" t="s">
        <v>4854</v>
      </c>
      <c r="AU1023" s="102" t="s">
        <v>4854</v>
      </c>
      <c r="AV1023" s="102" t="s">
        <v>4854</v>
      </c>
      <c r="AW1023" s="102" t="s">
        <v>4854</v>
      </c>
      <c r="AX1023" s="102" t="s">
        <v>4854</v>
      </c>
      <c r="AY1023" s="102" t="s">
        <v>4854</v>
      </c>
      <c r="AZ1023" s="21">
        <v>0.29599999999999999</v>
      </c>
      <c r="BA1023" s="102" t="s">
        <v>4854</v>
      </c>
      <c r="BB1023" s="102" t="s">
        <v>4854</v>
      </c>
      <c r="BC1023" s="3" t="s">
        <v>4854</v>
      </c>
      <c r="BD1023" s="3" t="s">
        <v>4854</v>
      </c>
      <c r="BE1023" s="3" t="s">
        <v>4854</v>
      </c>
      <c r="BF1023" s="3" t="s">
        <v>4854</v>
      </c>
      <c r="BG1023" s="3" t="s">
        <v>4854</v>
      </c>
      <c r="BH1023" s="5">
        <v>4</v>
      </c>
      <c r="BI1023" s="3" t="s">
        <v>4854</v>
      </c>
      <c r="BJ1023" s="3" t="s">
        <v>4854</v>
      </c>
      <c r="BK1023" s="99" t="s">
        <v>4854</v>
      </c>
      <c r="BL1023" s="99" t="s">
        <v>4854</v>
      </c>
      <c r="BM1023" s="99" t="s">
        <v>4854</v>
      </c>
      <c r="BN1023" s="99" t="s">
        <v>4854</v>
      </c>
      <c r="BO1023" s="99" t="s">
        <v>4854</v>
      </c>
      <c r="BP1023" s="90">
        <v>1</v>
      </c>
      <c r="BQ1023" s="99" t="s">
        <v>4854</v>
      </c>
      <c r="BR1023" s="99" t="s">
        <v>4854</v>
      </c>
      <c r="BS1023" s="5" t="s">
        <v>4857</v>
      </c>
    </row>
    <row r="1024" spans="1:71" s="30" customFormat="1" ht="17.100000000000001" customHeight="1">
      <c r="A1024" s="10">
        <v>1013</v>
      </c>
      <c r="B1024" s="10" t="s">
        <v>940</v>
      </c>
      <c r="C1024" s="4" t="s">
        <v>1279</v>
      </c>
      <c r="D1024" s="4" t="s">
        <v>941</v>
      </c>
      <c r="E1024" s="4" t="s">
        <v>942</v>
      </c>
      <c r="F1024" s="10" t="s">
        <v>2954</v>
      </c>
      <c r="G1024" s="4" t="s">
        <v>943</v>
      </c>
      <c r="H1024" s="7" t="s">
        <v>944</v>
      </c>
      <c r="I1024" s="4" t="s">
        <v>945</v>
      </c>
      <c r="J1024" s="10" t="s">
        <v>4670</v>
      </c>
      <c r="K1024" s="4" t="s">
        <v>5969</v>
      </c>
      <c r="L1024" s="4" t="s">
        <v>946</v>
      </c>
      <c r="M1024" s="10">
        <v>2</v>
      </c>
      <c r="N1024" s="95">
        <v>415.7527</v>
      </c>
      <c r="O1024" s="38" t="s">
        <v>4854</v>
      </c>
      <c r="P1024" s="38" t="s">
        <v>4854</v>
      </c>
      <c r="Q1024" s="38" t="s">
        <v>4854</v>
      </c>
      <c r="R1024" s="37" t="str">
        <f>HYPERLINK("http://ms.phosphosite.org:5080/cgi-bin/plot-msms.cgi?MassType=1&amp;NumAxis=1&amp;Mod4=170&amp;Pep=EAVKTLK&amp;Dta=/var/www/html/dta/S01/10561.4420.2.dta&amp;Global_Mod=CS57.0215", "4420")</f>
        <v>4420</v>
      </c>
      <c r="S1024" s="38" t="s">
        <v>4854</v>
      </c>
      <c r="T1024" s="38" t="s">
        <v>4854</v>
      </c>
      <c r="U1024" s="38" t="s">
        <v>4854</v>
      </c>
      <c r="V1024" s="38" t="s">
        <v>4854</v>
      </c>
      <c r="W1024" s="4" t="s">
        <v>4854</v>
      </c>
      <c r="X1024" s="4" t="s">
        <v>4854</v>
      </c>
      <c r="Y1024" s="4" t="s">
        <v>4854</v>
      </c>
      <c r="Z1024" s="4" t="s">
        <v>4854</v>
      </c>
      <c r="AA1024" s="4" t="s">
        <v>4854</v>
      </c>
      <c r="AB1024" s="4" t="s">
        <v>4854</v>
      </c>
      <c r="AC1024" s="4" t="s">
        <v>4854</v>
      </c>
      <c r="AD1024" s="4" t="s">
        <v>4854</v>
      </c>
      <c r="AE1024" s="100" t="s">
        <v>4854</v>
      </c>
      <c r="AF1024" s="100" t="s">
        <v>4854</v>
      </c>
      <c r="AG1024" s="100" t="s">
        <v>4854</v>
      </c>
      <c r="AH1024" s="91">
        <v>1.738</v>
      </c>
      <c r="AI1024" s="100" t="s">
        <v>4854</v>
      </c>
      <c r="AJ1024" s="100" t="s">
        <v>4854</v>
      </c>
      <c r="AK1024" s="100" t="s">
        <v>4854</v>
      </c>
      <c r="AL1024" s="100" t="s">
        <v>4854</v>
      </c>
      <c r="AM1024" s="103" t="s">
        <v>4854</v>
      </c>
      <c r="AN1024" s="103" t="s">
        <v>4854</v>
      </c>
      <c r="AO1024" s="103" t="s">
        <v>4854</v>
      </c>
      <c r="AP1024" s="95">
        <v>0.3876</v>
      </c>
      <c r="AQ1024" s="103" t="s">
        <v>4854</v>
      </c>
      <c r="AR1024" s="103" t="s">
        <v>4854</v>
      </c>
      <c r="AS1024" s="103" t="s">
        <v>4854</v>
      </c>
      <c r="AT1024" s="103" t="s">
        <v>4854</v>
      </c>
      <c r="AU1024" s="103" t="s">
        <v>4854</v>
      </c>
      <c r="AV1024" s="103" t="s">
        <v>4854</v>
      </c>
      <c r="AW1024" s="103" t="s">
        <v>4854</v>
      </c>
      <c r="AX1024" s="95">
        <v>2.1000000000000001E-2</v>
      </c>
      <c r="AY1024" s="103" t="s">
        <v>4854</v>
      </c>
      <c r="AZ1024" s="103" t="s">
        <v>4854</v>
      </c>
      <c r="BA1024" s="103" t="s">
        <v>4854</v>
      </c>
      <c r="BB1024" s="103" t="s">
        <v>4854</v>
      </c>
      <c r="BC1024" s="4" t="s">
        <v>4854</v>
      </c>
      <c r="BD1024" s="4" t="s">
        <v>4854</v>
      </c>
      <c r="BE1024" s="4" t="s">
        <v>4854</v>
      </c>
      <c r="BF1024" s="10">
        <v>4</v>
      </c>
      <c r="BG1024" s="4" t="s">
        <v>4854</v>
      </c>
      <c r="BH1024" s="4" t="s">
        <v>4854</v>
      </c>
      <c r="BI1024" s="4" t="s">
        <v>4854</v>
      </c>
      <c r="BJ1024" s="4" t="s">
        <v>4854</v>
      </c>
      <c r="BK1024" s="100" t="s">
        <v>4854</v>
      </c>
      <c r="BL1024" s="100" t="s">
        <v>4854</v>
      </c>
      <c r="BM1024" s="100" t="s">
        <v>4854</v>
      </c>
      <c r="BN1024" s="91">
        <v>6.8000000000000005E-2</v>
      </c>
      <c r="BO1024" s="100" t="s">
        <v>4854</v>
      </c>
      <c r="BP1024" s="100" t="s">
        <v>4854</v>
      </c>
      <c r="BQ1024" s="100" t="s">
        <v>4854</v>
      </c>
      <c r="BR1024" s="100" t="s">
        <v>4854</v>
      </c>
      <c r="BS1024" s="10" t="s">
        <v>4857</v>
      </c>
    </row>
    <row r="1025" spans="1:71" s="30" customFormat="1" ht="17.100000000000001" customHeight="1">
      <c r="A1025" s="14">
        <v>1014</v>
      </c>
      <c r="B1025" s="5" t="s">
        <v>947</v>
      </c>
      <c r="C1025" s="3" t="s">
        <v>1279</v>
      </c>
      <c r="D1025" s="3" t="s">
        <v>948</v>
      </c>
      <c r="E1025" s="3" t="s">
        <v>949</v>
      </c>
      <c r="F1025" s="5" t="s">
        <v>950</v>
      </c>
      <c r="G1025" s="3" t="s">
        <v>951</v>
      </c>
      <c r="H1025" s="6" t="s">
        <v>952</v>
      </c>
      <c r="I1025" s="3" t="s">
        <v>953</v>
      </c>
      <c r="J1025" s="5" t="s">
        <v>4036</v>
      </c>
      <c r="K1025" s="3" t="s">
        <v>5970</v>
      </c>
      <c r="L1025" s="3" t="s">
        <v>954</v>
      </c>
      <c r="M1025" s="5">
        <v>3</v>
      </c>
      <c r="N1025" s="21">
        <v>504.29480000000001</v>
      </c>
      <c r="O1025" s="35" t="s">
        <v>4854</v>
      </c>
      <c r="P1025" s="35" t="s">
        <v>4854</v>
      </c>
      <c r="Q1025" s="35" t="s">
        <v>4854</v>
      </c>
      <c r="R1025" s="36" t="str">
        <f>HYPERLINK("http://ms.phosphosite.org:5080/cgi-bin/plot-msms.cgi?MassType=1&amp;NumAxis=1&amp;Mod5=170&amp;Mod10=170&amp;Mod12=170&amp;Pep=AILQKNRSAKQK&amp;Dta=/var/www/html/dta/S01/10561.11200.3.dta&amp;Global_Mod=CS57.0215", "11200")</f>
        <v>11200</v>
      </c>
      <c r="S1025" s="35" t="s">
        <v>4854</v>
      </c>
      <c r="T1025" s="35" t="s">
        <v>4854</v>
      </c>
      <c r="U1025" s="35" t="s">
        <v>4854</v>
      </c>
      <c r="V1025" s="35" t="s">
        <v>4854</v>
      </c>
      <c r="W1025" s="3" t="s">
        <v>4854</v>
      </c>
      <c r="X1025" s="3" t="s">
        <v>4854</v>
      </c>
      <c r="Y1025" s="3" t="s">
        <v>4854</v>
      </c>
      <c r="Z1025" s="3" t="s">
        <v>4854</v>
      </c>
      <c r="AA1025" s="3" t="s">
        <v>4854</v>
      </c>
      <c r="AB1025" s="3" t="s">
        <v>4854</v>
      </c>
      <c r="AC1025" s="3" t="s">
        <v>4854</v>
      </c>
      <c r="AD1025" s="3" t="s">
        <v>4854</v>
      </c>
      <c r="AE1025" s="99" t="s">
        <v>4854</v>
      </c>
      <c r="AF1025" s="99" t="s">
        <v>4854</v>
      </c>
      <c r="AG1025" s="99" t="s">
        <v>4854</v>
      </c>
      <c r="AH1025" s="90">
        <v>1.4730000000000001</v>
      </c>
      <c r="AI1025" s="99" t="s">
        <v>4854</v>
      </c>
      <c r="AJ1025" s="99" t="s">
        <v>4854</v>
      </c>
      <c r="AK1025" s="99" t="s">
        <v>4854</v>
      </c>
      <c r="AL1025" s="99" t="s">
        <v>4854</v>
      </c>
      <c r="AM1025" s="102" t="s">
        <v>4854</v>
      </c>
      <c r="AN1025" s="102" t="s">
        <v>4854</v>
      </c>
      <c r="AO1025" s="102" t="s">
        <v>4854</v>
      </c>
      <c r="AP1025" s="21">
        <v>2.88</v>
      </c>
      <c r="AQ1025" s="102" t="s">
        <v>4854</v>
      </c>
      <c r="AR1025" s="102" t="s">
        <v>4854</v>
      </c>
      <c r="AS1025" s="102" t="s">
        <v>4854</v>
      </c>
      <c r="AT1025" s="102" t="s">
        <v>4854</v>
      </c>
      <c r="AU1025" s="102" t="s">
        <v>4854</v>
      </c>
      <c r="AV1025" s="102" t="s">
        <v>4854</v>
      </c>
      <c r="AW1025" s="102" t="s">
        <v>4854</v>
      </c>
      <c r="AX1025" s="21">
        <v>1.4E-2</v>
      </c>
      <c r="AY1025" s="102" t="s">
        <v>4854</v>
      </c>
      <c r="AZ1025" s="102" t="s">
        <v>4854</v>
      </c>
      <c r="BA1025" s="102" t="s">
        <v>4854</v>
      </c>
      <c r="BB1025" s="102" t="s">
        <v>4854</v>
      </c>
      <c r="BC1025" s="3" t="s">
        <v>4854</v>
      </c>
      <c r="BD1025" s="3" t="s">
        <v>4854</v>
      </c>
      <c r="BE1025" s="3" t="s">
        <v>4854</v>
      </c>
      <c r="BF1025" s="5">
        <v>5</v>
      </c>
      <c r="BG1025" s="3" t="s">
        <v>4854</v>
      </c>
      <c r="BH1025" s="3" t="s">
        <v>4854</v>
      </c>
      <c r="BI1025" s="3" t="s">
        <v>4854</v>
      </c>
      <c r="BJ1025" s="3" t="s">
        <v>4854</v>
      </c>
      <c r="BK1025" s="99" t="s">
        <v>4854</v>
      </c>
      <c r="BL1025" s="99" t="s">
        <v>4854</v>
      </c>
      <c r="BM1025" s="99" t="s">
        <v>4854</v>
      </c>
      <c r="BN1025" s="90">
        <v>0.154</v>
      </c>
      <c r="BO1025" s="99" t="s">
        <v>4854</v>
      </c>
      <c r="BP1025" s="99" t="s">
        <v>4854</v>
      </c>
      <c r="BQ1025" s="99" t="s">
        <v>4854</v>
      </c>
      <c r="BR1025" s="99" t="s">
        <v>4854</v>
      </c>
      <c r="BS1025" s="5" t="s">
        <v>4857</v>
      </c>
    </row>
    <row r="1026" spans="1:71" s="30" customFormat="1" ht="17.100000000000001" customHeight="1">
      <c r="A1026" s="10">
        <v>1015</v>
      </c>
      <c r="B1026" s="10" t="s">
        <v>955</v>
      </c>
      <c r="C1026" s="4" t="s">
        <v>1279</v>
      </c>
      <c r="D1026" s="4" t="s">
        <v>956</v>
      </c>
      <c r="E1026" s="4" t="s">
        <v>957</v>
      </c>
      <c r="F1026" s="10" t="s">
        <v>5099</v>
      </c>
      <c r="G1026" s="4" t="s">
        <v>958</v>
      </c>
      <c r="H1026" s="7" t="s">
        <v>959</v>
      </c>
      <c r="I1026" s="4" t="s">
        <v>960</v>
      </c>
      <c r="J1026" s="10" t="s">
        <v>4646</v>
      </c>
      <c r="K1026" s="4" t="s">
        <v>5971</v>
      </c>
      <c r="L1026" s="4" t="s">
        <v>961</v>
      </c>
      <c r="M1026" s="10">
        <v>2</v>
      </c>
      <c r="N1026" s="95">
        <v>607.33079999999995</v>
      </c>
      <c r="O1026" s="38" t="s">
        <v>4854</v>
      </c>
      <c r="P1026" s="38" t="s">
        <v>4854</v>
      </c>
      <c r="Q1026" s="38" t="s">
        <v>4854</v>
      </c>
      <c r="R1026" s="38" t="s">
        <v>4854</v>
      </c>
      <c r="S1026" s="38" t="s">
        <v>4854</v>
      </c>
      <c r="T1026" s="38" t="s">
        <v>4854</v>
      </c>
      <c r="U1026" s="38" t="s">
        <v>4854</v>
      </c>
      <c r="V1026" s="37" t="str">
        <f>HYPERLINK("http://ms.phosphosite.org:5080/cgi-bin/plot-msms.cgi?MassType=1&amp;NumAxis=1&amp;Mod2=147&amp;Mod6=170&amp;Pep=HMVMQKLLR&amp;Dta=/var/www/html/dta/S01/10565.5367.2.dta&amp;Global_Mod=CS57.0215", "5367")</f>
        <v>5367</v>
      </c>
      <c r="W1026" s="4" t="s">
        <v>4854</v>
      </c>
      <c r="X1026" s="4" t="s">
        <v>4854</v>
      </c>
      <c r="Y1026" s="4" t="s">
        <v>4854</v>
      </c>
      <c r="Z1026" s="4" t="s">
        <v>4854</v>
      </c>
      <c r="AA1026" s="4" t="s">
        <v>4854</v>
      </c>
      <c r="AB1026" s="4" t="s">
        <v>4854</v>
      </c>
      <c r="AC1026" s="4" t="s">
        <v>4854</v>
      </c>
      <c r="AD1026" s="10">
        <v>5372</v>
      </c>
      <c r="AE1026" s="100" t="s">
        <v>4854</v>
      </c>
      <c r="AF1026" s="100" t="s">
        <v>4854</v>
      </c>
      <c r="AG1026" s="100" t="s">
        <v>4854</v>
      </c>
      <c r="AH1026" s="100" t="s">
        <v>4854</v>
      </c>
      <c r="AI1026" s="100" t="s">
        <v>4854</v>
      </c>
      <c r="AJ1026" s="100" t="s">
        <v>4854</v>
      </c>
      <c r="AK1026" s="100" t="s">
        <v>4854</v>
      </c>
      <c r="AL1026" s="91">
        <v>2.1429999999999998</v>
      </c>
      <c r="AM1026" s="103" t="s">
        <v>4854</v>
      </c>
      <c r="AN1026" s="103" t="s">
        <v>4854</v>
      </c>
      <c r="AO1026" s="103" t="s">
        <v>4854</v>
      </c>
      <c r="AP1026" s="103" t="s">
        <v>4854</v>
      </c>
      <c r="AQ1026" s="103" t="s">
        <v>4854</v>
      </c>
      <c r="AR1026" s="103" t="s">
        <v>4854</v>
      </c>
      <c r="AS1026" s="103" t="s">
        <v>4854</v>
      </c>
      <c r="AT1026" s="95">
        <v>-6.4199999999999993E-2</v>
      </c>
      <c r="AU1026" s="103" t="s">
        <v>4854</v>
      </c>
      <c r="AV1026" s="103" t="s">
        <v>4854</v>
      </c>
      <c r="AW1026" s="103" t="s">
        <v>4854</v>
      </c>
      <c r="AX1026" s="103" t="s">
        <v>4854</v>
      </c>
      <c r="AY1026" s="103" t="s">
        <v>4854</v>
      </c>
      <c r="AZ1026" s="103" t="s">
        <v>4854</v>
      </c>
      <c r="BA1026" s="103" t="s">
        <v>4854</v>
      </c>
      <c r="BB1026" s="95">
        <v>0.17399999999999999</v>
      </c>
      <c r="BC1026" s="4" t="s">
        <v>4854</v>
      </c>
      <c r="BD1026" s="4" t="s">
        <v>4854</v>
      </c>
      <c r="BE1026" s="4" t="s">
        <v>4854</v>
      </c>
      <c r="BF1026" s="4" t="s">
        <v>4854</v>
      </c>
      <c r="BG1026" s="4" t="s">
        <v>4854</v>
      </c>
      <c r="BH1026" s="4" t="s">
        <v>4854</v>
      </c>
      <c r="BI1026" s="4" t="s">
        <v>4854</v>
      </c>
      <c r="BJ1026" s="10">
        <v>2</v>
      </c>
      <c r="BK1026" s="100" t="s">
        <v>4854</v>
      </c>
      <c r="BL1026" s="100" t="s">
        <v>4854</v>
      </c>
      <c r="BM1026" s="100" t="s">
        <v>4854</v>
      </c>
      <c r="BN1026" s="100" t="s">
        <v>4854</v>
      </c>
      <c r="BO1026" s="100" t="s">
        <v>4854</v>
      </c>
      <c r="BP1026" s="100" t="s">
        <v>4854</v>
      </c>
      <c r="BQ1026" s="100" t="s">
        <v>4854</v>
      </c>
      <c r="BR1026" s="91">
        <v>0.99399999999999999</v>
      </c>
      <c r="BS1026" s="10" t="s">
        <v>4857</v>
      </c>
    </row>
    <row r="1027" spans="1:71" s="30" customFormat="1" ht="17.100000000000001" customHeight="1">
      <c r="A1027" s="14">
        <v>1016</v>
      </c>
      <c r="B1027" s="5" t="s">
        <v>962</v>
      </c>
      <c r="C1027" s="3" t="s">
        <v>1279</v>
      </c>
      <c r="D1027" s="3" t="s">
        <v>963</v>
      </c>
      <c r="E1027" s="3" t="s">
        <v>964</v>
      </c>
      <c r="F1027" s="5" t="s">
        <v>965</v>
      </c>
      <c r="G1027" s="3" t="s">
        <v>966</v>
      </c>
      <c r="H1027" s="6" t="s">
        <v>967</v>
      </c>
      <c r="I1027" s="3" t="s">
        <v>968</v>
      </c>
      <c r="J1027" s="5" t="s">
        <v>4099</v>
      </c>
      <c r="K1027" s="3" t="s">
        <v>5972</v>
      </c>
      <c r="L1027" s="3" t="s">
        <v>969</v>
      </c>
      <c r="M1027" s="5">
        <v>2</v>
      </c>
      <c r="N1027" s="21">
        <v>375.71089999999998</v>
      </c>
      <c r="O1027" s="35" t="s">
        <v>4854</v>
      </c>
      <c r="P1027" s="35" t="s">
        <v>4854</v>
      </c>
      <c r="Q1027" s="35" t="s">
        <v>4854</v>
      </c>
      <c r="R1027" s="36" t="str">
        <f>HYPERLINK("http://ms.phosphosite.org:5080/cgi-bin/plot-msms.cgi?MassType=1&amp;NumAxis=1&amp;Mod4=170&amp;Pep=AAFKSGK&amp;Dta=/var/www/html/dta/S01/10561.1705.2.dta&amp;Global_Mod=CS57.0215", "1705")</f>
        <v>1705</v>
      </c>
      <c r="S1027" s="35" t="s">
        <v>4854</v>
      </c>
      <c r="T1027" s="35" t="s">
        <v>4854</v>
      </c>
      <c r="U1027" s="35" t="s">
        <v>4854</v>
      </c>
      <c r="V1027" s="35" t="s">
        <v>4854</v>
      </c>
      <c r="W1027" s="3" t="s">
        <v>4854</v>
      </c>
      <c r="X1027" s="3" t="s">
        <v>4854</v>
      </c>
      <c r="Y1027" s="3" t="s">
        <v>4854</v>
      </c>
      <c r="Z1027" s="3" t="s">
        <v>4854</v>
      </c>
      <c r="AA1027" s="3" t="s">
        <v>4854</v>
      </c>
      <c r="AB1027" s="3" t="s">
        <v>4854</v>
      </c>
      <c r="AC1027" s="3" t="s">
        <v>4854</v>
      </c>
      <c r="AD1027" s="3" t="s">
        <v>4854</v>
      </c>
      <c r="AE1027" s="99" t="s">
        <v>4854</v>
      </c>
      <c r="AF1027" s="99" t="s">
        <v>4854</v>
      </c>
      <c r="AG1027" s="99" t="s">
        <v>4854</v>
      </c>
      <c r="AH1027" s="90">
        <v>1.4930000000000001</v>
      </c>
      <c r="AI1027" s="99" t="s">
        <v>4854</v>
      </c>
      <c r="AJ1027" s="99" t="s">
        <v>4854</v>
      </c>
      <c r="AK1027" s="99" t="s">
        <v>4854</v>
      </c>
      <c r="AL1027" s="99" t="s">
        <v>4854</v>
      </c>
      <c r="AM1027" s="102" t="s">
        <v>4854</v>
      </c>
      <c r="AN1027" s="102" t="s">
        <v>4854</v>
      </c>
      <c r="AO1027" s="102" t="s">
        <v>4854</v>
      </c>
      <c r="AP1027" s="21">
        <v>0.44440000000000002</v>
      </c>
      <c r="AQ1027" s="102" t="s">
        <v>4854</v>
      </c>
      <c r="AR1027" s="102" t="s">
        <v>4854</v>
      </c>
      <c r="AS1027" s="102" t="s">
        <v>4854</v>
      </c>
      <c r="AT1027" s="102" t="s">
        <v>4854</v>
      </c>
      <c r="AU1027" s="102" t="s">
        <v>4854</v>
      </c>
      <c r="AV1027" s="102" t="s">
        <v>4854</v>
      </c>
      <c r="AW1027" s="102" t="s">
        <v>4854</v>
      </c>
      <c r="AX1027" s="21">
        <v>0.109</v>
      </c>
      <c r="AY1027" s="102" t="s">
        <v>4854</v>
      </c>
      <c r="AZ1027" s="102" t="s">
        <v>4854</v>
      </c>
      <c r="BA1027" s="102" t="s">
        <v>4854</v>
      </c>
      <c r="BB1027" s="102" t="s">
        <v>4854</v>
      </c>
      <c r="BC1027" s="3" t="s">
        <v>4854</v>
      </c>
      <c r="BD1027" s="3" t="s">
        <v>4854</v>
      </c>
      <c r="BE1027" s="3" t="s">
        <v>4854</v>
      </c>
      <c r="BF1027" s="5">
        <v>15</v>
      </c>
      <c r="BG1027" s="3" t="s">
        <v>4854</v>
      </c>
      <c r="BH1027" s="3" t="s">
        <v>4854</v>
      </c>
      <c r="BI1027" s="3" t="s">
        <v>4854</v>
      </c>
      <c r="BJ1027" s="3" t="s">
        <v>4854</v>
      </c>
      <c r="BK1027" s="99" t="s">
        <v>4854</v>
      </c>
      <c r="BL1027" s="99" t="s">
        <v>4854</v>
      </c>
      <c r="BM1027" s="99" t="s">
        <v>4854</v>
      </c>
      <c r="BN1027" s="90">
        <v>0.874</v>
      </c>
      <c r="BO1027" s="99" t="s">
        <v>4854</v>
      </c>
      <c r="BP1027" s="99" t="s">
        <v>4854</v>
      </c>
      <c r="BQ1027" s="99" t="s">
        <v>4854</v>
      </c>
      <c r="BR1027" s="99" t="s">
        <v>4854</v>
      </c>
      <c r="BS1027" s="5" t="s">
        <v>4857</v>
      </c>
    </row>
    <row r="1028" spans="1:71" s="30" customFormat="1" ht="17.100000000000001" customHeight="1">
      <c r="A1028" s="10">
        <v>1017</v>
      </c>
      <c r="B1028" s="10" t="s">
        <v>970</v>
      </c>
      <c r="C1028" s="4" t="s">
        <v>1279</v>
      </c>
      <c r="D1028" s="4" t="s">
        <v>963</v>
      </c>
      <c r="E1028" s="4" t="s">
        <v>964</v>
      </c>
      <c r="F1028" s="10" t="s">
        <v>971</v>
      </c>
      <c r="G1028" s="4" t="s">
        <v>966</v>
      </c>
      <c r="H1028" s="7" t="s">
        <v>967</v>
      </c>
      <c r="I1028" s="4" t="s">
        <v>968</v>
      </c>
      <c r="J1028" s="10" t="s">
        <v>4099</v>
      </c>
      <c r="K1028" s="4" t="s">
        <v>5973</v>
      </c>
      <c r="L1028" s="4" t="s">
        <v>972</v>
      </c>
      <c r="M1028" s="10">
        <v>2</v>
      </c>
      <c r="N1028" s="95">
        <v>474.76670000000001</v>
      </c>
      <c r="O1028" s="38" t="s">
        <v>4854</v>
      </c>
      <c r="P1028" s="38" t="s">
        <v>4854</v>
      </c>
      <c r="Q1028" s="38" t="s">
        <v>4854</v>
      </c>
      <c r="R1028" s="37" t="str">
        <f>HYPERLINK("http://ms.phosphosite.org:5080/cgi-bin/plot-msms.cgi?MassType=1&amp;NumAxis=1&amp;Mod4=170&amp;Mod7=170&amp;Pep=AAFKSGKR&amp;Dta=/var/www/html/dta/S01/10561.2460.2.dta&amp;Global_Mod=CS57.0215", "2460")</f>
        <v>2460</v>
      </c>
      <c r="S1028" s="37" t="str">
        <f>HYPERLINK("http://ms.phosphosite.org:5080/cgi-bin/plot-msms.cgi?MassType=1&amp;NumAxis=1&amp;Mod4=170&amp;Mod7=170&amp;Pep=AAFKSGKR&amp;Dta=/var/www/html/dta/S01/10562.2544.2.dta&amp;Global_Mod=CS57.0215", "2544")</f>
        <v>2544</v>
      </c>
      <c r="T1028" s="38" t="s">
        <v>4854</v>
      </c>
      <c r="U1028" s="38" t="s">
        <v>4854</v>
      </c>
      <c r="V1028" s="38" t="s">
        <v>4854</v>
      </c>
      <c r="W1028" s="4" t="s">
        <v>4854</v>
      </c>
      <c r="X1028" s="4" t="s">
        <v>4854</v>
      </c>
      <c r="Y1028" s="4" t="s">
        <v>4854</v>
      </c>
      <c r="Z1028" s="10">
        <v>2454</v>
      </c>
      <c r="AA1028" s="10">
        <v>2525</v>
      </c>
      <c r="AB1028" s="4" t="s">
        <v>4854</v>
      </c>
      <c r="AC1028" s="4" t="s">
        <v>4854</v>
      </c>
      <c r="AD1028" s="4" t="s">
        <v>4854</v>
      </c>
      <c r="AE1028" s="100" t="s">
        <v>4854</v>
      </c>
      <c r="AF1028" s="100" t="s">
        <v>4854</v>
      </c>
      <c r="AG1028" s="100" t="s">
        <v>4854</v>
      </c>
      <c r="AH1028" s="91">
        <v>1.95</v>
      </c>
      <c r="AI1028" s="91">
        <v>1.992</v>
      </c>
      <c r="AJ1028" s="100" t="s">
        <v>4854</v>
      </c>
      <c r="AK1028" s="100" t="s">
        <v>4854</v>
      </c>
      <c r="AL1028" s="100" t="s">
        <v>4854</v>
      </c>
      <c r="AM1028" s="103" t="s">
        <v>4854</v>
      </c>
      <c r="AN1028" s="103" t="s">
        <v>4854</v>
      </c>
      <c r="AO1028" s="103" t="s">
        <v>4854</v>
      </c>
      <c r="AP1028" s="95">
        <v>0.33510000000000001</v>
      </c>
      <c r="AQ1028" s="95">
        <v>0.59550000000000003</v>
      </c>
      <c r="AR1028" s="103" t="s">
        <v>4854</v>
      </c>
      <c r="AS1028" s="103" t="s">
        <v>4854</v>
      </c>
      <c r="AT1028" s="103" t="s">
        <v>4854</v>
      </c>
      <c r="AU1028" s="103" t="s">
        <v>4854</v>
      </c>
      <c r="AV1028" s="103" t="s">
        <v>4854</v>
      </c>
      <c r="AW1028" s="103" t="s">
        <v>4854</v>
      </c>
      <c r="AX1028" s="95">
        <v>0.126</v>
      </c>
      <c r="AY1028" s="95">
        <v>0.105</v>
      </c>
      <c r="AZ1028" s="103" t="s">
        <v>4854</v>
      </c>
      <c r="BA1028" s="103" t="s">
        <v>4854</v>
      </c>
      <c r="BB1028" s="103" t="s">
        <v>4854</v>
      </c>
      <c r="BC1028" s="4" t="s">
        <v>4854</v>
      </c>
      <c r="BD1028" s="4" t="s">
        <v>4854</v>
      </c>
      <c r="BE1028" s="4" t="s">
        <v>4854</v>
      </c>
      <c r="BF1028" s="10">
        <v>1</v>
      </c>
      <c r="BG1028" s="10">
        <v>9</v>
      </c>
      <c r="BH1028" s="4" t="s">
        <v>4854</v>
      </c>
      <c r="BI1028" s="4" t="s">
        <v>4854</v>
      </c>
      <c r="BJ1028" s="4" t="s">
        <v>4854</v>
      </c>
      <c r="BK1028" s="100" t="s">
        <v>4854</v>
      </c>
      <c r="BL1028" s="100" t="s">
        <v>4854</v>
      </c>
      <c r="BM1028" s="100" t="s">
        <v>4854</v>
      </c>
      <c r="BN1028" s="91">
        <v>0.98799999999999999</v>
      </c>
      <c r="BO1028" s="91">
        <v>0.97199999999999998</v>
      </c>
      <c r="BP1028" s="100" t="s">
        <v>4854</v>
      </c>
      <c r="BQ1028" s="100" t="s">
        <v>4854</v>
      </c>
      <c r="BR1028" s="100" t="s">
        <v>4854</v>
      </c>
      <c r="BS1028" s="10" t="s">
        <v>4857</v>
      </c>
    </row>
    <row r="1029" spans="1:71" s="30" customFormat="1" ht="17.100000000000001" customHeight="1">
      <c r="A1029" s="14">
        <v>1018</v>
      </c>
      <c r="B1029" s="5" t="s">
        <v>973</v>
      </c>
      <c r="C1029" s="3" t="s">
        <v>1279</v>
      </c>
      <c r="D1029" s="3" t="s">
        <v>974</v>
      </c>
      <c r="E1029" s="3" t="s">
        <v>975</v>
      </c>
      <c r="F1029" s="5" t="s">
        <v>4351</v>
      </c>
      <c r="G1029" s="3" t="s">
        <v>976</v>
      </c>
      <c r="H1029" s="6" t="s">
        <v>977</v>
      </c>
      <c r="I1029" s="3" t="s">
        <v>978</v>
      </c>
      <c r="J1029" s="5" t="s">
        <v>4539</v>
      </c>
      <c r="K1029" s="3" t="s">
        <v>5974</v>
      </c>
      <c r="L1029" s="3" t="s">
        <v>979</v>
      </c>
      <c r="M1029" s="5">
        <v>2</v>
      </c>
      <c r="N1029" s="21">
        <v>642.36950000000002</v>
      </c>
      <c r="O1029" s="35" t="s">
        <v>4854</v>
      </c>
      <c r="P1029" s="35" t="s">
        <v>4854</v>
      </c>
      <c r="Q1029" s="36" t="str">
        <f>HYPERLINK("http://ms.phosphosite.org:5080/cgi-bin/plot-msms.cgi?MassType=1&amp;NumAxis=1&amp;Mod9=170&amp;Pep=AAIAQLNGKEVK&amp;Dta=/var/www/html/dta/S01/10560.4924.2.dta&amp;Global_Mod=CS57.0215", "4924")</f>
        <v>4924</v>
      </c>
      <c r="R1029" s="36" t="str">
        <f>HYPERLINK("http://ms.phosphosite.org:5080/cgi-bin/plot-msms.cgi?MassType=1&amp;NumAxis=1&amp;Mod9=170&amp;Pep=AAIAQLNGKEVK&amp;Dta=/var/www/html/dta/S01/10561.4938.2.dta&amp;Global_Mod=CS57.0215", "4938")</f>
        <v>4938</v>
      </c>
      <c r="S1029" s="35" t="s">
        <v>4854</v>
      </c>
      <c r="T1029" s="35" t="s">
        <v>4854</v>
      </c>
      <c r="U1029" s="36" t="str">
        <f>HYPERLINK("http://ms.phosphosite.org:5080/cgi-bin/plot-msms.cgi?MassType=1&amp;NumAxis=1&amp;Mod9=170&amp;Pep=AAIAQLNGKEVK&amp;Dta=/var/www/html/dta/S01/10564.5296.2.dta&amp;Global_Mod=CS57.0215", "5296")</f>
        <v>5296</v>
      </c>
      <c r="V1029" s="36" t="str">
        <f>HYPERLINK("http://ms.phosphosite.org:5080/cgi-bin/plot-msms.cgi?MassType=1&amp;NumAxis=1&amp;Mod9=170&amp;Pep=AAIAQLNGKEVK&amp;Dta=/var/www/html/dta/S01/10565.5411.2.dta&amp;Global_Mod=CS57.0215", "5411")</f>
        <v>5411</v>
      </c>
      <c r="W1029" s="3" t="s">
        <v>4854</v>
      </c>
      <c r="X1029" s="3" t="s">
        <v>4854</v>
      </c>
      <c r="Y1029" s="3" t="s">
        <v>4854</v>
      </c>
      <c r="Z1029" s="5">
        <v>4941</v>
      </c>
      <c r="AA1029" s="3" t="s">
        <v>4854</v>
      </c>
      <c r="AB1029" s="3" t="s">
        <v>4854</v>
      </c>
      <c r="AC1029" s="5">
        <v>5297</v>
      </c>
      <c r="AD1029" s="5">
        <v>5405</v>
      </c>
      <c r="AE1029" s="99" t="s">
        <v>4854</v>
      </c>
      <c r="AF1029" s="99" t="s">
        <v>4854</v>
      </c>
      <c r="AG1029" s="90">
        <v>2.0750000000000002</v>
      </c>
      <c r="AH1029" s="90">
        <v>2.5270000000000001</v>
      </c>
      <c r="AI1029" s="99" t="s">
        <v>4854</v>
      </c>
      <c r="AJ1029" s="99" t="s">
        <v>4854</v>
      </c>
      <c r="AK1029" s="90">
        <v>2.516</v>
      </c>
      <c r="AL1029" s="90">
        <v>2.214</v>
      </c>
      <c r="AM1029" s="102" t="s">
        <v>4854</v>
      </c>
      <c r="AN1029" s="102" t="s">
        <v>4854</v>
      </c>
      <c r="AO1029" s="21">
        <v>0.3584</v>
      </c>
      <c r="AP1029" s="21">
        <v>0.3553</v>
      </c>
      <c r="AQ1029" s="102" t="s">
        <v>4854</v>
      </c>
      <c r="AR1029" s="102" t="s">
        <v>4854</v>
      </c>
      <c r="AS1029" s="21">
        <v>-0.1721</v>
      </c>
      <c r="AT1029" s="21">
        <v>0.38800000000000001</v>
      </c>
      <c r="AU1029" s="102" t="s">
        <v>4854</v>
      </c>
      <c r="AV1029" s="102" t="s">
        <v>4854</v>
      </c>
      <c r="AW1029" s="21">
        <v>2.7E-2</v>
      </c>
      <c r="AX1029" s="21">
        <v>0.308</v>
      </c>
      <c r="AY1029" s="102" t="s">
        <v>4854</v>
      </c>
      <c r="AZ1029" s="102" t="s">
        <v>4854</v>
      </c>
      <c r="BA1029" s="21">
        <v>0.215</v>
      </c>
      <c r="BB1029" s="21">
        <v>0.13</v>
      </c>
      <c r="BC1029" s="3" t="s">
        <v>4854</v>
      </c>
      <c r="BD1029" s="3" t="s">
        <v>4854</v>
      </c>
      <c r="BE1029" s="5">
        <v>11</v>
      </c>
      <c r="BF1029" s="5">
        <v>1</v>
      </c>
      <c r="BG1029" s="3" t="s">
        <v>4854</v>
      </c>
      <c r="BH1029" s="3" t="s">
        <v>4854</v>
      </c>
      <c r="BI1029" s="5">
        <v>6</v>
      </c>
      <c r="BJ1029" s="5">
        <v>5</v>
      </c>
      <c r="BK1029" s="99" t="s">
        <v>4854</v>
      </c>
      <c r="BL1029" s="99" t="s">
        <v>4854</v>
      </c>
      <c r="BM1029" s="90">
        <v>0.90400000000000003</v>
      </c>
      <c r="BN1029" s="90">
        <v>0.999</v>
      </c>
      <c r="BO1029" s="99" t="s">
        <v>4854</v>
      </c>
      <c r="BP1029" s="99" t="s">
        <v>4854</v>
      </c>
      <c r="BQ1029" s="90">
        <v>0.996</v>
      </c>
      <c r="BR1029" s="90">
        <v>0.98299999999999998</v>
      </c>
      <c r="BS1029" s="5" t="s">
        <v>4857</v>
      </c>
    </row>
    <row r="1030" spans="1:71" s="30" customFormat="1" ht="17.100000000000001" customHeight="1">
      <c r="A1030" s="10">
        <v>1019</v>
      </c>
      <c r="B1030" s="10" t="s">
        <v>980</v>
      </c>
      <c r="C1030" s="4" t="s">
        <v>1279</v>
      </c>
      <c r="D1030" s="4" t="s">
        <v>981</v>
      </c>
      <c r="E1030" s="4" t="s">
        <v>982</v>
      </c>
      <c r="F1030" s="10" t="s">
        <v>5157</v>
      </c>
      <c r="G1030" s="4" t="s">
        <v>983</v>
      </c>
      <c r="H1030" s="7" t="s">
        <v>984</v>
      </c>
      <c r="I1030" s="4" t="s">
        <v>858</v>
      </c>
      <c r="J1030" s="10" t="s">
        <v>4221</v>
      </c>
      <c r="K1030" s="4" t="s">
        <v>5975</v>
      </c>
      <c r="L1030" s="4" t="s">
        <v>859</v>
      </c>
      <c r="M1030" s="10">
        <v>2</v>
      </c>
      <c r="N1030" s="95">
        <v>613.82799999999997</v>
      </c>
      <c r="O1030" s="37" t="str">
        <f>HYPERLINK("http://ms.phosphosite.org:5080/cgi-bin/plot-msms.cgi?MassType=1&amp;NumAxis=1&amp;Mod2=170&amp;Pep=GKDISTITGHR&amp;Dta=/var/www/html/dta/S01/10558.4048.2.dta&amp;Global_Mod=CS57.0215", "4048")</f>
        <v>4048</v>
      </c>
      <c r="P1030" s="37" t="str">
        <f>HYPERLINK("http://ms.phosphosite.org:5080/cgi-bin/plot-msms.cgi?MassType=1&amp;NumAxis=1&amp;Mod2=170&amp;Pep=GKDISTITGHR&amp;Dta=/var/www/html/dta/S01/10559.3966.2.dta&amp;Global_Mod=CS57.0215", "3966")</f>
        <v>3966</v>
      </c>
      <c r="Q1030" s="38" t="s">
        <v>4854</v>
      </c>
      <c r="R1030" s="37" t="str">
        <f>HYPERLINK("http://ms.phosphosite.org:5080/cgi-bin/plot-msms.cgi?MassType=1&amp;NumAxis=1&amp;Mod2=170&amp;Pep=GKDISTITGHR&amp;Dta=/var/www/html/dta/S01/10561.3957.2.dta&amp;Global_Mod=CS57.0215", "3957")</f>
        <v>3957</v>
      </c>
      <c r="S1030" s="38" t="s">
        <v>4854</v>
      </c>
      <c r="T1030" s="37" t="str">
        <f>HYPERLINK("http://ms.phosphosite.org:5080/cgi-bin/plot-msms.cgi?MassType=1&amp;NumAxis=1&amp;Mod2=170&amp;Pep=GKDISTITGHR&amp;Dta=/var/www/html/dta/S01/10563.3985.2.dta&amp;Global_Mod=CS57.0215", "3985")</f>
        <v>3985</v>
      </c>
      <c r="U1030" s="37" t="str">
        <f>HYPERLINK("http://ms.phosphosite.org:5080/cgi-bin/plot-msms.cgi?MassType=1&amp;NumAxis=1&amp;Mod2=170&amp;Pep=GKDISTITGHR&amp;Dta=/var/www/html/dta/S01/10564.4319.2.dta&amp;Global_Mod=CS57.0215", "4319")</f>
        <v>4319</v>
      </c>
      <c r="V1030" s="37" t="str">
        <f>HYPERLINK("http://ms.phosphosite.org:5080/cgi-bin/plot-msms.cgi?MassType=1&amp;NumAxis=1&amp;Mod2=170&amp;Pep=GKDISTITGHR&amp;Dta=/var/www/html/dta/S01/10565.4433.2.dta&amp;Global_Mod=CS57.0215", "4433")</f>
        <v>4433</v>
      </c>
      <c r="W1030" s="10">
        <v>4025</v>
      </c>
      <c r="X1030" s="10">
        <v>3942</v>
      </c>
      <c r="Y1030" s="4" t="s">
        <v>4854</v>
      </c>
      <c r="Z1030" s="10">
        <v>3962</v>
      </c>
      <c r="AA1030" s="4" t="s">
        <v>4854</v>
      </c>
      <c r="AB1030" s="10">
        <v>3980</v>
      </c>
      <c r="AC1030" s="10">
        <v>4318</v>
      </c>
      <c r="AD1030" s="10">
        <v>4419</v>
      </c>
      <c r="AE1030" s="91">
        <v>3.0710000000000002</v>
      </c>
      <c r="AF1030" s="91">
        <v>2.8690000000000002</v>
      </c>
      <c r="AG1030" s="100" t="s">
        <v>4854</v>
      </c>
      <c r="AH1030" s="91">
        <v>2.6259999999999999</v>
      </c>
      <c r="AI1030" s="100" t="s">
        <v>4854</v>
      </c>
      <c r="AJ1030" s="91">
        <v>2.4689999999999999</v>
      </c>
      <c r="AK1030" s="91">
        <v>3.4950000000000001</v>
      </c>
      <c r="AL1030" s="91">
        <v>3.0859999999999999</v>
      </c>
      <c r="AM1030" s="95">
        <v>-0.19850000000000001</v>
      </c>
      <c r="AN1030" s="95">
        <v>-0.16350000000000001</v>
      </c>
      <c r="AO1030" s="103" t="s">
        <v>4854</v>
      </c>
      <c r="AP1030" s="95">
        <v>0.1268</v>
      </c>
      <c r="AQ1030" s="103" t="s">
        <v>4854</v>
      </c>
      <c r="AR1030" s="95">
        <v>8.5000000000000006E-3</v>
      </c>
      <c r="AS1030" s="95">
        <v>-7.1300000000000002E-2</v>
      </c>
      <c r="AT1030" s="95">
        <v>-0.48630000000000001</v>
      </c>
      <c r="AU1030" s="95">
        <v>0.23799999999999999</v>
      </c>
      <c r="AV1030" s="95">
        <v>0.16300000000000001</v>
      </c>
      <c r="AW1030" s="103" t="s">
        <v>4854</v>
      </c>
      <c r="AX1030" s="95">
        <v>0.32600000000000001</v>
      </c>
      <c r="AY1030" s="103" t="s">
        <v>4854</v>
      </c>
      <c r="AZ1030" s="95">
        <v>0.16500000000000001</v>
      </c>
      <c r="BA1030" s="95">
        <v>0.311</v>
      </c>
      <c r="BB1030" s="95">
        <v>0.28699999999999998</v>
      </c>
      <c r="BC1030" s="10">
        <v>1</v>
      </c>
      <c r="BD1030" s="10">
        <v>1</v>
      </c>
      <c r="BE1030" s="4" t="s">
        <v>4854</v>
      </c>
      <c r="BF1030" s="10">
        <v>1</v>
      </c>
      <c r="BG1030" s="4" t="s">
        <v>4854</v>
      </c>
      <c r="BH1030" s="10">
        <v>1</v>
      </c>
      <c r="BI1030" s="10">
        <v>1</v>
      </c>
      <c r="BJ1030" s="10">
        <v>1</v>
      </c>
      <c r="BK1030" s="91">
        <v>0.999</v>
      </c>
      <c r="BL1030" s="91">
        <v>0.998</v>
      </c>
      <c r="BM1030" s="100" t="s">
        <v>4854</v>
      </c>
      <c r="BN1030" s="91">
        <v>1</v>
      </c>
      <c r="BO1030" s="100" t="s">
        <v>4854</v>
      </c>
      <c r="BP1030" s="91">
        <v>0.997</v>
      </c>
      <c r="BQ1030" s="91">
        <v>1</v>
      </c>
      <c r="BR1030" s="91">
        <v>0.999</v>
      </c>
      <c r="BS1030" s="10" t="s">
        <v>4857</v>
      </c>
    </row>
    <row r="1031" spans="1:71" s="30" customFormat="1" ht="17.100000000000001" customHeight="1">
      <c r="A1031" s="10">
        <v>1020</v>
      </c>
      <c r="B1031" s="10" t="s">
        <v>860</v>
      </c>
      <c r="C1031" s="4" t="s">
        <v>1279</v>
      </c>
      <c r="D1031" s="4" t="s">
        <v>981</v>
      </c>
      <c r="E1031" s="4" t="s">
        <v>982</v>
      </c>
      <c r="F1031" s="10" t="s">
        <v>5157</v>
      </c>
      <c r="G1031" s="4" t="s">
        <v>983</v>
      </c>
      <c r="H1031" s="7" t="s">
        <v>984</v>
      </c>
      <c r="I1031" s="4" t="s">
        <v>858</v>
      </c>
      <c r="J1031" s="10" t="s">
        <v>4221</v>
      </c>
      <c r="K1031" s="4" t="s">
        <v>5975</v>
      </c>
      <c r="L1031" s="4" t="s">
        <v>859</v>
      </c>
      <c r="M1031" s="10">
        <v>2</v>
      </c>
      <c r="N1031" s="95">
        <v>613.82799999999997</v>
      </c>
      <c r="O1031" s="37" t="str">
        <f>HYPERLINK("http://ms.phosphosite.org:5080/cgi-bin/plot-msms.cgi?MassType=1&amp;NumAxis=1&amp;Mod2=170&amp;Pep=GKDISTITGHR&amp;Dta=/var/www/html/dta/S01/10558.4022.2.dta&amp;Global_Mod=CS57.0215", "4022")</f>
        <v>4022</v>
      </c>
      <c r="P1031" s="37" t="str">
        <f>HYPERLINK("http://ms.phosphosite.org:5080/cgi-bin/plot-msms.cgi?MassType=1&amp;NumAxis=1&amp;Mod2=170&amp;Pep=GKDISTITGHR&amp;Dta=/var/www/html/dta/S01/10559.3935.2.dta&amp;Global_Mod=CS57.0215", "3935")</f>
        <v>3935</v>
      </c>
      <c r="Q1031" s="38" t="s">
        <v>4854</v>
      </c>
      <c r="R1031" s="38" t="s">
        <v>4854</v>
      </c>
      <c r="S1031" s="38" t="s">
        <v>4854</v>
      </c>
      <c r="T1031" s="38" t="s">
        <v>4854</v>
      </c>
      <c r="U1031" s="38" t="s">
        <v>4854</v>
      </c>
      <c r="V1031" s="37" t="str">
        <f>HYPERLINK("http://ms.phosphosite.org:5080/cgi-bin/plot-msms.cgi?MassType=1&amp;NumAxis=1&amp;Mod2=170&amp;Pep=GKDISTITGHR&amp;Dta=/var/www/html/dta/S01/10565.4429.2.dta&amp;Global_Mod=CS57.0215", "4429")</f>
        <v>4429</v>
      </c>
      <c r="W1031" s="10">
        <v>4025</v>
      </c>
      <c r="X1031" s="10">
        <v>3942</v>
      </c>
      <c r="Y1031" s="4" t="s">
        <v>4854</v>
      </c>
      <c r="Z1031" s="4" t="s">
        <v>4854</v>
      </c>
      <c r="AA1031" s="4" t="s">
        <v>4854</v>
      </c>
      <c r="AB1031" s="4" t="s">
        <v>4854</v>
      </c>
      <c r="AC1031" s="4" t="s">
        <v>4854</v>
      </c>
      <c r="AD1031" s="10">
        <v>4419</v>
      </c>
      <c r="AE1031" s="91">
        <v>2.5680000000000001</v>
      </c>
      <c r="AF1031" s="91">
        <v>2.3479999999999999</v>
      </c>
      <c r="AG1031" s="100" t="s">
        <v>4854</v>
      </c>
      <c r="AH1031" s="100" t="s">
        <v>4854</v>
      </c>
      <c r="AI1031" s="100" t="s">
        <v>4854</v>
      </c>
      <c r="AJ1031" s="100" t="s">
        <v>4854</v>
      </c>
      <c r="AK1031" s="100" t="s">
        <v>4854</v>
      </c>
      <c r="AL1031" s="91">
        <v>2.5590000000000002</v>
      </c>
      <c r="AM1031" s="95">
        <v>-0.19850000000000001</v>
      </c>
      <c r="AN1031" s="95">
        <v>-0.16350000000000001</v>
      </c>
      <c r="AO1031" s="103" t="s">
        <v>4854</v>
      </c>
      <c r="AP1031" s="103" t="s">
        <v>4854</v>
      </c>
      <c r="AQ1031" s="103" t="s">
        <v>4854</v>
      </c>
      <c r="AR1031" s="103" t="s">
        <v>4854</v>
      </c>
      <c r="AS1031" s="103" t="s">
        <v>4854</v>
      </c>
      <c r="AT1031" s="95">
        <v>-0.50509999999999999</v>
      </c>
      <c r="AU1031" s="95">
        <v>0.217</v>
      </c>
      <c r="AV1031" s="95">
        <v>0.182</v>
      </c>
      <c r="AW1031" s="103" t="s">
        <v>4854</v>
      </c>
      <c r="AX1031" s="103" t="s">
        <v>4854</v>
      </c>
      <c r="AY1031" s="103" t="s">
        <v>4854</v>
      </c>
      <c r="AZ1031" s="103" t="s">
        <v>4854</v>
      </c>
      <c r="BA1031" s="103" t="s">
        <v>4854</v>
      </c>
      <c r="BB1031" s="95">
        <v>0.26900000000000002</v>
      </c>
      <c r="BC1031" s="10">
        <v>2</v>
      </c>
      <c r="BD1031" s="10">
        <v>1</v>
      </c>
      <c r="BE1031" s="4" t="s">
        <v>4854</v>
      </c>
      <c r="BF1031" s="4" t="s">
        <v>4854</v>
      </c>
      <c r="BG1031" s="4" t="s">
        <v>4854</v>
      </c>
      <c r="BH1031" s="4" t="s">
        <v>4854</v>
      </c>
      <c r="BI1031" s="4" t="s">
        <v>4854</v>
      </c>
      <c r="BJ1031" s="10">
        <v>1</v>
      </c>
      <c r="BK1031" s="91">
        <v>0.998</v>
      </c>
      <c r="BL1031" s="91">
        <v>0.996</v>
      </c>
      <c r="BM1031" s="100" t="s">
        <v>4854</v>
      </c>
      <c r="BN1031" s="100" t="s">
        <v>4854</v>
      </c>
      <c r="BO1031" s="100" t="s">
        <v>4854</v>
      </c>
      <c r="BP1031" s="100" t="s">
        <v>4854</v>
      </c>
      <c r="BQ1031" s="100" t="s">
        <v>4854</v>
      </c>
      <c r="BR1031" s="91">
        <v>0.998</v>
      </c>
      <c r="BS1031" s="10" t="s">
        <v>4857</v>
      </c>
    </row>
    <row r="1032" spans="1:71" s="30" customFormat="1" ht="17.100000000000001" customHeight="1">
      <c r="A1032" s="10">
        <v>1021</v>
      </c>
      <c r="B1032" s="10" t="s">
        <v>861</v>
      </c>
      <c r="C1032" s="4" t="s">
        <v>1279</v>
      </c>
      <c r="D1032" s="4" t="s">
        <v>981</v>
      </c>
      <c r="E1032" s="4" t="s">
        <v>982</v>
      </c>
      <c r="F1032" s="10" t="s">
        <v>5157</v>
      </c>
      <c r="G1032" s="4" t="s">
        <v>983</v>
      </c>
      <c r="H1032" s="7" t="s">
        <v>984</v>
      </c>
      <c r="I1032" s="4" t="s">
        <v>858</v>
      </c>
      <c r="J1032" s="10" t="s">
        <v>4221</v>
      </c>
      <c r="K1032" s="4" t="s">
        <v>5975</v>
      </c>
      <c r="L1032" s="4" t="s">
        <v>859</v>
      </c>
      <c r="M1032" s="10">
        <v>3</v>
      </c>
      <c r="N1032" s="95">
        <v>409.55439999999999</v>
      </c>
      <c r="O1032" s="37" t="str">
        <f>HYPERLINK("http://ms.phosphosite.org:5080/cgi-bin/plot-msms.cgi?MassType=1&amp;NumAxis=1&amp;Mod2=170&amp;Pep=GKDISTITGHR&amp;Dta=/var/www/html/dta/S01/10558.4015.3.dta&amp;Global_Mod=CS57.0215", "4015")</f>
        <v>4015</v>
      </c>
      <c r="P1032" s="37" t="str">
        <f>HYPERLINK("http://ms.phosphosite.org:5080/cgi-bin/plot-msms.cgi?MassType=1&amp;NumAxis=1&amp;Mod2=170&amp;Pep=GKDISTITGHR&amp;Dta=/var/www/html/dta/S01/10559.3988.3.dta&amp;Global_Mod=CS57.0215", "3988")</f>
        <v>3988</v>
      </c>
      <c r="Q1032" s="37" t="str">
        <f>HYPERLINK("http://ms.phosphosite.org:5080/cgi-bin/plot-msms.cgi?MassType=1&amp;NumAxis=1&amp;Mod2=170&amp;Pep=GKDISTITGHR&amp;Dta=/var/www/html/dta/S01/10560.3939.3.dta&amp;Global_Mod=CS57.0215", "3939")</f>
        <v>3939</v>
      </c>
      <c r="R1032" s="37" t="str">
        <f>HYPERLINK("http://ms.phosphosite.org:5080/cgi-bin/plot-msms.cgi?MassType=1&amp;NumAxis=1&amp;Mod2=170&amp;Pep=GKDISTITGHR&amp;Dta=/var/www/html/dta/S01/10561.3974.3.dta&amp;Global_Mod=CS57.0215", "3974")</f>
        <v>3974</v>
      </c>
      <c r="S1032" s="37" t="str">
        <f>HYPERLINK("http://ms.phosphosite.org:5080/cgi-bin/plot-msms.cgi?MassType=1&amp;NumAxis=1&amp;Mod2=170&amp;Pep=GKDISTITGHR&amp;Dta=/var/www/html/dta/S01/10562.4104.3.dta&amp;Global_Mod=CS57.0215", "4104")</f>
        <v>4104</v>
      </c>
      <c r="T1032" s="37" t="str">
        <f>HYPERLINK("http://ms.phosphosite.org:5080/cgi-bin/plot-msms.cgi?MassType=1&amp;NumAxis=1&amp;Mod2=170&amp;Pep=GKDISTITGHR&amp;Dta=/var/www/html/dta/S01/10563.4015.3.dta&amp;Global_Mod=CS57.0215", "4015")</f>
        <v>4015</v>
      </c>
      <c r="U1032" s="37" t="str">
        <f>HYPERLINK("http://ms.phosphosite.org:5080/cgi-bin/plot-msms.cgi?MassType=1&amp;NumAxis=1&amp;Mod2=170&amp;Pep=GKDISTITGHR&amp;Dta=/var/www/html/dta/S01/10564.4308.3.dta&amp;Global_Mod=CS57.0215", "4308")</f>
        <v>4308</v>
      </c>
      <c r="V1032" s="37" t="str">
        <f>HYPERLINK("http://ms.phosphosite.org:5080/cgi-bin/plot-msms.cgi?MassType=1&amp;NumAxis=1&amp;Mod2=170&amp;Pep=GKDISTITGHR&amp;Dta=/var/www/html/dta/S01/10565.4431.3.dta&amp;Global_Mod=CS57.0215", "4431")</f>
        <v>4431</v>
      </c>
      <c r="W1032" s="10">
        <v>4025</v>
      </c>
      <c r="X1032" s="10">
        <v>3942</v>
      </c>
      <c r="Y1032" s="10">
        <v>3916</v>
      </c>
      <c r="Z1032" s="10">
        <v>3962</v>
      </c>
      <c r="AA1032" s="10">
        <v>4058</v>
      </c>
      <c r="AB1032" s="10">
        <v>3980</v>
      </c>
      <c r="AC1032" s="10">
        <v>4307</v>
      </c>
      <c r="AD1032" s="10">
        <v>4419</v>
      </c>
      <c r="AE1032" s="91">
        <v>3.36</v>
      </c>
      <c r="AF1032" s="91">
        <v>3.2839999999999998</v>
      </c>
      <c r="AG1032" s="91">
        <v>3.2290000000000001</v>
      </c>
      <c r="AH1032" s="91">
        <v>3.573</v>
      </c>
      <c r="AI1032" s="91">
        <v>2.766</v>
      </c>
      <c r="AJ1032" s="91">
        <v>3.125</v>
      </c>
      <c r="AK1032" s="91">
        <v>3.6190000000000002</v>
      </c>
      <c r="AL1032" s="91">
        <v>3.2730000000000001</v>
      </c>
      <c r="AM1032" s="95">
        <v>0.33139999999999997</v>
      </c>
      <c r="AN1032" s="95">
        <v>0.30280000000000001</v>
      </c>
      <c r="AO1032" s="95">
        <v>0.64770000000000005</v>
      </c>
      <c r="AP1032" s="95">
        <v>0.75939999999999996</v>
      </c>
      <c r="AQ1032" s="95">
        <v>0.61260000000000003</v>
      </c>
      <c r="AR1032" s="95">
        <v>0.67459999999999998</v>
      </c>
      <c r="AS1032" s="95">
        <v>0.39979999999999999</v>
      </c>
      <c r="AT1032" s="95">
        <v>3.7000000000000002E-3</v>
      </c>
      <c r="AU1032" s="95">
        <v>0.182</v>
      </c>
      <c r="AV1032" s="95">
        <v>0.33500000000000002</v>
      </c>
      <c r="AW1032" s="95">
        <v>0.35599999999999998</v>
      </c>
      <c r="AX1032" s="95">
        <v>0.30499999999999999</v>
      </c>
      <c r="AY1032" s="95">
        <v>0.126</v>
      </c>
      <c r="AZ1032" s="95">
        <v>0.34399999999999997</v>
      </c>
      <c r="BA1032" s="95">
        <v>0.36799999999999999</v>
      </c>
      <c r="BB1032" s="95">
        <v>0.309</v>
      </c>
      <c r="BC1032" s="10">
        <v>1</v>
      </c>
      <c r="BD1032" s="10">
        <v>1</v>
      </c>
      <c r="BE1032" s="10">
        <v>1</v>
      </c>
      <c r="BF1032" s="10">
        <v>1</v>
      </c>
      <c r="BG1032" s="10">
        <v>1</v>
      </c>
      <c r="BH1032" s="10">
        <v>1</v>
      </c>
      <c r="BI1032" s="10">
        <v>1</v>
      </c>
      <c r="BJ1032" s="10">
        <v>1</v>
      </c>
      <c r="BK1032" s="91">
        <v>0.999</v>
      </c>
      <c r="BL1032" s="91">
        <v>1</v>
      </c>
      <c r="BM1032" s="91">
        <v>1</v>
      </c>
      <c r="BN1032" s="91">
        <v>1</v>
      </c>
      <c r="BO1032" s="91">
        <v>0.996</v>
      </c>
      <c r="BP1032" s="91">
        <v>1</v>
      </c>
      <c r="BQ1032" s="91">
        <v>1</v>
      </c>
      <c r="BR1032" s="91">
        <v>1</v>
      </c>
      <c r="BS1032" s="10" t="s">
        <v>4857</v>
      </c>
    </row>
    <row r="1033" spans="1:71" s="30" customFormat="1" ht="17.100000000000001" customHeight="1">
      <c r="A1033" s="10">
        <v>1022</v>
      </c>
      <c r="B1033" s="10" t="s">
        <v>862</v>
      </c>
      <c r="C1033" s="4" t="s">
        <v>1279</v>
      </c>
      <c r="D1033" s="4" t="s">
        <v>981</v>
      </c>
      <c r="E1033" s="4" t="s">
        <v>982</v>
      </c>
      <c r="F1033" s="10" t="s">
        <v>5157</v>
      </c>
      <c r="G1033" s="4" t="s">
        <v>983</v>
      </c>
      <c r="H1033" s="7" t="s">
        <v>984</v>
      </c>
      <c r="I1033" s="4" t="s">
        <v>858</v>
      </c>
      <c r="J1033" s="10" t="s">
        <v>4221</v>
      </c>
      <c r="K1033" s="4" t="s">
        <v>5975</v>
      </c>
      <c r="L1033" s="4" t="s">
        <v>859</v>
      </c>
      <c r="M1033" s="10">
        <v>3</v>
      </c>
      <c r="N1033" s="95">
        <v>409.55439999999999</v>
      </c>
      <c r="O1033" s="37" t="str">
        <f>HYPERLINK("http://ms.phosphosite.org:5080/cgi-bin/plot-msms.cgi?MassType=1&amp;NumAxis=1&amp;Mod2=170&amp;Pep=GKDISTITGHR&amp;Dta=/var/www/html/dta/S01/10558.4011.3.dta&amp;Global_Mod=CS57.0215", "4011")</f>
        <v>4011</v>
      </c>
      <c r="P1033" s="38" t="s">
        <v>4854</v>
      </c>
      <c r="Q1033" s="38" t="s">
        <v>4854</v>
      </c>
      <c r="R1033" s="38" t="s">
        <v>4854</v>
      </c>
      <c r="S1033" s="38" t="s">
        <v>4854</v>
      </c>
      <c r="T1033" s="38" t="s">
        <v>4854</v>
      </c>
      <c r="U1033" s="37" t="str">
        <f>HYPERLINK("http://ms.phosphosite.org:5080/cgi-bin/plot-msms.cgi?MassType=1&amp;NumAxis=1&amp;Mod2=170&amp;Pep=GKDISTITGHR&amp;Dta=/var/www/html/dta/S01/10564.4305.3.dta&amp;Global_Mod=CS57.0215", "4305")</f>
        <v>4305</v>
      </c>
      <c r="V1033" s="38" t="s">
        <v>4854</v>
      </c>
      <c r="W1033" s="10">
        <v>4025</v>
      </c>
      <c r="X1033" s="4" t="s">
        <v>4854</v>
      </c>
      <c r="Y1033" s="4" t="s">
        <v>4854</v>
      </c>
      <c r="Z1033" s="4" t="s">
        <v>4854</v>
      </c>
      <c r="AA1033" s="4" t="s">
        <v>4854</v>
      </c>
      <c r="AB1033" s="4" t="s">
        <v>4854</v>
      </c>
      <c r="AC1033" s="10">
        <v>4307</v>
      </c>
      <c r="AD1033" s="4" t="s">
        <v>4854</v>
      </c>
      <c r="AE1033" s="91">
        <v>2.3119999999999998</v>
      </c>
      <c r="AF1033" s="100" t="s">
        <v>4854</v>
      </c>
      <c r="AG1033" s="100" t="s">
        <v>4854</v>
      </c>
      <c r="AH1033" s="100" t="s">
        <v>4854</v>
      </c>
      <c r="AI1033" s="100" t="s">
        <v>4854</v>
      </c>
      <c r="AJ1033" s="100" t="s">
        <v>4854</v>
      </c>
      <c r="AK1033" s="91">
        <v>2.37</v>
      </c>
      <c r="AL1033" s="100" t="s">
        <v>4854</v>
      </c>
      <c r="AM1033" s="95">
        <v>0.33139999999999997</v>
      </c>
      <c r="AN1033" s="103" t="s">
        <v>4854</v>
      </c>
      <c r="AO1033" s="103" t="s">
        <v>4854</v>
      </c>
      <c r="AP1033" s="103" t="s">
        <v>4854</v>
      </c>
      <c r="AQ1033" s="103" t="s">
        <v>4854</v>
      </c>
      <c r="AR1033" s="103" t="s">
        <v>4854</v>
      </c>
      <c r="AS1033" s="95">
        <v>0.40720000000000001</v>
      </c>
      <c r="AT1033" s="103" t="s">
        <v>4854</v>
      </c>
      <c r="AU1033" s="95">
        <v>0.187</v>
      </c>
      <c r="AV1033" s="103" t="s">
        <v>4854</v>
      </c>
      <c r="AW1033" s="103" t="s">
        <v>4854</v>
      </c>
      <c r="AX1033" s="103" t="s">
        <v>4854</v>
      </c>
      <c r="AY1033" s="103" t="s">
        <v>4854</v>
      </c>
      <c r="AZ1033" s="103" t="s">
        <v>4854</v>
      </c>
      <c r="BA1033" s="95">
        <v>8.6999999999999994E-2</v>
      </c>
      <c r="BB1033" s="103" t="s">
        <v>4854</v>
      </c>
      <c r="BC1033" s="10">
        <v>1</v>
      </c>
      <c r="BD1033" s="4" t="s">
        <v>4854</v>
      </c>
      <c r="BE1033" s="4" t="s">
        <v>4854</v>
      </c>
      <c r="BF1033" s="4" t="s">
        <v>4854</v>
      </c>
      <c r="BG1033" s="4" t="s">
        <v>4854</v>
      </c>
      <c r="BH1033" s="4" t="s">
        <v>4854</v>
      </c>
      <c r="BI1033" s="10">
        <v>1</v>
      </c>
      <c r="BJ1033" s="4" t="s">
        <v>4854</v>
      </c>
      <c r="BK1033" s="91">
        <v>0.997</v>
      </c>
      <c r="BL1033" s="100" t="s">
        <v>4854</v>
      </c>
      <c r="BM1033" s="100" t="s">
        <v>4854</v>
      </c>
      <c r="BN1033" s="100" t="s">
        <v>4854</v>
      </c>
      <c r="BO1033" s="100" t="s">
        <v>4854</v>
      </c>
      <c r="BP1033" s="100" t="s">
        <v>4854</v>
      </c>
      <c r="BQ1033" s="91">
        <v>0.98699999999999999</v>
      </c>
      <c r="BR1033" s="100" t="s">
        <v>4854</v>
      </c>
      <c r="BS1033" s="10" t="s">
        <v>4857</v>
      </c>
    </row>
    <row r="1034" spans="1:71" s="30" customFormat="1" ht="17.100000000000001" customHeight="1">
      <c r="A1034" s="14">
        <v>1023</v>
      </c>
      <c r="B1034" s="5" t="s">
        <v>2258</v>
      </c>
      <c r="C1034" s="3" t="s">
        <v>1279</v>
      </c>
      <c r="D1034" s="3" t="s">
        <v>981</v>
      </c>
      <c r="E1034" s="3" t="s">
        <v>982</v>
      </c>
      <c r="F1034" s="5" t="s">
        <v>4962</v>
      </c>
      <c r="G1034" s="3" t="s">
        <v>983</v>
      </c>
      <c r="H1034" s="6" t="s">
        <v>984</v>
      </c>
      <c r="I1034" s="3" t="s">
        <v>858</v>
      </c>
      <c r="J1034" s="5" t="s">
        <v>4221</v>
      </c>
      <c r="K1034" s="3" t="s">
        <v>5976</v>
      </c>
      <c r="L1034" s="3" t="s">
        <v>863</v>
      </c>
      <c r="M1034" s="5">
        <v>2</v>
      </c>
      <c r="N1034" s="21">
        <v>709.36210000000005</v>
      </c>
      <c r="O1034" s="36" t="str">
        <f>HYPERLINK("http://ms.phosphosite.org:5080/cgi-bin/plot-msms.cgi?MassType=1&amp;NumAxis=1&amp;Mod2=170&amp;Pep=GKDISTILDEER&amp;Dta=/var/www/html/dta/S01/10558.8669.2.dta&amp;Global_Mod=CS57.0215", "8669")</f>
        <v>8669</v>
      </c>
      <c r="P1034" s="36" t="str">
        <f>HYPERLINK("http://ms.phosphosite.org:5080/cgi-bin/plot-msms.cgi?MassType=1&amp;NumAxis=1&amp;Mod2=170&amp;Pep=GKDISTILDEER&amp;Dta=/var/www/html/dta/S01/10559.8618.2.dta&amp;Global_Mod=CS57.0215", "8618")</f>
        <v>8618</v>
      </c>
      <c r="Q1034" s="36" t="str">
        <f>HYPERLINK("http://ms.phosphosite.org:5080/cgi-bin/plot-msms.cgi?MassType=1&amp;NumAxis=1&amp;Mod2=170&amp;Pep=GKDISTILDEER&amp;Dta=/var/www/html/dta/S01/10560.8614.2.dta&amp;Global_Mod=CS57.0215", "8614")</f>
        <v>8614</v>
      </c>
      <c r="R1034" s="36" t="str">
        <f>HYPERLINK("http://ms.phosphosite.org:5080/cgi-bin/plot-msms.cgi?MassType=1&amp;NumAxis=1&amp;Mod2=170&amp;Pep=GKDISTILDEER&amp;Dta=/var/www/html/dta/S01/10561.8651.2.dta&amp;Global_Mod=CS57.0215", "8651")</f>
        <v>8651</v>
      </c>
      <c r="S1034" s="36" t="str">
        <f>HYPERLINK("http://ms.phosphosite.org:5080/cgi-bin/plot-msms.cgi?MassType=1&amp;NumAxis=1&amp;Mod2=170&amp;Pep=GKDISTILDEER&amp;Dta=/var/www/html/dta/S01/10562.8771.2.dta&amp;Global_Mod=CS57.0215", "8771")</f>
        <v>8771</v>
      </c>
      <c r="T1034" s="36" t="str">
        <f>HYPERLINK("http://ms.phosphosite.org:5080/cgi-bin/plot-msms.cgi?MassType=1&amp;NumAxis=1&amp;Mod2=170&amp;Pep=GKDISTILDEER&amp;Dta=/var/www/html/dta/S01/10563.8757.2.dta&amp;Global_Mod=CS57.0215", "8757")</f>
        <v>8757</v>
      </c>
      <c r="U1034" s="36" t="str">
        <f>HYPERLINK("http://ms.phosphosite.org:5080/cgi-bin/plot-msms.cgi?MassType=1&amp;NumAxis=1&amp;Mod2=170&amp;Pep=GKDISTILDEER&amp;Dta=/var/www/html/dta/S01/10564.9221.2.dta&amp;Global_Mod=CS57.0215", "9221")</f>
        <v>9221</v>
      </c>
      <c r="V1034" s="36" t="str">
        <f>HYPERLINK("http://ms.phosphosite.org:5080/cgi-bin/plot-msms.cgi?MassType=1&amp;NumAxis=1&amp;Mod2=170&amp;Pep=GKDISTILDEER&amp;Dta=/var/www/html/dta/S01/10565.9226.2.dta&amp;Global_Mod=CS57.0215", "9226")</f>
        <v>9226</v>
      </c>
      <c r="W1034" s="5">
        <v>8700</v>
      </c>
      <c r="X1034" s="5">
        <v>8626</v>
      </c>
      <c r="Y1034" s="5">
        <v>8643</v>
      </c>
      <c r="Z1034" s="5">
        <v>8692</v>
      </c>
      <c r="AA1034" s="5">
        <v>8798</v>
      </c>
      <c r="AB1034" s="5">
        <v>8774</v>
      </c>
      <c r="AC1034" s="5">
        <v>9246</v>
      </c>
      <c r="AD1034" s="5">
        <v>9243</v>
      </c>
      <c r="AE1034" s="90">
        <v>3.444</v>
      </c>
      <c r="AF1034" s="90">
        <v>3.4140000000000001</v>
      </c>
      <c r="AG1034" s="90">
        <v>3.4260000000000002</v>
      </c>
      <c r="AH1034" s="90">
        <v>3.74</v>
      </c>
      <c r="AI1034" s="90">
        <v>3.73</v>
      </c>
      <c r="AJ1034" s="90">
        <v>3.379</v>
      </c>
      <c r="AK1034" s="90">
        <v>3.52</v>
      </c>
      <c r="AL1034" s="90">
        <v>3.25</v>
      </c>
      <c r="AM1034" s="21">
        <v>0.48409999999999997</v>
      </c>
      <c r="AN1034" s="21">
        <v>0.49609999999999999</v>
      </c>
      <c r="AO1034" s="21">
        <v>0.55389999999999995</v>
      </c>
      <c r="AP1034" s="21">
        <v>0.5927</v>
      </c>
      <c r="AQ1034" s="21">
        <v>0.36349999999999999</v>
      </c>
      <c r="AR1034" s="21">
        <v>0.42270000000000002</v>
      </c>
      <c r="AS1034" s="21">
        <v>0.34229999999999999</v>
      </c>
      <c r="AT1034" s="21">
        <v>6.7900000000000002E-2</v>
      </c>
      <c r="AU1034" s="21">
        <v>0.33400000000000002</v>
      </c>
      <c r="AV1034" s="21">
        <v>0.31900000000000001</v>
      </c>
      <c r="AW1034" s="21">
        <v>0.372</v>
      </c>
      <c r="AX1034" s="21">
        <v>0.34300000000000003</v>
      </c>
      <c r="AY1034" s="21">
        <v>0.317</v>
      </c>
      <c r="AZ1034" s="21">
        <v>0.35499999999999998</v>
      </c>
      <c r="BA1034" s="21">
        <v>0.29399999999999998</v>
      </c>
      <c r="BB1034" s="21">
        <v>0.32800000000000001</v>
      </c>
      <c r="BC1034" s="5">
        <v>1</v>
      </c>
      <c r="BD1034" s="5">
        <v>1</v>
      </c>
      <c r="BE1034" s="5">
        <v>1</v>
      </c>
      <c r="BF1034" s="5">
        <v>1</v>
      </c>
      <c r="BG1034" s="5">
        <v>1</v>
      </c>
      <c r="BH1034" s="5">
        <v>1</v>
      </c>
      <c r="BI1034" s="5">
        <v>1</v>
      </c>
      <c r="BJ1034" s="5">
        <v>1</v>
      </c>
      <c r="BK1034" s="90">
        <v>1</v>
      </c>
      <c r="BL1034" s="90">
        <v>1</v>
      </c>
      <c r="BM1034" s="90">
        <v>1</v>
      </c>
      <c r="BN1034" s="90">
        <v>1</v>
      </c>
      <c r="BO1034" s="90">
        <v>1</v>
      </c>
      <c r="BP1034" s="90">
        <v>1</v>
      </c>
      <c r="BQ1034" s="90">
        <v>1</v>
      </c>
      <c r="BR1034" s="90">
        <v>1</v>
      </c>
      <c r="BS1034" s="5" t="s">
        <v>4857</v>
      </c>
    </row>
    <row r="1035" spans="1:71" s="30" customFormat="1" ht="17.100000000000001" customHeight="1">
      <c r="A1035" s="14">
        <v>1024</v>
      </c>
      <c r="B1035" s="5" t="s">
        <v>3059</v>
      </c>
      <c r="C1035" s="3" t="s">
        <v>1279</v>
      </c>
      <c r="D1035" s="3" t="s">
        <v>981</v>
      </c>
      <c r="E1035" s="3" t="s">
        <v>982</v>
      </c>
      <c r="F1035" s="5" t="s">
        <v>4962</v>
      </c>
      <c r="G1035" s="3" t="s">
        <v>983</v>
      </c>
      <c r="H1035" s="6" t="s">
        <v>984</v>
      </c>
      <c r="I1035" s="3" t="s">
        <v>858</v>
      </c>
      <c r="J1035" s="5" t="s">
        <v>4221</v>
      </c>
      <c r="K1035" s="3" t="s">
        <v>5976</v>
      </c>
      <c r="L1035" s="3" t="s">
        <v>864</v>
      </c>
      <c r="M1035" s="5">
        <v>2</v>
      </c>
      <c r="N1035" s="21">
        <v>773.40959999999995</v>
      </c>
      <c r="O1035" s="36" t="str">
        <f>HYPERLINK("http://ms.phosphosite.org:5080/cgi-bin/plot-msms.cgi?MassType=1&amp;NumAxis=1&amp;Mod2=170&amp;Pep=GKDISTILDEERK&amp;Dta=/var/www/html/dta/S01/10558.7219.2.dta&amp;Global_Mod=CS57.0215", "7219")</f>
        <v>7219</v>
      </c>
      <c r="P1035" s="36" t="str">
        <f>HYPERLINK("http://ms.phosphosite.org:5080/cgi-bin/plot-msms.cgi?MassType=1&amp;NumAxis=1&amp;Mod2=170&amp;Pep=GKDISTILDEERK&amp;Dta=/var/www/html/dta/S01/10559.7161.2.dta&amp;Global_Mod=CS57.0215", "7161")</f>
        <v>7161</v>
      </c>
      <c r="Q1035" s="36" t="str">
        <f>HYPERLINK("http://ms.phosphosite.org:5080/cgi-bin/plot-msms.cgi?MassType=1&amp;NumAxis=1&amp;Mod2=170&amp;Pep=GKDISTILDEERK&amp;Dta=/var/www/html/dta/S01/10560.7156.2.dta&amp;Global_Mod=CS57.0215", "7156")</f>
        <v>7156</v>
      </c>
      <c r="R1035" s="36" t="str">
        <f>HYPERLINK("http://ms.phosphosite.org:5080/cgi-bin/plot-msms.cgi?MassType=1&amp;NumAxis=1&amp;Mod2=170&amp;Pep=GKDISTILDEERK&amp;Dta=/var/www/html/dta/S01/10561.7212.2.dta&amp;Global_Mod=CS57.0215", "7212")</f>
        <v>7212</v>
      </c>
      <c r="S1035" s="36" t="str">
        <f>HYPERLINK("http://ms.phosphosite.org:5080/cgi-bin/plot-msms.cgi?MassType=1&amp;NumAxis=1&amp;Mod2=170&amp;Pep=GKDISTILDEERK&amp;Dta=/var/www/html/dta/S01/10562.7307.2.dta&amp;Global_Mod=CS57.0215", "7307")</f>
        <v>7307</v>
      </c>
      <c r="T1035" s="36" t="str">
        <f>HYPERLINK("http://ms.phosphosite.org:5080/cgi-bin/plot-msms.cgi?MassType=1&amp;NumAxis=1&amp;Mod2=170&amp;Pep=GKDISTILDEERK&amp;Dta=/var/www/html/dta/S01/10563.7276.2.dta&amp;Global_Mod=CS57.0215", "7276")</f>
        <v>7276</v>
      </c>
      <c r="U1035" s="36" t="str">
        <f>HYPERLINK("http://ms.phosphosite.org:5080/cgi-bin/plot-msms.cgi?MassType=1&amp;NumAxis=1&amp;Mod2=170&amp;Pep=GKDISTILDEERK&amp;Dta=/var/www/html/dta/S01/10564.7657.2.dta&amp;Global_Mod=CS57.0215", "7657")</f>
        <v>7657</v>
      </c>
      <c r="V1035" s="36" t="str">
        <f>HYPERLINK("http://ms.phosphosite.org:5080/cgi-bin/plot-msms.cgi?MassType=1&amp;NumAxis=1&amp;Mod2=170&amp;Pep=GKDISTILDEERK&amp;Dta=/var/www/html/dta/S01/10565.7729.2.dta&amp;Global_Mod=CS57.0215", "7729")</f>
        <v>7729</v>
      </c>
      <c r="W1035" s="5">
        <v>7248</v>
      </c>
      <c r="X1035" s="5">
        <v>7207</v>
      </c>
      <c r="Y1035" s="5">
        <v>7202</v>
      </c>
      <c r="Z1035" s="5">
        <v>7240</v>
      </c>
      <c r="AA1035" s="5">
        <v>7324</v>
      </c>
      <c r="AB1035" s="5">
        <v>7311</v>
      </c>
      <c r="AC1035" s="5">
        <v>7684</v>
      </c>
      <c r="AD1035" s="5">
        <v>7758</v>
      </c>
      <c r="AE1035" s="90">
        <v>4.3170000000000002</v>
      </c>
      <c r="AF1035" s="90">
        <v>4.1150000000000002</v>
      </c>
      <c r="AG1035" s="90">
        <v>4.0869999999999997</v>
      </c>
      <c r="AH1035" s="90">
        <v>4.4770000000000003</v>
      </c>
      <c r="AI1035" s="90">
        <v>4.5110000000000001</v>
      </c>
      <c r="AJ1035" s="90">
        <v>4.1340000000000003</v>
      </c>
      <c r="AK1035" s="90">
        <v>4.2060000000000004</v>
      </c>
      <c r="AL1035" s="90">
        <v>4.2649999999999997</v>
      </c>
      <c r="AM1035" s="21">
        <v>0.2868</v>
      </c>
      <c r="AN1035" s="21">
        <v>0.28939999999999999</v>
      </c>
      <c r="AO1035" s="21">
        <v>0.62960000000000005</v>
      </c>
      <c r="AP1035" s="21">
        <v>0.48730000000000001</v>
      </c>
      <c r="AQ1035" s="21">
        <v>0.13150000000000001</v>
      </c>
      <c r="AR1035" s="21">
        <v>0.4627</v>
      </c>
      <c r="AS1035" s="21">
        <v>0.25900000000000001</v>
      </c>
      <c r="AT1035" s="21">
        <v>0.05</v>
      </c>
      <c r="AU1035" s="21">
        <v>0.33</v>
      </c>
      <c r="AV1035" s="21">
        <v>0.33</v>
      </c>
      <c r="AW1035" s="21">
        <v>0.36499999999999999</v>
      </c>
      <c r="AX1035" s="21">
        <v>0.42399999999999999</v>
      </c>
      <c r="AY1035" s="21">
        <v>0.34799999999999998</v>
      </c>
      <c r="AZ1035" s="21">
        <v>0.33700000000000002</v>
      </c>
      <c r="BA1035" s="21">
        <v>0.308</v>
      </c>
      <c r="BB1035" s="21">
        <v>0.34399999999999997</v>
      </c>
      <c r="BC1035" s="5">
        <v>1</v>
      </c>
      <c r="BD1035" s="5">
        <v>1</v>
      </c>
      <c r="BE1035" s="5">
        <v>1</v>
      </c>
      <c r="BF1035" s="5">
        <v>1</v>
      </c>
      <c r="BG1035" s="5">
        <v>1</v>
      </c>
      <c r="BH1035" s="5">
        <v>1</v>
      </c>
      <c r="BI1035" s="5">
        <v>1</v>
      </c>
      <c r="BJ1035" s="5">
        <v>1</v>
      </c>
      <c r="BK1035" s="90">
        <v>1</v>
      </c>
      <c r="BL1035" s="90">
        <v>1</v>
      </c>
      <c r="BM1035" s="90">
        <v>1</v>
      </c>
      <c r="BN1035" s="90">
        <v>1</v>
      </c>
      <c r="BO1035" s="90">
        <v>1</v>
      </c>
      <c r="BP1035" s="90">
        <v>1</v>
      </c>
      <c r="BQ1035" s="90">
        <v>1</v>
      </c>
      <c r="BR1035" s="90">
        <v>1</v>
      </c>
      <c r="BS1035" s="5" t="s">
        <v>4857</v>
      </c>
    </row>
    <row r="1036" spans="1:71" s="30" customFormat="1" ht="17.100000000000001" customHeight="1">
      <c r="A1036" s="14">
        <v>1025</v>
      </c>
      <c r="B1036" s="5" t="s">
        <v>865</v>
      </c>
      <c r="C1036" s="3" t="s">
        <v>1279</v>
      </c>
      <c r="D1036" s="3" t="s">
        <v>981</v>
      </c>
      <c r="E1036" s="3" t="s">
        <v>982</v>
      </c>
      <c r="F1036" s="5" t="s">
        <v>4962</v>
      </c>
      <c r="G1036" s="3" t="s">
        <v>983</v>
      </c>
      <c r="H1036" s="6" t="s">
        <v>984</v>
      </c>
      <c r="I1036" s="3" t="s">
        <v>858</v>
      </c>
      <c r="J1036" s="5" t="s">
        <v>4221</v>
      </c>
      <c r="K1036" s="3" t="s">
        <v>5976</v>
      </c>
      <c r="L1036" s="3" t="s">
        <v>864</v>
      </c>
      <c r="M1036" s="5">
        <v>2</v>
      </c>
      <c r="N1036" s="21">
        <v>773.40959999999995</v>
      </c>
      <c r="O1036" s="35" t="s">
        <v>4854</v>
      </c>
      <c r="P1036" s="36" t="str">
        <f>HYPERLINK("http://ms.phosphosite.org:5080/cgi-bin/plot-msms.cgi?MassType=1&amp;NumAxis=1&amp;Mod2=170&amp;Pep=GKDISTILDEERK&amp;Dta=/var/www/html/dta/S01/10559.7244.2.dta&amp;Global_Mod=CS57.0215", "7244")</f>
        <v>7244</v>
      </c>
      <c r="Q1036" s="35" t="s">
        <v>4854</v>
      </c>
      <c r="R1036" s="35" t="s">
        <v>4854</v>
      </c>
      <c r="S1036" s="35" t="s">
        <v>4854</v>
      </c>
      <c r="T1036" s="35" t="s">
        <v>4854</v>
      </c>
      <c r="U1036" s="35" t="s">
        <v>4854</v>
      </c>
      <c r="V1036" s="35" t="s">
        <v>4854</v>
      </c>
      <c r="W1036" s="3" t="s">
        <v>4854</v>
      </c>
      <c r="X1036" s="5">
        <v>7207</v>
      </c>
      <c r="Y1036" s="3" t="s">
        <v>4854</v>
      </c>
      <c r="Z1036" s="3" t="s">
        <v>4854</v>
      </c>
      <c r="AA1036" s="3" t="s">
        <v>4854</v>
      </c>
      <c r="AB1036" s="3" t="s">
        <v>4854</v>
      </c>
      <c r="AC1036" s="3" t="s">
        <v>4854</v>
      </c>
      <c r="AD1036" s="3" t="s">
        <v>4854</v>
      </c>
      <c r="AE1036" s="99" t="s">
        <v>4854</v>
      </c>
      <c r="AF1036" s="90">
        <v>3.9950000000000001</v>
      </c>
      <c r="AG1036" s="99" t="s">
        <v>4854</v>
      </c>
      <c r="AH1036" s="99" t="s">
        <v>4854</v>
      </c>
      <c r="AI1036" s="99" t="s">
        <v>4854</v>
      </c>
      <c r="AJ1036" s="99" t="s">
        <v>4854</v>
      </c>
      <c r="AK1036" s="99" t="s">
        <v>4854</v>
      </c>
      <c r="AL1036" s="99" t="s">
        <v>4854</v>
      </c>
      <c r="AM1036" s="102" t="s">
        <v>4854</v>
      </c>
      <c r="AN1036" s="21">
        <v>0.3075</v>
      </c>
      <c r="AO1036" s="102" t="s">
        <v>4854</v>
      </c>
      <c r="AP1036" s="102" t="s">
        <v>4854</v>
      </c>
      <c r="AQ1036" s="102" t="s">
        <v>4854</v>
      </c>
      <c r="AR1036" s="102" t="s">
        <v>4854</v>
      </c>
      <c r="AS1036" s="102" t="s">
        <v>4854</v>
      </c>
      <c r="AT1036" s="102" t="s">
        <v>4854</v>
      </c>
      <c r="AU1036" s="102" t="s">
        <v>4854</v>
      </c>
      <c r="AV1036" s="21">
        <v>0.374</v>
      </c>
      <c r="AW1036" s="102" t="s">
        <v>4854</v>
      </c>
      <c r="AX1036" s="102" t="s">
        <v>4854</v>
      </c>
      <c r="AY1036" s="102" t="s">
        <v>4854</v>
      </c>
      <c r="AZ1036" s="102" t="s">
        <v>4854</v>
      </c>
      <c r="BA1036" s="102" t="s">
        <v>4854</v>
      </c>
      <c r="BB1036" s="102" t="s">
        <v>4854</v>
      </c>
      <c r="BC1036" s="3" t="s">
        <v>4854</v>
      </c>
      <c r="BD1036" s="5">
        <v>1</v>
      </c>
      <c r="BE1036" s="3" t="s">
        <v>4854</v>
      </c>
      <c r="BF1036" s="3" t="s">
        <v>4854</v>
      </c>
      <c r="BG1036" s="3" t="s">
        <v>4854</v>
      </c>
      <c r="BH1036" s="3" t="s">
        <v>4854</v>
      </c>
      <c r="BI1036" s="3" t="s">
        <v>4854</v>
      </c>
      <c r="BJ1036" s="3" t="s">
        <v>4854</v>
      </c>
      <c r="BK1036" s="99" t="s">
        <v>4854</v>
      </c>
      <c r="BL1036" s="90">
        <v>1</v>
      </c>
      <c r="BM1036" s="99" t="s">
        <v>4854</v>
      </c>
      <c r="BN1036" s="99" t="s">
        <v>4854</v>
      </c>
      <c r="BO1036" s="99" t="s">
        <v>4854</v>
      </c>
      <c r="BP1036" s="99" t="s">
        <v>4854</v>
      </c>
      <c r="BQ1036" s="99" t="s">
        <v>4854</v>
      </c>
      <c r="BR1036" s="99" t="s">
        <v>4854</v>
      </c>
      <c r="BS1036" s="5" t="s">
        <v>4857</v>
      </c>
    </row>
    <row r="1037" spans="1:71" s="30" customFormat="1" ht="17.100000000000001" customHeight="1">
      <c r="A1037" s="14">
        <v>1026</v>
      </c>
      <c r="B1037" s="5" t="s">
        <v>866</v>
      </c>
      <c r="C1037" s="3" t="s">
        <v>1279</v>
      </c>
      <c r="D1037" s="3" t="s">
        <v>981</v>
      </c>
      <c r="E1037" s="3" t="s">
        <v>982</v>
      </c>
      <c r="F1037" s="5" t="s">
        <v>4962</v>
      </c>
      <c r="G1037" s="3" t="s">
        <v>983</v>
      </c>
      <c r="H1037" s="6" t="s">
        <v>984</v>
      </c>
      <c r="I1037" s="3" t="s">
        <v>858</v>
      </c>
      <c r="J1037" s="5" t="s">
        <v>4221</v>
      </c>
      <c r="K1037" s="3" t="s">
        <v>5976</v>
      </c>
      <c r="L1037" s="3" t="s">
        <v>864</v>
      </c>
      <c r="M1037" s="5">
        <v>3</v>
      </c>
      <c r="N1037" s="21">
        <v>515.94209999999998</v>
      </c>
      <c r="O1037" s="36" t="str">
        <f>HYPERLINK("http://ms.phosphosite.org:5080/cgi-bin/plot-msms.cgi?MassType=1&amp;NumAxis=1&amp;Mod2=170&amp;Pep=GKDISTILDEERK&amp;Dta=/var/www/html/dta/S01/10558.7209.3.dta&amp;Global_Mod=CS57.0215", "7209")</f>
        <v>7209</v>
      </c>
      <c r="P1037" s="36" t="str">
        <f>HYPERLINK("http://ms.phosphosite.org:5080/cgi-bin/plot-msms.cgi?MassType=1&amp;NumAxis=1&amp;Mod2=170&amp;Pep=GKDISTILDEERK&amp;Dta=/var/www/html/dta/S01/10559.7230.3.dta&amp;Global_Mod=CS57.0215", "7230")</f>
        <v>7230</v>
      </c>
      <c r="Q1037" s="36" t="str">
        <f>HYPERLINK("http://ms.phosphosite.org:5080/cgi-bin/plot-msms.cgi?MassType=1&amp;NumAxis=1&amp;Mod2=170&amp;Pep=GKDISTILDEERK&amp;Dta=/var/www/html/dta/S01/10560.7225.3.dta&amp;Global_Mod=CS57.0215", "7225")</f>
        <v>7225</v>
      </c>
      <c r="R1037" s="36" t="str">
        <f>HYPERLINK("http://ms.phosphosite.org:5080/cgi-bin/plot-msms.cgi?MassType=1&amp;NumAxis=1&amp;Mod2=170&amp;Pep=GKDISTILDEERK&amp;Dta=/var/www/html/dta/S01/10561.7189.3.dta&amp;Global_Mod=CS57.0215", "7189")</f>
        <v>7189</v>
      </c>
      <c r="S1037" s="36" t="str">
        <f>HYPERLINK("http://ms.phosphosite.org:5080/cgi-bin/plot-msms.cgi?MassType=1&amp;NumAxis=1&amp;Mod2=170&amp;Pep=GKDISTILDEERK&amp;Dta=/var/www/html/dta/S01/10562.7290.3.dta&amp;Global_Mod=CS57.0215", "7290")</f>
        <v>7290</v>
      </c>
      <c r="T1037" s="36" t="str">
        <f>HYPERLINK("http://ms.phosphosite.org:5080/cgi-bin/plot-msms.cgi?MassType=1&amp;NumAxis=1&amp;Mod2=170&amp;Pep=GKDISTILDEERK&amp;Dta=/var/www/html/dta/S01/10563.7261.3.dta&amp;Global_Mod=CS57.0215", "7261")</f>
        <v>7261</v>
      </c>
      <c r="U1037" s="36" t="str">
        <f>HYPERLINK("http://ms.phosphosite.org:5080/cgi-bin/plot-msms.cgi?MassType=1&amp;NumAxis=1&amp;Mod2=170&amp;Pep=GKDISTILDEERK&amp;Dta=/var/www/html/dta/S01/10564.7639.3.dta&amp;Global_Mod=CS57.0215", "7639")</f>
        <v>7639</v>
      </c>
      <c r="V1037" s="36" t="str">
        <f>HYPERLINK("http://ms.phosphosite.org:5080/cgi-bin/plot-msms.cgi?MassType=1&amp;NumAxis=1&amp;Mod2=170&amp;Pep=GKDISTILDEERK&amp;Dta=/var/www/html/dta/S01/10565.7707.3.dta&amp;Global_Mod=CS57.0215", "7707")</f>
        <v>7707</v>
      </c>
      <c r="W1037" s="5">
        <v>7248</v>
      </c>
      <c r="X1037" s="5">
        <v>7207</v>
      </c>
      <c r="Y1037" s="5">
        <v>7191</v>
      </c>
      <c r="Z1037" s="5">
        <v>7240</v>
      </c>
      <c r="AA1037" s="5">
        <v>7324</v>
      </c>
      <c r="AB1037" s="5">
        <v>7311</v>
      </c>
      <c r="AC1037" s="5">
        <v>7684</v>
      </c>
      <c r="AD1037" s="5">
        <v>7758</v>
      </c>
      <c r="AE1037" s="90">
        <v>2.8119999999999998</v>
      </c>
      <c r="AF1037" s="90">
        <v>3.3639999999999999</v>
      </c>
      <c r="AG1037" s="90">
        <v>3.137</v>
      </c>
      <c r="AH1037" s="90">
        <v>3.5910000000000002</v>
      </c>
      <c r="AI1037" s="90">
        <v>2.774</v>
      </c>
      <c r="AJ1037" s="90">
        <v>3.0459999999999998</v>
      </c>
      <c r="AK1037" s="90">
        <v>2.597</v>
      </c>
      <c r="AL1037" s="90">
        <v>3.4289999999999998</v>
      </c>
      <c r="AM1037" s="21">
        <v>-1.5299999999999999E-2</v>
      </c>
      <c r="AN1037" s="21">
        <v>-6.3E-3</v>
      </c>
      <c r="AO1037" s="21">
        <v>0.25700000000000001</v>
      </c>
      <c r="AP1037" s="21">
        <v>0.19170000000000001</v>
      </c>
      <c r="AQ1037" s="21">
        <v>-1.0800000000000001E-2</v>
      </c>
      <c r="AR1037" s="21">
        <v>0.1018</v>
      </c>
      <c r="AS1037" s="21">
        <v>0.1153</v>
      </c>
      <c r="AT1037" s="21">
        <v>-0.30059999999999998</v>
      </c>
      <c r="AU1037" s="21">
        <v>0.29399999999999998</v>
      </c>
      <c r="AV1037" s="21">
        <v>0.29299999999999998</v>
      </c>
      <c r="AW1037" s="21">
        <v>0.222</v>
      </c>
      <c r="AX1037" s="21">
        <v>0.3</v>
      </c>
      <c r="AY1037" s="21">
        <v>9.9000000000000005E-2</v>
      </c>
      <c r="AZ1037" s="21">
        <v>0.20899999999999999</v>
      </c>
      <c r="BA1037" s="21">
        <v>0.13400000000000001</v>
      </c>
      <c r="BB1037" s="21">
        <v>0.22</v>
      </c>
      <c r="BC1037" s="5">
        <v>4</v>
      </c>
      <c r="BD1037" s="5">
        <v>6</v>
      </c>
      <c r="BE1037" s="5">
        <v>14</v>
      </c>
      <c r="BF1037" s="5">
        <v>1</v>
      </c>
      <c r="BG1037" s="5">
        <v>28</v>
      </c>
      <c r="BH1037" s="5">
        <v>15</v>
      </c>
      <c r="BI1037" s="5">
        <v>141</v>
      </c>
      <c r="BJ1037" s="5">
        <v>4</v>
      </c>
      <c r="BK1037" s="90">
        <v>0.999</v>
      </c>
      <c r="BL1037" s="90">
        <v>1</v>
      </c>
      <c r="BM1037" s="90">
        <v>0.999</v>
      </c>
      <c r="BN1037" s="90">
        <v>1</v>
      </c>
      <c r="BO1037" s="90">
        <v>0.98299999999999998</v>
      </c>
      <c r="BP1037" s="90">
        <v>0.998</v>
      </c>
      <c r="BQ1037" s="90">
        <v>0.98</v>
      </c>
      <c r="BR1037" s="90">
        <v>0.999</v>
      </c>
      <c r="BS1037" s="5" t="s">
        <v>4857</v>
      </c>
    </row>
    <row r="1038" spans="1:71" s="30" customFormat="1" ht="17.100000000000001" customHeight="1">
      <c r="A1038" s="14">
        <v>1027</v>
      </c>
      <c r="B1038" s="5" t="s">
        <v>867</v>
      </c>
      <c r="C1038" s="3" t="s">
        <v>1279</v>
      </c>
      <c r="D1038" s="3" t="s">
        <v>981</v>
      </c>
      <c r="E1038" s="3" t="s">
        <v>982</v>
      </c>
      <c r="F1038" s="5" t="s">
        <v>4962</v>
      </c>
      <c r="G1038" s="3" t="s">
        <v>983</v>
      </c>
      <c r="H1038" s="6" t="s">
        <v>984</v>
      </c>
      <c r="I1038" s="3" t="s">
        <v>858</v>
      </c>
      <c r="J1038" s="5" t="s">
        <v>4221</v>
      </c>
      <c r="K1038" s="3" t="s">
        <v>5976</v>
      </c>
      <c r="L1038" s="3" t="s">
        <v>864</v>
      </c>
      <c r="M1038" s="5">
        <v>3</v>
      </c>
      <c r="N1038" s="21">
        <v>515.94209999999998</v>
      </c>
      <c r="O1038" s="35" t="s">
        <v>4854</v>
      </c>
      <c r="P1038" s="36" t="str">
        <f>HYPERLINK("http://ms.phosphosite.org:5080/cgi-bin/plot-msms.cgi?MassType=1&amp;NumAxis=1&amp;Mod2=170&amp;Pep=GKDISTILDEERK&amp;Dta=/var/www/html/dta/S01/10559.7147.3.dta&amp;Global_Mod=CS57.0215", "7147")</f>
        <v>7147</v>
      </c>
      <c r="Q1038" s="35" t="s">
        <v>4854</v>
      </c>
      <c r="R1038" s="35" t="s">
        <v>4854</v>
      </c>
      <c r="S1038" s="36" t="str">
        <f>HYPERLINK("http://ms.phosphosite.org:5080/cgi-bin/plot-msms.cgi?MassType=1&amp;NumAxis=1&amp;Mod2=170&amp;Pep=GKDISTILDEERK&amp;Dta=/var/www/html/dta/S01/10562.7380.3.dta&amp;Global_Mod=CS57.0215", "7380")</f>
        <v>7380</v>
      </c>
      <c r="T1038" s="36" t="str">
        <f>HYPERLINK("http://ms.phosphosite.org:5080/cgi-bin/plot-msms.cgi?MassType=1&amp;NumAxis=1&amp;Mod2=170&amp;Pep=GKDISTILDEERK&amp;Dta=/var/www/html/dta/S01/10563.7359.3.dta&amp;Global_Mod=CS57.0215", "7359")</f>
        <v>7359</v>
      </c>
      <c r="U1038" s="35" t="s">
        <v>4854</v>
      </c>
      <c r="V1038" s="35" t="s">
        <v>4854</v>
      </c>
      <c r="W1038" s="3" t="s">
        <v>4854</v>
      </c>
      <c r="X1038" s="5">
        <v>7207</v>
      </c>
      <c r="Y1038" s="3" t="s">
        <v>4854</v>
      </c>
      <c r="Z1038" s="3" t="s">
        <v>4854</v>
      </c>
      <c r="AA1038" s="3" t="s">
        <v>4854</v>
      </c>
      <c r="AB1038" s="3" t="s">
        <v>4854</v>
      </c>
      <c r="AC1038" s="3" t="s">
        <v>4854</v>
      </c>
      <c r="AD1038" s="3" t="s">
        <v>4854</v>
      </c>
      <c r="AE1038" s="99" t="s">
        <v>4854</v>
      </c>
      <c r="AF1038" s="90">
        <v>2.7509999999999999</v>
      </c>
      <c r="AG1038" s="99" t="s">
        <v>4854</v>
      </c>
      <c r="AH1038" s="99" t="s">
        <v>4854</v>
      </c>
      <c r="AI1038" s="90">
        <v>2.2210000000000001</v>
      </c>
      <c r="AJ1038" s="90">
        <v>2.36</v>
      </c>
      <c r="AK1038" s="99" t="s">
        <v>4854</v>
      </c>
      <c r="AL1038" s="99" t="s">
        <v>4854</v>
      </c>
      <c r="AM1038" s="102" t="s">
        <v>4854</v>
      </c>
      <c r="AN1038" s="21">
        <v>-1.2699999999999999E-2</v>
      </c>
      <c r="AO1038" s="102" t="s">
        <v>4854</v>
      </c>
      <c r="AP1038" s="102" t="s">
        <v>4854</v>
      </c>
      <c r="AQ1038" s="21">
        <v>-5.5999999999999999E-3</v>
      </c>
      <c r="AR1038" s="21">
        <v>9.7900000000000001E-2</v>
      </c>
      <c r="AS1038" s="102" t="s">
        <v>4854</v>
      </c>
      <c r="AT1038" s="102" t="s">
        <v>4854</v>
      </c>
      <c r="AU1038" s="102" t="s">
        <v>4854</v>
      </c>
      <c r="AV1038" s="21">
        <v>9.8000000000000004E-2</v>
      </c>
      <c r="AW1038" s="102" t="s">
        <v>4854</v>
      </c>
      <c r="AX1038" s="102" t="s">
        <v>4854</v>
      </c>
      <c r="AY1038" s="21">
        <v>7.0000000000000007E-2</v>
      </c>
      <c r="AZ1038" s="21">
        <v>2E-3</v>
      </c>
      <c r="BA1038" s="102" t="s">
        <v>4854</v>
      </c>
      <c r="BB1038" s="102" t="s">
        <v>4854</v>
      </c>
      <c r="BC1038" s="3" t="s">
        <v>4854</v>
      </c>
      <c r="BD1038" s="5">
        <v>43</v>
      </c>
      <c r="BE1038" s="3" t="s">
        <v>4854</v>
      </c>
      <c r="BF1038" s="3" t="s">
        <v>4854</v>
      </c>
      <c r="BG1038" s="5">
        <v>61</v>
      </c>
      <c r="BH1038" s="5">
        <v>1424</v>
      </c>
      <c r="BI1038" s="3" t="s">
        <v>4854</v>
      </c>
      <c r="BJ1038" s="3" t="s">
        <v>4854</v>
      </c>
      <c r="BK1038" s="99" t="s">
        <v>4854</v>
      </c>
      <c r="BL1038" s="90">
        <v>0.98</v>
      </c>
      <c r="BM1038" s="99" t="s">
        <v>4854</v>
      </c>
      <c r="BN1038" s="99" t="s">
        <v>4854</v>
      </c>
      <c r="BO1038" s="90">
        <v>0.93200000000000005</v>
      </c>
      <c r="BP1038" s="90">
        <v>0.77600000000000002</v>
      </c>
      <c r="BQ1038" s="99" t="s">
        <v>4854</v>
      </c>
      <c r="BR1038" s="99" t="s">
        <v>4854</v>
      </c>
      <c r="BS1038" s="5" t="s">
        <v>4857</v>
      </c>
    </row>
    <row r="1039" spans="1:71" s="30" customFormat="1" ht="17.100000000000001" customHeight="1">
      <c r="A1039" s="10">
        <v>1028</v>
      </c>
      <c r="B1039" s="10" t="s">
        <v>868</v>
      </c>
      <c r="C1039" s="4" t="s">
        <v>1279</v>
      </c>
      <c r="D1039" s="4" t="s">
        <v>869</v>
      </c>
      <c r="E1039" s="4" t="s">
        <v>870</v>
      </c>
      <c r="F1039" s="10" t="s">
        <v>5112</v>
      </c>
      <c r="G1039" s="4" t="s">
        <v>871</v>
      </c>
      <c r="H1039" s="7" t="s">
        <v>872</v>
      </c>
      <c r="I1039" s="4" t="s">
        <v>873</v>
      </c>
      <c r="J1039" s="10" t="s">
        <v>4446</v>
      </c>
      <c r="K1039" s="4" t="s">
        <v>5977</v>
      </c>
      <c r="L1039" s="4" t="s">
        <v>874</v>
      </c>
      <c r="M1039" s="10">
        <v>2</v>
      </c>
      <c r="N1039" s="95">
        <v>525.79510000000005</v>
      </c>
      <c r="O1039" s="37" t="str">
        <f>HYPERLINK("http://ms.phosphosite.org:5080/cgi-bin/plot-msms.cgi?MassType=1&amp;NumAxis=1&amp;Mod7=170&amp;Pep=SVVSFDKVK&amp;Dta=/var/www/html/dta/S01/10558.6078.2.dta&amp;Global_Mod=CS57.0215", "6078")</f>
        <v>6078</v>
      </c>
      <c r="P1039" s="38" t="s">
        <v>4854</v>
      </c>
      <c r="Q1039" s="38" t="s">
        <v>4854</v>
      </c>
      <c r="R1039" s="38" t="s">
        <v>4854</v>
      </c>
      <c r="S1039" s="38" t="s">
        <v>4854</v>
      </c>
      <c r="T1039" s="38" t="s">
        <v>4854</v>
      </c>
      <c r="U1039" s="38" t="s">
        <v>4854</v>
      </c>
      <c r="V1039" s="38" t="s">
        <v>4854</v>
      </c>
      <c r="W1039" s="4" t="s">
        <v>4854</v>
      </c>
      <c r="X1039" s="4" t="s">
        <v>4854</v>
      </c>
      <c r="Y1039" s="4" t="s">
        <v>4854</v>
      </c>
      <c r="Z1039" s="4" t="s">
        <v>4854</v>
      </c>
      <c r="AA1039" s="4" t="s">
        <v>4854</v>
      </c>
      <c r="AB1039" s="4" t="s">
        <v>4854</v>
      </c>
      <c r="AC1039" s="4" t="s">
        <v>4854</v>
      </c>
      <c r="AD1039" s="4" t="s">
        <v>4854</v>
      </c>
      <c r="AE1039" s="91">
        <v>1.923</v>
      </c>
      <c r="AF1039" s="100" t="s">
        <v>4854</v>
      </c>
      <c r="AG1039" s="100" t="s">
        <v>4854</v>
      </c>
      <c r="AH1039" s="100" t="s">
        <v>4854</v>
      </c>
      <c r="AI1039" s="100" t="s">
        <v>4854</v>
      </c>
      <c r="AJ1039" s="100" t="s">
        <v>4854</v>
      </c>
      <c r="AK1039" s="100" t="s">
        <v>4854</v>
      </c>
      <c r="AL1039" s="100" t="s">
        <v>4854</v>
      </c>
      <c r="AM1039" s="95">
        <v>0.25569999999999998</v>
      </c>
      <c r="AN1039" s="103" t="s">
        <v>4854</v>
      </c>
      <c r="AO1039" s="103" t="s">
        <v>4854</v>
      </c>
      <c r="AP1039" s="103" t="s">
        <v>4854</v>
      </c>
      <c r="AQ1039" s="103" t="s">
        <v>4854</v>
      </c>
      <c r="AR1039" s="103" t="s">
        <v>4854</v>
      </c>
      <c r="AS1039" s="103" t="s">
        <v>4854</v>
      </c>
      <c r="AT1039" s="103" t="s">
        <v>4854</v>
      </c>
      <c r="AU1039" s="95">
        <v>1.4E-2</v>
      </c>
      <c r="AV1039" s="103" t="s">
        <v>4854</v>
      </c>
      <c r="AW1039" s="103" t="s">
        <v>4854</v>
      </c>
      <c r="AX1039" s="103" t="s">
        <v>4854</v>
      </c>
      <c r="AY1039" s="103" t="s">
        <v>4854</v>
      </c>
      <c r="AZ1039" s="103" t="s">
        <v>4854</v>
      </c>
      <c r="BA1039" s="103" t="s">
        <v>4854</v>
      </c>
      <c r="BB1039" s="103" t="s">
        <v>4854</v>
      </c>
      <c r="BC1039" s="10">
        <v>38</v>
      </c>
      <c r="BD1039" s="4" t="s">
        <v>4854</v>
      </c>
      <c r="BE1039" s="4" t="s">
        <v>4854</v>
      </c>
      <c r="BF1039" s="4" t="s">
        <v>4854</v>
      </c>
      <c r="BG1039" s="4" t="s">
        <v>4854</v>
      </c>
      <c r="BH1039" s="4" t="s">
        <v>4854</v>
      </c>
      <c r="BI1039" s="4" t="s">
        <v>4854</v>
      </c>
      <c r="BJ1039" s="4" t="s">
        <v>4854</v>
      </c>
      <c r="BK1039" s="91">
        <v>0.83699999999999997</v>
      </c>
      <c r="BL1039" s="100" t="s">
        <v>4854</v>
      </c>
      <c r="BM1039" s="100" t="s">
        <v>4854</v>
      </c>
      <c r="BN1039" s="100" t="s">
        <v>4854</v>
      </c>
      <c r="BO1039" s="100" t="s">
        <v>4854</v>
      </c>
      <c r="BP1039" s="100" t="s">
        <v>4854</v>
      </c>
      <c r="BQ1039" s="100" t="s">
        <v>4854</v>
      </c>
      <c r="BR1039" s="100" t="s">
        <v>4854</v>
      </c>
      <c r="BS1039" s="10" t="s">
        <v>4857</v>
      </c>
    </row>
    <row r="1040" spans="1:71" s="30" customFormat="1" ht="17.100000000000001" customHeight="1">
      <c r="A1040" s="14">
        <v>1029</v>
      </c>
      <c r="B1040" s="5" t="s">
        <v>875</v>
      </c>
      <c r="C1040" s="3" t="s">
        <v>1279</v>
      </c>
      <c r="D1040" s="3" t="s">
        <v>876</v>
      </c>
      <c r="E1040" s="3" t="s">
        <v>877</v>
      </c>
      <c r="F1040" s="5" t="s">
        <v>5286</v>
      </c>
      <c r="G1040" s="3" t="s">
        <v>878</v>
      </c>
      <c r="H1040" s="6" t="s">
        <v>879</v>
      </c>
      <c r="I1040" s="3" t="s">
        <v>880</v>
      </c>
      <c r="J1040" s="5" t="s">
        <v>4389</v>
      </c>
      <c r="K1040" s="3" t="s">
        <v>5978</v>
      </c>
      <c r="L1040" s="3" t="s">
        <v>881</v>
      </c>
      <c r="M1040" s="5">
        <v>2</v>
      </c>
      <c r="N1040" s="21">
        <v>542.27710000000002</v>
      </c>
      <c r="O1040" s="36" t="str">
        <f>HYPERLINK("http://ms.phosphosite.org:5080/cgi-bin/plot-msms.cgi?MassType=1&amp;NumAxis=1&amp;Mod7=170&amp;Pep=GSSSGFKPFK&amp;Dta=/var/www/html/dta/S01/10558.5640.2.dta&amp;Global_Mod=CS57.0215", "5640")</f>
        <v>5640</v>
      </c>
      <c r="P1040" s="35" t="s">
        <v>4854</v>
      </c>
      <c r="Q1040" s="36" t="str">
        <f>HYPERLINK("http://ms.phosphosite.org:5080/cgi-bin/plot-msms.cgi?MassType=1&amp;NumAxis=1&amp;Mod7=170&amp;Pep=GSSSGFKPFK&amp;Dta=/var/www/html/dta/S01/10560.5554.2.dta&amp;Global_Mod=CS57.0215", "5554")</f>
        <v>5554</v>
      </c>
      <c r="R1040" s="36" t="str">
        <f>HYPERLINK("http://ms.phosphosite.org:5080/cgi-bin/plot-msms.cgi?MassType=1&amp;NumAxis=1&amp;Mod7=170&amp;Pep=GSSSGFKPFK&amp;Dta=/var/www/html/dta/S01/10561.5606.2.dta&amp;Global_Mod=CS57.0215", "5606")</f>
        <v>5606</v>
      </c>
      <c r="S1040" s="36" t="str">
        <f>HYPERLINK("http://ms.phosphosite.org:5080/cgi-bin/plot-msms.cgi?MassType=1&amp;NumAxis=1&amp;Mod7=170&amp;Pep=GSSSGFKPFK&amp;Dta=/var/www/html/dta/S01/10562.5682.2.dta&amp;Global_Mod=CS57.0215", "5682")</f>
        <v>5682</v>
      </c>
      <c r="T1040" s="36" t="str">
        <f>HYPERLINK("http://ms.phosphosite.org:5080/cgi-bin/plot-msms.cgi?MassType=1&amp;NumAxis=1&amp;Mod7=170&amp;Pep=GSSSGFKPFK&amp;Dta=/var/www/html/dta/S01/10563.5642.2.dta&amp;Global_Mod=CS57.0215", "5642")</f>
        <v>5642</v>
      </c>
      <c r="U1040" s="35" t="s">
        <v>4854</v>
      </c>
      <c r="V1040" s="35" t="s">
        <v>4854</v>
      </c>
      <c r="W1040" s="5">
        <v>5668</v>
      </c>
      <c r="X1040" s="3" t="s">
        <v>4854</v>
      </c>
      <c r="Y1040" s="5">
        <v>5585</v>
      </c>
      <c r="Z1040" s="5">
        <v>5634</v>
      </c>
      <c r="AA1040" s="5">
        <v>5699</v>
      </c>
      <c r="AB1040" s="5">
        <v>5672</v>
      </c>
      <c r="AC1040" s="3" t="s">
        <v>4854</v>
      </c>
      <c r="AD1040" s="3" t="s">
        <v>4854</v>
      </c>
      <c r="AE1040" s="90">
        <v>1.8520000000000001</v>
      </c>
      <c r="AF1040" s="99" t="s">
        <v>4854</v>
      </c>
      <c r="AG1040" s="90">
        <v>1.9159999999999999</v>
      </c>
      <c r="AH1040" s="90">
        <v>1.839</v>
      </c>
      <c r="AI1040" s="90">
        <v>1.9259999999999999</v>
      </c>
      <c r="AJ1040" s="90">
        <v>2.0670000000000002</v>
      </c>
      <c r="AK1040" s="99" t="s">
        <v>4854</v>
      </c>
      <c r="AL1040" s="99" t="s">
        <v>4854</v>
      </c>
      <c r="AM1040" s="21">
        <v>-4.36E-2</v>
      </c>
      <c r="AN1040" s="102" t="s">
        <v>4854</v>
      </c>
      <c r="AO1040" s="21">
        <v>4.41E-2</v>
      </c>
      <c r="AP1040" s="21">
        <v>0.30620000000000003</v>
      </c>
      <c r="AQ1040" s="21">
        <v>0.25729999999999997</v>
      </c>
      <c r="AR1040" s="21">
        <v>0.35139999999999999</v>
      </c>
      <c r="AS1040" s="102" t="s">
        <v>4854</v>
      </c>
      <c r="AT1040" s="102" t="s">
        <v>4854</v>
      </c>
      <c r="AU1040" s="21">
        <v>0.16600000000000001</v>
      </c>
      <c r="AV1040" s="102" t="s">
        <v>4854</v>
      </c>
      <c r="AW1040" s="21">
        <v>0.30299999999999999</v>
      </c>
      <c r="AX1040" s="21">
        <v>0.22</v>
      </c>
      <c r="AY1040" s="21">
        <v>0.30199999999999999</v>
      </c>
      <c r="AZ1040" s="21">
        <v>0.315</v>
      </c>
      <c r="BA1040" s="102" t="s">
        <v>4854</v>
      </c>
      <c r="BB1040" s="102" t="s">
        <v>4854</v>
      </c>
      <c r="BC1040" s="5">
        <v>1</v>
      </c>
      <c r="BD1040" s="3" t="s">
        <v>4854</v>
      </c>
      <c r="BE1040" s="5">
        <v>1</v>
      </c>
      <c r="BF1040" s="5">
        <v>1</v>
      </c>
      <c r="BG1040" s="5">
        <v>1</v>
      </c>
      <c r="BH1040" s="5">
        <v>1</v>
      </c>
      <c r="BI1040" s="3" t="s">
        <v>4854</v>
      </c>
      <c r="BJ1040" s="3" t="s">
        <v>4854</v>
      </c>
      <c r="BK1040" s="90">
        <v>0.998</v>
      </c>
      <c r="BL1040" s="99" t="s">
        <v>4854</v>
      </c>
      <c r="BM1040" s="90">
        <v>1</v>
      </c>
      <c r="BN1040" s="90">
        <v>0.999</v>
      </c>
      <c r="BO1040" s="90">
        <v>1</v>
      </c>
      <c r="BP1040" s="90">
        <v>1</v>
      </c>
      <c r="BQ1040" s="99" t="s">
        <v>4854</v>
      </c>
      <c r="BR1040" s="99" t="s">
        <v>4854</v>
      </c>
      <c r="BS1040" s="5" t="s">
        <v>4857</v>
      </c>
    </row>
    <row r="1041" spans="1:71" s="30" customFormat="1" ht="17.100000000000001" customHeight="1">
      <c r="A1041" s="10">
        <v>1030</v>
      </c>
      <c r="B1041" s="10" t="s">
        <v>882</v>
      </c>
      <c r="C1041" s="4" t="s">
        <v>1279</v>
      </c>
      <c r="D1041" s="4" t="s">
        <v>883</v>
      </c>
      <c r="E1041" s="7" t="s">
        <v>884</v>
      </c>
      <c r="F1041" s="10" t="s">
        <v>5239</v>
      </c>
      <c r="G1041" s="4" t="s">
        <v>885</v>
      </c>
      <c r="H1041" s="7" t="s">
        <v>886</v>
      </c>
      <c r="I1041" s="4" t="s">
        <v>887</v>
      </c>
      <c r="J1041" s="10" t="s">
        <v>888</v>
      </c>
      <c r="K1041" s="4" t="s">
        <v>5979</v>
      </c>
      <c r="L1041" s="4" t="s">
        <v>889</v>
      </c>
      <c r="M1041" s="10">
        <v>2</v>
      </c>
      <c r="N1041" s="95">
        <v>451.76330000000002</v>
      </c>
      <c r="O1041" s="38" t="s">
        <v>4854</v>
      </c>
      <c r="P1041" s="37" t="str">
        <f>HYPERLINK("http://ms.phosphosite.org:5080/cgi-bin/plot-msms.cgi?MassType=1&amp;NumAxis=1&amp;Mod4=170&amp;Pep=ITEKLEK&amp;Dta=/var/www/html/dta/S01/10559.2646.2.dta&amp;Global_Mod=CS57.0215", "2646")</f>
        <v>2646</v>
      </c>
      <c r="Q1041" s="38" t="s">
        <v>4854</v>
      </c>
      <c r="R1041" s="37" t="str">
        <f>HYPERLINK("http://ms.phosphosite.org:5080/cgi-bin/plot-msms.cgi?MassType=1&amp;NumAxis=1&amp;Mod4=170&amp;Pep=ITEKLEK&amp;Dta=/var/www/html/dta/S01/10561.2665.2.dta&amp;Global_Mod=CS57.0215", "2665")</f>
        <v>2665</v>
      </c>
      <c r="S1041" s="37" t="str">
        <f>HYPERLINK("http://ms.phosphosite.org:5080/cgi-bin/plot-msms.cgi?MassType=1&amp;NumAxis=1&amp;Mod4=170&amp;Pep=ITEKLEK&amp;Dta=/var/www/html/dta/S01/10562.2738.2.dta&amp;Global_Mod=CS57.0215", "2738")</f>
        <v>2738</v>
      </c>
      <c r="T1041" s="37" t="str">
        <f>HYPERLINK("http://ms.phosphosite.org:5080/cgi-bin/plot-msms.cgi?MassType=1&amp;NumAxis=1&amp;Mod4=170&amp;Pep=ITEKLEK&amp;Dta=/var/www/html/dta/S01/10563.2678.2.dta&amp;Global_Mod=CS57.0215", "2678")</f>
        <v>2678</v>
      </c>
      <c r="U1041" s="37" t="str">
        <f>HYPERLINK("http://ms.phosphosite.org:5080/cgi-bin/plot-msms.cgi?MassType=1&amp;NumAxis=1&amp;Mod4=170&amp;Pep=ITEKLEK&amp;Dta=/var/www/html/dta/S01/10564.2988.2.dta&amp;Global_Mod=CS57.0215", "2988")</f>
        <v>2988</v>
      </c>
      <c r="V1041" s="38" t="s">
        <v>4854</v>
      </c>
      <c r="W1041" s="4" t="s">
        <v>4854</v>
      </c>
      <c r="X1041" s="4" t="s">
        <v>4854</v>
      </c>
      <c r="Y1041" s="4" t="s">
        <v>4854</v>
      </c>
      <c r="Z1041" s="4" t="s">
        <v>4854</v>
      </c>
      <c r="AA1041" s="4" t="s">
        <v>4854</v>
      </c>
      <c r="AB1041" s="4" t="s">
        <v>4854</v>
      </c>
      <c r="AC1041" s="4" t="s">
        <v>4854</v>
      </c>
      <c r="AD1041" s="4" t="s">
        <v>4854</v>
      </c>
      <c r="AE1041" s="100" t="s">
        <v>4854</v>
      </c>
      <c r="AF1041" s="91">
        <v>1.9890000000000001</v>
      </c>
      <c r="AG1041" s="100" t="s">
        <v>4854</v>
      </c>
      <c r="AH1041" s="91">
        <v>2.2759999999999998</v>
      </c>
      <c r="AI1041" s="91">
        <v>2.2370000000000001</v>
      </c>
      <c r="AJ1041" s="91">
        <v>2.3039999999999998</v>
      </c>
      <c r="AK1041" s="91">
        <v>1.8360000000000001</v>
      </c>
      <c r="AL1041" s="100" t="s">
        <v>4854</v>
      </c>
      <c r="AM1041" s="103" t="s">
        <v>4854</v>
      </c>
      <c r="AN1041" s="95">
        <v>-1.0500000000000001E-2</v>
      </c>
      <c r="AO1041" s="103" t="s">
        <v>4854</v>
      </c>
      <c r="AP1041" s="95">
        <v>0.26429999999999998</v>
      </c>
      <c r="AQ1041" s="95">
        <v>-8.3000000000000001E-3</v>
      </c>
      <c r="AR1041" s="95">
        <v>0.20669999999999999</v>
      </c>
      <c r="AS1041" s="95">
        <v>-0.1202</v>
      </c>
      <c r="AT1041" s="103" t="s">
        <v>4854</v>
      </c>
      <c r="AU1041" s="103" t="s">
        <v>4854</v>
      </c>
      <c r="AV1041" s="95">
        <v>2.4E-2</v>
      </c>
      <c r="AW1041" s="103" t="s">
        <v>4854</v>
      </c>
      <c r="AX1041" s="95">
        <v>6.9000000000000006E-2</v>
      </c>
      <c r="AY1041" s="95">
        <v>5.1999999999999998E-2</v>
      </c>
      <c r="AZ1041" s="95">
        <v>0.04</v>
      </c>
      <c r="BA1041" s="95">
        <v>4.9000000000000002E-2</v>
      </c>
      <c r="BB1041" s="103" t="s">
        <v>4854</v>
      </c>
      <c r="BC1041" s="4" t="s">
        <v>4854</v>
      </c>
      <c r="BD1041" s="10">
        <v>33</v>
      </c>
      <c r="BE1041" s="4" t="s">
        <v>4854</v>
      </c>
      <c r="BF1041" s="10">
        <v>11</v>
      </c>
      <c r="BG1041" s="10">
        <v>7</v>
      </c>
      <c r="BH1041" s="10">
        <v>1</v>
      </c>
      <c r="BI1041" s="10">
        <v>6</v>
      </c>
      <c r="BJ1041" s="4" t="s">
        <v>4854</v>
      </c>
      <c r="BK1041" s="100" t="s">
        <v>4854</v>
      </c>
      <c r="BL1041" s="91">
        <v>7.5999999999999998E-2</v>
      </c>
      <c r="BM1041" s="100" t="s">
        <v>4854</v>
      </c>
      <c r="BN1041" s="91">
        <v>0.309</v>
      </c>
      <c r="BO1041" s="91">
        <v>0.27600000000000002</v>
      </c>
      <c r="BP1041" s="91">
        <v>0.42699999999999999</v>
      </c>
      <c r="BQ1041" s="91">
        <v>0.109</v>
      </c>
      <c r="BR1041" s="100" t="s">
        <v>4854</v>
      </c>
      <c r="BS1041" s="10" t="s">
        <v>4857</v>
      </c>
    </row>
    <row r="1042" spans="1:71" s="30" customFormat="1" ht="17.100000000000001" customHeight="1">
      <c r="A1042" s="14">
        <v>1031</v>
      </c>
      <c r="B1042" s="5" t="s">
        <v>890</v>
      </c>
      <c r="C1042" s="3" t="s">
        <v>1279</v>
      </c>
      <c r="D1042" s="3" t="s">
        <v>891</v>
      </c>
      <c r="E1042" s="3" t="s">
        <v>892</v>
      </c>
      <c r="F1042" s="5" t="s">
        <v>893</v>
      </c>
      <c r="G1042" s="3" t="s">
        <v>894</v>
      </c>
      <c r="H1042" s="6" t="s">
        <v>895</v>
      </c>
      <c r="I1042" s="3" t="s">
        <v>896</v>
      </c>
      <c r="J1042" s="5" t="s">
        <v>4537</v>
      </c>
      <c r="K1042" s="3" t="s">
        <v>5980</v>
      </c>
      <c r="L1042" s="3" t="s">
        <v>897</v>
      </c>
      <c r="M1042" s="5">
        <v>2</v>
      </c>
      <c r="N1042" s="21">
        <v>740.43209999999999</v>
      </c>
      <c r="O1042" s="35" t="s">
        <v>4854</v>
      </c>
      <c r="P1042" s="35" t="s">
        <v>4854</v>
      </c>
      <c r="Q1042" s="35" t="s">
        <v>4854</v>
      </c>
      <c r="R1042" s="35" t="s">
        <v>4854</v>
      </c>
      <c r="S1042" s="35" t="s">
        <v>4854</v>
      </c>
      <c r="T1042" s="35" t="s">
        <v>4854</v>
      </c>
      <c r="U1042" s="35" t="s">
        <v>4854</v>
      </c>
      <c r="V1042" s="36" t="str">
        <f>HYPERLINK("http://ms.phosphosite.org:5080/cgi-bin/plot-msms.cgi?MassType=1&amp;NumAxis=1&amp;Mod3=170&amp;Mod9=170&amp;Pep=IPKPFPVTKGSPK&amp;Dta=/var/www/html/dta/S01/10565.14755.2.dta&amp;Global_Mod=CS57.0215", "14755")</f>
        <v>14755</v>
      </c>
      <c r="W1042" s="3" t="s">
        <v>4854</v>
      </c>
      <c r="X1042" s="3" t="s">
        <v>4854</v>
      </c>
      <c r="Y1042" s="3" t="s">
        <v>4854</v>
      </c>
      <c r="Z1042" s="3" t="s">
        <v>4854</v>
      </c>
      <c r="AA1042" s="3" t="s">
        <v>4854</v>
      </c>
      <c r="AB1042" s="3" t="s">
        <v>4854</v>
      </c>
      <c r="AC1042" s="3" t="s">
        <v>4854</v>
      </c>
      <c r="AD1042" s="3" t="s">
        <v>4854</v>
      </c>
      <c r="AE1042" s="99" t="s">
        <v>4854</v>
      </c>
      <c r="AF1042" s="99" t="s">
        <v>4854</v>
      </c>
      <c r="AG1042" s="99" t="s">
        <v>4854</v>
      </c>
      <c r="AH1042" s="99" t="s">
        <v>4854</v>
      </c>
      <c r="AI1042" s="99" t="s">
        <v>4854</v>
      </c>
      <c r="AJ1042" s="99" t="s">
        <v>4854</v>
      </c>
      <c r="AK1042" s="99" t="s">
        <v>4854</v>
      </c>
      <c r="AL1042" s="90">
        <v>1.325</v>
      </c>
      <c r="AM1042" s="102" t="s">
        <v>4854</v>
      </c>
      <c r="AN1042" s="102" t="s">
        <v>4854</v>
      </c>
      <c r="AO1042" s="102" t="s">
        <v>4854</v>
      </c>
      <c r="AP1042" s="102" t="s">
        <v>4854</v>
      </c>
      <c r="AQ1042" s="102" t="s">
        <v>4854</v>
      </c>
      <c r="AR1042" s="102" t="s">
        <v>4854</v>
      </c>
      <c r="AS1042" s="102" t="s">
        <v>4854</v>
      </c>
      <c r="AT1042" s="21">
        <v>0.35249999999999998</v>
      </c>
      <c r="AU1042" s="102" t="s">
        <v>4854</v>
      </c>
      <c r="AV1042" s="102" t="s">
        <v>4854</v>
      </c>
      <c r="AW1042" s="102" t="s">
        <v>4854</v>
      </c>
      <c r="AX1042" s="102" t="s">
        <v>4854</v>
      </c>
      <c r="AY1042" s="102" t="s">
        <v>4854</v>
      </c>
      <c r="AZ1042" s="102" t="s">
        <v>4854</v>
      </c>
      <c r="BA1042" s="102" t="s">
        <v>4854</v>
      </c>
      <c r="BB1042" s="21">
        <v>0.158</v>
      </c>
      <c r="BC1042" s="3" t="s">
        <v>4854</v>
      </c>
      <c r="BD1042" s="3" t="s">
        <v>4854</v>
      </c>
      <c r="BE1042" s="3" t="s">
        <v>4854</v>
      </c>
      <c r="BF1042" s="3" t="s">
        <v>4854</v>
      </c>
      <c r="BG1042" s="3" t="s">
        <v>4854</v>
      </c>
      <c r="BH1042" s="3" t="s">
        <v>4854</v>
      </c>
      <c r="BI1042" s="3" t="s">
        <v>4854</v>
      </c>
      <c r="BJ1042" s="5">
        <v>5</v>
      </c>
      <c r="BK1042" s="99" t="s">
        <v>4854</v>
      </c>
      <c r="BL1042" s="99" t="s">
        <v>4854</v>
      </c>
      <c r="BM1042" s="99" t="s">
        <v>4854</v>
      </c>
      <c r="BN1042" s="99" t="s">
        <v>4854</v>
      </c>
      <c r="BO1042" s="99" t="s">
        <v>4854</v>
      </c>
      <c r="BP1042" s="99" t="s">
        <v>4854</v>
      </c>
      <c r="BQ1042" s="99" t="s">
        <v>4854</v>
      </c>
      <c r="BR1042" s="90">
        <v>5.0999999999999997E-2</v>
      </c>
      <c r="BS1042" s="5" t="s">
        <v>4857</v>
      </c>
    </row>
    <row r="1043" spans="1:71" s="30" customFormat="1" ht="17.100000000000001" customHeight="1">
      <c r="A1043" s="10">
        <v>1032</v>
      </c>
      <c r="B1043" s="10" t="s">
        <v>898</v>
      </c>
      <c r="C1043" s="4" t="s">
        <v>1279</v>
      </c>
      <c r="D1043" s="4" t="s">
        <v>899</v>
      </c>
      <c r="E1043" s="4" t="s">
        <v>900</v>
      </c>
      <c r="F1043" s="10" t="s">
        <v>901</v>
      </c>
      <c r="G1043" s="4" t="s">
        <v>902</v>
      </c>
      <c r="H1043" s="7" t="s">
        <v>903</v>
      </c>
      <c r="I1043" s="4" t="s">
        <v>904</v>
      </c>
      <c r="J1043" s="10" t="s">
        <v>4667</v>
      </c>
      <c r="K1043" s="4" t="s">
        <v>5981</v>
      </c>
      <c r="L1043" s="4" t="s">
        <v>905</v>
      </c>
      <c r="M1043" s="10">
        <v>3</v>
      </c>
      <c r="N1043" s="95">
        <v>893.45090000000005</v>
      </c>
      <c r="O1043" s="38" t="s">
        <v>4854</v>
      </c>
      <c r="P1043" s="38" t="s">
        <v>4854</v>
      </c>
      <c r="Q1043" s="38" t="s">
        <v>4854</v>
      </c>
      <c r="R1043" s="38" t="s">
        <v>4854</v>
      </c>
      <c r="S1043" s="37" t="str">
        <f>HYPERLINK("http://ms.phosphosite.org:5080/cgi-bin/plot-msms.cgi?MassType=1&amp;NumAxis=1&amp;Mod3=170&amp;Mod13=170&amp;Mod15=170&amp;Pep=SAKPGQEEDGPLKGKGQGAAAADGKGK&amp;Dta=/var/www/html/dta/S01/10562.10295.3.dta&amp;Global_Mod=CS57.0215", "10295")</f>
        <v>10295</v>
      </c>
      <c r="T1043" s="38" t="s">
        <v>4854</v>
      </c>
      <c r="U1043" s="38" t="s">
        <v>4854</v>
      </c>
      <c r="V1043" s="38" t="s">
        <v>4854</v>
      </c>
      <c r="W1043" s="4" t="s">
        <v>4854</v>
      </c>
      <c r="X1043" s="4" t="s">
        <v>4854</v>
      </c>
      <c r="Y1043" s="4" t="s">
        <v>4854</v>
      </c>
      <c r="Z1043" s="4" t="s">
        <v>4854</v>
      </c>
      <c r="AA1043" s="4" t="s">
        <v>4854</v>
      </c>
      <c r="AB1043" s="4" t="s">
        <v>4854</v>
      </c>
      <c r="AC1043" s="4" t="s">
        <v>4854</v>
      </c>
      <c r="AD1043" s="4" t="s">
        <v>4854</v>
      </c>
      <c r="AE1043" s="100" t="s">
        <v>4854</v>
      </c>
      <c r="AF1043" s="100" t="s">
        <v>4854</v>
      </c>
      <c r="AG1043" s="100" t="s">
        <v>4854</v>
      </c>
      <c r="AH1043" s="100" t="s">
        <v>4854</v>
      </c>
      <c r="AI1043" s="91">
        <v>2.335</v>
      </c>
      <c r="AJ1043" s="100" t="s">
        <v>4854</v>
      </c>
      <c r="AK1043" s="100" t="s">
        <v>4854</v>
      </c>
      <c r="AL1043" s="100" t="s">
        <v>4854</v>
      </c>
      <c r="AM1043" s="103" t="s">
        <v>4854</v>
      </c>
      <c r="AN1043" s="103" t="s">
        <v>4854</v>
      </c>
      <c r="AO1043" s="103" t="s">
        <v>4854</v>
      </c>
      <c r="AP1043" s="103" t="s">
        <v>4854</v>
      </c>
      <c r="AQ1043" s="95">
        <v>-0.64059999999999995</v>
      </c>
      <c r="AR1043" s="103" t="s">
        <v>4854</v>
      </c>
      <c r="AS1043" s="103" t="s">
        <v>4854</v>
      </c>
      <c r="AT1043" s="103" t="s">
        <v>4854</v>
      </c>
      <c r="AU1043" s="103" t="s">
        <v>4854</v>
      </c>
      <c r="AV1043" s="103" t="s">
        <v>4854</v>
      </c>
      <c r="AW1043" s="103" t="s">
        <v>4854</v>
      </c>
      <c r="AX1043" s="103" t="s">
        <v>4854</v>
      </c>
      <c r="AY1043" s="95">
        <v>5.2999999999999999E-2</v>
      </c>
      <c r="AZ1043" s="103" t="s">
        <v>4854</v>
      </c>
      <c r="BA1043" s="103" t="s">
        <v>4854</v>
      </c>
      <c r="BB1043" s="103" t="s">
        <v>4854</v>
      </c>
      <c r="BC1043" s="4" t="s">
        <v>4854</v>
      </c>
      <c r="BD1043" s="4" t="s">
        <v>4854</v>
      </c>
      <c r="BE1043" s="4" t="s">
        <v>4854</v>
      </c>
      <c r="BF1043" s="4" t="s">
        <v>4854</v>
      </c>
      <c r="BG1043" s="10">
        <v>1</v>
      </c>
      <c r="BH1043" s="4" t="s">
        <v>4854</v>
      </c>
      <c r="BI1043" s="4" t="s">
        <v>4854</v>
      </c>
      <c r="BJ1043" s="4" t="s">
        <v>4854</v>
      </c>
      <c r="BK1043" s="100" t="s">
        <v>4854</v>
      </c>
      <c r="BL1043" s="100" t="s">
        <v>4854</v>
      </c>
      <c r="BM1043" s="100" t="s">
        <v>4854</v>
      </c>
      <c r="BN1043" s="100" t="s">
        <v>4854</v>
      </c>
      <c r="BO1043" s="91">
        <v>0.128</v>
      </c>
      <c r="BP1043" s="100" t="s">
        <v>4854</v>
      </c>
      <c r="BQ1043" s="100" t="s">
        <v>4854</v>
      </c>
      <c r="BR1043" s="100" t="s">
        <v>4854</v>
      </c>
      <c r="BS1043" s="10" t="s">
        <v>4857</v>
      </c>
    </row>
    <row r="1044" spans="1:71" s="30" customFormat="1" ht="17.100000000000001" customHeight="1">
      <c r="A1044" s="14">
        <v>1033</v>
      </c>
      <c r="B1044" s="5" t="s">
        <v>906</v>
      </c>
      <c r="C1044" s="3" t="s">
        <v>1279</v>
      </c>
      <c r="D1044" s="3" t="s">
        <v>907</v>
      </c>
      <c r="E1044" s="3" t="s">
        <v>908</v>
      </c>
      <c r="F1044" s="5" t="s">
        <v>4680</v>
      </c>
      <c r="G1044" s="3" t="s">
        <v>909</v>
      </c>
      <c r="H1044" s="6" t="s">
        <v>910</v>
      </c>
      <c r="I1044" s="3" t="s">
        <v>911</v>
      </c>
      <c r="J1044" s="5" t="s">
        <v>4594</v>
      </c>
      <c r="K1044" s="3" t="s">
        <v>5982</v>
      </c>
      <c r="L1044" s="3" t="s">
        <v>912</v>
      </c>
      <c r="M1044" s="5">
        <v>2</v>
      </c>
      <c r="N1044" s="21">
        <v>689.85540000000003</v>
      </c>
      <c r="O1044" s="35" t="s">
        <v>4854</v>
      </c>
      <c r="P1044" s="35" t="s">
        <v>4854</v>
      </c>
      <c r="Q1044" s="35" t="s">
        <v>4854</v>
      </c>
      <c r="R1044" s="35" t="s">
        <v>4854</v>
      </c>
      <c r="S1044" s="35" t="s">
        <v>4854</v>
      </c>
      <c r="T1044" s="35" t="s">
        <v>4854</v>
      </c>
      <c r="U1044" s="36" t="str">
        <f>HYPERLINK("http://ms.phosphosite.org:5080/cgi-bin/plot-msms.cgi?MassType=1&amp;NumAxis=1&amp;Mod14=170&amp;Pep=AFSIAALMSSGGPK&amp;Dta=/var/www/html/dta/S01/10564.8429.2.dta&amp;Global_Mod=CS57.0215", "8429")</f>
        <v>8429</v>
      </c>
      <c r="V1044" s="35" t="s">
        <v>4854</v>
      </c>
      <c r="W1044" s="3" t="s">
        <v>4854</v>
      </c>
      <c r="X1044" s="3" t="s">
        <v>4854</v>
      </c>
      <c r="Y1044" s="3" t="s">
        <v>4854</v>
      </c>
      <c r="Z1044" s="3" t="s">
        <v>4854</v>
      </c>
      <c r="AA1044" s="3" t="s">
        <v>4854</v>
      </c>
      <c r="AB1044" s="3" t="s">
        <v>4854</v>
      </c>
      <c r="AC1044" s="3" t="s">
        <v>4854</v>
      </c>
      <c r="AD1044" s="3" t="s">
        <v>4854</v>
      </c>
      <c r="AE1044" s="99" t="s">
        <v>4854</v>
      </c>
      <c r="AF1044" s="99" t="s">
        <v>4854</v>
      </c>
      <c r="AG1044" s="99" t="s">
        <v>4854</v>
      </c>
      <c r="AH1044" s="99" t="s">
        <v>4854</v>
      </c>
      <c r="AI1044" s="99" t="s">
        <v>4854</v>
      </c>
      <c r="AJ1044" s="99" t="s">
        <v>4854</v>
      </c>
      <c r="AK1044" s="90">
        <v>2.3690000000000002</v>
      </c>
      <c r="AL1044" s="99" t="s">
        <v>4854</v>
      </c>
      <c r="AM1044" s="102" t="s">
        <v>4854</v>
      </c>
      <c r="AN1044" s="102" t="s">
        <v>4854</v>
      </c>
      <c r="AO1044" s="102" t="s">
        <v>4854</v>
      </c>
      <c r="AP1044" s="102" t="s">
        <v>4854</v>
      </c>
      <c r="AQ1044" s="102" t="s">
        <v>4854</v>
      </c>
      <c r="AR1044" s="102" t="s">
        <v>4854</v>
      </c>
      <c r="AS1044" s="21">
        <v>0.40239999999999998</v>
      </c>
      <c r="AT1044" s="102" t="s">
        <v>4854</v>
      </c>
      <c r="AU1044" s="102" t="s">
        <v>4854</v>
      </c>
      <c r="AV1044" s="102" t="s">
        <v>4854</v>
      </c>
      <c r="AW1044" s="102" t="s">
        <v>4854</v>
      </c>
      <c r="AX1044" s="102" t="s">
        <v>4854</v>
      </c>
      <c r="AY1044" s="102" t="s">
        <v>4854</v>
      </c>
      <c r="AZ1044" s="102" t="s">
        <v>4854</v>
      </c>
      <c r="BA1044" s="21">
        <v>0.13400000000000001</v>
      </c>
      <c r="BB1044" s="102" t="s">
        <v>4854</v>
      </c>
      <c r="BC1044" s="3" t="s">
        <v>4854</v>
      </c>
      <c r="BD1044" s="3" t="s">
        <v>4854</v>
      </c>
      <c r="BE1044" s="3" t="s">
        <v>4854</v>
      </c>
      <c r="BF1044" s="3" t="s">
        <v>4854</v>
      </c>
      <c r="BG1044" s="3" t="s">
        <v>4854</v>
      </c>
      <c r="BH1044" s="3" t="s">
        <v>4854</v>
      </c>
      <c r="BI1044" s="5">
        <v>16</v>
      </c>
      <c r="BJ1044" s="3" t="s">
        <v>4854</v>
      </c>
      <c r="BK1044" s="99" t="s">
        <v>4854</v>
      </c>
      <c r="BL1044" s="99" t="s">
        <v>4854</v>
      </c>
      <c r="BM1044" s="99" t="s">
        <v>4854</v>
      </c>
      <c r="BN1044" s="99" t="s">
        <v>4854</v>
      </c>
      <c r="BO1044" s="99" t="s">
        <v>4854</v>
      </c>
      <c r="BP1044" s="99" t="s">
        <v>4854</v>
      </c>
      <c r="BQ1044" s="90">
        <v>0.68600000000000005</v>
      </c>
      <c r="BR1044" s="99" t="s">
        <v>4854</v>
      </c>
      <c r="BS1044" s="5" t="s">
        <v>4857</v>
      </c>
    </row>
    <row r="1045" spans="1:71" s="30" customFormat="1" ht="17.100000000000001" customHeight="1">
      <c r="A1045" s="10">
        <v>1034</v>
      </c>
      <c r="B1045" s="10" t="s">
        <v>913</v>
      </c>
      <c r="C1045" s="4" t="s">
        <v>1279</v>
      </c>
      <c r="D1045" s="4" t="s">
        <v>914</v>
      </c>
      <c r="E1045" s="4" t="s">
        <v>915</v>
      </c>
      <c r="F1045" s="10" t="s">
        <v>916</v>
      </c>
      <c r="G1045" s="4" t="s">
        <v>917</v>
      </c>
      <c r="H1045" s="7" t="s">
        <v>918</v>
      </c>
      <c r="I1045" s="4" t="s">
        <v>919</v>
      </c>
      <c r="J1045" s="10" t="s">
        <v>920</v>
      </c>
      <c r="K1045" s="4" t="s">
        <v>5983</v>
      </c>
      <c r="L1045" s="4" t="s">
        <v>789</v>
      </c>
      <c r="M1045" s="10">
        <v>2</v>
      </c>
      <c r="N1045" s="95">
        <v>608.79390000000001</v>
      </c>
      <c r="O1045" s="38" t="s">
        <v>4854</v>
      </c>
      <c r="P1045" s="38" t="s">
        <v>4854</v>
      </c>
      <c r="Q1045" s="37" t="str">
        <f>HYPERLINK("http://ms.phosphosite.org:5080/cgi-bin/plot-msms.cgi?MassType=1&amp;NumAxis=1&amp;Mod5=170&amp;Pep=QGESKPDSQAK&amp;Dta=/var/www/html/dta/S01/10560.1424.2.dta&amp;Global_Mod=CS57.0215", "1424")</f>
        <v>1424</v>
      </c>
      <c r="R1045" s="38" t="s">
        <v>4854</v>
      </c>
      <c r="S1045" s="38" t="s">
        <v>4854</v>
      </c>
      <c r="T1045" s="37" t="str">
        <f>HYPERLINK("http://ms.phosphosite.org:5080/cgi-bin/plot-msms.cgi?MassType=1&amp;NumAxis=1&amp;Mod5=170&amp;Pep=QGESKPDSQAK&amp;Dta=/var/www/html/dta/S01/10563.1441.2.dta&amp;Global_Mod=CS57.0215", "1441")</f>
        <v>1441</v>
      </c>
      <c r="U1045" s="38" t="s">
        <v>4854</v>
      </c>
      <c r="V1045" s="38" t="s">
        <v>4854</v>
      </c>
      <c r="W1045" s="4" t="s">
        <v>4854</v>
      </c>
      <c r="X1045" s="4" t="s">
        <v>4854</v>
      </c>
      <c r="Y1045" s="10">
        <v>1418</v>
      </c>
      <c r="Z1045" s="4" t="s">
        <v>4854</v>
      </c>
      <c r="AA1045" s="4" t="s">
        <v>4854</v>
      </c>
      <c r="AB1045" s="4" t="s">
        <v>4854</v>
      </c>
      <c r="AC1045" s="4" t="s">
        <v>4854</v>
      </c>
      <c r="AD1045" s="4" t="s">
        <v>4854</v>
      </c>
      <c r="AE1045" s="100" t="s">
        <v>4854</v>
      </c>
      <c r="AF1045" s="100" t="s">
        <v>4854</v>
      </c>
      <c r="AG1045" s="91">
        <v>2.7519999999999998</v>
      </c>
      <c r="AH1045" s="100" t="s">
        <v>4854</v>
      </c>
      <c r="AI1045" s="100" t="s">
        <v>4854</v>
      </c>
      <c r="AJ1045" s="91">
        <v>2.7440000000000002</v>
      </c>
      <c r="AK1045" s="100" t="s">
        <v>4854</v>
      </c>
      <c r="AL1045" s="100" t="s">
        <v>4854</v>
      </c>
      <c r="AM1045" s="103" t="s">
        <v>4854</v>
      </c>
      <c r="AN1045" s="103" t="s">
        <v>4854</v>
      </c>
      <c r="AO1045" s="95">
        <v>0.28339999999999999</v>
      </c>
      <c r="AP1045" s="103" t="s">
        <v>4854</v>
      </c>
      <c r="AQ1045" s="103" t="s">
        <v>4854</v>
      </c>
      <c r="AR1045" s="95">
        <v>1.657</v>
      </c>
      <c r="AS1045" s="103" t="s">
        <v>4854</v>
      </c>
      <c r="AT1045" s="103" t="s">
        <v>4854</v>
      </c>
      <c r="AU1045" s="103" t="s">
        <v>4854</v>
      </c>
      <c r="AV1045" s="103" t="s">
        <v>4854</v>
      </c>
      <c r="AW1045" s="95">
        <v>0.41</v>
      </c>
      <c r="AX1045" s="103" t="s">
        <v>4854</v>
      </c>
      <c r="AY1045" s="103" t="s">
        <v>4854</v>
      </c>
      <c r="AZ1045" s="95">
        <v>0.28499999999999998</v>
      </c>
      <c r="BA1045" s="103" t="s">
        <v>4854</v>
      </c>
      <c r="BB1045" s="103" t="s">
        <v>4854</v>
      </c>
      <c r="BC1045" s="4" t="s">
        <v>4854</v>
      </c>
      <c r="BD1045" s="4" t="s">
        <v>4854</v>
      </c>
      <c r="BE1045" s="10">
        <v>1</v>
      </c>
      <c r="BF1045" s="4" t="s">
        <v>4854</v>
      </c>
      <c r="BG1045" s="4" t="s">
        <v>4854</v>
      </c>
      <c r="BH1045" s="10">
        <v>1</v>
      </c>
      <c r="BI1045" s="4" t="s">
        <v>4854</v>
      </c>
      <c r="BJ1045" s="4" t="s">
        <v>4854</v>
      </c>
      <c r="BK1045" s="100" t="s">
        <v>4854</v>
      </c>
      <c r="BL1045" s="100" t="s">
        <v>4854</v>
      </c>
      <c r="BM1045" s="91">
        <v>1</v>
      </c>
      <c r="BN1045" s="100" t="s">
        <v>4854</v>
      </c>
      <c r="BO1045" s="100" t="s">
        <v>4854</v>
      </c>
      <c r="BP1045" s="91">
        <v>1</v>
      </c>
      <c r="BQ1045" s="100" t="s">
        <v>4854</v>
      </c>
      <c r="BR1045" s="100" t="s">
        <v>4854</v>
      </c>
      <c r="BS1045" s="10" t="s">
        <v>4857</v>
      </c>
    </row>
    <row r="1046" spans="1:71" s="30" customFormat="1" ht="17.100000000000001" customHeight="1">
      <c r="A1046" s="14">
        <v>1035</v>
      </c>
      <c r="B1046" s="5" t="s">
        <v>790</v>
      </c>
      <c r="C1046" s="3" t="s">
        <v>1279</v>
      </c>
      <c r="D1046" s="3" t="s">
        <v>791</v>
      </c>
      <c r="E1046" s="3" t="s">
        <v>792</v>
      </c>
      <c r="F1046" s="5" t="s">
        <v>4825</v>
      </c>
      <c r="G1046" s="3" t="s">
        <v>793</v>
      </c>
      <c r="H1046" s="6" t="s">
        <v>794</v>
      </c>
      <c r="I1046" s="3" t="s">
        <v>795</v>
      </c>
      <c r="J1046" s="5" t="s">
        <v>4832</v>
      </c>
      <c r="K1046" s="3" t="s">
        <v>5984</v>
      </c>
      <c r="L1046" s="3" t="s">
        <v>796</v>
      </c>
      <c r="M1046" s="5">
        <v>3</v>
      </c>
      <c r="N1046" s="21">
        <v>508.91579999999999</v>
      </c>
      <c r="O1046" s="35" t="s">
        <v>4854</v>
      </c>
      <c r="P1046" s="36" t="str">
        <f>HYPERLINK("http://ms.phosphosite.org:5080/cgi-bin/plot-msms.cgi?MassType=1&amp;NumAxis=1&amp;Mod8=170&amp;Pep=FYKENEGKPENK&amp;Dta=/var/www/html/dta/S01/10559.2023.3.dta&amp;Global_Mod=CS57.0215", "2023")</f>
        <v>2023</v>
      </c>
      <c r="Q1046" s="35" t="s">
        <v>4854</v>
      </c>
      <c r="R1046" s="35" t="s">
        <v>4854</v>
      </c>
      <c r="S1046" s="35" t="s">
        <v>4854</v>
      </c>
      <c r="T1046" s="36" t="str">
        <f>HYPERLINK("http://ms.phosphosite.org:5080/cgi-bin/plot-msms.cgi?MassType=1&amp;NumAxis=1&amp;Mod8=170&amp;Pep=FYKENEGKPENK&amp;Dta=/var/www/html/dta/S01/10563.2016.3.dta&amp;Global_Mod=CS57.0215", "2016")</f>
        <v>2016</v>
      </c>
      <c r="U1046" s="35" t="s">
        <v>4854</v>
      </c>
      <c r="V1046" s="35" t="s">
        <v>4854</v>
      </c>
      <c r="W1046" s="3" t="s">
        <v>4854</v>
      </c>
      <c r="X1046" s="3" t="s">
        <v>4854</v>
      </c>
      <c r="Y1046" s="3" t="s">
        <v>4854</v>
      </c>
      <c r="Z1046" s="3" t="s">
        <v>4854</v>
      </c>
      <c r="AA1046" s="3" t="s">
        <v>4854</v>
      </c>
      <c r="AB1046" s="5">
        <v>2017</v>
      </c>
      <c r="AC1046" s="3" t="s">
        <v>4854</v>
      </c>
      <c r="AD1046" s="3" t="s">
        <v>4854</v>
      </c>
      <c r="AE1046" s="99" t="s">
        <v>4854</v>
      </c>
      <c r="AF1046" s="90">
        <v>1.931</v>
      </c>
      <c r="AG1046" s="99" t="s">
        <v>4854</v>
      </c>
      <c r="AH1046" s="99" t="s">
        <v>4854</v>
      </c>
      <c r="AI1046" s="99" t="s">
        <v>4854</v>
      </c>
      <c r="AJ1046" s="90">
        <v>2.714</v>
      </c>
      <c r="AK1046" s="99" t="s">
        <v>4854</v>
      </c>
      <c r="AL1046" s="99" t="s">
        <v>4854</v>
      </c>
      <c r="AM1046" s="102" t="s">
        <v>4854</v>
      </c>
      <c r="AN1046" s="21">
        <v>-0.45850000000000002</v>
      </c>
      <c r="AO1046" s="102" t="s">
        <v>4854</v>
      </c>
      <c r="AP1046" s="102" t="s">
        <v>4854</v>
      </c>
      <c r="AQ1046" s="102" t="s">
        <v>4854</v>
      </c>
      <c r="AR1046" s="21">
        <v>1.0218</v>
      </c>
      <c r="AS1046" s="102" t="s">
        <v>4854</v>
      </c>
      <c r="AT1046" s="102" t="s">
        <v>4854</v>
      </c>
      <c r="AU1046" s="102" t="s">
        <v>4854</v>
      </c>
      <c r="AV1046" s="21">
        <v>4.1000000000000002E-2</v>
      </c>
      <c r="AW1046" s="102" t="s">
        <v>4854</v>
      </c>
      <c r="AX1046" s="102" t="s">
        <v>4854</v>
      </c>
      <c r="AY1046" s="102" t="s">
        <v>4854</v>
      </c>
      <c r="AZ1046" s="21">
        <v>0.105</v>
      </c>
      <c r="BA1046" s="102" t="s">
        <v>4854</v>
      </c>
      <c r="BB1046" s="102" t="s">
        <v>4854</v>
      </c>
      <c r="BC1046" s="3" t="s">
        <v>4854</v>
      </c>
      <c r="BD1046" s="5">
        <v>247</v>
      </c>
      <c r="BE1046" s="3" t="s">
        <v>4854</v>
      </c>
      <c r="BF1046" s="3" t="s">
        <v>4854</v>
      </c>
      <c r="BG1046" s="3" t="s">
        <v>4854</v>
      </c>
      <c r="BH1046" s="5">
        <v>16</v>
      </c>
      <c r="BI1046" s="3" t="s">
        <v>4854</v>
      </c>
      <c r="BJ1046" s="3" t="s">
        <v>4854</v>
      </c>
      <c r="BK1046" s="99" t="s">
        <v>4854</v>
      </c>
      <c r="BL1046" s="90">
        <v>0.67300000000000004</v>
      </c>
      <c r="BM1046" s="99" t="s">
        <v>4854</v>
      </c>
      <c r="BN1046" s="99" t="s">
        <v>4854</v>
      </c>
      <c r="BO1046" s="99" t="s">
        <v>4854</v>
      </c>
      <c r="BP1046" s="90">
        <v>0.98699999999999999</v>
      </c>
      <c r="BQ1046" s="99" t="s">
        <v>4854</v>
      </c>
      <c r="BR1046" s="99" t="s">
        <v>4854</v>
      </c>
      <c r="BS1046" s="5" t="s">
        <v>4857</v>
      </c>
    </row>
    <row r="1047" spans="1:71" s="30" customFormat="1" ht="17.100000000000001" customHeight="1">
      <c r="A1047" s="10">
        <v>1036</v>
      </c>
      <c r="B1047" s="10" t="s">
        <v>797</v>
      </c>
      <c r="C1047" s="4" t="s">
        <v>1279</v>
      </c>
      <c r="D1047" s="4" t="s">
        <v>791</v>
      </c>
      <c r="E1047" s="4" t="s">
        <v>792</v>
      </c>
      <c r="F1047" s="10" t="s">
        <v>4713</v>
      </c>
      <c r="G1047" s="4" t="s">
        <v>793</v>
      </c>
      <c r="H1047" s="7" t="s">
        <v>794</v>
      </c>
      <c r="I1047" s="4" t="s">
        <v>795</v>
      </c>
      <c r="J1047" s="10" t="s">
        <v>4832</v>
      </c>
      <c r="K1047" s="4" t="s">
        <v>5985</v>
      </c>
      <c r="L1047" s="4" t="s">
        <v>798</v>
      </c>
      <c r="M1047" s="10">
        <v>2</v>
      </c>
      <c r="N1047" s="95">
        <v>912.9579</v>
      </c>
      <c r="O1047" s="37" t="str">
        <f>HYPERLINK("http://ms.phosphosite.org:5080/cgi-bin/plot-msms.cgi?MassType=1&amp;NumAxis=1&amp;Mod3=170&amp;Pep=QGKLEVEGGPGEQAQQK&amp;Dta=/var/www/html/dta/S01/10558.4101.2.dta&amp;Global_Mod=CS57.0215", "4101")</f>
        <v>4101</v>
      </c>
      <c r="P1047" s="38" t="s">
        <v>4854</v>
      </c>
      <c r="Q1047" s="38" t="s">
        <v>4854</v>
      </c>
      <c r="R1047" s="38" t="s">
        <v>4854</v>
      </c>
      <c r="S1047" s="38" t="s">
        <v>4854</v>
      </c>
      <c r="T1047" s="38" t="s">
        <v>4854</v>
      </c>
      <c r="U1047" s="38" t="s">
        <v>4854</v>
      </c>
      <c r="V1047" s="38" t="s">
        <v>4854</v>
      </c>
      <c r="W1047" s="4" t="s">
        <v>4854</v>
      </c>
      <c r="X1047" s="4" t="s">
        <v>4854</v>
      </c>
      <c r="Y1047" s="4" t="s">
        <v>4854</v>
      </c>
      <c r="Z1047" s="4" t="s">
        <v>4854</v>
      </c>
      <c r="AA1047" s="4" t="s">
        <v>4854</v>
      </c>
      <c r="AB1047" s="4" t="s">
        <v>4854</v>
      </c>
      <c r="AC1047" s="4" t="s">
        <v>4854</v>
      </c>
      <c r="AD1047" s="4" t="s">
        <v>4854</v>
      </c>
      <c r="AE1047" s="91">
        <v>2.0939999999999999</v>
      </c>
      <c r="AF1047" s="100" t="s">
        <v>4854</v>
      </c>
      <c r="AG1047" s="100" t="s">
        <v>4854</v>
      </c>
      <c r="AH1047" s="100" t="s">
        <v>4854</v>
      </c>
      <c r="AI1047" s="100" t="s">
        <v>4854</v>
      </c>
      <c r="AJ1047" s="100" t="s">
        <v>4854</v>
      </c>
      <c r="AK1047" s="100" t="s">
        <v>4854</v>
      </c>
      <c r="AL1047" s="100" t="s">
        <v>4854</v>
      </c>
      <c r="AM1047" s="95">
        <v>2.0556000000000001</v>
      </c>
      <c r="AN1047" s="103" t="s">
        <v>4854</v>
      </c>
      <c r="AO1047" s="103" t="s">
        <v>4854</v>
      </c>
      <c r="AP1047" s="103" t="s">
        <v>4854</v>
      </c>
      <c r="AQ1047" s="103" t="s">
        <v>4854</v>
      </c>
      <c r="AR1047" s="103" t="s">
        <v>4854</v>
      </c>
      <c r="AS1047" s="103" t="s">
        <v>4854</v>
      </c>
      <c r="AT1047" s="103" t="s">
        <v>4854</v>
      </c>
      <c r="AU1047" s="95">
        <v>0.32500000000000001</v>
      </c>
      <c r="AV1047" s="103" t="s">
        <v>4854</v>
      </c>
      <c r="AW1047" s="103" t="s">
        <v>4854</v>
      </c>
      <c r="AX1047" s="103" t="s">
        <v>4854</v>
      </c>
      <c r="AY1047" s="103" t="s">
        <v>4854</v>
      </c>
      <c r="AZ1047" s="103" t="s">
        <v>4854</v>
      </c>
      <c r="BA1047" s="103" t="s">
        <v>4854</v>
      </c>
      <c r="BB1047" s="103" t="s">
        <v>4854</v>
      </c>
      <c r="BC1047" s="10">
        <v>7</v>
      </c>
      <c r="BD1047" s="4" t="s">
        <v>4854</v>
      </c>
      <c r="BE1047" s="4" t="s">
        <v>4854</v>
      </c>
      <c r="BF1047" s="4" t="s">
        <v>4854</v>
      </c>
      <c r="BG1047" s="4" t="s">
        <v>4854</v>
      </c>
      <c r="BH1047" s="4" t="s">
        <v>4854</v>
      </c>
      <c r="BI1047" s="4" t="s">
        <v>4854</v>
      </c>
      <c r="BJ1047" s="4" t="s">
        <v>4854</v>
      </c>
      <c r="BK1047" s="91">
        <v>0.91300000000000003</v>
      </c>
      <c r="BL1047" s="100" t="s">
        <v>4854</v>
      </c>
      <c r="BM1047" s="100" t="s">
        <v>4854</v>
      </c>
      <c r="BN1047" s="100" t="s">
        <v>4854</v>
      </c>
      <c r="BO1047" s="100" t="s">
        <v>4854</v>
      </c>
      <c r="BP1047" s="100" t="s">
        <v>4854</v>
      </c>
      <c r="BQ1047" s="100" t="s">
        <v>4854</v>
      </c>
      <c r="BR1047" s="100" t="s">
        <v>4854</v>
      </c>
      <c r="BS1047" s="10" t="s">
        <v>4857</v>
      </c>
    </row>
    <row r="1048" spans="1:71" s="30" customFormat="1" ht="17.100000000000001" customHeight="1">
      <c r="A1048" s="10">
        <v>1037</v>
      </c>
      <c r="B1048" s="10" t="s">
        <v>799</v>
      </c>
      <c r="C1048" s="4" t="s">
        <v>1279</v>
      </c>
      <c r="D1048" s="4" t="s">
        <v>791</v>
      </c>
      <c r="E1048" s="4" t="s">
        <v>792</v>
      </c>
      <c r="F1048" s="10" t="s">
        <v>4713</v>
      </c>
      <c r="G1048" s="4" t="s">
        <v>793</v>
      </c>
      <c r="H1048" s="7" t="s">
        <v>794</v>
      </c>
      <c r="I1048" s="4" t="s">
        <v>795</v>
      </c>
      <c r="J1048" s="10" t="s">
        <v>4832</v>
      </c>
      <c r="K1048" s="4" t="s">
        <v>5985</v>
      </c>
      <c r="L1048" s="4" t="s">
        <v>798</v>
      </c>
      <c r="M1048" s="10">
        <v>3</v>
      </c>
      <c r="N1048" s="95">
        <v>608.97439999999995</v>
      </c>
      <c r="O1048" s="37" t="str">
        <f>HYPERLINK("http://ms.phosphosite.org:5080/cgi-bin/plot-msms.cgi?MassType=1&amp;NumAxis=1&amp;Mod3=170&amp;Pep=QGKLEVEGGPGEQAQQK&amp;Dta=/var/www/html/dta/S01/10558.4090.3.dta&amp;Global_Mod=CS57.0215", "4090")</f>
        <v>4090</v>
      </c>
      <c r="P1048" s="37" t="str">
        <f>HYPERLINK("http://ms.phosphosite.org:5080/cgi-bin/plot-msms.cgi?MassType=1&amp;NumAxis=1&amp;Mod3=170&amp;Pep=QGKLEVEGGPGEQAQQK&amp;Dta=/var/www/html/dta/S01/10559.4020.3.dta&amp;Global_Mod=CS57.0215", "4020")</f>
        <v>4020</v>
      </c>
      <c r="Q1048" s="37" t="str">
        <f>HYPERLINK("http://ms.phosphosite.org:5080/cgi-bin/plot-msms.cgi?MassType=1&amp;NumAxis=1&amp;Mod3=170&amp;Pep=QGKLEVEGGPGEQAQQK&amp;Dta=/var/www/html/dta/S01/10560.3999.3.dta&amp;Global_Mod=CS57.0215", "3999")</f>
        <v>3999</v>
      </c>
      <c r="R1048" s="37" t="str">
        <f>HYPERLINK("http://ms.phosphosite.org:5080/cgi-bin/plot-msms.cgi?MassType=1&amp;NumAxis=1&amp;Mod3=170&amp;Pep=QGKLEVEGGPGEQAQQK&amp;Dta=/var/www/html/dta/S01/10561.4022.3.dta&amp;Global_Mod=CS57.0215", "4022")</f>
        <v>4022</v>
      </c>
      <c r="S1048" s="37" t="str">
        <f>HYPERLINK("http://ms.phosphosite.org:5080/cgi-bin/plot-msms.cgi?MassType=1&amp;NumAxis=1&amp;Mod3=170&amp;Pep=QGKLEVEGGPGEQAQQK&amp;Dta=/var/www/html/dta/S01/10562.4129.3.dta&amp;Global_Mod=CS57.0215", "4129")</f>
        <v>4129</v>
      </c>
      <c r="T1048" s="37" t="str">
        <f>HYPERLINK("http://ms.phosphosite.org:5080/cgi-bin/plot-msms.cgi?MassType=1&amp;NumAxis=1&amp;Mod3=170&amp;Pep=QGKLEVEGGPGEQAQQK&amp;Dta=/var/www/html/dta/S01/10563.4065.3.dta&amp;Global_Mod=CS57.0215", "4065")</f>
        <v>4065</v>
      </c>
      <c r="U1048" s="37" t="str">
        <f>HYPERLINK("http://ms.phosphosite.org:5080/cgi-bin/plot-msms.cgi?MassType=1&amp;NumAxis=1&amp;Mod3=170&amp;Pep=QGKLEVEGGPGEQAQQK&amp;Dta=/var/www/html/dta/S01/10564.4389.3.dta&amp;Global_Mod=CS57.0215", "4389")</f>
        <v>4389</v>
      </c>
      <c r="V1048" s="38" t="s">
        <v>4854</v>
      </c>
      <c r="W1048" s="10">
        <v>4091</v>
      </c>
      <c r="X1048" s="10">
        <v>4019</v>
      </c>
      <c r="Y1048" s="10">
        <v>4015</v>
      </c>
      <c r="Z1048" s="10">
        <v>4028</v>
      </c>
      <c r="AA1048" s="10">
        <v>4124</v>
      </c>
      <c r="AB1048" s="10">
        <v>4057</v>
      </c>
      <c r="AC1048" s="10">
        <v>4373</v>
      </c>
      <c r="AD1048" s="4" t="s">
        <v>4854</v>
      </c>
      <c r="AE1048" s="91">
        <v>3.343</v>
      </c>
      <c r="AF1048" s="91">
        <v>3.5880000000000001</v>
      </c>
      <c r="AG1048" s="91">
        <v>3.4660000000000002</v>
      </c>
      <c r="AH1048" s="91">
        <v>3.9049999999999998</v>
      </c>
      <c r="AI1048" s="91">
        <v>3.754</v>
      </c>
      <c r="AJ1048" s="91">
        <v>3.5390000000000001</v>
      </c>
      <c r="AK1048" s="91">
        <v>4.3609999999999998</v>
      </c>
      <c r="AL1048" s="100" t="s">
        <v>4854</v>
      </c>
      <c r="AM1048" s="95">
        <v>0.59640000000000004</v>
      </c>
      <c r="AN1048" s="95">
        <v>7.0900000000000005E-2</v>
      </c>
      <c r="AO1048" s="95">
        <v>0.74490000000000001</v>
      </c>
      <c r="AP1048" s="95">
        <v>0.69669999999999999</v>
      </c>
      <c r="AQ1048" s="95">
        <v>0.98819999999999997</v>
      </c>
      <c r="AR1048" s="95">
        <v>0.32240000000000002</v>
      </c>
      <c r="AS1048" s="95">
        <v>2.8397999999999999</v>
      </c>
      <c r="AT1048" s="103" t="s">
        <v>4854</v>
      </c>
      <c r="AU1048" s="95">
        <v>0.253</v>
      </c>
      <c r="AV1048" s="95">
        <v>0.36399999999999999</v>
      </c>
      <c r="AW1048" s="95">
        <v>0.29899999999999999</v>
      </c>
      <c r="AX1048" s="95">
        <v>0.316</v>
      </c>
      <c r="AY1048" s="95">
        <v>0.29699999999999999</v>
      </c>
      <c r="AZ1048" s="95">
        <v>0.20699999999999999</v>
      </c>
      <c r="BA1048" s="95">
        <v>0.36299999999999999</v>
      </c>
      <c r="BB1048" s="103" t="s">
        <v>4854</v>
      </c>
      <c r="BC1048" s="10">
        <v>1</v>
      </c>
      <c r="BD1048" s="10">
        <v>1</v>
      </c>
      <c r="BE1048" s="10">
        <v>1</v>
      </c>
      <c r="BF1048" s="10">
        <v>1</v>
      </c>
      <c r="BG1048" s="10">
        <v>1</v>
      </c>
      <c r="BH1048" s="10">
        <v>1</v>
      </c>
      <c r="BI1048" s="10">
        <v>1</v>
      </c>
      <c r="BJ1048" s="4" t="s">
        <v>4854</v>
      </c>
      <c r="BK1048" s="91">
        <v>1</v>
      </c>
      <c r="BL1048" s="91">
        <v>1</v>
      </c>
      <c r="BM1048" s="91">
        <v>1</v>
      </c>
      <c r="BN1048" s="91">
        <v>1</v>
      </c>
      <c r="BO1048" s="91">
        <v>1</v>
      </c>
      <c r="BP1048" s="91">
        <v>0.999</v>
      </c>
      <c r="BQ1048" s="91">
        <v>1</v>
      </c>
      <c r="BR1048" s="100" t="s">
        <v>4854</v>
      </c>
      <c r="BS1048" s="10" t="s">
        <v>4857</v>
      </c>
    </row>
    <row r="1049" spans="1:71" s="30" customFormat="1" ht="17.100000000000001" customHeight="1">
      <c r="A1049" s="14">
        <v>1038</v>
      </c>
      <c r="B1049" s="5" t="s">
        <v>800</v>
      </c>
      <c r="C1049" s="3" t="s">
        <v>1279</v>
      </c>
      <c r="D1049" s="3" t="s">
        <v>801</v>
      </c>
      <c r="E1049" s="3" t="s">
        <v>802</v>
      </c>
      <c r="F1049" s="5" t="s">
        <v>5310</v>
      </c>
      <c r="G1049" s="3" t="s">
        <v>803</v>
      </c>
      <c r="H1049" s="6" t="s">
        <v>804</v>
      </c>
      <c r="I1049" s="3" t="s">
        <v>805</v>
      </c>
      <c r="J1049" s="5" t="s">
        <v>4456</v>
      </c>
      <c r="K1049" s="3" t="s">
        <v>5986</v>
      </c>
      <c r="L1049" s="3" t="s">
        <v>806</v>
      </c>
      <c r="M1049" s="5">
        <v>2</v>
      </c>
      <c r="N1049" s="21">
        <v>511.25110000000001</v>
      </c>
      <c r="O1049" s="35" t="s">
        <v>4854</v>
      </c>
      <c r="P1049" s="35" t="s">
        <v>4854</v>
      </c>
      <c r="Q1049" s="35" t="s">
        <v>4854</v>
      </c>
      <c r="R1049" s="35" t="s">
        <v>4854</v>
      </c>
      <c r="S1049" s="36" t="str">
        <f>HYPERLINK("http://ms.phosphosite.org:5080/cgi-bin/plot-msms.cgi?MassType=1&amp;NumAxis=1&amp;Mod5=170&amp;Pep=TDSEKPFR&amp;Dta=/var/www/html/dta/S01/10562.3492.2.dta&amp;Global_Mod=CS57.0215", "3492")</f>
        <v>3492</v>
      </c>
      <c r="T1049" s="35" t="s">
        <v>4854</v>
      </c>
      <c r="U1049" s="35" t="s">
        <v>4854</v>
      </c>
      <c r="V1049" s="36" t="str">
        <f>HYPERLINK("http://ms.phosphosite.org:5080/cgi-bin/plot-msms.cgi?MassType=1&amp;NumAxis=1&amp;Mod5=170&amp;Pep=TDSEKPFR&amp;Dta=/var/www/html/dta/S01/10565.3897.2.dta&amp;Global_Mod=CS57.0215", "3897")</f>
        <v>3897</v>
      </c>
      <c r="W1049" s="3" t="s">
        <v>4854</v>
      </c>
      <c r="X1049" s="3" t="s">
        <v>4854</v>
      </c>
      <c r="Y1049" s="3" t="s">
        <v>4854</v>
      </c>
      <c r="Z1049" s="3" t="s">
        <v>4854</v>
      </c>
      <c r="AA1049" s="5">
        <v>3521</v>
      </c>
      <c r="AB1049" s="3" t="s">
        <v>4854</v>
      </c>
      <c r="AC1049" s="3" t="s">
        <v>4854</v>
      </c>
      <c r="AD1049" s="5">
        <v>3883</v>
      </c>
      <c r="AE1049" s="99" t="s">
        <v>4854</v>
      </c>
      <c r="AF1049" s="99" t="s">
        <v>4854</v>
      </c>
      <c r="AG1049" s="99" t="s">
        <v>4854</v>
      </c>
      <c r="AH1049" s="99" t="s">
        <v>4854</v>
      </c>
      <c r="AI1049" s="90">
        <v>2.6829999999999998</v>
      </c>
      <c r="AJ1049" s="99" t="s">
        <v>4854</v>
      </c>
      <c r="AK1049" s="99" t="s">
        <v>4854</v>
      </c>
      <c r="AL1049" s="90">
        <v>2.0139999999999998</v>
      </c>
      <c r="AM1049" s="102" t="s">
        <v>4854</v>
      </c>
      <c r="AN1049" s="102" t="s">
        <v>4854</v>
      </c>
      <c r="AO1049" s="102" t="s">
        <v>4854</v>
      </c>
      <c r="AP1049" s="102" t="s">
        <v>4854</v>
      </c>
      <c r="AQ1049" s="21">
        <v>0.25590000000000002</v>
      </c>
      <c r="AR1049" s="102" t="s">
        <v>4854</v>
      </c>
      <c r="AS1049" s="102" t="s">
        <v>4854</v>
      </c>
      <c r="AT1049" s="21">
        <v>-0.1132</v>
      </c>
      <c r="AU1049" s="102" t="s">
        <v>4854</v>
      </c>
      <c r="AV1049" s="102" t="s">
        <v>4854</v>
      </c>
      <c r="AW1049" s="102" t="s">
        <v>4854</v>
      </c>
      <c r="AX1049" s="102" t="s">
        <v>4854</v>
      </c>
      <c r="AY1049" s="21">
        <v>0.153</v>
      </c>
      <c r="AZ1049" s="102" t="s">
        <v>4854</v>
      </c>
      <c r="BA1049" s="102" t="s">
        <v>4854</v>
      </c>
      <c r="BB1049" s="21">
        <v>0.106</v>
      </c>
      <c r="BC1049" s="3" t="s">
        <v>4854</v>
      </c>
      <c r="BD1049" s="3" t="s">
        <v>4854</v>
      </c>
      <c r="BE1049" s="3" t="s">
        <v>4854</v>
      </c>
      <c r="BF1049" s="3" t="s">
        <v>4854</v>
      </c>
      <c r="BG1049" s="5">
        <v>2</v>
      </c>
      <c r="BH1049" s="3" t="s">
        <v>4854</v>
      </c>
      <c r="BI1049" s="3" t="s">
        <v>4854</v>
      </c>
      <c r="BJ1049" s="5">
        <v>5</v>
      </c>
      <c r="BK1049" s="99" t="s">
        <v>4854</v>
      </c>
      <c r="BL1049" s="99" t="s">
        <v>4854</v>
      </c>
      <c r="BM1049" s="99" t="s">
        <v>4854</v>
      </c>
      <c r="BN1049" s="99" t="s">
        <v>4854</v>
      </c>
      <c r="BO1049" s="90">
        <v>1</v>
      </c>
      <c r="BP1049" s="99" t="s">
        <v>4854</v>
      </c>
      <c r="BQ1049" s="99" t="s">
        <v>4854</v>
      </c>
      <c r="BR1049" s="90">
        <v>0.996</v>
      </c>
      <c r="BS1049" s="5" t="s">
        <v>4857</v>
      </c>
    </row>
    <row r="1050" spans="1:71" s="30" customFormat="1" ht="17.100000000000001" customHeight="1">
      <c r="A1050" s="10">
        <v>1039</v>
      </c>
      <c r="B1050" s="10" t="s">
        <v>807</v>
      </c>
      <c r="C1050" s="4" t="s">
        <v>1279</v>
      </c>
      <c r="D1050" s="4" t="s">
        <v>801</v>
      </c>
      <c r="E1050" s="4" t="s">
        <v>802</v>
      </c>
      <c r="F1050" s="10" t="s">
        <v>3113</v>
      </c>
      <c r="G1050" s="4" t="s">
        <v>803</v>
      </c>
      <c r="H1050" s="7" t="s">
        <v>804</v>
      </c>
      <c r="I1050" s="4" t="s">
        <v>805</v>
      </c>
      <c r="J1050" s="10" t="s">
        <v>4456</v>
      </c>
      <c r="K1050" s="4" t="s">
        <v>5987</v>
      </c>
      <c r="L1050" s="4" t="s">
        <v>808</v>
      </c>
      <c r="M1050" s="10">
        <v>2</v>
      </c>
      <c r="N1050" s="95">
        <v>764.8913</v>
      </c>
      <c r="O1050" s="37" t="str">
        <f>HYPERLINK("http://ms.phosphosite.org:5080/cgi-bin/plot-msms.cgi?MassType=1&amp;NumAxis=1&amp;Mod11=170&amp;Pep=SGKWESLHTGKEK&amp;Dta=/var/www/html/dta/S01/10558.2604.2.dta&amp;Global_Mod=CS57.0215", "2604")</f>
        <v>2604</v>
      </c>
      <c r="P1050" s="37" t="str">
        <f>HYPERLINK("http://ms.phosphosite.org:5080/cgi-bin/plot-msms.cgi?MassType=1&amp;NumAxis=1&amp;Mod11=170&amp;Pep=SGKWESLHTGKEK&amp;Dta=/var/www/html/dta/S01/10559.2515.2.dta&amp;Global_Mod=CS57.0215", "2515")</f>
        <v>2515</v>
      </c>
      <c r="Q1050" s="37" t="str">
        <f>HYPERLINK("http://ms.phosphosite.org:5080/cgi-bin/plot-msms.cgi?MassType=1&amp;NumAxis=1&amp;Mod11=170&amp;Pep=SGKWESLHTGKEK&amp;Dta=/var/www/html/dta/S01/10560.2514.2.dta&amp;Global_Mod=CS57.0215", "2514")</f>
        <v>2514</v>
      </c>
      <c r="R1050" s="37" t="str">
        <f>HYPERLINK("http://ms.phosphosite.org:5080/cgi-bin/plot-msms.cgi?MassType=1&amp;NumAxis=1&amp;Mod11=170&amp;Pep=SGKWESLHTGKEK&amp;Dta=/var/www/html/dta/S01/10561.2558.2.dta&amp;Global_Mod=CS57.0215", "2558")</f>
        <v>2558</v>
      </c>
      <c r="S1050" s="37" t="str">
        <f>HYPERLINK("http://ms.phosphosite.org:5080/cgi-bin/plot-msms.cgi?MassType=1&amp;NumAxis=1&amp;Mod11=170&amp;Pep=SGKWESLHTGKEK&amp;Dta=/var/www/html/dta/S01/10562.2622.2.dta&amp;Global_Mod=CS57.0215", "2622")</f>
        <v>2622</v>
      </c>
      <c r="T1050" s="37" t="str">
        <f>HYPERLINK("http://ms.phosphosite.org:5080/cgi-bin/plot-msms.cgi?MassType=1&amp;NumAxis=1&amp;Mod11=170&amp;Pep=SGKWESLHTGKEK&amp;Dta=/var/www/html/dta/S01/10563.2554.2.dta&amp;Global_Mod=CS57.0215", "2554")</f>
        <v>2554</v>
      </c>
      <c r="U1050" s="37" t="str">
        <f>HYPERLINK("http://ms.phosphosite.org:5080/cgi-bin/plot-msms.cgi?MassType=1&amp;NumAxis=1&amp;Mod11=170&amp;Pep=SGKWESLHTGKEK&amp;Dta=/var/www/html/dta/S01/10564.2873.2.dta&amp;Global_Mod=CS57.0215", "2873")</f>
        <v>2873</v>
      </c>
      <c r="V1050" s="38" t="s">
        <v>4854</v>
      </c>
      <c r="W1050" s="10">
        <v>2583</v>
      </c>
      <c r="X1050" s="10">
        <v>2527</v>
      </c>
      <c r="Y1050" s="10">
        <v>2505</v>
      </c>
      <c r="Z1050" s="10">
        <v>2553</v>
      </c>
      <c r="AA1050" s="10">
        <v>2613</v>
      </c>
      <c r="AB1050" s="10">
        <v>2544</v>
      </c>
      <c r="AC1050" s="10">
        <v>2863</v>
      </c>
      <c r="AD1050" s="4" t="s">
        <v>4854</v>
      </c>
      <c r="AE1050" s="91">
        <v>3.448</v>
      </c>
      <c r="AF1050" s="91">
        <v>3.4420000000000002</v>
      </c>
      <c r="AG1050" s="91">
        <v>3.7639999999999998</v>
      </c>
      <c r="AH1050" s="91">
        <v>3.55</v>
      </c>
      <c r="AI1050" s="91">
        <v>3.694</v>
      </c>
      <c r="AJ1050" s="91">
        <v>2.8260000000000001</v>
      </c>
      <c r="AK1050" s="91">
        <v>2.9079999999999999</v>
      </c>
      <c r="AL1050" s="100" t="s">
        <v>4854</v>
      </c>
      <c r="AM1050" s="95">
        <v>1.4576</v>
      </c>
      <c r="AN1050" s="95">
        <v>0.99319999999999997</v>
      </c>
      <c r="AO1050" s="95">
        <v>0.67269999999999996</v>
      </c>
      <c r="AP1050" s="95">
        <v>0.70540000000000003</v>
      </c>
      <c r="AQ1050" s="95">
        <v>0.96970000000000001</v>
      </c>
      <c r="AR1050" s="95">
        <v>0.35220000000000001</v>
      </c>
      <c r="AS1050" s="95">
        <v>0.50329999999999997</v>
      </c>
      <c r="AT1050" s="103" t="s">
        <v>4854</v>
      </c>
      <c r="AU1050" s="95">
        <v>0.40500000000000003</v>
      </c>
      <c r="AV1050" s="95">
        <v>0.36599999999999999</v>
      </c>
      <c r="AW1050" s="95">
        <v>0.46</v>
      </c>
      <c r="AX1050" s="95">
        <v>0.379</v>
      </c>
      <c r="AY1050" s="95">
        <v>0.436</v>
      </c>
      <c r="AZ1050" s="95">
        <v>0.32700000000000001</v>
      </c>
      <c r="BA1050" s="95">
        <v>0.26</v>
      </c>
      <c r="BB1050" s="103" t="s">
        <v>4854</v>
      </c>
      <c r="BC1050" s="10">
        <v>1</v>
      </c>
      <c r="BD1050" s="10">
        <v>1</v>
      </c>
      <c r="BE1050" s="10">
        <v>1</v>
      </c>
      <c r="BF1050" s="10">
        <v>1</v>
      </c>
      <c r="BG1050" s="10">
        <v>1</v>
      </c>
      <c r="BH1050" s="10">
        <v>1</v>
      </c>
      <c r="BI1050" s="10">
        <v>1</v>
      </c>
      <c r="BJ1050" s="4" t="s">
        <v>4854</v>
      </c>
      <c r="BK1050" s="91">
        <v>1</v>
      </c>
      <c r="BL1050" s="91">
        <v>1</v>
      </c>
      <c r="BM1050" s="91">
        <v>1</v>
      </c>
      <c r="BN1050" s="91">
        <v>1</v>
      </c>
      <c r="BO1050" s="91">
        <v>1</v>
      </c>
      <c r="BP1050" s="91">
        <v>1</v>
      </c>
      <c r="BQ1050" s="91">
        <v>0.999</v>
      </c>
      <c r="BR1050" s="100" t="s">
        <v>4854</v>
      </c>
      <c r="BS1050" s="10" t="s">
        <v>4857</v>
      </c>
    </row>
    <row r="1051" spans="1:71" s="30" customFormat="1" ht="17.100000000000001" customHeight="1">
      <c r="A1051" s="10">
        <v>1040</v>
      </c>
      <c r="B1051" s="10" t="s">
        <v>809</v>
      </c>
      <c r="C1051" s="4" t="s">
        <v>1279</v>
      </c>
      <c r="D1051" s="4" t="s">
        <v>801</v>
      </c>
      <c r="E1051" s="4" t="s">
        <v>802</v>
      </c>
      <c r="F1051" s="10" t="s">
        <v>3113</v>
      </c>
      <c r="G1051" s="4" t="s">
        <v>803</v>
      </c>
      <c r="H1051" s="7" t="s">
        <v>804</v>
      </c>
      <c r="I1051" s="4" t="s">
        <v>805</v>
      </c>
      <c r="J1051" s="10" t="s">
        <v>4456</v>
      </c>
      <c r="K1051" s="4" t="s">
        <v>5987</v>
      </c>
      <c r="L1051" s="4" t="s">
        <v>808</v>
      </c>
      <c r="M1051" s="10">
        <v>3</v>
      </c>
      <c r="N1051" s="95">
        <v>510.26330000000002</v>
      </c>
      <c r="O1051" s="38" t="s">
        <v>4854</v>
      </c>
      <c r="P1051" s="38" t="s">
        <v>4854</v>
      </c>
      <c r="Q1051" s="38" t="s">
        <v>4854</v>
      </c>
      <c r="R1051" s="38" t="s">
        <v>4854</v>
      </c>
      <c r="S1051" s="38" t="s">
        <v>4854</v>
      </c>
      <c r="T1051" s="37" t="str">
        <f>HYPERLINK("http://ms.phosphosite.org:5080/cgi-bin/plot-msms.cgi?MassType=1&amp;NumAxis=1&amp;Mod11=170&amp;Pep=SGKWESLHTGKEK&amp;Dta=/var/www/html/dta/S01/10563.2557.3.dta&amp;Global_Mod=CS57.0215", "2557")</f>
        <v>2557</v>
      </c>
      <c r="U1051" s="38" t="s">
        <v>4854</v>
      </c>
      <c r="V1051" s="38" t="s">
        <v>4854</v>
      </c>
      <c r="W1051" s="4" t="s">
        <v>4854</v>
      </c>
      <c r="X1051" s="4" t="s">
        <v>4854</v>
      </c>
      <c r="Y1051" s="4" t="s">
        <v>4854</v>
      </c>
      <c r="Z1051" s="4" t="s">
        <v>4854</v>
      </c>
      <c r="AA1051" s="4" t="s">
        <v>4854</v>
      </c>
      <c r="AB1051" s="10">
        <v>2544</v>
      </c>
      <c r="AC1051" s="4" t="s">
        <v>4854</v>
      </c>
      <c r="AD1051" s="4" t="s">
        <v>4854</v>
      </c>
      <c r="AE1051" s="100" t="s">
        <v>4854</v>
      </c>
      <c r="AF1051" s="100" t="s">
        <v>4854</v>
      </c>
      <c r="AG1051" s="100" t="s">
        <v>4854</v>
      </c>
      <c r="AH1051" s="100" t="s">
        <v>4854</v>
      </c>
      <c r="AI1051" s="100" t="s">
        <v>4854</v>
      </c>
      <c r="AJ1051" s="91">
        <v>2.4849999999999999</v>
      </c>
      <c r="AK1051" s="100" t="s">
        <v>4854</v>
      </c>
      <c r="AL1051" s="100" t="s">
        <v>4854</v>
      </c>
      <c r="AM1051" s="103" t="s">
        <v>4854</v>
      </c>
      <c r="AN1051" s="103" t="s">
        <v>4854</v>
      </c>
      <c r="AO1051" s="103" t="s">
        <v>4854</v>
      </c>
      <c r="AP1051" s="103" t="s">
        <v>4854</v>
      </c>
      <c r="AQ1051" s="103" t="s">
        <v>4854</v>
      </c>
      <c r="AR1051" s="95">
        <v>0.2011</v>
      </c>
      <c r="AS1051" s="103" t="s">
        <v>4854</v>
      </c>
      <c r="AT1051" s="103" t="s">
        <v>4854</v>
      </c>
      <c r="AU1051" s="103" t="s">
        <v>4854</v>
      </c>
      <c r="AV1051" s="103" t="s">
        <v>4854</v>
      </c>
      <c r="AW1051" s="103" t="s">
        <v>4854</v>
      </c>
      <c r="AX1051" s="103" t="s">
        <v>4854</v>
      </c>
      <c r="AY1051" s="103" t="s">
        <v>4854</v>
      </c>
      <c r="AZ1051" s="95">
        <v>0.14399999999999999</v>
      </c>
      <c r="BA1051" s="103" t="s">
        <v>4854</v>
      </c>
      <c r="BB1051" s="103" t="s">
        <v>4854</v>
      </c>
      <c r="BC1051" s="4" t="s">
        <v>4854</v>
      </c>
      <c r="BD1051" s="4" t="s">
        <v>4854</v>
      </c>
      <c r="BE1051" s="4" t="s">
        <v>4854</v>
      </c>
      <c r="BF1051" s="4" t="s">
        <v>4854</v>
      </c>
      <c r="BG1051" s="4" t="s">
        <v>4854</v>
      </c>
      <c r="BH1051" s="10">
        <v>1</v>
      </c>
      <c r="BI1051" s="4" t="s">
        <v>4854</v>
      </c>
      <c r="BJ1051" s="4" t="s">
        <v>4854</v>
      </c>
      <c r="BK1051" s="100" t="s">
        <v>4854</v>
      </c>
      <c r="BL1051" s="100" t="s">
        <v>4854</v>
      </c>
      <c r="BM1051" s="100" t="s">
        <v>4854</v>
      </c>
      <c r="BN1051" s="100" t="s">
        <v>4854</v>
      </c>
      <c r="BO1051" s="100" t="s">
        <v>4854</v>
      </c>
      <c r="BP1051" s="91">
        <v>0.995</v>
      </c>
      <c r="BQ1051" s="100" t="s">
        <v>4854</v>
      </c>
      <c r="BR1051" s="100" t="s">
        <v>4854</v>
      </c>
      <c r="BS1051" s="10" t="s">
        <v>4857</v>
      </c>
    </row>
    <row r="1052" spans="1:71" s="30" customFormat="1" ht="17.100000000000001" customHeight="1">
      <c r="A1052" s="10">
        <v>1041</v>
      </c>
      <c r="B1052" s="10" t="s">
        <v>810</v>
      </c>
      <c r="C1052" s="4" t="s">
        <v>1279</v>
      </c>
      <c r="D1052" s="4" t="s">
        <v>801</v>
      </c>
      <c r="E1052" s="4" t="s">
        <v>802</v>
      </c>
      <c r="F1052" s="10" t="s">
        <v>3113</v>
      </c>
      <c r="G1052" s="4" t="s">
        <v>803</v>
      </c>
      <c r="H1052" s="7" t="s">
        <v>804</v>
      </c>
      <c r="I1052" s="4" t="s">
        <v>805</v>
      </c>
      <c r="J1052" s="10" t="s">
        <v>4456</v>
      </c>
      <c r="K1052" s="4" t="s">
        <v>5987</v>
      </c>
      <c r="L1052" s="4" t="s">
        <v>808</v>
      </c>
      <c r="M1052" s="10">
        <v>4</v>
      </c>
      <c r="N1052" s="95">
        <v>382.94929999999999</v>
      </c>
      <c r="O1052" s="37" t="str">
        <f>HYPERLINK("http://ms.phosphosite.org:5080/cgi-bin/plot-msms.cgi?MassType=1&amp;NumAxis=1&amp;Mod11=170&amp;Pep=SGKWESLHTGKEK&amp;Dta=/var/www/html/dta/S01/10558.2597.4.dta&amp;Global_Mod=CS57.0215", "2597")</f>
        <v>2597</v>
      </c>
      <c r="P1052" s="38" t="s">
        <v>4854</v>
      </c>
      <c r="Q1052" s="37" t="str">
        <f>HYPERLINK("http://ms.phosphosite.org:5080/cgi-bin/plot-msms.cgi?MassType=1&amp;NumAxis=1&amp;Mod11=170&amp;Pep=SGKWESLHTGKEK&amp;Dta=/var/www/html/dta/S01/10560.2479.4.dta&amp;Global_Mod=CS57.0215", "2479")</f>
        <v>2479</v>
      </c>
      <c r="R1052" s="37" t="str">
        <f>HYPERLINK("http://ms.phosphosite.org:5080/cgi-bin/plot-msms.cgi?MassType=1&amp;NumAxis=1&amp;Mod11=170&amp;Pep=SGKWESLHTGKEK&amp;Dta=/var/www/html/dta/S01/10561.2515.4.dta&amp;Global_Mod=CS57.0215", "2515")</f>
        <v>2515</v>
      </c>
      <c r="S1052" s="38" t="s">
        <v>4854</v>
      </c>
      <c r="T1052" s="38" t="s">
        <v>4854</v>
      </c>
      <c r="U1052" s="37" t="str">
        <f>HYPERLINK("http://ms.phosphosite.org:5080/cgi-bin/plot-msms.cgi?MassType=1&amp;NumAxis=1&amp;Mod11=170&amp;Pep=SGKWESLHTGKEK&amp;Dta=/var/www/html/dta/S01/10564.2877.4.dta&amp;Global_Mod=CS57.0215", "2877")</f>
        <v>2877</v>
      </c>
      <c r="V1052" s="37" t="str">
        <f>HYPERLINK("http://ms.phosphosite.org:5080/cgi-bin/plot-msms.cgi?MassType=1&amp;NumAxis=1&amp;Mod11=170&amp;Pep=SGKWESLHTGKEK&amp;Dta=/var/www/html/dta/S01/10565.2939.4.dta&amp;Global_Mod=CS57.0215", "2939")</f>
        <v>2939</v>
      </c>
      <c r="W1052" s="4" t="s">
        <v>4854</v>
      </c>
      <c r="X1052" s="4" t="s">
        <v>4854</v>
      </c>
      <c r="Y1052" s="4" t="s">
        <v>4854</v>
      </c>
      <c r="Z1052" s="4" t="s">
        <v>4854</v>
      </c>
      <c r="AA1052" s="4" t="s">
        <v>4854</v>
      </c>
      <c r="AB1052" s="4" t="s">
        <v>4854</v>
      </c>
      <c r="AC1052" s="10">
        <v>2852</v>
      </c>
      <c r="AD1052" s="10">
        <v>2948</v>
      </c>
      <c r="AE1052" s="91">
        <v>2.2879999999999998</v>
      </c>
      <c r="AF1052" s="100" t="s">
        <v>4854</v>
      </c>
      <c r="AG1052" s="91">
        <v>2.641</v>
      </c>
      <c r="AH1052" s="91">
        <v>2.2320000000000002</v>
      </c>
      <c r="AI1052" s="100" t="s">
        <v>4854</v>
      </c>
      <c r="AJ1052" s="100" t="s">
        <v>4854</v>
      </c>
      <c r="AK1052" s="91">
        <v>2.4630000000000001</v>
      </c>
      <c r="AL1052" s="91">
        <v>2.73</v>
      </c>
      <c r="AM1052" s="95">
        <v>0.22</v>
      </c>
      <c r="AN1052" s="103" t="s">
        <v>4854</v>
      </c>
      <c r="AO1052" s="95">
        <v>0.44109999999999999</v>
      </c>
      <c r="AP1052" s="95">
        <v>0.50980000000000003</v>
      </c>
      <c r="AQ1052" s="103" t="s">
        <v>4854</v>
      </c>
      <c r="AR1052" s="103" t="s">
        <v>4854</v>
      </c>
      <c r="AS1052" s="95">
        <v>2.64E-2</v>
      </c>
      <c r="AT1052" s="95">
        <v>-0.77749999999999997</v>
      </c>
      <c r="AU1052" s="95">
        <v>0.01</v>
      </c>
      <c r="AV1052" s="103" t="s">
        <v>4854</v>
      </c>
      <c r="AW1052" s="95">
        <v>8.2000000000000003E-2</v>
      </c>
      <c r="AX1052" s="95">
        <v>5.2999999999999999E-2</v>
      </c>
      <c r="AY1052" s="103" t="s">
        <v>4854</v>
      </c>
      <c r="AZ1052" s="103" t="s">
        <v>4854</v>
      </c>
      <c r="BA1052" s="95">
        <v>0.12</v>
      </c>
      <c r="BB1052" s="95">
        <v>0.27700000000000002</v>
      </c>
      <c r="BC1052" s="10">
        <v>26</v>
      </c>
      <c r="BD1052" s="4" t="s">
        <v>4854</v>
      </c>
      <c r="BE1052" s="10">
        <v>128</v>
      </c>
      <c r="BF1052" s="10">
        <v>672</v>
      </c>
      <c r="BG1052" s="4" t="s">
        <v>4854</v>
      </c>
      <c r="BH1052" s="4" t="s">
        <v>4854</v>
      </c>
      <c r="BI1052" s="10">
        <v>10</v>
      </c>
      <c r="BJ1052" s="10">
        <v>5</v>
      </c>
      <c r="BK1052" s="91">
        <v>0.873</v>
      </c>
      <c r="BL1052" s="100" t="s">
        <v>4854</v>
      </c>
      <c r="BM1052" s="91">
        <v>0.9</v>
      </c>
      <c r="BN1052" s="91">
        <v>0.70499999999999996</v>
      </c>
      <c r="BO1052" s="100" t="s">
        <v>4854</v>
      </c>
      <c r="BP1052" s="100" t="s">
        <v>4854</v>
      </c>
      <c r="BQ1052" s="91">
        <v>0.98799999999999999</v>
      </c>
      <c r="BR1052" s="91">
        <v>0.999</v>
      </c>
      <c r="BS1052" s="10" t="s">
        <v>4857</v>
      </c>
    </row>
    <row r="1053" spans="1:71" s="30" customFormat="1" ht="17.100000000000001" customHeight="1">
      <c r="A1053" s="10">
        <v>1042</v>
      </c>
      <c r="B1053" s="10" t="s">
        <v>811</v>
      </c>
      <c r="C1053" s="4" t="s">
        <v>1279</v>
      </c>
      <c r="D1053" s="4" t="s">
        <v>801</v>
      </c>
      <c r="E1053" s="4" t="s">
        <v>802</v>
      </c>
      <c r="F1053" s="10" t="s">
        <v>3113</v>
      </c>
      <c r="G1053" s="4" t="s">
        <v>803</v>
      </c>
      <c r="H1053" s="7" t="s">
        <v>804</v>
      </c>
      <c r="I1053" s="4" t="s">
        <v>805</v>
      </c>
      <c r="J1053" s="10" t="s">
        <v>4456</v>
      </c>
      <c r="K1053" s="4" t="s">
        <v>5987</v>
      </c>
      <c r="L1053" s="4" t="s">
        <v>812</v>
      </c>
      <c r="M1053" s="10">
        <v>2</v>
      </c>
      <c r="N1053" s="95">
        <v>628.81709999999998</v>
      </c>
      <c r="O1053" s="38" t="s">
        <v>4854</v>
      </c>
      <c r="P1053" s="38" t="s">
        <v>4854</v>
      </c>
      <c r="Q1053" s="38" t="s">
        <v>4854</v>
      </c>
      <c r="R1053" s="38" t="s">
        <v>4854</v>
      </c>
      <c r="S1053" s="38" t="s">
        <v>4854</v>
      </c>
      <c r="T1053" s="38" t="s">
        <v>4854</v>
      </c>
      <c r="U1053" s="37" t="str">
        <f>HYPERLINK("http://ms.phosphosite.org:5080/cgi-bin/plot-msms.cgi?MassType=1&amp;NumAxis=1&amp;Mod8=170&amp;Pep=WESLHTGKEK&amp;Dta=/var/www/html/dta/S01/10564.3439.2.dta&amp;Global_Mod=CS57.0215", "3439")</f>
        <v>3439</v>
      </c>
      <c r="V1053" s="37" t="str">
        <f>HYPERLINK("http://ms.phosphosite.org:5080/cgi-bin/plot-msms.cgi?MassType=1&amp;NumAxis=1&amp;Mod8=170&amp;Pep=WESLHTGKEK&amp;Dta=/var/www/html/dta/S01/10565.3541.2.dta&amp;Global_Mod=CS57.0215", "3541")</f>
        <v>3541</v>
      </c>
      <c r="W1053" s="4" t="s">
        <v>4854</v>
      </c>
      <c r="X1053" s="4" t="s">
        <v>4854</v>
      </c>
      <c r="Y1053" s="4" t="s">
        <v>4854</v>
      </c>
      <c r="Z1053" s="4" t="s">
        <v>4854</v>
      </c>
      <c r="AA1053" s="4" t="s">
        <v>4854</v>
      </c>
      <c r="AB1053" s="4" t="s">
        <v>4854</v>
      </c>
      <c r="AC1053" s="4" t="s">
        <v>4854</v>
      </c>
      <c r="AD1053" s="10">
        <v>3521</v>
      </c>
      <c r="AE1053" s="100" t="s">
        <v>4854</v>
      </c>
      <c r="AF1053" s="100" t="s">
        <v>4854</v>
      </c>
      <c r="AG1053" s="100" t="s">
        <v>4854</v>
      </c>
      <c r="AH1053" s="100" t="s">
        <v>4854</v>
      </c>
      <c r="AI1053" s="100" t="s">
        <v>4854</v>
      </c>
      <c r="AJ1053" s="100" t="s">
        <v>4854</v>
      </c>
      <c r="AK1053" s="91">
        <v>1.5780000000000001</v>
      </c>
      <c r="AL1053" s="91">
        <v>1.84</v>
      </c>
      <c r="AM1053" s="103" t="s">
        <v>4854</v>
      </c>
      <c r="AN1053" s="103" t="s">
        <v>4854</v>
      </c>
      <c r="AO1053" s="103" t="s">
        <v>4854</v>
      </c>
      <c r="AP1053" s="103" t="s">
        <v>4854</v>
      </c>
      <c r="AQ1053" s="103" t="s">
        <v>4854</v>
      </c>
      <c r="AR1053" s="103" t="s">
        <v>4854</v>
      </c>
      <c r="AS1053" s="95">
        <v>-0.79930000000000001</v>
      </c>
      <c r="AT1053" s="95">
        <v>-0.39750000000000002</v>
      </c>
      <c r="AU1053" s="103" t="s">
        <v>4854</v>
      </c>
      <c r="AV1053" s="103" t="s">
        <v>4854</v>
      </c>
      <c r="AW1053" s="103" t="s">
        <v>4854</v>
      </c>
      <c r="AX1053" s="103" t="s">
        <v>4854</v>
      </c>
      <c r="AY1053" s="103" t="s">
        <v>4854</v>
      </c>
      <c r="AZ1053" s="103" t="s">
        <v>4854</v>
      </c>
      <c r="BA1053" s="95">
        <v>0.16300000000000001</v>
      </c>
      <c r="BB1053" s="95">
        <v>8.2000000000000003E-2</v>
      </c>
      <c r="BC1053" s="4" t="s">
        <v>4854</v>
      </c>
      <c r="BD1053" s="4" t="s">
        <v>4854</v>
      </c>
      <c r="BE1053" s="4" t="s">
        <v>4854</v>
      </c>
      <c r="BF1053" s="4" t="s">
        <v>4854</v>
      </c>
      <c r="BG1053" s="4" t="s">
        <v>4854</v>
      </c>
      <c r="BH1053" s="4" t="s">
        <v>4854</v>
      </c>
      <c r="BI1053" s="10">
        <v>1</v>
      </c>
      <c r="BJ1053" s="10">
        <v>1</v>
      </c>
      <c r="BK1053" s="100" t="s">
        <v>4854</v>
      </c>
      <c r="BL1053" s="100" t="s">
        <v>4854</v>
      </c>
      <c r="BM1053" s="100" t="s">
        <v>4854</v>
      </c>
      <c r="BN1053" s="100" t="s">
        <v>4854</v>
      </c>
      <c r="BO1053" s="100" t="s">
        <v>4854</v>
      </c>
      <c r="BP1053" s="100" t="s">
        <v>4854</v>
      </c>
      <c r="BQ1053" s="91">
        <v>0.93799999999999994</v>
      </c>
      <c r="BR1053" s="91">
        <v>0.96399999999999997</v>
      </c>
      <c r="BS1053" s="10" t="s">
        <v>4857</v>
      </c>
    </row>
    <row r="1054" spans="1:71" s="30" customFormat="1" ht="17.100000000000001" customHeight="1">
      <c r="A1054" s="14">
        <v>1043</v>
      </c>
      <c r="B1054" s="5" t="s">
        <v>813</v>
      </c>
      <c r="C1054" s="3" t="s">
        <v>1279</v>
      </c>
      <c r="D1054" s="3" t="s">
        <v>801</v>
      </c>
      <c r="E1054" s="3" t="s">
        <v>802</v>
      </c>
      <c r="F1054" s="5" t="s">
        <v>3117</v>
      </c>
      <c r="G1054" s="3" t="s">
        <v>803</v>
      </c>
      <c r="H1054" s="6" t="s">
        <v>804</v>
      </c>
      <c r="I1054" s="3" t="s">
        <v>805</v>
      </c>
      <c r="J1054" s="5" t="s">
        <v>4456</v>
      </c>
      <c r="K1054" s="3" t="s">
        <v>5988</v>
      </c>
      <c r="L1054" s="3" t="s">
        <v>814</v>
      </c>
      <c r="M1054" s="5">
        <v>3</v>
      </c>
      <c r="N1054" s="21">
        <v>510.26330000000002</v>
      </c>
      <c r="O1054" s="36" t="str">
        <f>HYPERLINK("http://ms.phosphosite.org:5080/cgi-bin/plot-msms.cgi?MassType=1&amp;NumAxis=1&amp;Mod13=170&amp;Pep=SGKWESLHTGKEK&amp;Dta=/var/www/html/dta/S01/10558.2584.3.dta&amp;Global_Mod=CS57.0215", "2584")</f>
        <v>2584</v>
      </c>
      <c r="P1054" s="35" t="s">
        <v>4854</v>
      </c>
      <c r="Q1054" s="36" t="str">
        <f>HYPERLINK("http://ms.phosphosite.org:5080/cgi-bin/plot-msms.cgi?MassType=1&amp;NumAxis=1&amp;Mod13=170&amp;Pep=SGKWESLHTGKEK&amp;Dta=/var/www/html/dta/S01/10560.2462.3.dta&amp;Global_Mod=CS57.0215", "2462")</f>
        <v>2462</v>
      </c>
      <c r="R1054" s="35" t="s">
        <v>4854</v>
      </c>
      <c r="S1054" s="35" t="s">
        <v>4854</v>
      </c>
      <c r="T1054" s="35" t="s">
        <v>4854</v>
      </c>
      <c r="U1054" s="36" t="str">
        <f>HYPERLINK("http://ms.phosphosite.org:5080/cgi-bin/plot-msms.cgi?MassType=1&amp;NumAxis=1&amp;Mod13=170&amp;Pep=SGKWESLHTGKEK&amp;Dta=/var/www/html/dta/S01/10564.2898.3.dta&amp;Global_Mod=CS57.0215", "2898")</f>
        <v>2898</v>
      </c>
      <c r="V1054" s="35" t="s">
        <v>4854</v>
      </c>
      <c r="W1054" s="5">
        <v>2583</v>
      </c>
      <c r="X1054" s="3" t="s">
        <v>4854</v>
      </c>
      <c r="Y1054" s="5">
        <v>2505</v>
      </c>
      <c r="Z1054" s="3" t="s">
        <v>4854</v>
      </c>
      <c r="AA1054" s="3" t="s">
        <v>4854</v>
      </c>
      <c r="AB1054" s="3" t="s">
        <v>4854</v>
      </c>
      <c r="AC1054" s="5">
        <v>2863</v>
      </c>
      <c r="AD1054" s="3" t="s">
        <v>4854</v>
      </c>
      <c r="AE1054" s="90">
        <v>2.2679999999999998</v>
      </c>
      <c r="AF1054" s="99" t="s">
        <v>4854</v>
      </c>
      <c r="AG1054" s="90">
        <v>2.1240000000000001</v>
      </c>
      <c r="AH1054" s="99" t="s">
        <v>4854</v>
      </c>
      <c r="AI1054" s="99" t="s">
        <v>4854</v>
      </c>
      <c r="AJ1054" s="99" t="s">
        <v>4854</v>
      </c>
      <c r="AK1054" s="90">
        <v>2.617</v>
      </c>
      <c r="AL1054" s="99" t="s">
        <v>4854</v>
      </c>
      <c r="AM1054" s="21">
        <v>-0.26469999999999999</v>
      </c>
      <c r="AN1054" s="102" t="s">
        <v>4854</v>
      </c>
      <c r="AO1054" s="21">
        <v>2.4500000000000001E-2</v>
      </c>
      <c r="AP1054" s="102" t="s">
        <v>4854</v>
      </c>
      <c r="AQ1054" s="102" t="s">
        <v>4854</v>
      </c>
      <c r="AR1054" s="102" t="s">
        <v>4854</v>
      </c>
      <c r="AS1054" s="21">
        <v>-0.14099999999999999</v>
      </c>
      <c r="AT1054" s="102" t="s">
        <v>4854</v>
      </c>
      <c r="AU1054" s="21">
        <v>7.0999999999999994E-2</v>
      </c>
      <c r="AV1054" s="102" t="s">
        <v>4854</v>
      </c>
      <c r="AW1054" s="21">
        <v>0.13200000000000001</v>
      </c>
      <c r="AX1054" s="102" t="s">
        <v>4854</v>
      </c>
      <c r="AY1054" s="102" t="s">
        <v>4854</v>
      </c>
      <c r="AZ1054" s="102" t="s">
        <v>4854</v>
      </c>
      <c r="BA1054" s="21">
        <v>0.16400000000000001</v>
      </c>
      <c r="BB1054" s="102" t="s">
        <v>4854</v>
      </c>
      <c r="BC1054" s="5">
        <v>3</v>
      </c>
      <c r="BD1054" s="3" t="s">
        <v>4854</v>
      </c>
      <c r="BE1054" s="5">
        <v>13</v>
      </c>
      <c r="BF1054" s="3" t="s">
        <v>4854</v>
      </c>
      <c r="BG1054" s="3" t="s">
        <v>4854</v>
      </c>
      <c r="BH1054" s="3" t="s">
        <v>4854</v>
      </c>
      <c r="BI1054" s="5">
        <v>206</v>
      </c>
      <c r="BJ1054" s="3" t="s">
        <v>4854</v>
      </c>
      <c r="BK1054" s="90">
        <v>0.97099999999999997</v>
      </c>
      <c r="BL1054" s="99" t="s">
        <v>4854</v>
      </c>
      <c r="BM1054" s="90">
        <v>0.97699999999999998</v>
      </c>
      <c r="BN1054" s="99" t="s">
        <v>4854</v>
      </c>
      <c r="BO1054" s="99" t="s">
        <v>4854</v>
      </c>
      <c r="BP1054" s="99" t="s">
        <v>4854</v>
      </c>
      <c r="BQ1054" s="90">
        <v>0.98599999999999999</v>
      </c>
      <c r="BR1054" s="99" t="s">
        <v>4854</v>
      </c>
      <c r="BS1054" s="5" t="s">
        <v>4857</v>
      </c>
    </row>
    <row r="1055" spans="1:71" s="30" customFormat="1" ht="17.100000000000001" customHeight="1">
      <c r="A1055" s="14">
        <v>1044</v>
      </c>
      <c r="B1055" s="5" t="s">
        <v>815</v>
      </c>
      <c r="C1055" s="3" t="s">
        <v>1279</v>
      </c>
      <c r="D1055" s="3" t="s">
        <v>801</v>
      </c>
      <c r="E1055" s="3" t="s">
        <v>802</v>
      </c>
      <c r="F1055" s="5" t="s">
        <v>3117</v>
      </c>
      <c r="G1055" s="3" t="s">
        <v>803</v>
      </c>
      <c r="H1055" s="6" t="s">
        <v>804</v>
      </c>
      <c r="I1055" s="3" t="s">
        <v>805</v>
      </c>
      <c r="J1055" s="5" t="s">
        <v>4456</v>
      </c>
      <c r="K1055" s="3" t="s">
        <v>5988</v>
      </c>
      <c r="L1055" s="3" t="s">
        <v>814</v>
      </c>
      <c r="M1055" s="5">
        <v>3</v>
      </c>
      <c r="N1055" s="21">
        <v>510.26330000000002</v>
      </c>
      <c r="O1055" s="35" t="s">
        <v>4854</v>
      </c>
      <c r="P1055" s="35" t="s">
        <v>4854</v>
      </c>
      <c r="Q1055" s="36" t="str">
        <f>HYPERLINK("http://ms.phosphosite.org:5080/cgi-bin/plot-msms.cgi?MassType=1&amp;NumAxis=1&amp;Mod13=170&amp;Pep=SGKWESLHTGKEK&amp;Dta=/var/www/html/dta/S01/10560.2554.3.dta&amp;Global_Mod=CS57.0215", "2554")</f>
        <v>2554</v>
      </c>
      <c r="R1055" s="35" t="s">
        <v>4854</v>
      </c>
      <c r="S1055" s="35" t="s">
        <v>4854</v>
      </c>
      <c r="T1055" s="35" t="s">
        <v>4854</v>
      </c>
      <c r="U1055" s="35" t="s">
        <v>4854</v>
      </c>
      <c r="V1055" s="35" t="s">
        <v>4854</v>
      </c>
      <c r="W1055" s="3" t="s">
        <v>4854</v>
      </c>
      <c r="X1055" s="3" t="s">
        <v>4854</v>
      </c>
      <c r="Y1055" s="3" t="s">
        <v>4854</v>
      </c>
      <c r="Z1055" s="3" t="s">
        <v>4854</v>
      </c>
      <c r="AA1055" s="3" t="s">
        <v>4854</v>
      </c>
      <c r="AB1055" s="3" t="s">
        <v>4854</v>
      </c>
      <c r="AC1055" s="3" t="s">
        <v>4854</v>
      </c>
      <c r="AD1055" s="3" t="s">
        <v>4854</v>
      </c>
      <c r="AE1055" s="99" t="s">
        <v>4854</v>
      </c>
      <c r="AF1055" s="99" t="s">
        <v>4854</v>
      </c>
      <c r="AG1055" s="90">
        <v>2.0870000000000002</v>
      </c>
      <c r="AH1055" s="99" t="s">
        <v>4854</v>
      </c>
      <c r="AI1055" s="99" t="s">
        <v>4854</v>
      </c>
      <c r="AJ1055" s="99" t="s">
        <v>4854</v>
      </c>
      <c r="AK1055" s="99" t="s">
        <v>4854</v>
      </c>
      <c r="AL1055" s="99" t="s">
        <v>4854</v>
      </c>
      <c r="AM1055" s="102" t="s">
        <v>4854</v>
      </c>
      <c r="AN1055" s="102" t="s">
        <v>4854</v>
      </c>
      <c r="AO1055" s="21">
        <v>-5.8000000000000003E-2</v>
      </c>
      <c r="AP1055" s="102" t="s">
        <v>4854</v>
      </c>
      <c r="AQ1055" s="102" t="s">
        <v>4854</v>
      </c>
      <c r="AR1055" s="102" t="s">
        <v>4854</v>
      </c>
      <c r="AS1055" s="102" t="s">
        <v>4854</v>
      </c>
      <c r="AT1055" s="102" t="s">
        <v>4854</v>
      </c>
      <c r="AU1055" s="102" t="s">
        <v>4854</v>
      </c>
      <c r="AV1055" s="102" t="s">
        <v>4854</v>
      </c>
      <c r="AW1055" s="21">
        <v>0.1</v>
      </c>
      <c r="AX1055" s="102" t="s">
        <v>4854</v>
      </c>
      <c r="AY1055" s="102" t="s">
        <v>4854</v>
      </c>
      <c r="AZ1055" s="102" t="s">
        <v>4854</v>
      </c>
      <c r="BA1055" s="102" t="s">
        <v>4854</v>
      </c>
      <c r="BB1055" s="102" t="s">
        <v>4854</v>
      </c>
      <c r="BC1055" s="3" t="s">
        <v>4854</v>
      </c>
      <c r="BD1055" s="3" t="s">
        <v>4854</v>
      </c>
      <c r="BE1055" s="5">
        <v>394</v>
      </c>
      <c r="BF1055" s="3" t="s">
        <v>4854</v>
      </c>
      <c r="BG1055" s="3" t="s">
        <v>4854</v>
      </c>
      <c r="BH1055" s="3" t="s">
        <v>4854</v>
      </c>
      <c r="BI1055" s="3" t="s">
        <v>4854</v>
      </c>
      <c r="BJ1055" s="3" t="s">
        <v>4854</v>
      </c>
      <c r="BK1055" s="99" t="s">
        <v>4854</v>
      </c>
      <c r="BL1055" s="99" t="s">
        <v>4854</v>
      </c>
      <c r="BM1055" s="90">
        <v>0.91200000000000003</v>
      </c>
      <c r="BN1055" s="99" t="s">
        <v>4854</v>
      </c>
      <c r="BO1055" s="99" t="s">
        <v>4854</v>
      </c>
      <c r="BP1055" s="99" t="s">
        <v>4854</v>
      </c>
      <c r="BQ1055" s="99" t="s">
        <v>4854</v>
      </c>
      <c r="BR1055" s="99" t="s">
        <v>4854</v>
      </c>
      <c r="BS1055" s="5" t="s">
        <v>4857</v>
      </c>
    </row>
    <row r="1056" spans="1:71" s="30" customFormat="1" ht="17.100000000000001" customHeight="1">
      <c r="A1056" s="10">
        <v>1045</v>
      </c>
      <c r="B1056" s="10" t="s">
        <v>816</v>
      </c>
      <c r="C1056" s="4" t="s">
        <v>1279</v>
      </c>
      <c r="D1056" s="4" t="s">
        <v>817</v>
      </c>
      <c r="E1056" s="4" t="s">
        <v>818</v>
      </c>
      <c r="F1056" s="10" t="s">
        <v>3986</v>
      </c>
      <c r="G1056" s="4" t="s">
        <v>819</v>
      </c>
      <c r="H1056" s="7" t="s">
        <v>820</v>
      </c>
      <c r="I1056" s="4" t="s">
        <v>821</v>
      </c>
      <c r="J1056" s="10" t="s">
        <v>4624</v>
      </c>
      <c r="K1056" s="4" t="s">
        <v>5989</v>
      </c>
      <c r="L1056" s="4" t="s">
        <v>822</v>
      </c>
      <c r="M1056" s="10">
        <v>3</v>
      </c>
      <c r="N1056" s="95">
        <v>677.32889999999998</v>
      </c>
      <c r="O1056" s="37" t="str">
        <f>HYPERLINK("http://ms.phosphosite.org:5080/cgi-bin/plot-msms.cgi?MassType=1&amp;NumAxis=1&amp;Mod14=160&amp;Mod18=170&amp;Pep=MLPTNTFAFKGETCSVGK&amp;Dta=/var/www/html/dta/S01/10558.10189.3.dta&amp;Global_Mod=CS57.0215", "10189")</f>
        <v>10189</v>
      </c>
      <c r="P1056" s="38" t="s">
        <v>4854</v>
      </c>
      <c r="Q1056" s="38" t="s">
        <v>4854</v>
      </c>
      <c r="R1056" s="38" t="s">
        <v>4854</v>
      </c>
      <c r="S1056" s="38" t="s">
        <v>4854</v>
      </c>
      <c r="T1056" s="38" t="s">
        <v>4854</v>
      </c>
      <c r="U1056" s="38" t="s">
        <v>4854</v>
      </c>
      <c r="V1056" s="38" t="s">
        <v>4854</v>
      </c>
      <c r="W1056" s="4" t="s">
        <v>4854</v>
      </c>
      <c r="X1056" s="4" t="s">
        <v>4854</v>
      </c>
      <c r="Y1056" s="4" t="s">
        <v>4854</v>
      </c>
      <c r="Z1056" s="4" t="s">
        <v>4854</v>
      </c>
      <c r="AA1056" s="4" t="s">
        <v>4854</v>
      </c>
      <c r="AB1056" s="4" t="s">
        <v>4854</v>
      </c>
      <c r="AC1056" s="4" t="s">
        <v>4854</v>
      </c>
      <c r="AD1056" s="4" t="s">
        <v>4854</v>
      </c>
      <c r="AE1056" s="91">
        <v>2.1739999999999999</v>
      </c>
      <c r="AF1056" s="100" t="s">
        <v>4854</v>
      </c>
      <c r="AG1056" s="100" t="s">
        <v>4854</v>
      </c>
      <c r="AH1056" s="100" t="s">
        <v>4854</v>
      </c>
      <c r="AI1056" s="100" t="s">
        <v>4854</v>
      </c>
      <c r="AJ1056" s="100" t="s">
        <v>4854</v>
      </c>
      <c r="AK1056" s="100" t="s">
        <v>4854</v>
      </c>
      <c r="AL1056" s="100" t="s">
        <v>4854</v>
      </c>
      <c r="AM1056" s="95">
        <v>-0.70140000000000002</v>
      </c>
      <c r="AN1056" s="103" t="s">
        <v>4854</v>
      </c>
      <c r="AO1056" s="103" t="s">
        <v>4854</v>
      </c>
      <c r="AP1056" s="103" t="s">
        <v>4854</v>
      </c>
      <c r="AQ1056" s="103" t="s">
        <v>4854</v>
      </c>
      <c r="AR1056" s="103" t="s">
        <v>4854</v>
      </c>
      <c r="AS1056" s="103" t="s">
        <v>4854</v>
      </c>
      <c r="AT1056" s="103" t="s">
        <v>4854</v>
      </c>
      <c r="AU1056" s="95">
        <v>3.5999999999999997E-2</v>
      </c>
      <c r="AV1056" s="103" t="s">
        <v>4854</v>
      </c>
      <c r="AW1056" s="103" t="s">
        <v>4854</v>
      </c>
      <c r="AX1056" s="103" t="s">
        <v>4854</v>
      </c>
      <c r="AY1056" s="103" t="s">
        <v>4854</v>
      </c>
      <c r="AZ1056" s="103" t="s">
        <v>4854</v>
      </c>
      <c r="BA1056" s="103" t="s">
        <v>4854</v>
      </c>
      <c r="BB1056" s="103" t="s">
        <v>4854</v>
      </c>
      <c r="BC1056" s="10">
        <v>110</v>
      </c>
      <c r="BD1056" s="4" t="s">
        <v>4854</v>
      </c>
      <c r="BE1056" s="4" t="s">
        <v>4854</v>
      </c>
      <c r="BF1056" s="4" t="s">
        <v>4854</v>
      </c>
      <c r="BG1056" s="4" t="s">
        <v>4854</v>
      </c>
      <c r="BH1056" s="4" t="s">
        <v>4854</v>
      </c>
      <c r="BI1056" s="4" t="s">
        <v>4854</v>
      </c>
      <c r="BJ1056" s="4" t="s">
        <v>4854</v>
      </c>
      <c r="BK1056" s="91">
        <v>0.72399999999999998</v>
      </c>
      <c r="BL1056" s="100" t="s">
        <v>4854</v>
      </c>
      <c r="BM1056" s="100" t="s">
        <v>4854</v>
      </c>
      <c r="BN1056" s="100" t="s">
        <v>4854</v>
      </c>
      <c r="BO1056" s="100" t="s">
        <v>4854</v>
      </c>
      <c r="BP1056" s="100" t="s">
        <v>4854</v>
      </c>
      <c r="BQ1056" s="100" t="s">
        <v>4854</v>
      </c>
      <c r="BR1056" s="100" t="s">
        <v>4854</v>
      </c>
      <c r="BS1056" s="10" t="s">
        <v>4857</v>
      </c>
    </row>
    <row r="1057" spans="1:71" s="30" customFormat="1" ht="17.100000000000001" customHeight="1">
      <c r="A1057" s="14">
        <v>1046</v>
      </c>
      <c r="B1057" s="5" t="s">
        <v>823</v>
      </c>
      <c r="C1057" s="3" t="s">
        <v>1279</v>
      </c>
      <c r="D1057" s="3" t="s">
        <v>824</v>
      </c>
      <c r="E1057" s="3" t="s">
        <v>825</v>
      </c>
      <c r="F1057" s="5" t="s">
        <v>826</v>
      </c>
      <c r="G1057" s="3" t="s">
        <v>827</v>
      </c>
      <c r="H1057" s="6" t="s">
        <v>828</v>
      </c>
      <c r="I1057" s="3" t="s">
        <v>829</v>
      </c>
      <c r="J1057" s="5" t="s">
        <v>830</v>
      </c>
      <c r="K1057" s="3" t="s">
        <v>5990</v>
      </c>
      <c r="L1057" s="3" t="s">
        <v>831</v>
      </c>
      <c r="M1057" s="5">
        <v>2</v>
      </c>
      <c r="N1057" s="21">
        <v>799.96690000000001</v>
      </c>
      <c r="O1057" s="36" t="str">
        <f>HYPERLINK("http://ms.phosphosite.org:5080/cgi-bin/plot-msms.cgi?MassType=1&amp;NumAxis=1&amp;Mod8=170&amp;Pep=KHPPIAAKVEEPLK&amp;Dta=/var/www/html/dta/S01/10558.4359.2.dta&amp;Global_Mod=CS57.0215", "4359")</f>
        <v>4359</v>
      </c>
      <c r="P1057" s="35" t="s">
        <v>4854</v>
      </c>
      <c r="Q1057" s="35" t="s">
        <v>4854</v>
      </c>
      <c r="R1057" s="35" t="s">
        <v>4854</v>
      </c>
      <c r="S1057" s="35" t="s">
        <v>4854</v>
      </c>
      <c r="T1057" s="35" t="s">
        <v>4854</v>
      </c>
      <c r="U1057" s="35" t="s">
        <v>4854</v>
      </c>
      <c r="V1057" s="35" t="s">
        <v>4854</v>
      </c>
      <c r="W1057" s="3" t="s">
        <v>4854</v>
      </c>
      <c r="X1057" s="3" t="s">
        <v>4854</v>
      </c>
      <c r="Y1057" s="3" t="s">
        <v>4854</v>
      </c>
      <c r="Z1057" s="3" t="s">
        <v>4854</v>
      </c>
      <c r="AA1057" s="3" t="s">
        <v>4854</v>
      </c>
      <c r="AB1057" s="3" t="s">
        <v>4854</v>
      </c>
      <c r="AC1057" s="3" t="s">
        <v>4854</v>
      </c>
      <c r="AD1057" s="3" t="s">
        <v>4854</v>
      </c>
      <c r="AE1057" s="90">
        <v>1.659</v>
      </c>
      <c r="AF1057" s="99" t="s">
        <v>4854</v>
      </c>
      <c r="AG1057" s="99" t="s">
        <v>4854</v>
      </c>
      <c r="AH1057" s="99" t="s">
        <v>4854</v>
      </c>
      <c r="AI1057" s="99" t="s">
        <v>4854</v>
      </c>
      <c r="AJ1057" s="99" t="s">
        <v>4854</v>
      </c>
      <c r="AK1057" s="99" t="s">
        <v>4854</v>
      </c>
      <c r="AL1057" s="99" t="s">
        <v>4854</v>
      </c>
      <c r="AM1057" s="21">
        <v>0.5373</v>
      </c>
      <c r="AN1057" s="102" t="s">
        <v>4854</v>
      </c>
      <c r="AO1057" s="102" t="s">
        <v>4854</v>
      </c>
      <c r="AP1057" s="102" t="s">
        <v>4854</v>
      </c>
      <c r="AQ1057" s="102" t="s">
        <v>4854</v>
      </c>
      <c r="AR1057" s="102" t="s">
        <v>4854</v>
      </c>
      <c r="AS1057" s="102" t="s">
        <v>4854</v>
      </c>
      <c r="AT1057" s="102" t="s">
        <v>4854</v>
      </c>
      <c r="AU1057" s="21">
        <v>0.04</v>
      </c>
      <c r="AV1057" s="102" t="s">
        <v>4854</v>
      </c>
      <c r="AW1057" s="102" t="s">
        <v>4854</v>
      </c>
      <c r="AX1057" s="102" t="s">
        <v>4854</v>
      </c>
      <c r="AY1057" s="102" t="s">
        <v>4854</v>
      </c>
      <c r="AZ1057" s="102" t="s">
        <v>4854</v>
      </c>
      <c r="BA1057" s="102" t="s">
        <v>4854</v>
      </c>
      <c r="BB1057" s="102" t="s">
        <v>4854</v>
      </c>
      <c r="BC1057" s="5">
        <v>198</v>
      </c>
      <c r="BD1057" s="3" t="s">
        <v>4854</v>
      </c>
      <c r="BE1057" s="3" t="s">
        <v>4854</v>
      </c>
      <c r="BF1057" s="3" t="s">
        <v>4854</v>
      </c>
      <c r="BG1057" s="3" t="s">
        <v>4854</v>
      </c>
      <c r="BH1057" s="3" t="s">
        <v>4854</v>
      </c>
      <c r="BI1057" s="3" t="s">
        <v>4854</v>
      </c>
      <c r="BJ1057" s="3" t="s">
        <v>4854</v>
      </c>
      <c r="BK1057" s="90">
        <v>0.59899999999999998</v>
      </c>
      <c r="BL1057" s="99" t="s">
        <v>4854</v>
      </c>
      <c r="BM1057" s="99" t="s">
        <v>4854</v>
      </c>
      <c r="BN1057" s="99" t="s">
        <v>4854</v>
      </c>
      <c r="BO1057" s="99" t="s">
        <v>4854</v>
      </c>
      <c r="BP1057" s="99" t="s">
        <v>4854</v>
      </c>
      <c r="BQ1057" s="99" t="s">
        <v>4854</v>
      </c>
      <c r="BR1057" s="99" t="s">
        <v>4854</v>
      </c>
      <c r="BS1057" s="5" t="s">
        <v>4857</v>
      </c>
    </row>
    <row r="1058" spans="1:71" s="30" customFormat="1" ht="17.100000000000001" customHeight="1">
      <c r="A1058" s="14">
        <v>1047</v>
      </c>
      <c r="B1058" s="5" t="s">
        <v>832</v>
      </c>
      <c r="C1058" s="3" t="s">
        <v>1279</v>
      </c>
      <c r="D1058" s="3" t="s">
        <v>824</v>
      </c>
      <c r="E1058" s="3" t="s">
        <v>825</v>
      </c>
      <c r="F1058" s="5" t="s">
        <v>826</v>
      </c>
      <c r="G1058" s="3" t="s">
        <v>827</v>
      </c>
      <c r="H1058" s="6" t="s">
        <v>828</v>
      </c>
      <c r="I1058" s="3" t="s">
        <v>829</v>
      </c>
      <c r="J1058" s="5" t="s">
        <v>830</v>
      </c>
      <c r="K1058" s="3" t="s">
        <v>5990</v>
      </c>
      <c r="L1058" s="3" t="s">
        <v>831</v>
      </c>
      <c r="M1058" s="5">
        <v>3</v>
      </c>
      <c r="N1058" s="21">
        <v>533.64700000000005</v>
      </c>
      <c r="O1058" s="36" t="str">
        <f>HYPERLINK("http://ms.phosphosite.org:5080/cgi-bin/plot-msms.cgi?MassType=1&amp;NumAxis=1&amp;Mod8=170&amp;Pep=KHPPIAAKVEEPLK&amp;Dta=/var/www/html/dta/S01/10558.4414.3.dta&amp;Global_Mod=CS57.0215", "4414")</f>
        <v>4414</v>
      </c>
      <c r="P1058" s="36" t="str">
        <f>HYPERLINK("http://ms.phosphosite.org:5080/cgi-bin/plot-msms.cgi?MassType=1&amp;NumAxis=1&amp;Mod8=170&amp;Pep=KHPPIAAKVEEPLK&amp;Dta=/var/www/html/dta/S01/10559.4273.3.dta&amp;Global_Mod=CS57.0215", "4273")</f>
        <v>4273</v>
      </c>
      <c r="Q1058" s="36" t="str">
        <f>HYPERLINK("http://ms.phosphosite.org:5080/cgi-bin/plot-msms.cgi?MassType=1&amp;NumAxis=1&amp;Mod8=170&amp;Pep=KHPPIAAKVEEPLK&amp;Dta=/var/www/html/dta/S01/10560.4337.3.dta&amp;Global_Mod=CS57.0215", "4337")</f>
        <v>4337</v>
      </c>
      <c r="R1058" s="36" t="str">
        <f>HYPERLINK("http://ms.phosphosite.org:5080/cgi-bin/plot-msms.cgi?MassType=1&amp;NumAxis=1&amp;Mod8=170&amp;Pep=KHPPIAAKVEEPLK&amp;Dta=/var/www/html/dta/S01/10561.4361.3.dta&amp;Global_Mod=CS57.0215", "4361")</f>
        <v>4361</v>
      </c>
      <c r="S1058" s="36" t="str">
        <f>HYPERLINK("http://ms.phosphosite.org:5080/cgi-bin/plot-msms.cgi?MassType=1&amp;NumAxis=1&amp;Mod8=170&amp;Pep=KHPPIAAKVEEPLK&amp;Dta=/var/www/html/dta/S01/10562.4467.3.dta&amp;Global_Mod=CS57.0215", "4467")</f>
        <v>4467</v>
      </c>
      <c r="T1058" s="36" t="str">
        <f>HYPERLINK("http://ms.phosphosite.org:5080/cgi-bin/plot-msms.cgi?MassType=1&amp;NumAxis=1&amp;Mod8=170&amp;Pep=KHPPIAAKVEEPLK&amp;Dta=/var/www/html/dta/S01/10563.4303.3.dta&amp;Global_Mod=CS57.0215", "4303")</f>
        <v>4303</v>
      </c>
      <c r="U1058" s="36" t="str">
        <f>HYPERLINK("http://ms.phosphosite.org:5080/cgi-bin/plot-msms.cgi?MassType=1&amp;NumAxis=1&amp;Mod8=170&amp;Pep=KHPPIAAKVEEPLK&amp;Dta=/var/www/html/dta/S01/10564.4638.3.dta&amp;Global_Mod=CS57.0215", "4638")</f>
        <v>4638</v>
      </c>
      <c r="V1058" s="36" t="str">
        <f>HYPERLINK("http://ms.phosphosite.org:5080/cgi-bin/plot-msms.cgi?MassType=1&amp;NumAxis=1&amp;Mod8=170&amp;Pep=KHPPIAAKVEEPLK&amp;Dta=/var/www/html/dta/S01/10565.4695.3.dta&amp;Global_Mod=CS57.0215", "4695")</f>
        <v>4695</v>
      </c>
      <c r="W1058" s="5">
        <v>4355</v>
      </c>
      <c r="X1058" s="5">
        <v>4305</v>
      </c>
      <c r="Y1058" s="5">
        <v>4290</v>
      </c>
      <c r="Z1058" s="5">
        <v>4314</v>
      </c>
      <c r="AA1058" s="5">
        <v>4421</v>
      </c>
      <c r="AB1058" s="5">
        <v>4343</v>
      </c>
      <c r="AC1058" s="5">
        <v>4681</v>
      </c>
      <c r="AD1058" s="5">
        <v>4748</v>
      </c>
      <c r="AE1058" s="90">
        <v>3.9380000000000002</v>
      </c>
      <c r="AF1058" s="90">
        <v>4.38</v>
      </c>
      <c r="AG1058" s="90">
        <v>4.0750000000000002</v>
      </c>
      <c r="AH1058" s="90">
        <v>4.5990000000000002</v>
      </c>
      <c r="AI1058" s="90">
        <v>4.2140000000000004</v>
      </c>
      <c r="AJ1058" s="90">
        <v>4.0179999999999998</v>
      </c>
      <c r="AK1058" s="90">
        <v>4.125</v>
      </c>
      <c r="AL1058" s="90">
        <v>4.5759999999999996</v>
      </c>
      <c r="AM1058" s="21">
        <v>2.5700000000000001E-2</v>
      </c>
      <c r="AN1058" s="21">
        <v>-6.0600000000000001E-2</v>
      </c>
      <c r="AO1058" s="21">
        <v>7.51E-2</v>
      </c>
      <c r="AP1058" s="21">
        <v>0.122</v>
      </c>
      <c r="AQ1058" s="21">
        <v>0.187</v>
      </c>
      <c r="AR1058" s="21">
        <v>0.13450000000000001</v>
      </c>
      <c r="AS1058" s="21">
        <v>-0.16450000000000001</v>
      </c>
      <c r="AT1058" s="21">
        <v>-0.37519999999999998</v>
      </c>
      <c r="AU1058" s="21">
        <v>0.35399999999999998</v>
      </c>
      <c r="AV1058" s="21">
        <v>0.38300000000000001</v>
      </c>
      <c r="AW1058" s="21">
        <v>0.377</v>
      </c>
      <c r="AX1058" s="21">
        <v>0.40100000000000002</v>
      </c>
      <c r="AY1058" s="21">
        <v>0.46</v>
      </c>
      <c r="AZ1058" s="21">
        <v>0.36799999999999999</v>
      </c>
      <c r="BA1058" s="21">
        <v>0.38800000000000001</v>
      </c>
      <c r="BB1058" s="21">
        <v>0.40699999999999997</v>
      </c>
      <c r="BC1058" s="5">
        <v>1</v>
      </c>
      <c r="BD1058" s="5">
        <v>1</v>
      </c>
      <c r="BE1058" s="5">
        <v>1</v>
      </c>
      <c r="BF1058" s="5">
        <v>1</v>
      </c>
      <c r="BG1058" s="5">
        <v>1</v>
      </c>
      <c r="BH1058" s="5">
        <v>1</v>
      </c>
      <c r="BI1058" s="5">
        <v>1</v>
      </c>
      <c r="BJ1058" s="5">
        <v>1</v>
      </c>
      <c r="BK1058" s="90">
        <v>1</v>
      </c>
      <c r="BL1058" s="90">
        <v>1</v>
      </c>
      <c r="BM1058" s="90">
        <v>1</v>
      </c>
      <c r="BN1058" s="90">
        <v>1</v>
      </c>
      <c r="BO1058" s="90">
        <v>1</v>
      </c>
      <c r="BP1058" s="90">
        <v>1</v>
      </c>
      <c r="BQ1058" s="90">
        <v>1</v>
      </c>
      <c r="BR1058" s="90">
        <v>1</v>
      </c>
      <c r="BS1058" s="5" t="s">
        <v>4857</v>
      </c>
    </row>
    <row r="1059" spans="1:71" s="30" customFormat="1" ht="17.100000000000001" customHeight="1">
      <c r="A1059" s="14">
        <v>1048</v>
      </c>
      <c r="B1059" s="5" t="s">
        <v>833</v>
      </c>
      <c r="C1059" s="3" t="s">
        <v>1279</v>
      </c>
      <c r="D1059" s="3" t="s">
        <v>824</v>
      </c>
      <c r="E1059" s="3" t="s">
        <v>825</v>
      </c>
      <c r="F1059" s="5" t="s">
        <v>826</v>
      </c>
      <c r="G1059" s="3" t="s">
        <v>827</v>
      </c>
      <c r="H1059" s="6" t="s">
        <v>828</v>
      </c>
      <c r="I1059" s="3" t="s">
        <v>829</v>
      </c>
      <c r="J1059" s="5" t="s">
        <v>830</v>
      </c>
      <c r="K1059" s="3" t="s">
        <v>5990</v>
      </c>
      <c r="L1059" s="3" t="s">
        <v>831</v>
      </c>
      <c r="M1059" s="5">
        <v>3</v>
      </c>
      <c r="N1059" s="21">
        <v>533.64700000000005</v>
      </c>
      <c r="O1059" s="36" t="str">
        <f>HYPERLINK("http://ms.phosphosite.org:5080/cgi-bin/plot-msms.cgi?MassType=1&amp;NumAxis=1&amp;Mod8=170&amp;Pep=KHPPIAAKVEEPLK&amp;Dta=/var/www/html/dta/S01/10558.4228.3.dta&amp;Global_Mod=CS57.0215", "4228")</f>
        <v>4228</v>
      </c>
      <c r="P1059" s="36" t="str">
        <f>HYPERLINK("http://ms.phosphosite.org:5080/cgi-bin/plot-msms.cgi?MassType=1&amp;NumAxis=1&amp;Mod8=170&amp;Pep=KHPPIAAKVEEPLK&amp;Dta=/var/www/html/dta/S01/10559.4363.3.dta&amp;Global_Mod=CS57.0215", "4363")</f>
        <v>4363</v>
      </c>
      <c r="Q1059" s="36" t="str">
        <f>HYPERLINK("http://ms.phosphosite.org:5080/cgi-bin/plot-msms.cgi?MassType=1&amp;NumAxis=1&amp;Mod8=170&amp;Pep=KHPPIAAKVEEPLK&amp;Dta=/var/www/html/dta/S01/10560.4249.3.dta&amp;Global_Mod=CS57.0215", "4249")</f>
        <v>4249</v>
      </c>
      <c r="R1059" s="36" t="str">
        <f>HYPERLINK("http://ms.phosphosite.org:5080/cgi-bin/plot-msms.cgi?MassType=1&amp;NumAxis=1&amp;Mod8=170&amp;Pep=KHPPIAAKVEEPLK&amp;Dta=/var/www/html/dta/S01/10561.4272.3.dta&amp;Global_Mod=CS57.0215", "4272")</f>
        <v>4272</v>
      </c>
      <c r="S1059" s="36" t="str">
        <f>HYPERLINK("http://ms.phosphosite.org:5080/cgi-bin/plot-msms.cgi?MassType=1&amp;NumAxis=1&amp;Mod8=170&amp;Pep=KHPPIAAKVEEPLK&amp;Dta=/var/www/html/dta/S01/10562.4379.3.dta&amp;Global_Mod=CS57.0215", "4379")</f>
        <v>4379</v>
      </c>
      <c r="T1059" s="36" t="str">
        <f>HYPERLINK("http://ms.phosphosite.org:5080/cgi-bin/plot-msms.cgi?MassType=1&amp;NumAxis=1&amp;Mod8=170&amp;Pep=KHPPIAAKVEEPLK&amp;Dta=/var/www/html/dta/S01/10563.4401.3.dta&amp;Global_Mod=CS57.0215", "4401")</f>
        <v>4401</v>
      </c>
      <c r="U1059" s="36" t="str">
        <f>HYPERLINK("http://ms.phosphosite.org:5080/cgi-bin/plot-msms.cgi?MassType=1&amp;NumAxis=1&amp;Mod8=170&amp;Pep=KHPPIAAKVEEPLK&amp;Dta=/var/www/html/dta/S01/10564.4515.3.dta&amp;Global_Mod=CS57.0215", "4515")</f>
        <v>4515</v>
      </c>
      <c r="V1059" s="36" t="str">
        <f>HYPERLINK("http://ms.phosphosite.org:5080/cgi-bin/plot-msms.cgi?MassType=1&amp;NumAxis=1&amp;Mod8=170&amp;Pep=KHPPIAAKVEEPLK&amp;Dta=/var/www/html/dta/S01/10565.4782.3.dta&amp;Global_Mod=CS57.0215", "4782")</f>
        <v>4782</v>
      </c>
      <c r="W1059" s="5">
        <v>4355</v>
      </c>
      <c r="X1059" s="5">
        <v>4305</v>
      </c>
      <c r="Y1059" s="5">
        <v>4290</v>
      </c>
      <c r="Z1059" s="5">
        <v>4314</v>
      </c>
      <c r="AA1059" s="5">
        <v>4421</v>
      </c>
      <c r="AB1059" s="5">
        <v>4343</v>
      </c>
      <c r="AC1059" s="5">
        <v>4681</v>
      </c>
      <c r="AD1059" s="5">
        <v>4748</v>
      </c>
      <c r="AE1059" s="90">
        <v>3.7869999999999999</v>
      </c>
      <c r="AF1059" s="90">
        <v>4.3140000000000001</v>
      </c>
      <c r="AG1059" s="90">
        <v>4.0720000000000001</v>
      </c>
      <c r="AH1059" s="90">
        <v>4.016</v>
      </c>
      <c r="AI1059" s="90">
        <v>3.968</v>
      </c>
      <c r="AJ1059" s="90">
        <v>3.7690000000000001</v>
      </c>
      <c r="AK1059" s="90">
        <v>2.5830000000000002</v>
      </c>
      <c r="AL1059" s="90">
        <v>3.806</v>
      </c>
      <c r="AM1059" s="21">
        <v>-2.12E-2</v>
      </c>
      <c r="AN1059" s="21">
        <v>-6.9400000000000003E-2</v>
      </c>
      <c r="AO1059" s="21">
        <v>6.6299999999999998E-2</v>
      </c>
      <c r="AP1059" s="21">
        <v>0.1207</v>
      </c>
      <c r="AQ1059" s="21">
        <v>0.2208</v>
      </c>
      <c r="AR1059" s="21">
        <v>0.11509999999999999</v>
      </c>
      <c r="AS1059" s="21">
        <v>-0.1394</v>
      </c>
      <c r="AT1059" s="21">
        <v>-0.35460000000000003</v>
      </c>
      <c r="AU1059" s="21">
        <v>0.24</v>
      </c>
      <c r="AV1059" s="21">
        <v>0.36499999999999999</v>
      </c>
      <c r="AW1059" s="21">
        <v>0.38700000000000001</v>
      </c>
      <c r="AX1059" s="21">
        <v>0.40100000000000002</v>
      </c>
      <c r="AY1059" s="21">
        <v>0.38</v>
      </c>
      <c r="AZ1059" s="21">
        <v>0.36399999999999999</v>
      </c>
      <c r="BA1059" s="21">
        <v>3.6999999999999998E-2</v>
      </c>
      <c r="BB1059" s="21">
        <v>0.36099999999999999</v>
      </c>
      <c r="BC1059" s="5">
        <v>1</v>
      </c>
      <c r="BD1059" s="5">
        <v>1</v>
      </c>
      <c r="BE1059" s="5">
        <v>1</v>
      </c>
      <c r="BF1059" s="5">
        <v>1</v>
      </c>
      <c r="BG1059" s="5">
        <v>1</v>
      </c>
      <c r="BH1059" s="5">
        <v>1</v>
      </c>
      <c r="BI1059" s="5">
        <v>3</v>
      </c>
      <c r="BJ1059" s="5">
        <v>1</v>
      </c>
      <c r="BK1059" s="90">
        <v>1</v>
      </c>
      <c r="BL1059" s="90">
        <v>1</v>
      </c>
      <c r="BM1059" s="90">
        <v>1</v>
      </c>
      <c r="BN1059" s="90">
        <v>1</v>
      </c>
      <c r="BO1059" s="90">
        <v>1</v>
      </c>
      <c r="BP1059" s="90">
        <v>1</v>
      </c>
      <c r="BQ1059" s="90">
        <v>0.96799999999999997</v>
      </c>
      <c r="BR1059" s="90">
        <v>1</v>
      </c>
      <c r="BS1059" s="5" t="s">
        <v>4857</v>
      </c>
    </row>
    <row r="1060" spans="1:71" s="30" customFormat="1" ht="17.100000000000001" customHeight="1">
      <c r="A1060" s="14">
        <v>1049</v>
      </c>
      <c r="B1060" s="5" t="s">
        <v>834</v>
      </c>
      <c r="C1060" s="3" t="s">
        <v>1279</v>
      </c>
      <c r="D1060" s="3" t="s">
        <v>824</v>
      </c>
      <c r="E1060" s="3" t="s">
        <v>825</v>
      </c>
      <c r="F1060" s="5" t="s">
        <v>826</v>
      </c>
      <c r="G1060" s="3" t="s">
        <v>827</v>
      </c>
      <c r="H1060" s="6" t="s">
        <v>828</v>
      </c>
      <c r="I1060" s="3" t="s">
        <v>829</v>
      </c>
      <c r="J1060" s="5" t="s">
        <v>830</v>
      </c>
      <c r="K1060" s="3" t="s">
        <v>5990</v>
      </c>
      <c r="L1060" s="3" t="s">
        <v>831</v>
      </c>
      <c r="M1060" s="5">
        <v>3</v>
      </c>
      <c r="N1060" s="21">
        <v>533.64700000000005</v>
      </c>
      <c r="O1060" s="36" t="str">
        <f>HYPERLINK("http://ms.phosphosite.org:5080/cgi-bin/plot-msms.cgi?MassType=1&amp;NumAxis=1&amp;Mod8=170&amp;Pep=KHPPIAAKVEEPLK&amp;Dta=/var/www/html/dta/S01/10558.4323.3.dta&amp;Global_Mod=CS57.0215", "4323")</f>
        <v>4323</v>
      </c>
      <c r="P1060" s="35" t="s">
        <v>4854</v>
      </c>
      <c r="Q1060" s="36" t="str">
        <f>HYPERLINK("http://ms.phosphosite.org:5080/cgi-bin/plot-msms.cgi?MassType=1&amp;NumAxis=1&amp;Mod8=170&amp;Pep=KHPPIAAKVEEPLK&amp;Dta=/var/www/html/dta/S01/10560.4167.3.dta&amp;Global_Mod=CS57.0215", "4167")</f>
        <v>4167</v>
      </c>
      <c r="R1060" s="36" t="str">
        <f>HYPERLINK("http://ms.phosphosite.org:5080/cgi-bin/plot-msms.cgi?MassType=1&amp;NumAxis=1&amp;Mod8=170&amp;Pep=KHPPIAAKVEEPLK&amp;Dta=/var/www/html/dta/S01/10561.4179.3.dta&amp;Global_Mod=CS57.0215", "4179")</f>
        <v>4179</v>
      </c>
      <c r="S1060" s="36" t="str">
        <f>HYPERLINK("http://ms.phosphosite.org:5080/cgi-bin/plot-msms.cgi?MassType=1&amp;NumAxis=1&amp;Mod8=170&amp;Pep=KHPPIAAKVEEPLK&amp;Dta=/var/www/html/dta/S01/10562.4288.3.dta&amp;Global_Mod=CS57.0215", "4288")</f>
        <v>4288</v>
      </c>
      <c r="T1060" s="36" t="str">
        <f>HYPERLINK("http://ms.phosphosite.org:5080/cgi-bin/plot-msms.cgi?MassType=1&amp;NumAxis=1&amp;Mod8=170&amp;Pep=KHPPIAAKVEEPLK&amp;Dta=/var/www/html/dta/S01/10563.4221.3.dta&amp;Global_Mod=CS57.0215", "4221")</f>
        <v>4221</v>
      </c>
      <c r="U1060" s="35" t="s">
        <v>4854</v>
      </c>
      <c r="V1060" s="36" t="str">
        <f>HYPERLINK("http://ms.phosphosite.org:5080/cgi-bin/plot-msms.cgi?MassType=1&amp;NumAxis=1&amp;Mod8=170&amp;Pep=KHPPIAAKVEEPLK&amp;Dta=/var/www/html/dta/S01/10565.4603.3.dta&amp;Global_Mod=CS57.0215", "4603")</f>
        <v>4603</v>
      </c>
      <c r="W1060" s="5">
        <v>4355</v>
      </c>
      <c r="X1060" s="3" t="s">
        <v>4854</v>
      </c>
      <c r="Y1060" s="5">
        <v>4290</v>
      </c>
      <c r="Z1060" s="5">
        <v>4314</v>
      </c>
      <c r="AA1060" s="5">
        <v>4421</v>
      </c>
      <c r="AB1060" s="5">
        <v>4343</v>
      </c>
      <c r="AC1060" s="3" t="s">
        <v>4854</v>
      </c>
      <c r="AD1060" s="5">
        <v>4748</v>
      </c>
      <c r="AE1060" s="90">
        <v>3.51</v>
      </c>
      <c r="AF1060" s="99" t="s">
        <v>4854</v>
      </c>
      <c r="AG1060" s="90">
        <v>2.41</v>
      </c>
      <c r="AH1060" s="90">
        <v>2.2320000000000002</v>
      </c>
      <c r="AI1060" s="90">
        <v>2.7130000000000001</v>
      </c>
      <c r="AJ1060" s="90">
        <v>2.669</v>
      </c>
      <c r="AK1060" s="99" t="s">
        <v>4854</v>
      </c>
      <c r="AL1060" s="90">
        <v>2.7320000000000002</v>
      </c>
      <c r="AM1060" s="21">
        <v>2.1899999999999999E-2</v>
      </c>
      <c r="AN1060" s="102" t="s">
        <v>4854</v>
      </c>
      <c r="AO1060" s="21">
        <v>0.1633</v>
      </c>
      <c r="AP1060" s="21">
        <v>0.33529999999999999</v>
      </c>
      <c r="AQ1060" s="21">
        <v>0.34649999999999997</v>
      </c>
      <c r="AR1060" s="21">
        <v>0.1845</v>
      </c>
      <c r="AS1060" s="102" t="s">
        <v>4854</v>
      </c>
      <c r="AT1060" s="21">
        <v>-0.20449999999999999</v>
      </c>
      <c r="AU1060" s="21">
        <v>0.38</v>
      </c>
      <c r="AV1060" s="102" t="s">
        <v>4854</v>
      </c>
      <c r="AW1060" s="21">
        <v>0.27900000000000003</v>
      </c>
      <c r="AX1060" s="21">
        <v>0.13100000000000001</v>
      </c>
      <c r="AY1060" s="21">
        <v>0.223</v>
      </c>
      <c r="AZ1060" s="21">
        <v>0.25800000000000001</v>
      </c>
      <c r="BA1060" s="102" t="s">
        <v>4854</v>
      </c>
      <c r="BB1060" s="21">
        <v>6.2E-2</v>
      </c>
      <c r="BC1060" s="5">
        <v>1</v>
      </c>
      <c r="BD1060" s="3" t="s">
        <v>4854</v>
      </c>
      <c r="BE1060" s="5">
        <v>1</v>
      </c>
      <c r="BF1060" s="5">
        <v>5</v>
      </c>
      <c r="BG1060" s="5">
        <v>1</v>
      </c>
      <c r="BH1060" s="5">
        <v>1</v>
      </c>
      <c r="BI1060" s="3" t="s">
        <v>4854</v>
      </c>
      <c r="BJ1060" s="5">
        <v>1</v>
      </c>
      <c r="BK1060" s="90">
        <v>1</v>
      </c>
      <c r="BL1060" s="99" t="s">
        <v>4854</v>
      </c>
      <c r="BM1060" s="90">
        <v>0.999</v>
      </c>
      <c r="BN1060" s="90">
        <v>0.98399999999999999</v>
      </c>
      <c r="BO1060" s="90">
        <v>0.999</v>
      </c>
      <c r="BP1060" s="90">
        <v>0.999</v>
      </c>
      <c r="BQ1060" s="99" t="s">
        <v>4854</v>
      </c>
      <c r="BR1060" s="90">
        <v>0.98599999999999999</v>
      </c>
      <c r="BS1060" s="5" t="s">
        <v>4857</v>
      </c>
    </row>
    <row r="1061" spans="1:71" s="30" customFormat="1" ht="17.100000000000001" customHeight="1">
      <c r="A1061" s="14">
        <v>1050</v>
      </c>
      <c r="B1061" s="5" t="s">
        <v>835</v>
      </c>
      <c r="C1061" s="3" t="s">
        <v>1279</v>
      </c>
      <c r="D1061" s="3" t="s">
        <v>824</v>
      </c>
      <c r="E1061" s="3" t="s">
        <v>825</v>
      </c>
      <c r="F1061" s="5" t="s">
        <v>826</v>
      </c>
      <c r="G1061" s="3" t="s">
        <v>827</v>
      </c>
      <c r="H1061" s="6" t="s">
        <v>828</v>
      </c>
      <c r="I1061" s="3" t="s">
        <v>829</v>
      </c>
      <c r="J1061" s="5" t="s">
        <v>830</v>
      </c>
      <c r="K1061" s="3" t="s">
        <v>5990</v>
      </c>
      <c r="L1061" s="3" t="s">
        <v>831</v>
      </c>
      <c r="M1061" s="5">
        <v>3</v>
      </c>
      <c r="N1061" s="21">
        <v>533.64700000000005</v>
      </c>
      <c r="O1061" s="36" t="str">
        <f>HYPERLINK("http://ms.phosphosite.org:5080/cgi-bin/plot-msms.cgi?MassType=1&amp;NumAxis=1&amp;Mod8=170&amp;Pep=KHPPIAAKVEEPLK&amp;Dta=/var/www/html/dta/S01/10558.4238.3.dta&amp;Global_Mod=CS57.0215", "4238")</f>
        <v>4238</v>
      </c>
      <c r="P1061" s="35" t="s">
        <v>4854</v>
      </c>
      <c r="Q1061" s="35" t="s">
        <v>4854</v>
      </c>
      <c r="R1061" s="35" t="s">
        <v>4854</v>
      </c>
      <c r="S1061" s="35" t="s">
        <v>4854</v>
      </c>
      <c r="T1061" s="35" t="s">
        <v>4854</v>
      </c>
      <c r="U1061" s="35" t="s">
        <v>4854</v>
      </c>
      <c r="V1061" s="35" t="s">
        <v>4854</v>
      </c>
      <c r="W1061" s="5">
        <v>4355</v>
      </c>
      <c r="X1061" s="3" t="s">
        <v>4854</v>
      </c>
      <c r="Y1061" s="3" t="s">
        <v>4854</v>
      </c>
      <c r="Z1061" s="3" t="s">
        <v>4854</v>
      </c>
      <c r="AA1061" s="3" t="s">
        <v>4854</v>
      </c>
      <c r="AB1061" s="3" t="s">
        <v>4854</v>
      </c>
      <c r="AC1061" s="3" t="s">
        <v>4854</v>
      </c>
      <c r="AD1061" s="3" t="s">
        <v>4854</v>
      </c>
      <c r="AE1061" s="90">
        <v>2.98</v>
      </c>
      <c r="AF1061" s="99" t="s">
        <v>4854</v>
      </c>
      <c r="AG1061" s="99" t="s">
        <v>4854</v>
      </c>
      <c r="AH1061" s="99" t="s">
        <v>4854</v>
      </c>
      <c r="AI1061" s="99" t="s">
        <v>4854</v>
      </c>
      <c r="AJ1061" s="99" t="s">
        <v>4854</v>
      </c>
      <c r="AK1061" s="99" t="s">
        <v>4854</v>
      </c>
      <c r="AL1061" s="99" t="s">
        <v>4854</v>
      </c>
      <c r="AM1061" s="21">
        <v>2.1299999999999999E-2</v>
      </c>
      <c r="AN1061" s="102" t="s">
        <v>4854</v>
      </c>
      <c r="AO1061" s="102" t="s">
        <v>4854</v>
      </c>
      <c r="AP1061" s="102" t="s">
        <v>4854</v>
      </c>
      <c r="AQ1061" s="102" t="s">
        <v>4854</v>
      </c>
      <c r="AR1061" s="102" t="s">
        <v>4854</v>
      </c>
      <c r="AS1061" s="102" t="s">
        <v>4854</v>
      </c>
      <c r="AT1061" s="102" t="s">
        <v>4854</v>
      </c>
      <c r="AU1061" s="21">
        <v>0.22</v>
      </c>
      <c r="AV1061" s="102" t="s">
        <v>4854</v>
      </c>
      <c r="AW1061" s="102" t="s">
        <v>4854</v>
      </c>
      <c r="AX1061" s="102" t="s">
        <v>4854</v>
      </c>
      <c r="AY1061" s="102" t="s">
        <v>4854</v>
      </c>
      <c r="AZ1061" s="102" t="s">
        <v>4854</v>
      </c>
      <c r="BA1061" s="102" t="s">
        <v>4854</v>
      </c>
      <c r="BB1061" s="102" t="s">
        <v>4854</v>
      </c>
      <c r="BC1061" s="5">
        <v>1</v>
      </c>
      <c r="BD1061" s="3" t="s">
        <v>4854</v>
      </c>
      <c r="BE1061" s="3" t="s">
        <v>4854</v>
      </c>
      <c r="BF1061" s="3" t="s">
        <v>4854</v>
      </c>
      <c r="BG1061" s="3" t="s">
        <v>4854</v>
      </c>
      <c r="BH1061" s="3" t="s">
        <v>4854</v>
      </c>
      <c r="BI1061" s="3" t="s">
        <v>4854</v>
      </c>
      <c r="BJ1061" s="3" t="s">
        <v>4854</v>
      </c>
      <c r="BK1061" s="90">
        <v>0.999</v>
      </c>
      <c r="BL1061" s="99" t="s">
        <v>4854</v>
      </c>
      <c r="BM1061" s="99" t="s">
        <v>4854</v>
      </c>
      <c r="BN1061" s="99" t="s">
        <v>4854</v>
      </c>
      <c r="BO1061" s="99" t="s">
        <v>4854</v>
      </c>
      <c r="BP1061" s="99" t="s">
        <v>4854</v>
      </c>
      <c r="BQ1061" s="99" t="s">
        <v>4854</v>
      </c>
      <c r="BR1061" s="99" t="s">
        <v>4854</v>
      </c>
      <c r="BS1061" s="5" t="s">
        <v>4857</v>
      </c>
    </row>
    <row r="1062" spans="1:71" s="30" customFormat="1" ht="17.100000000000001" customHeight="1">
      <c r="A1062" s="14">
        <v>1051</v>
      </c>
      <c r="B1062" s="5" t="s">
        <v>836</v>
      </c>
      <c r="C1062" s="3" t="s">
        <v>1279</v>
      </c>
      <c r="D1062" s="3" t="s">
        <v>824</v>
      </c>
      <c r="E1062" s="3" t="s">
        <v>825</v>
      </c>
      <c r="F1062" s="5" t="s">
        <v>826</v>
      </c>
      <c r="G1062" s="3" t="s">
        <v>827</v>
      </c>
      <c r="H1062" s="6" t="s">
        <v>828</v>
      </c>
      <c r="I1062" s="3" t="s">
        <v>829</v>
      </c>
      <c r="J1062" s="5" t="s">
        <v>830</v>
      </c>
      <c r="K1062" s="3" t="s">
        <v>5990</v>
      </c>
      <c r="L1062" s="3" t="s">
        <v>831</v>
      </c>
      <c r="M1062" s="5">
        <v>4</v>
      </c>
      <c r="N1062" s="21">
        <v>400.4871</v>
      </c>
      <c r="O1062" s="35" t="s">
        <v>4854</v>
      </c>
      <c r="P1062" s="35" t="s">
        <v>4854</v>
      </c>
      <c r="Q1062" s="35" t="s">
        <v>4854</v>
      </c>
      <c r="R1062" s="35" t="s">
        <v>4854</v>
      </c>
      <c r="S1062" s="35" t="s">
        <v>4854</v>
      </c>
      <c r="T1062" s="35" t="s">
        <v>4854</v>
      </c>
      <c r="U1062" s="36" t="str">
        <f>HYPERLINK("http://ms.phosphosite.org:5080/cgi-bin/plot-msms.cgi?MassType=1&amp;NumAxis=1&amp;Mod8=170&amp;Pep=KHPPIAAKVEEPLK&amp;Dta=/var/www/html/dta/S01/10564.4644.4.dta&amp;Global_Mod=CS57.0215", "4644")</f>
        <v>4644</v>
      </c>
      <c r="V1062" s="35" t="s">
        <v>4854</v>
      </c>
      <c r="W1062" s="3" t="s">
        <v>4854</v>
      </c>
      <c r="X1062" s="3" t="s">
        <v>4854</v>
      </c>
      <c r="Y1062" s="3" t="s">
        <v>4854</v>
      </c>
      <c r="Z1062" s="3" t="s">
        <v>4854</v>
      </c>
      <c r="AA1062" s="3" t="s">
        <v>4854</v>
      </c>
      <c r="AB1062" s="3" t="s">
        <v>4854</v>
      </c>
      <c r="AC1062" s="5">
        <v>4670</v>
      </c>
      <c r="AD1062" s="3" t="s">
        <v>4854</v>
      </c>
      <c r="AE1062" s="99" t="s">
        <v>4854</v>
      </c>
      <c r="AF1062" s="99" t="s">
        <v>4854</v>
      </c>
      <c r="AG1062" s="99" t="s">
        <v>4854</v>
      </c>
      <c r="AH1062" s="99" t="s">
        <v>4854</v>
      </c>
      <c r="AI1062" s="99" t="s">
        <v>4854</v>
      </c>
      <c r="AJ1062" s="99" t="s">
        <v>4854</v>
      </c>
      <c r="AK1062" s="90">
        <v>2.7149999999999999</v>
      </c>
      <c r="AL1062" s="99" t="s">
        <v>4854</v>
      </c>
      <c r="AM1062" s="102" t="s">
        <v>4854</v>
      </c>
      <c r="AN1062" s="102" t="s">
        <v>4854</v>
      </c>
      <c r="AO1062" s="102" t="s">
        <v>4854</v>
      </c>
      <c r="AP1062" s="102" t="s">
        <v>4854</v>
      </c>
      <c r="AQ1062" s="102" t="s">
        <v>4854</v>
      </c>
      <c r="AR1062" s="102" t="s">
        <v>4854</v>
      </c>
      <c r="AS1062" s="21">
        <v>0.37530000000000002</v>
      </c>
      <c r="AT1062" s="102" t="s">
        <v>4854</v>
      </c>
      <c r="AU1062" s="102" t="s">
        <v>4854</v>
      </c>
      <c r="AV1062" s="102" t="s">
        <v>4854</v>
      </c>
      <c r="AW1062" s="102" t="s">
        <v>4854</v>
      </c>
      <c r="AX1062" s="102" t="s">
        <v>4854</v>
      </c>
      <c r="AY1062" s="102" t="s">
        <v>4854</v>
      </c>
      <c r="AZ1062" s="102" t="s">
        <v>4854</v>
      </c>
      <c r="BA1062" s="21">
        <v>0.17799999999999999</v>
      </c>
      <c r="BB1062" s="102" t="s">
        <v>4854</v>
      </c>
      <c r="BC1062" s="3" t="s">
        <v>4854</v>
      </c>
      <c r="BD1062" s="3" t="s">
        <v>4854</v>
      </c>
      <c r="BE1062" s="3" t="s">
        <v>4854</v>
      </c>
      <c r="BF1062" s="3" t="s">
        <v>4854</v>
      </c>
      <c r="BG1062" s="3" t="s">
        <v>4854</v>
      </c>
      <c r="BH1062" s="3" t="s">
        <v>4854</v>
      </c>
      <c r="BI1062" s="5">
        <v>10</v>
      </c>
      <c r="BJ1062" s="3" t="s">
        <v>4854</v>
      </c>
      <c r="BK1062" s="99" t="s">
        <v>4854</v>
      </c>
      <c r="BL1062" s="99" t="s">
        <v>4854</v>
      </c>
      <c r="BM1062" s="99" t="s">
        <v>4854</v>
      </c>
      <c r="BN1062" s="99" t="s">
        <v>4854</v>
      </c>
      <c r="BO1062" s="99" t="s">
        <v>4854</v>
      </c>
      <c r="BP1062" s="99" t="s">
        <v>4854</v>
      </c>
      <c r="BQ1062" s="90">
        <v>0.996</v>
      </c>
      <c r="BR1062" s="99" t="s">
        <v>4854</v>
      </c>
      <c r="BS1062" s="5" t="s">
        <v>4857</v>
      </c>
    </row>
    <row r="1063" spans="1:71" s="30" customFormat="1" ht="17.100000000000001" customHeight="1">
      <c r="A1063" s="10">
        <v>1052</v>
      </c>
      <c r="B1063" s="10" t="s">
        <v>837</v>
      </c>
      <c r="C1063" s="4" t="s">
        <v>1279</v>
      </c>
      <c r="D1063" s="4" t="s">
        <v>838</v>
      </c>
      <c r="E1063" s="4" t="s">
        <v>839</v>
      </c>
      <c r="F1063" s="10" t="s">
        <v>5055</v>
      </c>
      <c r="G1063" s="4" t="s">
        <v>840</v>
      </c>
      <c r="H1063" s="7" t="s">
        <v>841</v>
      </c>
      <c r="I1063" s="4" t="s">
        <v>842</v>
      </c>
      <c r="J1063" s="10" t="s">
        <v>843</v>
      </c>
      <c r="K1063" s="4" t="s">
        <v>5991</v>
      </c>
      <c r="L1063" s="4" t="s">
        <v>844</v>
      </c>
      <c r="M1063" s="10">
        <v>2</v>
      </c>
      <c r="N1063" s="95">
        <v>463.26990000000001</v>
      </c>
      <c r="O1063" s="38" t="s">
        <v>4854</v>
      </c>
      <c r="P1063" s="38" t="s">
        <v>4854</v>
      </c>
      <c r="Q1063" s="38" t="s">
        <v>4854</v>
      </c>
      <c r="R1063" s="38" t="s">
        <v>4854</v>
      </c>
      <c r="S1063" s="38" t="s">
        <v>4854</v>
      </c>
      <c r="T1063" s="38" t="s">
        <v>4854</v>
      </c>
      <c r="U1063" s="37" t="str">
        <f>HYPERLINK("http://ms.phosphosite.org:5080/cgi-bin/plot-msms.cgi?MassType=1&amp;NumAxis=1&amp;Mod2=170&amp;Pep=RKQQAPR&amp;Dta=/var/www/html/dta/S01/10564.1657.2.dta&amp;Global_Mod=CS57.0215", "1657")</f>
        <v>1657</v>
      </c>
      <c r="V1063" s="38" t="s">
        <v>4854</v>
      </c>
      <c r="W1063" s="4" t="s">
        <v>4854</v>
      </c>
      <c r="X1063" s="4" t="s">
        <v>4854</v>
      </c>
      <c r="Y1063" s="4" t="s">
        <v>4854</v>
      </c>
      <c r="Z1063" s="4" t="s">
        <v>4854</v>
      </c>
      <c r="AA1063" s="4" t="s">
        <v>4854</v>
      </c>
      <c r="AB1063" s="4" t="s">
        <v>4854</v>
      </c>
      <c r="AC1063" s="4" t="s">
        <v>4854</v>
      </c>
      <c r="AD1063" s="4" t="s">
        <v>4854</v>
      </c>
      <c r="AE1063" s="100" t="s">
        <v>4854</v>
      </c>
      <c r="AF1063" s="100" t="s">
        <v>4854</v>
      </c>
      <c r="AG1063" s="100" t="s">
        <v>4854</v>
      </c>
      <c r="AH1063" s="100" t="s">
        <v>4854</v>
      </c>
      <c r="AI1063" s="100" t="s">
        <v>4854</v>
      </c>
      <c r="AJ1063" s="100" t="s">
        <v>4854</v>
      </c>
      <c r="AK1063" s="91">
        <v>1.44</v>
      </c>
      <c r="AL1063" s="100" t="s">
        <v>4854</v>
      </c>
      <c r="AM1063" s="103" t="s">
        <v>4854</v>
      </c>
      <c r="AN1063" s="103" t="s">
        <v>4854</v>
      </c>
      <c r="AO1063" s="103" t="s">
        <v>4854</v>
      </c>
      <c r="AP1063" s="103" t="s">
        <v>4854</v>
      </c>
      <c r="AQ1063" s="103" t="s">
        <v>4854</v>
      </c>
      <c r="AR1063" s="103" t="s">
        <v>4854</v>
      </c>
      <c r="AS1063" s="95">
        <v>-0.81530000000000002</v>
      </c>
      <c r="AT1063" s="103" t="s">
        <v>4854</v>
      </c>
      <c r="AU1063" s="103" t="s">
        <v>4854</v>
      </c>
      <c r="AV1063" s="103" t="s">
        <v>4854</v>
      </c>
      <c r="AW1063" s="103" t="s">
        <v>4854</v>
      </c>
      <c r="AX1063" s="103" t="s">
        <v>4854</v>
      </c>
      <c r="AY1063" s="103" t="s">
        <v>4854</v>
      </c>
      <c r="AZ1063" s="103" t="s">
        <v>4854</v>
      </c>
      <c r="BA1063" s="95">
        <v>2.4E-2</v>
      </c>
      <c r="BB1063" s="103" t="s">
        <v>4854</v>
      </c>
      <c r="BC1063" s="4" t="s">
        <v>4854</v>
      </c>
      <c r="BD1063" s="4" t="s">
        <v>4854</v>
      </c>
      <c r="BE1063" s="4" t="s">
        <v>4854</v>
      </c>
      <c r="BF1063" s="4" t="s">
        <v>4854</v>
      </c>
      <c r="BG1063" s="4" t="s">
        <v>4854</v>
      </c>
      <c r="BH1063" s="4" t="s">
        <v>4854</v>
      </c>
      <c r="BI1063" s="10">
        <v>16</v>
      </c>
      <c r="BJ1063" s="4" t="s">
        <v>4854</v>
      </c>
      <c r="BK1063" s="100" t="s">
        <v>4854</v>
      </c>
      <c r="BL1063" s="100" t="s">
        <v>4854</v>
      </c>
      <c r="BM1063" s="100" t="s">
        <v>4854</v>
      </c>
      <c r="BN1063" s="100" t="s">
        <v>4854</v>
      </c>
      <c r="BO1063" s="100" t="s">
        <v>4854</v>
      </c>
      <c r="BP1063" s="100" t="s">
        <v>4854</v>
      </c>
      <c r="BQ1063" s="91">
        <v>0.499</v>
      </c>
      <c r="BR1063" s="100" t="s">
        <v>4854</v>
      </c>
      <c r="BS1063" s="10" t="s">
        <v>4857</v>
      </c>
    </row>
    <row r="1064" spans="1:71" s="30" customFormat="1" ht="17.100000000000001" customHeight="1">
      <c r="A1064" s="14">
        <v>1053</v>
      </c>
      <c r="B1064" s="5" t="s">
        <v>845</v>
      </c>
      <c r="C1064" s="3" t="s">
        <v>1279</v>
      </c>
      <c r="D1064" s="3" t="s">
        <v>846</v>
      </c>
      <c r="E1064" s="3" t="s">
        <v>847</v>
      </c>
      <c r="F1064" s="5" t="s">
        <v>848</v>
      </c>
      <c r="G1064" s="3" t="s">
        <v>849</v>
      </c>
      <c r="H1064" s="6" t="s">
        <v>850</v>
      </c>
      <c r="I1064" s="3" t="s">
        <v>851</v>
      </c>
      <c r="J1064" s="5" t="s">
        <v>4571</v>
      </c>
      <c r="K1064" s="3" t="s">
        <v>5992</v>
      </c>
      <c r="L1064" s="3" t="s">
        <v>852</v>
      </c>
      <c r="M1064" s="5">
        <v>3</v>
      </c>
      <c r="N1064" s="21">
        <v>568.6164</v>
      </c>
      <c r="O1064" s="35" t="s">
        <v>4854</v>
      </c>
      <c r="P1064" s="35" t="s">
        <v>4854</v>
      </c>
      <c r="Q1064" s="35" t="s">
        <v>4854</v>
      </c>
      <c r="R1064" s="35" t="s">
        <v>4854</v>
      </c>
      <c r="S1064" s="35" t="s">
        <v>4854</v>
      </c>
      <c r="T1064" s="36" t="str">
        <f>HYPERLINK("http://ms.phosphosite.org:5080/cgi-bin/plot-msms.cgi?MassType=1&amp;NumAxis=1&amp;Mod1=170&amp;Mod7=170&amp;Pep=KAFHSEKNNSKSDK&amp;Dta=/var/www/html/dta/S01/10563.9681.3.dta&amp;Global_Mod=CS57.0215", "9681")</f>
        <v>9681</v>
      </c>
      <c r="U1064" s="35" t="s">
        <v>4854</v>
      </c>
      <c r="V1064" s="35" t="s">
        <v>4854</v>
      </c>
      <c r="W1064" s="3" t="s">
        <v>4854</v>
      </c>
      <c r="X1064" s="3" t="s">
        <v>4854</v>
      </c>
      <c r="Y1064" s="3" t="s">
        <v>4854</v>
      </c>
      <c r="Z1064" s="3" t="s">
        <v>4854</v>
      </c>
      <c r="AA1064" s="3" t="s">
        <v>4854</v>
      </c>
      <c r="AB1064" s="3" t="s">
        <v>4854</v>
      </c>
      <c r="AC1064" s="3" t="s">
        <v>4854</v>
      </c>
      <c r="AD1064" s="3" t="s">
        <v>4854</v>
      </c>
      <c r="AE1064" s="99" t="s">
        <v>4854</v>
      </c>
      <c r="AF1064" s="99" t="s">
        <v>4854</v>
      </c>
      <c r="AG1064" s="99" t="s">
        <v>4854</v>
      </c>
      <c r="AH1064" s="99" t="s">
        <v>4854</v>
      </c>
      <c r="AI1064" s="99" t="s">
        <v>4854</v>
      </c>
      <c r="AJ1064" s="90">
        <v>1.861</v>
      </c>
      <c r="AK1064" s="99" t="s">
        <v>4854</v>
      </c>
      <c r="AL1064" s="99" t="s">
        <v>4854</v>
      </c>
      <c r="AM1064" s="102" t="s">
        <v>4854</v>
      </c>
      <c r="AN1064" s="102" t="s">
        <v>4854</v>
      </c>
      <c r="AO1064" s="102" t="s">
        <v>4854</v>
      </c>
      <c r="AP1064" s="102" t="s">
        <v>4854</v>
      </c>
      <c r="AQ1064" s="102" t="s">
        <v>4854</v>
      </c>
      <c r="AR1064" s="21">
        <v>2.7006999999999999</v>
      </c>
      <c r="AS1064" s="102" t="s">
        <v>4854</v>
      </c>
      <c r="AT1064" s="102" t="s">
        <v>4854</v>
      </c>
      <c r="AU1064" s="102" t="s">
        <v>4854</v>
      </c>
      <c r="AV1064" s="102" t="s">
        <v>4854</v>
      </c>
      <c r="AW1064" s="102" t="s">
        <v>4854</v>
      </c>
      <c r="AX1064" s="102" t="s">
        <v>4854</v>
      </c>
      <c r="AY1064" s="102" t="s">
        <v>4854</v>
      </c>
      <c r="AZ1064" s="21">
        <v>3.7999999999999999E-2</v>
      </c>
      <c r="BA1064" s="102" t="s">
        <v>4854</v>
      </c>
      <c r="BB1064" s="102" t="s">
        <v>4854</v>
      </c>
      <c r="BC1064" s="3" t="s">
        <v>4854</v>
      </c>
      <c r="BD1064" s="3" t="s">
        <v>4854</v>
      </c>
      <c r="BE1064" s="3" t="s">
        <v>4854</v>
      </c>
      <c r="BF1064" s="3" t="s">
        <v>4854</v>
      </c>
      <c r="BG1064" s="3" t="s">
        <v>4854</v>
      </c>
      <c r="BH1064" s="5">
        <v>184</v>
      </c>
      <c r="BI1064" s="3" t="s">
        <v>4854</v>
      </c>
      <c r="BJ1064" s="3" t="s">
        <v>4854</v>
      </c>
      <c r="BK1064" s="99" t="s">
        <v>4854</v>
      </c>
      <c r="BL1064" s="99" t="s">
        <v>4854</v>
      </c>
      <c r="BM1064" s="99" t="s">
        <v>4854</v>
      </c>
      <c r="BN1064" s="99" t="s">
        <v>4854</v>
      </c>
      <c r="BO1064" s="99" t="s">
        <v>4854</v>
      </c>
      <c r="BP1064" s="90">
        <v>0.501</v>
      </c>
      <c r="BQ1064" s="99" t="s">
        <v>4854</v>
      </c>
      <c r="BR1064" s="99" t="s">
        <v>4854</v>
      </c>
      <c r="BS1064" s="5" t="s">
        <v>4857</v>
      </c>
    </row>
    <row r="1065" spans="1:71" s="30" customFormat="1" ht="17.100000000000001" customHeight="1">
      <c r="A1065" s="10">
        <v>1054</v>
      </c>
      <c r="B1065" s="10" t="s">
        <v>853</v>
      </c>
      <c r="C1065" s="4" t="s">
        <v>1279</v>
      </c>
      <c r="D1065" s="4" t="s">
        <v>854</v>
      </c>
      <c r="E1065" s="4" t="s">
        <v>854</v>
      </c>
      <c r="F1065" s="10" t="s">
        <v>855</v>
      </c>
      <c r="G1065" s="4" t="s">
        <v>856</v>
      </c>
      <c r="H1065" s="7" t="s">
        <v>857</v>
      </c>
      <c r="I1065" s="4" t="s">
        <v>723</v>
      </c>
      <c r="J1065" s="10" t="s">
        <v>724</v>
      </c>
      <c r="K1065" s="4" t="s">
        <v>5993</v>
      </c>
      <c r="L1065" s="4" t="s">
        <v>725</v>
      </c>
      <c r="M1065" s="10">
        <v>3</v>
      </c>
      <c r="N1065" s="95">
        <v>899.08569999999997</v>
      </c>
      <c r="O1065" s="38" t="s">
        <v>4854</v>
      </c>
      <c r="P1065" s="38" t="s">
        <v>4854</v>
      </c>
      <c r="Q1065" s="38" t="s">
        <v>4854</v>
      </c>
      <c r="R1065" s="38" t="s">
        <v>4854</v>
      </c>
      <c r="S1065" s="38" t="s">
        <v>4854</v>
      </c>
      <c r="T1065" s="38" t="s">
        <v>4854</v>
      </c>
      <c r="U1065" s="37" t="str">
        <f>HYPERLINK("http://ms.phosphosite.org:5080/cgi-bin/plot-msms.cgi?MassType=1&amp;NumAxis=1&amp;Mod1=170&amp;Mod11=160&amp;Mod14=160&amp;Mod17=160&amp;Pep=KIHTGEKPYKCSECDKCFTHK&amp;Dta=/var/www/html/dta/S01/10564.5811.3.dta&amp;Global_Mod=CS57.0215", "5811")</f>
        <v>5811</v>
      </c>
      <c r="V1065" s="38" t="s">
        <v>4854</v>
      </c>
      <c r="W1065" s="4" t="s">
        <v>4854</v>
      </c>
      <c r="X1065" s="4" t="s">
        <v>4854</v>
      </c>
      <c r="Y1065" s="4" t="s">
        <v>4854</v>
      </c>
      <c r="Z1065" s="4" t="s">
        <v>4854</v>
      </c>
      <c r="AA1065" s="4" t="s">
        <v>4854</v>
      </c>
      <c r="AB1065" s="4" t="s">
        <v>4854</v>
      </c>
      <c r="AC1065" s="4" t="s">
        <v>4854</v>
      </c>
      <c r="AD1065" s="4" t="s">
        <v>4854</v>
      </c>
      <c r="AE1065" s="100" t="s">
        <v>4854</v>
      </c>
      <c r="AF1065" s="100" t="s">
        <v>4854</v>
      </c>
      <c r="AG1065" s="100" t="s">
        <v>4854</v>
      </c>
      <c r="AH1065" s="100" t="s">
        <v>4854</v>
      </c>
      <c r="AI1065" s="100" t="s">
        <v>4854</v>
      </c>
      <c r="AJ1065" s="100" t="s">
        <v>4854</v>
      </c>
      <c r="AK1065" s="91">
        <v>2.0859999999999999</v>
      </c>
      <c r="AL1065" s="100" t="s">
        <v>4854</v>
      </c>
      <c r="AM1065" s="103" t="s">
        <v>4854</v>
      </c>
      <c r="AN1065" s="103" t="s">
        <v>4854</v>
      </c>
      <c r="AO1065" s="103" t="s">
        <v>4854</v>
      </c>
      <c r="AP1065" s="103" t="s">
        <v>4854</v>
      </c>
      <c r="AQ1065" s="103" t="s">
        <v>4854</v>
      </c>
      <c r="AR1065" s="103" t="s">
        <v>4854</v>
      </c>
      <c r="AS1065" s="95">
        <v>-2.0907</v>
      </c>
      <c r="AT1065" s="103" t="s">
        <v>4854</v>
      </c>
      <c r="AU1065" s="103" t="s">
        <v>4854</v>
      </c>
      <c r="AV1065" s="103" t="s">
        <v>4854</v>
      </c>
      <c r="AW1065" s="103" t="s">
        <v>4854</v>
      </c>
      <c r="AX1065" s="103" t="s">
        <v>4854</v>
      </c>
      <c r="AY1065" s="103" t="s">
        <v>4854</v>
      </c>
      <c r="AZ1065" s="103" t="s">
        <v>4854</v>
      </c>
      <c r="BA1065" s="95">
        <v>6.3E-2</v>
      </c>
      <c r="BB1065" s="103" t="s">
        <v>4854</v>
      </c>
      <c r="BC1065" s="4" t="s">
        <v>4854</v>
      </c>
      <c r="BD1065" s="4" t="s">
        <v>4854</v>
      </c>
      <c r="BE1065" s="4" t="s">
        <v>4854</v>
      </c>
      <c r="BF1065" s="4" t="s">
        <v>4854</v>
      </c>
      <c r="BG1065" s="4" t="s">
        <v>4854</v>
      </c>
      <c r="BH1065" s="4" t="s">
        <v>4854</v>
      </c>
      <c r="BI1065" s="10">
        <v>6</v>
      </c>
      <c r="BJ1065" s="4" t="s">
        <v>4854</v>
      </c>
      <c r="BK1065" s="100" t="s">
        <v>4854</v>
      </c>
      <c r="BL1065" s="100" t="s">
        <v>4854</v>
      </c>
      <c r="BM1065" s="100" t="s">
        <v>4854</v>
      </c>
      <c r="BN1065" s="100" t="s">
        <v>4854</v>
      </c>
      <c r="BO1065" s="100" t="s">
        <v>4854</v>
      </c>
      <c r="BP1065" s="100" t="s">
        <v>4854</v>
      </c>
      <c r="BQ1065" s="91">
        <v>0.107</v>
      </c>
      <c r="BR1065" s="100" t="s">
        <v>4854</v>
      </c>
      <c r="BS1065" s="10" t="s">
        <v>4857</v>
      </c>
    </row>
    <row r="1066" spans="1:71" s="30" customFormat="1" ht="17.100000000000001" customHeight="1">
      <c r="A1066" s="14">
        <v>1055</v>
      </c>
      <c r="B1066" s="5" t="s">
        <v>726</v>
      </c>
      <c r="C1066" s="3" t="s">
        <v>1279</v>
      </c>
      <c r="D1066" s="3" t="s">
        <v>727</v>
      </c>
      <c r="E1066" s="3" t="s">
        <v>727</v>
      </c>
      <c r="F1066" s="5" t="s">
        <v>728</v>
      </c>
      <c r="G1066" s="3" t="s">
        <v>729</v>
      </c>
      <c r="H1066" s="6" t="s">
        <v>730</v>
      </c>
      <c r="I1066" s="3" t="s">
        <v>731</v>
      </c>
      <c r="J1066" s="5" t="s">
        <v>4531</v>
      </c>
      <c r="K1066" s="3" t="s">
        <v>5994</v>
      </c>
      <c r="L1066" s="3" t="s">
        <v>732</v>
      </c>
      <c r="M1066" s="5">
        <v>4</v>
      </c>
      <c r="N1066" s="21">
        <v>611.30370000000005</v>
      </c>
      <c r="O1066" s="35" t="s">
        <v>4854</v>
      </c>
      <c r="P1066" s="35" t="s">
        <v>4854</v>
      </c>
      <c r="Q1066" s="35" t="s">
        <v>4854</v>
      </c>
      <c r="R1066" s="36" t="str">
        <f>HYPERLINK("http://ms.phosphosite.org:5080/cgi-bin/plot-msms.cgi?MassType=1&amp;NumAxis=1&amp;Mod12=170&amp;Mod17=170&amp;Pep=QSAPSEKPTSGKDVEGKPQTMR&amp;Dta=/var/www/html/dta/S01/10561.9156.4.dta&amp;Global_Mod=CS57.0215", "9156")</f>
        <v>9156</v>
      </c>
      <c r="S1066" s="35" t="s">
        <v>4854</v>
      </c>
      <c r="T1066" s="35" t="s">
        <v>4854</v>
      </c>
      <c r="U1066" s="35" t="s">
        <v>4854</v>
      </c>
      <c r="V1066" s="35" t="s">
        <v>4854</v>
      </c>
      <c r="W1066" s="3" t="s">
        <v>4854</v>
      </c>
      <c r="X1066" s="3" t="s">
        <v>4854</v>
      </c>
      <c r="Y1066" s="3" t="s">
        <v>4854</v>
      </c>
      <c r="Z1066" s="3" t="s">
        <v>4854</v>
      </c>
      <c r="AA1066" s="3" t="s">
        <v>4854</v>
      </c>
      <c r="AB1066" s="3" t="s">
        <v>4854</v>
      </c>
      <c r="AC1066" s="3" t="s">
        <v>4854</v>
      </c>
      <c r="AD1066" s="3" t="s">
        <v>4854</v>
      </c>
      <c r="AE1066" s="99" t="s">
        <v>4854</v>
      </c>
      <c r="AF1066" s="99" t="s">
        <v>4854</v>
      </c>
      <c r="AG1066" s="99" t="s">
        <v>4854</v>
      </c>
      <c r="AH1066" s="90">
        <v>2.4700000000000002</v>
      </c>
      <c r="AI1066" s="99" t="s">
        <v>4854</v>
      </c>
      <c r="AJ1066" s="99" t="s">
        <v>4854</v>
      </c>
      <c r="AK1066" s="99" t="s">
        <v>4854</v>
      </c>
      <c r="AL1066" s="99" t="s">
        <v>4854</v>
      </c>
      <c r="AM1066" s="102" t="s">
        <v>4854</v>
      </c>
      <c r="AN1066" s="102" t="s">
        <v>4854</v>
      </c>
      <c r="AO1066" s="102" t="s">
        <v>4854</v>
      </c>
      <c r="AP1066" s="21">
        <v>1.7839</v>
      </c>
      <c r="AQ1066" s="102" t="s">
        <v>4854</v>
      </c>
      <c r="AR1066" s="102" t="s">
        <v>4854</v>
      </c>
      <c r="AS1066" s="102" t="s">
        <v>4854</v>
      </c>
      <c r="AT1066" s="102" t="s">
        <v>4854</v>
      </c>
      <c r="AU1066" s="102" t="s">
        <v>4854</v>
      </c>
      <c r="AV1066" s="102" t="s">
        <v>4854</v>
      </c>
      <c r="AW1066" s="102" t="s">
        <v>4854</v>
      </c>
      <c r="AX1066" s="21">
        <v>7.2999999999999995E-2</v>
      </c>
      <c r="AY1066" s="102" t="s">
        <v>4854</v>
      </c>
      <c r="AZ1066" s="102" t="s">
        <v>4854</v>
      </c>
      <c r="BA1066" s="102" t="s">
        <v>4854</v>
      </c>
      <c r="BB1066" s="102" t="s">
        <v>4854</v>
      </c>
      <c r="BC1066" s="3" t="s">
        <v>4854</v>
      </c>
      <c r="BD1066" s="3" t="s">
        <v>4854</v>
      </c>
      <c r="BE1066" s="3" t="s">
        <v>4854</v>
      </c>
      <c r="BF1066" s="5">
        <v>5</v>
      </c>
      <c r="BG1066" s="3" t="s">
        <v>4854</v>
      </c>
      <c r="BH1066" s="3" t="s">
        <v>4854</v>
      </c>
      <c r="BI1066" s="3" t="s">
        <v>4854</v>
      </c>
      <c r="BJ1066" s="3" t="s">
        <v>4854</v>
      </c>
      <c r="BK1066" s="99" t="s">
        <v>4854</v>
      </c>
      <c r="BL1066" s="99" t="s">
        <v>4854</v>
      </c>
      <c r="BM1066" s="99" t="s">
        <v>4854</v>
      </c>
      <c r="BN1066" s="90">
        <v>0.13600000000000001</v>
      </c>
      <c r="BO1066" s="99" t="s">
        <v>4854</v>
      </c>
      <c r="BP1066" s="99" t="s">
        <v>4854</v>
      </c>
      <c r="BQ1066" s="99" t="s">
        <v>4854</v>
      </c>
      <c r="BR1066" s="99" t="s">
        <v>4854</v>
      </c>
      <c r="BS1066" s="5" t="s">
        <v>4857</v>
      </c>
    </row>
    <row r="1067" spans="1:71" ht="17.100000000000001" customHeight="1">
      <c r="A1067" s="31">
        <v>1056</v>
      </c>
      <c r="B1067" s="2" t="s">
        <v>733</v>
      </c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94"/>
      <c r="O1067" s="34"/>
      <c r="P1067" s="34"/>
      <c r="Q1067" s="34"/>
      <c r="R1067" s="34"/>
      <c r="S1067" s="34"/>
      <c r="T1067" s="34"/>
      <c r="U1067" s="34"/>
      <c r="V1067" s="34"/>
      <c r="W1067" s="1"/>
      <c r="X1067" s="1"/>
      <c r="Y1067" s="1"/>
      <c r="Z1067" s="1"/>
      <c r="AA1067" s="1"/>
      <c r="AB1067" s="1"/>
      <c r="AC1067" s="1"/>
      <c r="AD1067" s="1"/>
      <c r="AE1067" s="89"/>
      <c r="AF1067" s="89"/>
      <c r="AG1067" s="89"/>
      <c r="AH1067" s="89"/>
      <c r="AI1067" s="89"/>
      <c r="AJ1067" s="89"/>
      <c r="AK1067" s="89"/>
      <c r="AL1067" s="89"/>
      <c r="AM1067" s="94"/>
      <c r="AN1067" s="94"/>
      <c r="AO1067" s="94"/>
      <c r="AP1067" s="94"/>
      <c r="AQ1067" s="94"/>
      <c r="AR1067" s="94"/>
      <c r="AS1067" s="94"/>
      <c r="AT1067" s="94"/>
      <c r="AU1067" s="94"/>
      <c r="AV1067" s="94"/>
      <c r="AW1067" s="94"/>
      <c r="AX1067" s="94"/>
      <c r="AY1067" s="94"/>
      <c r="AZ1067" s="94"/>
      <c r="BA1067" s="94"/>
      <c r="BB1067" s="94"/>
      <c r="BC1067" s="1"/>
      <c r="BD1067" s="1"/>
      <c r="BE1067" s="1"/>
      <c r="BF1067" s="1"/>
      <c r="BG1067" s="1"/>
      <c r="BH1067" s="1"/>
      <c r="BI1067" s="1"/>
      <c r="BJ1067" s="1"/>
      <c r="BK1067" s="89"/>
      <c r="BL1067" s="89"/>
      <c r="BM1067" s="89"/>
      <c r="BN1067" s="89"/>
      <c r="BO1067" s="89"/>
      <c r="BP1067" s="89"/>
      <c r="BQ1067" s="89"/>
      <c r="BR1067" s="89"/>
      <c r="BS1067" s="1"/>
    </row>
    <row r="1068" spans="1:71" s="30" customFormat="1" ht="17.100000000000001" customHeight="1">
      <c r="A1068" s="10">
        <v>1057</v>
      </c>
      <c r="B1068" s="10" t="s">
        <v>734</v>
      </c>
      <c r="C1068" s="4" t="s">
        <v>733</v>
      </c>
      <c r="D1068" s="4" t="s">
        <v>735</v>
      </c>
      <c r="E1068" s="7" t="s">
        <v>736</v>
      </c>
      <c r="F1068" s="10" t="s">
        <v>5066</v>
      </c>
      <c r="G1068" s="4" t="s">
        <v>737</v>
      </c>
      <c r="H1068" s="7" t="s">
        <v>738</v>
      </c>
      <c r="I1068" s="4" t="s">
        <v>739</v>
      </c>
      <c r="J1068" s="10" t="s">
        <v>4823</v>
      </c>
      <c r="K1068" s="4" t="s">
        <v>5995</v>
      </c>
      <c r="L1068" s="4" t="s">
        <v>740</v>
      </c>
      <c r="M1068" s="10">
        <v>2</v>
      </c>
      <c r="N1068" s="95">
        <v>505.28190000000001</v>
      </c>
      <c r="O1068" s="38" t="s">
        <v>4854</v>
      </c>
      <c r="P1068" s="38" t="s">
        <v>4854</v>
      </c>
      <c r="Q1068" s="37" t="str">
        <f>HYPERLINK("http://ms.phosphosite.org:5080/cgi-bin/plot-msms.cgi?MassType=1&amp;NumAxis=1&amp;Mod7=170&amp;Pep=EVSTYIKK&amp;Dta=/var/www/html/dta/S01/10560.3472.2.dta&amp;Global_Mod=CS57.0215", "3472")</f>
        <v>3472</v>
      </c>
      <c r="R1068" s="38" t="s">
        <v>4854</v>
      </c>
      <c r="S1068" s="38" t="s">
        <v>4854</v>
      </c>
      <c r="T1068" s="38" t="s">
        <v>4854</v>
      </c>
      <c r="U1068" s="37" t="str">
        <f>HYPERLINK("http://ms.phosphosite.org:5080/cgi-bin/plot-msms.cgi?MassType=1&amp;NumAxis=1&amp;Mod7=170&amp;Pep=EVSTYIKK&amp;Dta=/var/www/html/dta/S01/10564.3844.2.dta&amp;Global_Mod=CS57.0215", "3844")</f>
        <v>3844</v>
      </c>
      <c r="V1068" s="37" t="str">
        <f>HYPERLINK("http://ms.phosphosite.org:5080/cgi-bin/plot-msms.cgi?MassType=1&amp;NumAxis=1&amp;Mod7=170&amp;Pep=EVSTYIKK&amp;Dta=/var/www/html/dta/S01/10565.3929.2.dta&amp;Global_Mod=CS57.0215", "3929")</f>
        <v>3929</v>
      </c>
      <c r="W1068" s="4" t="s">
        <v>4854</v>
      </c>
      <c r="X1068" s="4" t="s">
        <v>4854</v>
      </c>
      <c r="Y1068" s="10">
        <v>3492</v>
      </c>
      <c r="Z1068" s="4" t="s">
        <v>4854</v>
      </c>
      <c r="AA1068" s="4" t="s">
        <v>4854</v>
      </c>
      <c r="AB1068" s="4" t="s">
        <v>4854</v>
      </c>
      <c r="AC1068" s="10">
        <v>3879</v>
      </c>
      <c r="AD1068" s="10">
        <v>3949</v>
      </c>
      <c r="AE1068" s="100" t="s">
        <v>4854</v>
      </c>
      <c r="AF1068" s="100" t="s">
        <v>4854</v>
      </c>
      <c r="AG1068" s="91">
        <v>2.1429999999999998</v>
      </c>
      <c r="AH1068" s="100" t="s">
        <v>4854</v>
      </c>
      <c r="AI1068" s="100" t="s">
        <v>4854</v>
      </c>
      <c r="AJ1068" s="100" t="s">
        <v>4854</v>
      </c>
      <c r="AK1068" s="91">
        <v>1.5620000000000001</v>
      </c>
      <c r="AL1068" s="91">
        <v>1.7190000000000001</v>
      </c>
      <c r="AM1068" s="103" t="s">
        <v>4854</v>
      </c>
      <c r="AN1068" s="103" t="s">
        <v>4854</v>
      </c>
      <c r="AO1068" s="95">
        <v>0.28799999999999998</v>
      </c>
      <c r="AP1068" s="103" t="s">
        <v>4854</v>
      </c>
      <c r="AQ1068" s="103" t="s">
        <v>4854</v>
      </c>
      <c r="AR1068" s="103" t="s">
        <v>4854</v>
      </c>
      <c r="AS1068" s="95">
        <v>-7.1599999999999997E-2</v>
      </c>
      <c r="AT1068" s="95">
        <v>-0.29249999999999998</v>
      </c>
      <c r="AU1068" s="103" t="s">
        <v>4854</v>
      </c>
      <c r="AV1068" s="103" t="s">
        <v>4854</v>
      </c>
      <c r="AW1068" s="95">
        <v>0.255</v>
      </c>
      <c r="AX1068" s="103" t="s">
        <v>4854</v>
      </c>
      <c r="AY1068" s="103" t="s">
        <v>4854</v>
      </c>
      <c r="AZ1068" s="103" t="s">
        <v>4854</v>
      </c>
      <c r="BA1068" s="95">
        <v>0.123</v>
      </c>
      <c r="BB1068" s="95">
        <v>0.16</v>
      </c>
      <c r="BC1068" s="4" t="s">
        <v>4854</v>
      </c>
      <c r="BD1068" s="4" t="s">
        <v>4854</v>
      </c>
      <c r="BE1068" s="10">
        <v>1</v>
      </c>
      <c r="BF1068" s="4" t="s">
        <v>4854</v>
      </c>
      <c r="BG1068" s="4" t="s">
        <v>4854</v>
      </c>
      <c r="BH1068" s="4" t="s">
        <v>4854</v>
      </c>
      <c r="BI1068" s="10">
        <v>1</v>
      </c>
      <c r="BJ1068" s="10">
        <v>1</v>
      </c>
      <c r="BK1068" s="100" t="s">
        <v>4854</v>
      </c>
      <c r="BL1068" s="100" t="s">
        <v>4854</v>
      </c>
      <c r="BM1068" s="91">
        <v>1</v>
      </c>
      <c r="BN1068" s="100" t="s">
        <v>4854</v>
      </c>
      <c r="BO1068" s="100" t="s">
        <v>4854</v>
      </c>
      <c r="BP1068" s="100" t="s">
        <v>4854</v>
      </c>
      <c r="BQ1068" s="91">
        <v>0.99199999999999999</v>
      </c>
      <c r="BR1068" s="91">
        <v>0.997</v>
      </c>
      <c r="BS1068" s="10" t="s">
        <v>4857</v>
      </c>
    </row>
    <row r="1069" spans="1:71" s="30" customFormat="1" ht="17.100000000000001" customHeight="1">
      <c r="A1069" s="14">
        <v>1058</v>
      </c>
      <c r="B1069" s="5" t="s">
        <v>741</v>
      </c>
      <c r="C1069" s="3" t="s">
        <v>733</v>
      </c>
      <c r="D1069" s="3" t="s">
        <v>742</v>
      </c>
      <c r="E1069" s="6" t="s">
        <v>743</v>
      </c>
      <c r="F1069" s="5" t="s">
        <v>5299</v>
      </c>
      <c r="G1069" s="3" t="s">
        <v>737</v>
      </c>
      <c r="H1069" s="6" t="s">
        <v>744</v>
      </c>
      <c r="I1069" s="3" t="s">
        <v>739</v>
      </c>
      <c r="J1069" s="5" t="s">
        <v>745</v>
      </c>
      <c r="K1069" s="3" t="s">
        <v>5996</v>
      </c>
      <c r="L1069" s="3" t="s">
        <v>746</v>
      </c>
      <c r="M1069" s="5">
        <v>2</v>
      </c>
      <c r="N1069" s="21">
        <v>468.75549999999998</v>
      </c>
      <c r="O1069" s="35" t="s">
        <v>4854</v>
      </c>
      <c r="P1069" s="35" t="s">
        <v>4854</v>
      </c>
      <c r="Q1069" s="35" t="s">
        <v>4854</v>
      </c>
      <c r="R1069" s="35" t="s">
        <v>4854</v>
      </c>
      <c r="S1069" s="35" t="s">
        <v>4854</v>
      </c>
      <c r="T1069" s="35" t="s">
        <v>4854</v>
      </c>
      <c r="U1069" s="36" t="str">
        <f>HYPERLINK("http://ms.phosphosite.org:5080/cgi-bin/plot-msms.cgi?MassType=1&amp;NumAxis=1&amp;Mod4=170&amp;Pep=TIEKFEK&amp;Dta=/var/www/html/dta/S01/10564.4182.2.dta&amp;Global_Mod=CS57.0215", "4182")</f>
        <v>4182</v>
      </c>
      <c r="V1069" s="35" t="s">
        <v>4854</v>
      </c>
      <c r="W1069" s="3" t="s">
        <v>4854</v>
      </c>
      <c r="X1069" s="3" t="s">
        <v>4854</v>
      </c>
      <c r="Y1069" s="3" t="s">
        <v>4854</v>
      </c>
      <c r="Z1069" s="3" t="s">
        <v>4854</v>
      </c>
      <c r="AA1069" s="3" t="s">
        <v>4854</v>
      </c>
      <c r="AB1069" s="3" t="s">
        <v>4854</v>
      </c>
      <c r="AC1069" s="3" t="s">
        <v>4854</v>
      </c>
      <c r="AD1069" s="3" t="s">
        <v>4854</v>
      </c>
      <c r="AE1069" s="99" t="s">
        <v>4854</v>
      </c>
      <c r="AF1069" s="99" t="s">
        <v>4854</v>
      </c>
      <c r="AG1069" s="99" t="s">
        <v>4854</v>
      </c>
      <c r="AH1069" s="99" t="s">
        <v>4854</v>
      </c>
      <c r="AI1069" s="99" t="s">
        <v>4854</v>
      </c>
      <c r="AJ1069" s="99" t="s">
        <v>4854</v>
      </c>
      <c r="AK1069" s="90">
        <v>1.546</v>
      </c>
      <c r="AL1069" s="99" t="s">
        <v>4854</v>
      </c>
      <c r="AM1069" s="102" t="s">
        <v>4854</v>
      </c>
      <c r="AN1069" s="102" t="s">
        <v>4854</v>
      </c>
      <c r="AO1069" s="102" t="s">
        <v>4854</v>
      </c>
      <c r="AP1069" s="102" t="s">
        <v>4854</v>
      </c>
      <c r="AQ1069" s="102" t="s">
        <v>4854</v>
      </c>
      <c r="AR1069" s="102" t="s">
        <v>4854</v>
      </c>
      <c r="AS1069" s="21">
        <v>-0.16700000000000001</v>
      </c>
      <c r="AT1069" s="102" t="s">
        <v>4854</v>
      </c>
      <c r="AU1069" s="102" t="s">
        <v>4854</v>
      </c>
      <c r="AV1069" s="102" t="s">
        <v>4854</v>
      </c>
      <c r="AW1069" s="102" t="s">
        <v>4854</v>
      </c>
      <c r="AX1069" s="102" t="s">
        <v>4854</v>
      </c>
      <c r="AY1069" s="102" t="s">
        <v>4854</v>
      </c>
      <c r="AZ1069" s="102" t="s">
        <v>4854</v>
      </c>
      <c r="BA1069" s="21">
        <v>3.6999999999999998E-2</v>
      </c>
      <c r="BB1069" s="102" t="s">
        <v>4854</v>
      </c>
      <c r="BC1069" s="3" t="s">
        <v>4854</v>
      </c>
      <c r="BD1069" s="3" t="s">
        <v>4854</v>
      </c>
      <c r="BE1069" s="3" t="s">
        <v>4854</v>
      </c>
      <c r="BF1069" s="3" t="s">
        <v>4854</v>
      </c>
      <c r="BG1069" s="3" t="s">
        <v>4854</v>
      </c>
      <c r="BH1069" s="3" t="s">
        <v>4854</v>
      </c>
      <c r="BI1069" s="5">
        <v>19</v>
      </c>
      <c r="BJ1069" s="3" t="s">
        <v>4854</v>
      </c>
      <c r="BK1069" s="99" t="s">
        <v>4854</v>
      </c>
      <c r="BL1069" s="99" t="s">
        <v>4854</v>
      </c>
      <c r="BM1069" s="99" t="s">
        <v>4854</v>
      </c>
      <c r="BN1069" s="99" t="s">
        <v>4854</v>
      </c>
      <c r="BO1069" s="99" t="s">
        <v>4854</v>
      </c>
      <c r="BP1069" s="99" t="s">
        <v>4854</v>
      </c>
      <c r="BQ1069" s="90">
        <v>0.77300000000000002</v>
      </c>
      <c r="BR1069" s="99" t="s">
        <v>4854</v>
      </c>
      <c r="BS1069" s="5" t="s">
        <v>4857</v>
      </c>
    </row>
    <row r="1070" spans="1:71" s="30" customFormat="1" ht="17.100000000000001" customHeight="1">
      <c r="A1070" s="14">
        <v>1059</v>
      </c>
      <c r="B1070" s="5" t="s">
        <v>747</v>
      </c>
      <c r="C1070" s="3" t="s">
        <v>733</v>
      </c>
      <c r="D1070" s="3" t="s">
        <v>742</v>
      </c>
      <c r="E1070" s="6" t="s">
        <v>743</v>
      </c>
      <c r="F1070" s="5" t="s">
        <v>5299</v>
      </c>
      <c r="G1070" s="3" t="s">
        <v>737</v>
      </c>
      <c r="H1070" s="6" t="s">
        <v>744</v>
      </c>
      <c r="I1070" s="3" t="s">
        <v>739</v>
      </c>
      <c r="J1070" s="5" t="s">
        <v>745</v>
      </c>
      <c r="K1070" s="3" t="s">
        <v>5996</v>
      </c>
      <c r="L1070" s="3" t="s">
        <v>748</v>
      </c>
      <c r="M1070" s="5">
        <v>3</v>
      </c>
      <c r="N1070" s="21">
        <v>551.61149999999998</v>
      </c>
      <c r="O1070" s="35" t="s">
        <v>4854</v>
      </c>
      <c r="P1070" s="36" t="str">
        <f>HYPERLINK("http://ms.phosphosite.org:5080/cgi-bin/plot-msms.cgi?MassType=1&amp;NumAxis=1&amp;Mod4=170&amp;Pep=TIEKFEKEAAEMGK&amp;Dta=/var/www/html/dta/S01/10559.7400.3.dta&amp;Global_Mod=CS57.0215", "7400")</f>
        <v>7400</v>
      </c>
      <c r="Q1070" s="35" t="s">
        <v>4854</v>
      </c>
      <c r="R1070" s="35" t="s">
        <v>4854</v>
      </c>
      <c r="S1070" s="35" t="s">
        <v>4854</v>
      </c>
      <c r="T1070" s="36" t="str">
        <f>HYPERLINK("http://ms.phosphosite.org:5080/cgi-bin/plot-msms.cgi?MassType=1&amp;NumAxis=1&amp;Mod4=170&amp;Pep=TIEKFEKEAAEMGK&amp;Dta=/var/www/html/dta/S01/10563.7506.3.dta&amp;Global_Mod=CS57.0215", "7506")</f>
        <v>7506</v>
      </c>
      <c r="U1070" s="36" t="str">
        <f>HYPERLINK("http://ms.phosphosite.org:5080/cgi-bin/plot-msms.cgi?MassType=1&amp;NumAxis=1&amp;Mod4=170&amp;Pep=TIEKFEKEAAEMGK&amp;Dta=/var/www/html/dta/S01/10564.7881.3.dta&amp;Global_Mod=CS57.0215", "7881")</f>
        <v>7881</v>
      </c>
      <c r="V1070" s="36" t="str">
        <f>HYPERLINK("http://ms.phosphosite.org:5080/cgi-bin/plot-msms.cgi?MassType=1&amp;NumAxis=1&amp;Mod4=170&amp;Pep=TIEKFEKEAAEMGK&amp;Dta=/var/www/html/dta/S01/10565.7918.3.dta&amp;Global_Mod=CS57.0215", "7918")</f>
        <v>7918</v>
      </c>
      <c r="W1070" s="3" t="s">
        <v>4854</v>
      </c>
      <c r="X1070" s="3" t="s">
        <v>4854</v>
      </c>
      <c r="Y1070" s="3" t="s">
        <v>4854</v>
      </c>
      <c r="Z1070" s="3" t="s">
        <v>4854</v>
      </c>
      <c r="AA1070" s="3" t="s">
        <v>4854</v>
      </c>
      <c r="AB1070" s="5">
        <v>7509</v>
      </c>
      <c r="AC1070" s="5">
        <v>7893</v>
      </c>
      <c r="AD1070" s="5">
        <v>7945</v>
      </c>
      <c r="AE1070" s="99" t="s">
        <v>4854</v>
      </c>
      <c r="AF1070" s="90">
        <v>1.86</v>
      </c>
      <c r="AG1070" s="99" t="s">
        <v>4854</v>
      </c>
      <c r="AH1070" s="99" t="s">
        <v>4854</v>
      </c>
      <c r="AI1070" s="99" t="s">
        <v>4854</v>
      </c>
      <c r="AJ1070" s="90">
        <v>2.0339999999999998</v>
      </c>
      <c r="AK1070" s="90">
        <v>2.5990000000000002</v>
      </c>
      <c r="AL1070" s="90">
        <v>2.653</v>
      </c>
      <c r="AM1070" s="102" t="s">
        <v>4854</v>
      </c>
      <c r="AN1070" s="21">
        <v>0.42320000000000002</v>
      </c>
      <c r="AO1070" s="102" t="s">
        <v>4854</v>
      </c>
      <c r="AP1070" s="102" t="s">
        <v>4854</v>
      </c>
      <c r="AQ1070" s="102" t="s">
        <v>4854</v>
      </c>
      <c r="AR1070" s="21">
        <v>0.98529999999999995</v>
      </c>
      <c r="AS1070" s="21">
        <v>0.59440000000000004</v>
      </c>
      <c r="AT1070" s="21">
        <v>5.0500000000000003E-2</v>
      </c>
      <c r="AU1070" s="102" t="s">
        <v>4854</v>
      </c>
      <c r="AV1070" s="21">
        <v>3.3000000000000002E-2</v>
      </c>
      <c r="AW1070" s="102" t="s">
        <v>4854</v>
      </c>
      <c r="AX1070" s="102" t="s">
        <v>4854</v>
      </c>
      <c r="AY1070" s="102" t="s">
        <v>4854</v>
      </c>
      <c r="AZ1070" s="21">
        <v>8.4000000000000005E-2</v>
      </c>
      <c r="BA1070" s="21">
        <v>0.221</v>
      </c>
      <c r="BB1070" s="21">
        <v>0.38800000000000001</v>
      </c>
      <c r="BC1070" s="3" t="s">
        <v>4854</v>
      </c>
      <c r="BD1070" s="5">
        <v>10</v>
      </c>
      <c r="BE1070" s="3" t="s">
        <v>4854</v>
      </c>
      <c r="BF1070" s="3" t="s">
        <v>4854</v>
      </c>
      <c r="BG1070" s="3" t="s">
        <v>4854</v>
      </c>
      <c r="BH1070" s="5">
        <v>6</v>
      </c>
      <c r="BI1070" s="5">
        <v>21</v>
      </c>
      <c r="BJ1070" s="5">
        <v>1</v>
      </c>
      <c r="BK1070" s="99" t="s">
        <v>4854</v>
      </c>
      <c r="BL1070" s="90">
        <v>0.872</v>
      </c>
      <c r="BM1070" s="99" t="s">
        <v>4854</v>
      </c>
      <c r="BN1070" s="99" t="s">
        <v>4854</v>
      </c>
      <c r="BO1070" s="99" t="s">
        <v>4854</v>
      </c>
      <c r="BP1070" s="90">
        <v>0.95399999999999996</v>
      </c>
      <c r="BQ1070" s="90">
        <v>0.996</v>
      </c>
      <c r="BR1070" s="90">
        <v>1</v>
      </c>
      <c r="BS1070" s="5" t="s">
        <v>4857</v>
      </c>
    </row>
    <row r="1071" spans="1:71" s="30" customFormat="1" ht="17.100000000000001" customHeight="1">
      <c r="A1071" s="14">
        <v>1060</v>
      </c>
      <c r="B1071" s="5" t="s">
        <v>749</v>
      </c>
      <c r="C1071" s="3" t="s">
        <v>733</v>
      </c>
      <c r="D1071" s="3" t="s">
        <v>742</v>
      </c>
      <c r="E1071" s="6" t="s">
        <v>743</v>
      </c>
      <c r="F1071" s="5" t="s">
        <v>5299</v>
      </c>
      <c r="G1071" s="3" t="s">
        <v>737</v>
      </c>
      <c r="H1071" s="6" t="s">
        <v>744</v>
      </c>
      <c r="I1071" s="3" t="s">
        <v>739</v>
      </c>
      <c r="J1071" s="5" t="s">
        <v>745</v>
      </c>
      <c r="K1071" s="3" t="s">
        <v>5996</v>
      </c>
      <c r="L1071" s="3" t="s">
        <v>750</v>
      </c>
      <c r="M1071" s="5">
        <v>3</v>
      </c>
      <c r="N1071" s="21">
        <v>556.94320000000005</v>
      </c>
      <c r="O1071" s="35" t="s">
        <v>4854</v>
      </c>
      <c r="P1071" s="35" t="s">
        <v>4854</v>
      </c>
      <c r="Q1071" s="35" t="s">
        <v>4854</v>
      </c>
      <c r="R1071" s="36" t="str">
        <f>HYPERLINK("http://ms.phosphosite.org:5080/cgi-bin/plot-msms.cgi?MassType=1&amp;NumAxis=1&amp;Mod4=170&amp;Mod12=147&amp;Pep=TIEKFEKEAAEMGK&amp;Dta=/var/www/html/dta/S01/10561.5058.3.dta&amp;Global_Mod=CS57.0215", "5058")</f>
        <v>5058</v>
      </c>
      <c r="S1071" s="35" t="s">
        <v>4854</v>
      </c>
      <c r="T1071" s="36" t="str">
        <f>HYPERLINK("http://ms.phosphosite.org:5080/cgi-bin/plot-msms.cgi?MassType=1&amp;NumAxis=1&amp;Mod4=170&amp;Mod12=147&amp;Pep=TIEKFEKEAAEMGK&amp;Dta=/var/www/html/dta/S01/10563.5121.3.dta&amp;Global_Mod=CS57.0215", "5121")</f>
        <v>5121</v>
      </c>
      <c r="U1071" s="36" t="str">
        <f>HYPERLINK("http://ms.phosphosite.org:5080/cgi-bin/plot-msms.cgi?MassType=1&amp;NumAxis=1&amp;Mod4=170&amp;Mod12=147&amp;Pep=TIEKFEKEAAEMGK&amp;Dta=/var/www/html/dta/S01/10564.5458.3.dta&amp;Global_Mod=CS57.0215", "5458")</f>
        <v>5458</v>
      </c>
      <c r="V1071" s="35" t="s">
        <v>4854</v>
      </c>
      <c r="W1071" s="3" t="s">
        <v>4854</v>
      </c>
      <c r="X1071" s="3" t="s">
        <v>4854</v>
      </c>
      <c r="Y1071" s="3" t="s">
        <v>4854</v>
      </c>
      <c r="Z1071" s="5">
        <v>5062</v>
      </c>
      <c r="AA1071" s="3" t="s">
        <v>4854</v>
      </c>
      <c r="AB1071" s="5">
        <v>5111</v>
      </c>
      <c r="AC1071" s="3" t="s">
        <v>4854</v>
      </c>
      <c r="AD1071" s="3" t="s">
        <v>4854</v>
      </c>
      <c r="AE1071" s="99" t="s">
        <v>4854</v>
      </c>
      <c r="AF1071" s="99" t="s">
        <v>4854</v>
      </c>
      <c r="AG1071" s="99" t="s">
        <v>4854</v>
      </c>
      <c r="AH1071" s="90">
        <v>2.41</v>
      </c>
      <c r="AI1071" s="99" t="s">
        <v>4854</v>
      </c>
      <c r="AJ1071" s="90">
        <v>2.5579999999999998</v>
      </c>
      <c r="AK1071" s="90">
        <v>2.0910000000000002</v>
      </c>
      <c r="AL1071" s="99" t="s">
        <v>4854</v>
      </c>
      <c r="AM1071" s="102" t="s">
        <v>4854</v>
      </c>
      <c r="AN1071" s="102" t="s">
        <v>4854</v>
      </c>
      <c r="AO1071" s="102" t="s">
        <v>4854</v>
      </c>
      <c r="AP1071" s="21">
        <v>0.38219999999999998</v>
      </c>
      <c r="AQ1071" s="102" t="s">
        <v>4854</v>
      </c>
      <c r="AR1071" s="21">
        <v>0.27500000000000002</v>
      </c>
      <c r="AS1071" s="21">
        <v>0.16769999999999999</v>
      </c>
      <c r="AT1071" s="102" t="s">
        <v>4854</v>
      </c>
      <c r="AU1071" s="102" t="s">
        <v>4854</v>
      </c>
      <c r="AV1071" s="102" t="s">
        <v>4854</v>
      </c>
      <c r="AW1071" s="102" t="s">
        <v>4854</v>
      </c>
      <c r="AX1071" s="21">
        <v>0.19600000000000001</v>
      </c>
      <c r="AY1071" s="102" t="s">
        <v>4854</v>
      </c>
      <c r="AZ1071" s="21">
        <v>0.28899999999999998</v>
      </c>
      <c r="BA1071" s="21">
        <v>8.8999999999999996E-2</v>
      </c>
      <c r="BB1071" s="102" t="s">
        <v>4854</v>
      </c>
      <c r="BC1071" s="3" t="s">
        <v>4854</v>
      </c>
      <c r="BD1071" s="3" t="s">
        <v>4854</v>
      </c>
      <c r="BE1071" s="3" t="s">
        <v>4854</v>
      </c>
      <c r="BF1071" s="5">
        <v>4</v>
      </c>
      <c r="BG1071" s="3" t="s">
        <v>4854</v>
      </c>
      <c r="BH1071" s="5">
        <v>4</v>
      </c>
      <c r="BI1071" s="5">
        <v>22</v>
      </c>
      <c r="BJ1071" s="3" t="s">
        <v>4854</v>
      </c>
      <c r="BK1071" s="99" t="s">
        <v>4854</v>
      </c>
      <c r="BL1071" s="99" t="s">
        <v>4854</v>
      </c>
      <c r="BM1071" s="99" t="s">
        <v>4854</v>
      </c>
      <c r="BN1071" s="90">
        <v>0.996</v>
      </c>
      <c r="BO1071" s="99" t="s">
        <v>4854</v>
      </c>
      <c r="BP1071" s="90">
        <v>0.999</v>
      </c>
      <c r="BQ1071" s="90">
        <v>0.94599999999999995</v>
      </c>
      <c r="BR1071" s="99" t="s">
        <v>4854</v>
      </c>
      <c r="BS1071" s="5" t="s">
        <v>4857</v>
      </c>
    </row>
    <row r="1072" spans="1:71" s="30" customFormat="1" ht="17.100000000000001" customHeight="1">
      <c r="A1072" s="10">
        <v>1061</v>
      </c>
      <c r="B1072" s="10" t="s">
        <v>751</v>
      </c>
      <c r="C1072" s="4" t="s">
        <v>733</v>
      </c>
      <c r="D1072" s="4" t="s">
        <v>742</v>
      </c>
      <c r="E1072" s="7" t="s">
        <v>743</v>
      </c>
      <c r="F1072" s="10" t="s">
        <v>5248</v>
      </c>
      <c r="G1072" s="4" t="s">
        <v>737</v>
      </c>
      <c r="H1072" s="7" t="s">
        <v>744</v>
      </c>
      <c r="I1072" s="4" t="s">
        <v>739</v>
      </c>
      <c r="J1072" s="10" t="s">
        <v>745</v>
      </c>
      <c r="K1072" s="4" t="s">
        <v>5997</v>
      </c>
      <c r="L1072" s="4" t="s">
        <v>752</v>
      </c>
      <c r="M1072" s="10">
        <v>3</v>
      </c>
      <c r="N1072" s="95">
        <v>556.94320000000005</v>
      </c>
      <c r="O1072" s="38" t="s">
        <v>4854</v>
      </c>
      <c r="P1072" s="38" t="s">
        <v>4854</v>
      </c>
      <c r="Q1072" s="37" t="str">
        <f>HYPERLINK("http://ms.phosphosite.org:5080/cgi-bin/plot-msms.cgi?MassType=1&amp;NumAxis=1&amp;Mod7=170&amp;Mod12=147&amp;Pep=TIEKFEKEAAEMGK&amp;Dta=/var/www/html/dta/S01/10560.5020.3.dta&amp;Global_Mod=CS57.0215", "5020")</f>
        <v>5020</v>
      </c>
      <c r="R1072" s="38" t="s">
        <v>4854</v>
      </c>
      <c r="S1072" s="37" t="str">
        <f>HYPERLINK("http://ms.phosphosite.org:5080/cgi-bin/plot-msms.cgi?MassType=1&amp;NumAxis=1&amp;Mod7=170&amp;Mod12=147&amp;Pep=TIEKFEKEAAEMGK&amp;Dta=/var/www/html/dta/S01/10562.5184.3.dta&amp;Global_Mod=CS57.0215", "5184")</f>
        <v>5184</v>
      </c>
      <c r="T1072" s="38" t="s">
        <v>4854</v>
      </c>
      <c r="U1072" s="38" t="s">
        <v>4854</v>
      </c>
      <c r="V1072" s="38" t="s">
        <v>4854</v>
      </c>
      <c r="W1072" s="4" t="s">
        <v>4854</v>
      </c>
      <c r="X1072" s="4" t="s">
        <v>4854</v>
      </c>
      <c r="Y1072" s="10">
        <v>5046</v>
      </c>
      <c r="Z1072" s="4" t="s">
        <v>4854</v>
      </c>
      <c r="AA1072" s="10">
        <v>5185</v>
      </c>
      <c r="AB1072" s="4" t="s">
        <v>4854</v>
      </c>
      <c r="AC1072" s="4" t="s">
        <v>4854</v>
      </c>
      <c r="AD1072" s="4" t="s">
        <v>4854</v>
      </c>
      <c r="AE1072" s="100" t="s">
        <v>4854</v>
      </c>
      <c r="AF1072" s="100" t="s">
        <v>4854</v>
      </c>
      <c r="AG1072" s="91">
        <v>2.4049999999999998</v>
      </c>
      <c r="AH1072" s="100" t="s">
        <v>4854</v>
      </c>
      <c r="AI1072" s="91">
        <v>3.1280000000000001</v>
      </c>
      <c r="AJ1072" s="100" t="s">
        <v>4854</v>
      </c>
      <c r="AK1072" s="100" t="s">
        <v>4854</v>
      </c>
      <c r="AL1072" s="100" t="s">
        <v>4854</v>
      </c>
      <c r="AM1072" s="103" t="s">
        <v>4854</v>
      </c>
      <c r="AN1072" s="103" t="s">
        <v>4854</v>
      </c>
      <c r="AO1072" s="95">
        <v>0.42180000000000001</v>
      </c>
      <c r="AP1072" s="103" t="s">
        <v>4854</v>
      </c>
      <c r="AQ1072" s="95">
        <v>0.25819999999999999</v>
      </c>
      <c r="AR1072" s="103" t="s">
        <v>4854</v>
      </c>
      <c r="AS1072" s="103" t="s">
        <v>4854</v>
      </c>
      <c r="AT1072" s="103" t="s">
        <v>4854</v>
      </c>
      <c r="AU1072" s="103" t="s">
        <v>4854</v>
      </c>
      <c r="AV1072" s="103" t="s">
        <v>4854</v>
      </c>
      <c r="AW1072" s="95">
        <v>0.161</v>
      </c>
      <c r="AX1072" s="103" t="s">
        <v>4854</v>
      </c>
      <c r="AY1072" s="95">
        <v>0.157</v>
      </c>
      <c r="AZ1072" s="103" t="s">
        <v>4854</v>
      </c>
      <c r="BA1072" s="103" t="s">
        <v>4854</v>
      </c>
      <c r="BB1072" s="103" t="s">
        <v>4854</v>
      </c>
      <c r="BC1072" s="4" t="s">
        <v>4854</v>
      </c>
      <c r="BD1072" s="4" t="s">
        <v>4854</v>
      </c>
      <c r="BE1072" s="10">
        <v>1</v>
      </c>
      <c r="BF1072" s="4" t="s">
        <v>4854</v>
      </c>
      <c r="BG1072" s="10">
        <v>1</v>
      </c>
      <c r="BH1072" s="4" t="s">
        <v>4854</v>
      </c>
      <c r="BI1072" s="4" t="s">
        <v>4854</v>
      </c>
      <c r="BJ1072" s="4" t="s">
        <v>4854</v>
      </c>
      <c r="BK1072" s="100" t="s">
        <v>4854</v>
      </c>
      <c r="BL1072" s="100" t="s">
        <v>4854</v>
      </c>
      <c r="BM1072" s="91">
        <v>0.995</v>
      </c>
      <c r="BN1072" s="100" t="s">
        <v>4854</v>
      </c>
      <c r="BO1072" s="91">
        <v>0.998</v>
      </c>
      <c r="BP1072" s="100" t="s">
        <v>4854</v>
      </c>
      <c r="BQ1072" s="100" t="s">
        <v>4854</v>
      </c>
      <c r="BR1072" s="100" t="s">
        <v>4854</v>
      </c>
      <c r="BS1072" s="10" t="s">
        <v>4857</v>
      </c>
    </row>
    <row r="1073" spans="1:71" s="30" customFormat="1" ht="17.100000000000001" customHeight="1">
      <c r="A1073" s="14">
        <v>1062</v>
      </c>
      <c r="B1073" s="5" t="s">
        <v>753</v>
      </c>
      <c r="C1073" s="3" t="s">
        <v>733</v>
      </c>
      <c r="D1073" s="3" t="s">
        <v>754</v>
      </c>
      <c r="E1073" s="3" t="s">
        <v>755</v>
      </c>
      <c r="F1073" s="5" t="s">
        <v>4982</v>
      </c>
      <c r="G1073" s="3" t="s">
        <v>756</v>
      </c>
      <c r="H1073" s="6" t="s">
        <v>757</v>
      </c>
      <c r="I1073" s="3" t="s">
        <v>758</v>
      </c>
      <c r="J1073" s="5" t="s">
        <v>4823</v>
      </c>
      <c r="K1073" s="3" t="s">
        <v>5998</v>
      </c>
      <c r="L1073" s="3" t="s">
        <v>759</v>
      </c>
      <c r="M1073" s="5">
        <v>2</v>
      </c>
      <c r="N1073" s="21">
        <v>722.8732</v>
      </c>
      <c r="O1073" s="35" t="s">
        <v>4854</v>
      </c>
      <c r="P1073" s="35" t="s">
        <v>4854</v>
      </c>
      <c r="Q1073" s="35" t="s">
        <v>4854</v>
      </c>
      <c r="R1073" s="35" t="s">
        <v>4854</v>
      </c>
      <c r="S1073" s="35" t="s">
        <v>4854</v>
      </c>
      <c r="T1073" s="35" t="s">
        <v>4854</v>
      </c>
      <c r="U1073" s="36" t="str">
        <f>HYPERLINK("http://ms.phosphosite.org:5080/cgi-bin/plot-msms.cgi?MassType=1&amp;NumAxis=1&amp;Mod11=170&amp;Pep=QATENAKEEVKR&amp;Dta=/var/www/html/dta/S01/10564.1746.2.dta&amp;Global_Mod=CS57.0215", "1746")</f>
        <v>1746</v>
      </c>
      <c r="V1073" s="35" t="s">
        <v>4854</v>
      </c>
      <c r="W1073" s="3" t="s">
        <v>4854</v>
      </c>
      <c r="X1073" s="3" t="s">
        <v>4854</v>
      </c>
      <c r="Y1073" s="3" t="s">
        <v>4854</v>
      </c>
      <c r="Z1073" s="3" t="s">
        <v>4854</v>
      </c>
      <c r="AA1073" s="3" t="s">
        <v>4854</v>
      </c>
      <c r="AB1073" s="3" t="s">
        <v>4854</v>
      </c>
      <c r="AC1073" s="3" t="s">
        <v>4854</v>
      </c>
      <c r="AD1073" s="3" t="s">
        <v>4854</v>
      </c>
      <c r="AE1073" s="99" t="s">
        <v>4854</v>
      </c>
      <c r="AF1073" s="99" t="s">
        <v>4854</v>
      </c>
      <c r="AG1073" s="99" t="s">
        <v>4854</v>
      </c>
      <c r="AH1073" s="99" t="s">
        <v>4854</v>
      </c>
      <c r="AI1073" s="99" t="s">
        <v>4854</v>
      </c>
      <c r="AJ1073" s="99" t="s">
        <v>4854</v>
      </c>
      <c r="AK1073" s="90">
        <v>1.5089999999999999</v>
      </c>
      <c r="AL1073" s="99" t="s">
        <v>4854</v>
      </c>
      <c r="AM1073" s="102" t="s">
        <v>4854</v>
      </c>
      <c r="AN1073" s="102" t="s">
        <v>4854</v>
      </c>
      <c r="AO1073" s="102" t="s">
        <v>4854</v>
      </c>
      <c r="AP1073" s="102" t="s">
        <v>4854</v>
      </c>
      <c r="AQ1073" s="102" t="s">
        <v>4854</v>
      </c>
      <c r="AR1073" s="102" t="s">
        <v>4854</v>
      </c>
      <c r="AS1073" s="21">
        <v>1.639</v>
      </c>
      <c r="AT1073" s="102" t="s">
        <v>4854</v>
      </c>
      <c r="AU1073" s="102" t="s">
        <v>4854</v>
      </c>
      <c r="AV1073" s="102" t="s">
        <v>4854</v>
      </c>
      <c r="AW1073" s="102" t="s">
        <v>4854</v>
      </c>
      <c r="AX1073" s="102" t="s">
        <v>4854</v>
      </c>
      <c r="AY1073" s="102" t="s">
        <v>4854</v>
      </c>
      <c r="AZ1073" s="102" t="s">
        <v>4854</v>
      </c>
      <c r="BA1073" s="21">
        <v>0.08</v>
      </c>
      <c r="BB1073" s="102" t="s">
        <v>4854</v>
      </c>
      <c r="BC1073" s="3" t="s">
        <v>4854</v>
      </c>
      <c r="BD1073" s="3" t="s">
        <v>4854</v>
      </c>
      <c r="BE1073" s="3" t="s">
        <v>4854</v>
      </c>
      <c r="BF1073" s="3" t="s">
        <v>4854</v>
      </c>
      <c r="BG1073" s="3" t="s">
        <v>4854</v>
      </c>
      <c r="BH1073" s="3" t="s">
        <v>4854</v>
      </c>
      <c r="BI1073" s="5">
        <v>97</v>
      </c>
      <c r="BJ1073" s="3" t="s">
        <v>4854</v>
      </c>
      <c r="BK1073" s="99" t="s">
        <v>4854</v>
      </c>
      <c r="BL1073" s="99" t="s">
        <v>4854</v>
      </c>
      <c r="BM1073" s="99" t="s">
        <v>4854</v>
      </c>
      <c r="BN1073" s="99" t="s">
        <v>4854</v>
      </c>
      <c r="BO1073" s="99" t="s">
        <v>4854</v>
      </c>
      <c r="BP1073" s="99" t="s">
        <v>4854</v>
      </c>
      <c r="BQ1073" s="90">
        <v>0.67200000000000004</v>
      </c>
      <c r="BR1073" s="99" t="s">
        <v>4854</v>
      </c>
      <c r="BS1073" s="5" t="s">
        <v>4857</v>
      </c>
    </row>
    <row r="1074" spans="1:71" s="30" customFormat="1" ht="17.100000000000001" customHeight="1">
      <c r="A1074" s="10">
        <v>1063</v>
      </c>
      <c r="B1074" s="10" t="s">
        <v>760</v>
      </c>
      <c r="C1074" s="4" t="s">
        <v>733</v>
      </c>
      <c r="D1074" s="4" t="s">
        <v>754</v>
      </c>
      <c r="E1074" s="4" t="s">
        <v>755</v>
      </c>
      <c r="F1074" s="10" t="s">
        <v>5257</v>
      </c>
      <c r="G1074" s="4" t="s">
        <v>756</v>
      </c>
      <c r="H1074" s="7" t="s">
        <v>757</v>
      </c>
      <c r="I1074" s="4" t="s">
        <v>758</v>
      </c>
      <c r="J1074" s="10" t="s">
        <v>4823</v>
      </c>
      <c r="K1074" s="4" t="s">
        <v>5999</v>
      </c>
      <c r="L1074" s="4" t="s">
        <v>761</v>
      </c>
      <c r="M1074" s="10">
        <v>2</v>
      </c>
      <c r="N1074" s="95">
        <v>523.80330000000004</v>
      </c>
      <c r="O1074" s="37" t="str">
        <f>HYPERLINK("http://ms.phosphosite.org:5080/cgi-bin/plot-msms.cgi?MassType=1&amp;NumAxis=1&amp;Mod6=170&amp;Pep=AVNQGKIFK&amp;Dta=/var/www/html/dta/S01/10558.4411.2.dta&amp;Global_Mod=CS57.0215", "4411")</f>
        <v>4411</v>
      </c>
      <c r="P1074" s="37" t="str">
        <f>HYPERLINK("http://ms.phosphosite.org:5080/cgi-bin/plot-msms.cgi?MassType=1&amp;NumAxis=1&amp;Mod6=170&amp;Pep=AVNQGKIFK&amp;Dta=/var/www/html/dta/S01/10559.4374.2.dta&amp;Global_Mod=CS57.0215", "4374")</f>
        <v>4374</v>
      </c>
      <c r="Q1074" s="37" t="str">
        <f>HYPERLINK("http://ms.phosphosite.org:5080/cgi-bin/plot-msms.cgi?MassType=1&amp;NumAxis=1&amp;Mod6=170&amp;Pep=AVNQGKIFK&amp;Dta=/var/www/html/dta/S01/10560.4368.2.dta&amp;Global_Mod=CS57.0215", "4368")</f>
        <v>4368</v>
      </c>
      <c r="R1074" s="37" t="str">
        <f>HYPERLINK("http://ms.phosphosite.org:5080/cgi-bin/plot-msms.cgi?MassType=1&amp;NumAxis=1&amp;Mod6=170&amp;Pep=AVNQGKIFK&amp;Dta=/var/www/html/dta/S01/10561.4392.2.dta&amp;Global_Mod=CS57.0215", "4392")</f>
        <v>4392</v>
      </c>
      <c r="S1074" s="37" t="str">
        <f>HYPERLINK("http://ms.phosphosite.org:5080/cgi-bin/plot-msms.cgi?MassType=1&amp;NumAxis=1&amp;Mod6=170&amp;Pep=AVNQGKIFK&amp;Dta=/var/www/html/dta/S01/10562.4501.2.dta&amp;Global_Mod=CS57.0215", "4501")</f>
        <v>4501</v>
      </c>
      <c r="T1074" s="37" t="str">
        <f>HYPERLINK("http://ms.phosphosite.org:5080/cgi-bin/plot-msms.cgi?MassType=1&amp;NumAxis=1&amp;Mod6=170&amp;Pep=AVNQGKIFK&amp;Dta=/var/www/html/dta/S01/10563.4421.2.dta&amp;Global_Mod=CS57.0215", "4421")</f>
        <v>4421</v>
      </c>
      <c r="U1074" s="37" t="str">
        <f>HYPERLINK("http://ms.phosphosite.org:5080/cgi-bin/plot-msms.cgi?MassType=1&amp;NumAxis=1&amp;Mod6=170&amp;Pep=AVNQGKIFK&amp;Dta=/var/www/html/dta/S01/10564.4781.2.dta&amp;Global_Mod=CS57.0215", "4781")</f>
        <v>4781</v>
      </c>
      <c r="V1074" s="37" t="str">
        <f>HYPERLINK("http://ms.phosphosite.org:5080/cgi-bin/plot-msms.cgi?MassType=1&amp;NumAxis=1&amp;Mod6=170&amp;Pep=AVNQGKIFK&amp;Dta=/var/www/html/dta/S01/10565.4859.2.dta&amp;Global_Mod=CS57.0215", "4859")</f>
        <v>4859</v>
      </c>
      <c r="W1074" s="10">
        <v>4410</v>
      </c>
      <c r="X1074" s="10">
        <v>4338</v>
      </c>
      <c r="Y1074" s="10">
        <v>4323</v>
      </c>
      <c r="Z1074" s="10">
        <v>4347</v>
      </c>
      <c r="AA1074" s="10">
        <v>4465</v>
      </c>
      <c r="AB1074" s="10">
        <v>4387</v>
      </c>
      <c r="AC1074" s="10">
        <v>4747</v>
      </c>
      <c r="AD1074" s="10">
        <v>4847</v>
      </c>
      <c r="AE1074" s="91">
        <v>2.3759999999999999</v>
      </c>
      <c r="AF1074" s="91">
        <v>2.157</v>
      </c>
      <c r="AG1074" s="91">
        <v>2.157</v>
      </c>
      <c r="AH1074" s="91">
        <v>1.98</v>
      </c>
      <c r="AI1074" s="91">
        <v>2.1819999999999999</v>
      </c>
      <c r="AJ1074" s="91">
        <v>2.4980000000000002</v>
      </c>
      <c r="AK1074" s="91">
        <v>2.3290000000000002</v>
      </c>
      <c r="AL1074" s="91">
        <v>2.46</v>
      </c>
      <c r="AM1074" s="95">
        <v>-6.3200000000000006E-2</v>
      </c>
      <c r="AN1074" s="95">
        <v>-1.54E-2</v>
      </c>
      <c r="AO1074" s="95">
        <v>6.2899999999999998E-2</v>
      </c>
      <c r="AP1074" s="95">
        <v>-2.5000000000000001E-2</v>
      </c>
      <c r="AQ1074" s="95">
        <v>6.6799999999999998E-2</v>
      </c>
      <c r="AR1074" s="95">
        <v>-1.06E-2</v>
      </c>
      <c r="AS1074" s="95">
        <v>-0.2954</v>
      </c>
      <c r="AT1074" s="95">
        <v>-0.39379999999999998</v>
      </c>
      <c r="AU1074" s="95">
        <v>0.13800000000000001</v>
      </c>
      <c r="AV1074" s="95">
        <v>0.113</v>
      </c>
      <c r="AW1074" s="95">
        <v>9.8000000000000004E-2</v>
      </c>
      <c r="AX1074" s="95">
        <v>0.11899999999999999</v>
      </c>
      <c r="AY1074" s="95">
        <v>0.11799999999999999</v>
      </c>
      <c r="AZ1074" s="95">
        <v>0.151</v>
      </c>
      <c r="BA1074" s="95">
        <v>0.13100000000000001</v>
      </c>
      <c r="BB1074" s="95">
        <v>9.2999999999999999E-2</v>
      </c>
      <c r="BC1074" s="10">
        <v>1</v>
      </c>
      <c r="BD1074" s="10">
        <v>21</v>
      </c>
      <c r="BE1074" s="10">
        <v>18</v>
      </c>
      <c r="BF1074" s="10">
        <v>4</v>
      </c>
      <c r="BG1074" s="10">
        <v>5</v>
      </c>
      <c r="BH1074" s="10">
        <v>2</v>
      </c>
      <c r="BI1074" s="10">
        <v>3</v>
      </c>
      <c r="BJ1074" s="10">
        <v>1</v>
      </c>
      <c r="BK1074" s="91">
        <v>0.996</v>
      </c>
      <c r="BL1074" s="91">
        <v>0.97399999999999998</v>
      </c>
      <c r="BM1074" s="91">
        <v>0.97099999999999997</v>
      </c>
      <c r="BN1074" s="91">
        <v>0.97799999999999998</v>
      </c>
      <c r="BO1074" s="91">
        <v>0.98599999999999999</v>
      </c>
      <c r="BP1074" s="91">
        <v>0.996</v>
      </c>
      <c r="BQ1074" s="91">
        <v>0.99299999999999999</v>
      </c>
      <c r="BR1074" s="91">
        <v>0.99399999999999999</v>
      </c>
      <c r="BS1074" s="10" t="s">
        <v>4857</v>
      </c>
    </row>
    <row r="1075" spans="1:71" s="30" customFormat="1" ht="17.100000000000001" customHeight="1">
      <c r="A1075" s="14">
        <v>1064</v>
      </c>
      <c r="B1075" s="5" t="s">
        <v>762</v>
      </c>
      <c r="C1075" s="3" t="s">
        <v>733</v>
      </c>
      <c r="D1075" s="3" t="s">
        <v>763</v>
      </c>
      <c r="E1075" s="6" t="s">
        <v>764</v>
      </c>
      <c r="F1075" s="5" t="s">
        <v>5053</v>
      </c>
      <c r="G1075" s="3" t="s">
        <v>765</v>
      </c>
      <c r="H1075" s="6" t="s">
        <v>766</v>
      </c>
      <c r="I1075" s="3" t="s">
        <v>767</v>
      </c>
      <c r="J1075" s="5" t="s">
        <v>4405</v>
      </c>
      <c r="K1075" s="3" t="s">
        <v>6000</v>
      </c>
      <c r="L1075" s="3" t="s">
        <v>768</v>
      </c>
      <c r="M1075" s="5">
        <v>2</v>
      </c>
      <c r="N1075" s="21">
        <v>658.31949999999995</v>
      </c>
      <c r="O1075" s="36" t="str">
        <f>HYPERLINK("http://ms.phosphosite.org:5080/cgi-bin/plot-msms.cgi?MassType=1&amp;NumAxis=1&amp;Mod8=170&amp;Pep=YFDPANGKFSK&amp;Dta=/var/www/html/dta/S01/10558.6775.2.dta&amp;Global_Mod=CS57.0215", "6775")</f>
        <v>6775</v>
      </c>
      <c r="P1075" s="36" t="str">
        <f>HYPERLINK("http://ms.phosphosite.org:5080/cgi-bin/plot-msms.cgi?MassType=1&amp;NumAxis=1&amp;Mod8=170&amp;Pep=YFDPANGKFSK&amp;Dta=/var/www/html/dta/S01/10559.6782.2.dta&amp;Global_Mod=CS57.0215", "6782")</f>
        <v>6782</v>
      </c>
      <c r="Q1075" s="36" t="str">
        <f>HYPERLINK("http://ms.phosphosite.org:5080/cgi-bin/plot-msms.cgi?MassType=1&amp;NumAxis=1&amp;Mod8=170&amp;Pep=YFDPANGKFSK&amp;Dta=/var/www/html/dta/S01/10560.6700.2.dta&amp;Global_Mod=CS57.0215", "6700")</f>
        <v>6700</v>
      </c>
      <c r="R1075" s="36" t="str">
        <f>HYPERLINK("http://ms.phosphosite.org:5080/cgi-bin/plot-msms.cgi?MassType=1&amp;NumAxis=1&amp;Mod8=170&amp;Pep=YFDPANGKFSK&amp;Dta=/var/www/html/dta/S01/10561.6761.2.dta&amp;Global_Mod=CS57.0215", "6761")</f>
        <v>6761</v>
      </c>
      <c r="S1075" s="36" t="str">
        <f>HYPERLINK("http://ms.phosphosite.org:5080/cgi-bin/plot-msms.cgi?MassType=1&amp;NumAxis=1&amp;Mod8=170&amp;Pep=YFDPANGKFSK&amp;Dta=/var/www/html/dta/S01/10562.6869.2.dta&amp;Global_Mod=CS57.0215", "6869")</f>
        <v>6869</v>
      </c>
      <c r="T1075" s="36" t="str">
        <f>HYPERLINK("http://ms.phosphosite.org:5080/cgi-bin/plot-msms.cgi?MassType=1&amp;NumAxis=1&amp;Mod8=170&amp;Pep=YFDPANGKFSK&amp;Dta=/var/www/html/dta/S01/10563.6833.2.dta&amp;Global_Mod=CS57.0215", "6833")</f>
        <v>6833</v>
      </c>
      <c r="U1075" s="36" t="str">
        <f>HYPERLINK("http://ms.phosphosite.org:5080/cgi-bin/plot-msms.cgi?MassType=1&amp;NumAxis=1&amp;Mod8=170&amp;Pep=YFDPANGKFSK&amp;Dta=/var/www/html/dta/S01/10564.7213.2.dta&amp;Global_Mod=CS57.0215", "7213")</f>
        <v>7213</v>
      </c>
      <c r="V1075" s="36" t="str">
        <f>HYPERLINK("http://ms.phosphosite.org:5080/cgi-bin/plot-msms.cgi?MassType=1&amp;NumAxis=1&amp;Mod8=170&amp;Pep=YFDPANGKFSK&amp;Dta=/var/www/html/dta/S01/10565.7289.2.dta&amp;Global_Mod=CS57.0215", "7289")</f>
        <v>7289</v>
      </c>
      <c r="W1075" s="5">
        <v>6831</v>
      </c>
      <c r="X1075" s="5">
        <v>6734</v>
      </c>
      <c r="Y1075" s="5">
        <v>6718</v>
      </c>
      <c r="Z1075" s="5">
        <v>6778</v>
      </c>
      <c r="AA1075" s="5">
        <v>6895</v>
      </c>
      <c r="AB1075" s="5">
        <v>6849</v>
      </c>
      <c r="AC1075" s="5">
        <v>7233</v>
      </c>
      <c r="AD1075" s="5">
        <v>7318</v>
      </c>
      <c r="AE1075" s="90">
        <v>2.2480000000000002</v>
      </c>
      <c r="AF1075" s="90">
        <v>2.8580000000000001</v>
      </c>
      <c r="AG1075" s="90">
        <v>2.879</v>
      </c>
      <c r="AH1075" s="90">
        <v>2.6829999999999998</v>
      </c>
      <c r="AI1075" s="90">
        <v>2.6589999999999998</v>
      </c>
      <c r="AJ1075" s="90">
        <v>2.8370000000000002</v>
      </c>
      <c r="AK1075" s="90">
        <v>1.9850000000000001</v>
      </c>
      <c r="AL1075" s="90">
        <v>3.05</v>
      </c>
      <c r="AM1075" s="21">
        <v>0.25430000000000003</v>
      </c>
      <c r="AN1075" s="21">
        <v>0.29299999999999998</v>
      </c>
      <c r="AO1075" s="21">
        <v>0.2482</v>
      </c>
      <c r="AP1075" s="21">
        <v>0.56740000000000002</v>
      </c>
      <c r="AQ1075" s="21">
        <v>0.3508</v>
      </c>
      <c r="AR1075" s="21">
        <v>0.3211</v>
      </c>
      <c r="AS1075" s="21">
        <v>0.28620000000000001</v>
      </c>
      <c r="AT1075" s="21">
        <v>-2.7699999999999999E-2</v>
      </c>
      <c r="AU1075" s="21">
        <v>0.20899999999999999</v>
      </c>
      <c r="AV1075" s="21">
        <v>0.35</v>
      </c>
      <c r="AW1075" s="21">
        <v>0.24099999999999999</v>
      </c>
      <c r="AX1075" s="21">
        <v>0.40400000000000003</v>
      </c>
      <c r="AY1075" s="21">
        <v>0.39700000000000002</v>
      </c>
      <c r="AZ1075" s="21">
        <v>0.44600000000000001</v>
      </c>
      <c r="BA1075" s="21">
        <v>0.23799999999999999</v>
      </c>
      <c r="BB1075" s="21">
        <v>0.32300000000000001</v>
      </c>
      <c r="BC1075" s="5">
        <v>10</v>
      </c>
      <c r="BD1075" s="5">
        <v>1</v>
      </c>
      <c r="BE1075" s="5">
        <v>1</v>
      </c>
      <c r="BF1075" s="5">
        <v>1</v>
      </c>
      <c r="BG1075" s="5">
        <v>1</v>
      </c>
      <c r="BH1075" s="5">
        <v>1</v>
      </c>
      <c r="BI1075" s="5">
        <v>1</v>
      </c>
      <c r="BJ1075" s="5">
        <v>1</v>
      </c>
      <c r="BK1075" s="90">
        <v>0.99299999999999999</v>
      </c>
      <c r="BL1075" s="90">
        <v>1</v>
      </c>
      <c r="BM1075" s="90">
        <v>0.999</v>
      </c>
      <c r="BN1075" s="90">
        <v>1</v>
      </c>
      <c r="BO1075" s="90">
        <v>1</v>
      </c>
      <c r="BP1075" s="90">
        <v>1</v>
      </c>
      <c r="BQ1075" s="90">
        <v>0.996</v>
      </c>
      <c r="BR1075" s="90">
        <v>1</v>
      </c>
      <c r="BS1075" s="5" t="s">
        <v>4857</v>
      </c>
    </row>
    <row r="1076" spans="1:71" s="30" customFormat="1" ht="17.100000000000001" customHeight="1">
      <c r="A1076" s="14">
        <v>1065</v>
      </c>
      <c r="B1076" s="5" t="s">
        <v>769</v>
      </c>
      <c r="C1076" s="3" t="s">
        <v>733</v>
      </c>
      <c r="D1076" s="3" t="s">
        <v>763</v>
      </c>
      <c r="E1076" s="6" t="s">
        <v>764</v>
      </c>
      <c r="F1076" s="5" t="s">
        <v>5053</v>
      </c>
      <c r="G1076" s="3" t="s">
        <v>765</v>
      </c>
      <c r="H1076" s="6" t="s">
        <v>766</v>
      </c>
      <c r="I1076" s="3" t="s">
        <v>767</v>
      </c>
      <c r="J1076" s="5" t="s">
        <v>4405</v>
      </c>
      <c r="K1076" s="3" t="s">
        <v>6000</v>
      </c>
      <c r="L1076" s="3" t="s">
        <v>768</v>
      </c>
      <c r="M1076" s="5">
        <v>2</v>
      </c>
      <c r="N1076" s="21">
        <v>658.31949999999995</v>
      </c>
      <c r="O1076" s="36" t="str">
        <f>HYPERLINK("http://ms.phosphosite.org:5080/cgi-bin/plot-msms.cgi?MassType=1&amp;NumAxis=1&amp;Mod8=170&amp;Pep=YFDPANGKFSK&amp;Dta=/var/www/html/dta/S01/10558.6870.2.dta&amp;Global_Mod=CS57.0215", "6870")</f>
        <v>6870</v>
      </c>
      <c r="P1076" s="36" t="str">
        <f>HYPERLINK("http://ms.phosphosite.org:5080/cgi-bin/plot-msms.cgi?MassType=1&amp;NumAxis=1&amp;Mod8=170&amp;Pep=YFDPANGKFSK&amp;Dta=/var/www/html/dta/S01/10559.6700.2.dta&amp;Global_Mod=CS57.0215", "6700")</f>
        <v>6700</v>
      </c>
      <c r="Q1076" s="35" t="s">
        <v>4854</v>
      </c>
      <c r="R1076" s="35" t="s">
        <v>4854</v>
      </c>
      <c r="S1076" s="35" t="s">
        <v>4854</v>
      </c>
      <c r="T1076" s="35" t="s">
        <v>4854</v>
      </c>
      <c r="U1076" s="35" t="s">
        <v>4854</v>
      </c>
      <c r="V1076" s="35" t="s">
        <v>4854</v>
      </c>
      <c r="W1076" s="5">
        <v>6831</v>
      </c>
      <c r="X1076" s="5">
        <v>6734</v>
      </c>
      <c r="Y1076" s="3" t="s">
        <v>4854</v>
      </c>
      <c r="Z1076" s="3" t="s">
        <v>4854</v>
      </c>
      <c r="AA1076" s="3" t="s">
        <v>4854</v>
      </c>
      <c r="AB1076" s="3" t="s">
        <v>4854</v>
      </c>
      <c r="AC1076" s="3" t="s">
        <v>4854</v>
      </c>
      <c r="AD1076" s="3" t="s">
        <v>4854</v>
      </c>
      <c r="AE1076" s="90">
        <v>2.0369999999999999</v>
      </c>
      <c r="AF1076" s="90">
        <v>2.0760000000000001</v>
      </c>
      <c r="AG1076" s="99" t="s">
        <v>4854</v>
      </c>
      <c r="AH1076" s="99" t="s">
        <v>4854</v>
      </c>
      <c r="AI1076" s="99" t="s">
        <v>4854</v>
      </c>
      <c r="AJ1076" s="99" t="s">
        <v>4854</v>
      </c>
      <c r="AK1076" s="99" t="s">
        <v>4854</v>
      </c>
      <c r="AL1076" s="99" t="s">
        <v>4854</v>
      </c>
      <c r="AM1076" s="21">
        <v>0.30370000000000003</v>
      </c>
      <c r="AN1076" s="21">
        <v>0.34399999999999997</v>
      </c>
      <c r="AO1076" s="102" t="s">
        <v>4854</v>
      </c>
      <c r="AP1076" s="102" t="s">
        <v>4854</v>
      </c>
      <c r="AQ1076" s="102" t="s">
        <v>4854</v>
      </c>
      <c r="AR1076" s="102" t="s">
        <v>4854</v>
      </c>
      <c r="AS1076" s="102" t="s">
        <v>4854</v>
      </c>
      <c r="AT1076" s="102" t="s">
        <v>4854</v>
      </c>
      <c r="AU1076" s="21">
        <v>0.11899999999999999</v>
      </c>
      <c r="AV1076" s="21">
        <v>0.251</v>
      </c>
      <c r="AW1076" s="102" t="s">
        <v>4854</v>
      </c>
      <c r="AX1076" s="102" t="s">
        <v>4854</v>
      </c>
      <c r="AY1076" s="102" t="s">
        <v>4854</v>
      </c>
      <c r="AZ1076" s="102" t="s">
        <v>4854</v>
      </c>
      <c r="BA1076" s="102" t="s">
        <v>4854</v>
      </c>
      <c r="BB1076" s="102" t="s">
        <v>4854</v>
      </c>
      <c r="BC1076" s="5">
        <v>2</v>
      </c>
      <c r="BD1076" s="5">
        <v>19</v>
      </c>
      <c r="BE1076" s="3" t="s">
        <v>4854</v>
      </c>
      <c r="BF1076" s="3" t="s">
        <v>4854</v>
      </c>
      <c r="BG1076" s="3" t="s">
        <v>4854</v>
      </c>
      <c r="BH1076" s="3" t="s">
        <v>4854</v>
      </c>
      <c r="BI1076" s="3" t="s">
        <v>4854</v>
      </c>
      <c r="BJ1076" s="3" t="s">
        <v>4854</v>
      </c>
      <c r="BK1076" s="90">
        <v>0.98099999999999998</v>
      </c>
      <c r="BL1076" s="90">
        <v>0.99199999999999999</v>
      </c>
      <c r="BM1076" s="99" t="s">
        <v>4854</v>
      </c>
      <c r="BN1076" s="99" t="s">
        <v>4854</v>
      </c>
      <c r="BO1076" s="99" t="s">
        <v>4854</v>
      </c>
      <c r="BP1076" s="99" t="s">
        <v>4854</v>
      </c>
      <c r="BQ1076" s="99" t="s">
        <v>4854</v>
      </c>
      <c r="BR1076" s="99" t="s">
        <v>4854</v>
      </c>
      <c r="BS1076" s="5" t="s">
        <v>4857</v>
      </c>
    </row>
    <row r="1077" spans="1:71" s="30" customFormat="1" ht="17.100000000000001" customHeight="1">
      <c r="A1077" s="10">
        <v>1066</v>
      </c>
      <c r="B1077" s="10" t="s">
        <v>770</v>
      </c>
      <c r="C1077" s="4" t="s">
        <v>733</v>
      </c>
      <c r="D1077" s="4" t="s">
        <v>771</v>
      </c>
      <c r="E1077" s="7" t="s">
        <v>772</v>
      </c>
      <c r="F1077" s="10" t="s">
        <v>5221</v>
      </c>
      <c r="G1077" s="4" t="s">
        <v>773</v>
      </c>
      <c r="H1077" s="7" t="s">
        <v>774</v>
      </c>
      <c r="I1077" s="4" t="s">
        <v>775</v>
      </c>
      <c r="J1077" s="10" t="s">
        <v>4699</v>
      </c>
      <c r="K1077" s="4" t="s">
        <v>6001</v>
      </c>
      <c r="L1077" s="4" t="s">
        <v>776</v>
      </c>
      <c r="M1077" s="10">
        <v>2</v>
      </c>
      <c r="N1077" s="95">
        <v>443.26130000000001</v>
      </c>
      <c r="O1077" s="38" t="s">
        <v>4854</v>
      </c>
      <c r="P1077" s="38" t="s">
        <v>4854</v>
      </c>
      <c r="Q1077" s="38" t="s">
        <v>4854</v>
      </c>
      <c r="R1077" s="38" t="s">
        <v>4854</v>
      </c>
      <c r="S1077" s="37" t="str">
        <f>HYPERLINK("http://ms.phosphosite.org:5080/cgi-bin/plot-msms.cgi?MassType=1&amp;NumAxis=1&amp;Mod5=170&amp;Mod7=170&amp;Pep=GAVGKGKGK&amp;Dta=/var/www/html/dta/S01/10562.1985.2.dta&amp;Global_Mod=CS57.0215", "1985")</f>
        <v>1985</v>
      </c>
      <c r="T1077" s="38" t="s">
        <v>4854</v>
      </c>
      <c r="U1077" s="38" t="s">
        <v>4854</v>
      </c>
      <c r="V1077" s="38" t="s">
        <v>4854</v>
      </c>
      <c r="W1077" s="4" t="s">
        <v>4854</v>
      </c>
      <c r="X1077" s="4" t="s">
        <v>4854</v>
      </c>
      <c r="Y1077" s="4" t="s">
        <v>4854</v>
      </c>
      <c r="Z1077" s="4" t="s">
        <v>4854</v>
      </c>
      <c r="AA1077" s="4" t="s">
        <v>4854</v>
      </c>
      <c r="AB1077" s="4" t="s">
        <v>4854</v>
      </c>
      <c r="AC1077" s="4" t="s">
        <v>4854</v>
      </c>
      <c r="AD1077" s="4" t="s">
        <v>4854</v>
      </c>
      <c r="AE1077" s="100" t="s">
        <v>4854</v>
      </c>
      <c r="AF1077" s="100" t="s">
        <v>4854</v>
      </c>
      <c r="AG1077" s="100" t="s">
        <v>4854</v>
      </c>
      <c r="AH1077" s="100" t="s">
        <v>4854</v>
      </c>
      <c r="AI1077" s="91">
        <v>2.82</v>
      </c>
      <c r="AJ1077" s="100" t="s">
        <v>4854</v>
      </c>
      <c r="AK1077" s="100" t="s">
        <v>4854</v>
      </c>
      <c r="AL1077" s="100" t="s">
        <v>4854</v>
      </c>
      <c r="AM1077" s="103" t="s">
        <v>4854</v>
      </c>
      <c r="AN1077" s="103" t="s">
        <v>4854</v>
      </c>
      <c r="AO1077" s="103" t="s">
        <v>4854</v>
      </c>
      <c r="AP1077" s="103" t="s">
        <v>4854</v>
      </c>
      <c r="AQ1077" s="95">
        <v>9.69E-2</v>
      </c>
      <c r="AR1077" s="103" t="s">
        <v>4854</v>
      </c>
      <c r="AS1077" s="103" t="s">
        <v>4854</v>
      </c>
      <c r="AT1077" s="103" t="s">
        <v>4854</v>
      </c>
      <c r="AU1077" s="103" t="s">
        <v>4854</v>
      </c>
      <c r="AV1077" s="103" t="s">
        <v>4854</v>
      </c>
      <c r="AW1077" s="103" t="s">
        <v>4854</v>
      </c>
      <c r="AX1077" s="103" t="s">
        <v>4854</v>
      </c>
      <c r="AY1077" s="95">
        <v>1.7000000000000001E-2</v>
      </c>
      <c r="AZ1077" s="103" t="s">
        <v>4854</v>
      </c>
      <c r="BA1077" s="103" t="s">
        <v>4854</v>
      </c>
      <c r="BB1077" s="103" t="s">
        <v>4854</v>
      </c>
      <c r="BC1077" s="4" t="s">
        <v>4854</v>
      </c>
      <c r="BD1077" s="4" t="s">
        <v>4854</v>
      </c>
      <c r="BE1077" s="4" t="s">
        <v>4854</v>
      </c>
      <c r="BF1077" s="4" t="s">
        <v>4854</v>
      </c>
      <c r="BG1077" s="10">
        <v>2</v>
      </c>
      <c r="BH1077" s="4" t="s">
        <v>4854</v>
      </c>
      <c r="BI1077" s="4" t="s">
        <v>4854</v>
      </c>
      <c r="BJ1077" s="4" t="s">
        <v>4854</v>
      </c>
      <c r="BK1077" s="100" t="s">
        <v>4854</v>
      </c>
      <c r="BL1077" s="100" t="s">
        <v>4854</v>
      </c>
      <c r="BM1077" s="100" t="s">
        <v>4854</v>
      </c>
      <c r="BN1077" s="100" t="s">
        <v>4854</v>
      </c>
      <c r="BO1077" s="91">
        <v>0.46200000000000002</v>
      </c>
      <c r="BP1077" s="100" t="s">
        <v>4854</v>
      </c>
      <c r="BQ1077" s="100" t="s">
        <v>4854</v>
      </c>
      <c r="BR1077" s="100" t="s">
        <v>4854</v>
      </c>
      <c r="BS1077" s="10" t="s">
        <v>4857</v>
      </c>
    </row>
    <row r="1078" spans="1:71" s="30" customFormat="1" ht="17.100000000000001" customHeight="1">
      <c r="A1078" s="14">
        <v>1067</v>
      </c>
      <c r="B1078" s="5" t="s">
        <v>777</v>
      </c>
      <c r="C1078" s="3" t="s">
        <v>733</v>
      </c>
      <c r="D1078" s="3" t="s">
        <v>778</v>
      </c>
      <c r="E1078" s="3" t="s">
        <v>779</v>
      </c>
      <c r="F1078" s="5" t="s">
        <v>5144</v>
      </c>
      <c r="G1078" s="3" t="s">
        <v>780</v>
      </c>
      <c r="H1078" s="6" t="s">
        <v>781</v>
      </c>
      <c r="I1078" s="3" t="s">
        <v>782</v>
      </c>
      <c r="J1078" s="5" t="s">
        <v>4864</v>
      </c>
      <c r="K1078" s="3" t="s">
        <v>6002</v>
      </c>
      <c r="L1078" s="3" t="s">
        <v>783</v>
      </c>
      <c r="M1078" s="5">
        <v>2</v>
      </c>
      <c r="N1078" s="21">
        <v>639.36630000000002</v>
      </c>
      <c r="O1078" s="36" t="str">
        <f>HYPERLINK("http://ms.phosphosite.org:5080/cgi-bin/plot-msms.cgi?MassType=1&amp;NumAxis=1&amp;Mod10=170&amp;Pep=FVNVVPTFGKK&amp;Dta=/var/www/html/dta/S01/10558.8866.2.dta&amp;Global_Mod=CS57.0215", "8866")</f>
        <v>8866</v>
      </c>
      <c r="P1078" s="36" t="str">
        <f>HYPERLINK("http://ms.phosphosite.org:5080/cgi-bin/plot-msms.cgi?MassType=1&amp;NumAxis=1&amp;Mod10=170&amp;Pep=FVNVVPTFGKK&amp;Dta=/var/www/html/dta/S01/10559.8836.2.dta&amp;Global_Mod=CS57.0215", "8836")</f>
        <v>8836</v>
      </c>
      <c r="Q1078" s="36" t="str">
        <f>HYPERLINK("http://ms.phosphosite.org:5080/cgi-bin/plot-msms.cgi?MassType=1&amp;NumAxis=1&amp;Mod10=170&amp;Pep=FVNVVPTFGKK&amp;Dta=/var/www/html/dta/S01/10560.8820.2.dta&amp;Global_Mod=CS57.0215", "8820")</f>
        <v>8820</v>
      </c>
      <c r="R1078" s="36" t="str">
        <f>HYPERLINK("http://ms.phosphosite.org:5080/cgi-bin/plot-msms.cgi?MassType=1&amp;NumAxis=1&amp;Mod10=170&amp;Pep=FVNVVPTFGKK&amp;Dta=/var/www/html/dta/S01/10561.8891.2.dta&amp;Global_Mod=CS57.0215", "8891")</f>
        <v>8891</v>
      </c>
      <c r="S1078" s="36" t="str">
        <f>HYPERLINK("http://ms.phosphosite.org:5080/cgi-bin/plot-msms.cgi?MassType=1&amp;NumAxis=1&amp;Mod10=170&amp;Pep=FVNVVPTFGKK&amp;Dta=/var/www/html/dta/S01/10562.8975.2.dta&amp;Global_Mod=CS57.0215", "8975")</f>
        <v>8975</v>
      </c>
      <c r="T1078" s="36" t="str">
        <f>HYPERLINK("http://ms.phosphosite.org:5080/cgi-bin/plot-msms.cgi?MassType=1&amp;NumAxis=1&amp;Mod10=170&amp;Pep=FVNVVPTFGKK&amp;Dta=/var/www/html/dta/S01/10563.8962.2.dta&amp;Global_Mod=CS57.0215", "8962")</f>
        <v>8962</v>
      </c>
      <c r="U1078" s="36" t="str">
        <f>HYPERLINK("http://ms.phosphosite.org:5080/cgi-bin/plot-msms.cgi?MassType=1&amp;NumAxis=1&amp;Mod10=170&amp;Pep=FVNVVPTFGKK&amp;Dta=/var/www/html/dta/S01/10564.9413.2.dta&amp;Global_Mod=CS57.0215", "9413")</f>
        <v>9413</v>
      </c>
      <c r="V1078" s="36" t="str">
        <f>HYPERLINK("http://ms.phosphosite.org:5080/cgi-bin/plot-msms.cgi?MassType=1&amp;NumAxis=1&amp;Mod10=170&amp;Pep=FVNVVPTFGKK&amp;Dta=/var/www/html/dta/S01/10565.9399.2.dta&amp;Global_Mod=CS57.0215", "9399")</f>
        <v>9399</v>
      </c>
      <c r="W1078" s="5">
        <v>8854</v>
      </c>
      <c r="X1078" s="5">
        <v>8802</v>
      </c>
      <c r="Y1078" s="5">
        <v>8830</v>
      </c>
      <c r="Z1078" s="5">
        <v>8868</v>
      </c>
      <c r="AA1078" s="5">
        <v>8974</v>
      </c>
      <c r="AB1078" s="5">
        <v>8950</v>
      </c>
      <c r="AC1078" s="5">
        <v>9389</v>
      </c>
      <c r="AD1078" s="5">
        <v>9364</v>
      </c>
      <c r="AE1078" s="90">
        <v>2.7639999999999998</v>
      </c>
      <c r="AF1078" s="90">
        <v>2.504</v>
      </c>
      <c r="AG1078" s="90">
        <v>2.7349999999999999</v>
      </c>
      <c r="AH1078" s="90">
        <v>2.5489999999999999</v>
      </c>
      <c r="AI1078" s="90">
        <v>2.6890000000000001</v>
      </c>
      <c r="AJ1078" s="90">
        <v>2.931</v>
      </c>
      <c r="AK1078" s="90">
        <v>2.5139999999999998</v>
      </c>
      <c r="AL1078" s="90">
        <v>2.8220000000000001</v>
      </c>
      <c r="AM1078" s="21">
        <v>0.16750000000000001</v>
      </c>
      <c r="AN1078" s="21">
        <v>0.27479999999999999</v>
      </c>
      <c r="AO1078" s="21">
        <v>0.23799999999999999</v>
      </c>
      <c r="AP1078" s="21">
        <v>0.48139999999999999</v>
      </c>
      <c r="AQ1078" s="21">
        <v>0.20669999999999999</v>
      </c>
      <c r="AR1078" s="21">
        <v>0.21060000000000001</v>
      </c>
      <c r="AS1078" s="21">
        <v>0.28649999999999998</v>
      </c>
      <c r="AT1078" s="21">
        <v>-0.15959999999999999</v>
      </c>
      <c r="AU1078" s="21">
        <v>0.25800000000000001</v>
      </c>
      <c r="AV1078" s="21">
        <v>0.23599999999999999</v>
      </c>
      <c r="AW1078" s="21">
        <v>0.23499999999999999</v>
      </c>
      <c r="AX1078" s="21">
        <v>0.23599999999999999</v>
      </c>
      <c r="AY1078" s="21">
        <v>0.29799999999999999</v>
      </c>
      <c r="AZ1078" s="21">
        <v>0.32800000000000001</v>
      </c>
      <c r="BA1078" s="21">
        <v>0.316</v>
      </c>
      <c r="BB1078" s="21">
        <v>0.28100000000000003</v>
      </c>
      <c r="BC1078" s="5">
        <v>1</v>
      </c>
      <c r="BD1078" s="5">
        <v>12</v>
      </c>
      <c r="BE1078" s="5">
        <v>1</v>
      </c>
      <c r="BF1078" s="5">
        <v>1</v>
      </c>
      <c r="BG1078" s="5">
        <v>1</v>
      </c>
      <c r="BH1078" s="5">
        <v>1</v>
      </c>
      <c r="BI1078" s="5">
        <v>1</v>
      </c>
      <c r="BJ1078" s="5">
        <v>1</v>
      </c>
      <c r="BK1078" s="90">
        <v>1</v>
      </c>
      <c r="BL1078" s="90">
        <v>0.999</v>
      </c>
      <c r="BM1078" s="90">
        <v>1</v>
      </c>
      <c r="BN1078" s="90">
        <v>1</v>
      </c>
      <c r="BO1078" s="90">
        <v>1</v>
      </c>
      <c r="BP1078" s="90">
        <v>1</v>
      </c>
      <c r="BQ1078" s="90">
        <v>1</v>
      </c>
      <c r="BR1078" s="90">
        <v>1</v>
      </c>
      <c r="BS1078" s="5" t="s">
        <v>4857</v>
      </c>
    </row>
    <row r="1079" spans="1:71" s="30" customFormat="1" ht="17.100000000000001" customHeight="1">
      <c r="A1079" s="10">
        <v>1068</v>
      </c>
      <c r="B1079" s="10" t="s">
        <v>784</v>
      </c>
      <c r="C1079" s="4" t="s">
        <v>733</v>
      </c>
      <c r="D1079" s="4" t="s">
        <v>785</v>
      </c>
      <c r="E1079" s="4" t="s">
        <v>785</v>
      </c>
      <c r="F1079" s="10" t="s">
        <v>786</v>
      </c>
      <c r="G1079" s="4" t="s">
        <v>787</v>
      </c>
      <c r="H1079" s="7" t="s">
        <v>788</v>
      </c>
      <c r="I1079" s="4" t="s">
        <v>654</v>
      </c>
      <c r="J1079" s="10" t="s">
        <v>655</v>
      </c>
      <c r="K1079" s="4" t="s">
        <v>6003</v>
      </c>
      <c r="L1079" s="4" t="s">
        <v>656</v>
      </c>
      <c r="M1079" s="10">
        <v>3</v>
      </c>
      <c r="N1079" s="95">
        <v>488.6121</v>
      </c>
      <c r="O1079" s="38" t="s">
        <v>4854</v>
      </c>
      <c r="P1079" s="37" t="str">
        <f>HYPERLINK("http://ms.phosphosite.org:5080/cgi-bin/plot-msms.cgi?MassType=1&amp;NumAxis=1&amp;Mod1=170&amp;Pep=KDAPAPPKAEAKAK&amp;Dta=/var/www/html/dta/S01/10559.2767.3.dta&amp;Global_Mod=CS57.0215", "2767")</f>
        <v>2767</v>
      </c>
      <c r="Q1079" s="38" t="s">
        <v>4854</v>
      </c>
      <c r="R1079" s="38" t="s">
        <v>4854</v>
      </c>
      <c r="S1079" s="38" t="s">
        <v>4854</v>
      </c>
      <c r="T1079" s="38" t="s">
        <v>4854</v>
      </c>
      <c r="U1079" s="38" t="s">
        <v>4854</v>
      </c>
      <c r="V1079" s="38" t="s">
        <v>4854</v>
      </c>
      <c r="W1079" s="4" t="s">
        <v>4854</v>
      </c>
      <c r="X1079" s="4" t="s">
        <v>4854</v>
      </c>
      <c r="Y1079" s="4" t="s">
        <v>4854</v>
      </c>
      <c r="Z1079" s="4" t="s">
        <v>4854</v>
      </c>
      <c r="AA1079" s="4" t="s">
        <v>4854</v>
      </c>
      <c r="AB1079" s="4" t="s">
        <v>4854</v>
      </c>
      <c r="AC1079" s="4" t="s">
        <v>4854</v>
      </c>
      <c r="AD1079" s="4" t="s">
        <v>4854</v>
      </c>
      <c r="AE1079" s="100" t="s">
        <v>4854</v>
      </c>
      <c r="AF1079" s="91">
        <v>2.7519999999999998</v>
      </c>
      <c r="AG1079" s="100" t="s">
        <v>4854</v>
      </c>
      <c r="AH1079" s="100" t="s">
        <v>4854</v>
      </c>
      <c r="AI1079" s="100" t="s">
        <v>4854</v>
      </c>
      <c r="AJ1079" s="100" t="s">
        <v>4854</v>
      </c>
      <c r="AK1079" s="100" t="s">
        <v>4854</v>
      </c>
      <c r="AL1079" s="100" t="s">
        <v>4854</v>
      </c>
      <c r="AM1079" s="103" t="s">
        <v>4854</v>
      </c>
      <c r="AN1079" s="95">
        <v>-1.6863999999999999</v>
      </c>
      <c r="AO1079" s="103" t="s">
        <v>4854</v>
      </c>
      <c r="AP1079" s="103" t="s">
        <v>4854</v>
      </c>
      <c r="AQ1079" s="103" t="s">
        <v>4854</v>
      </c>
      <c r="AR1079" s="103" t="s">
        <v>4854</v>
      </c>
      <c r="AS1079" s="103" t="s">
        <v>4854</v>
      </c>
      <c r="AT1079" s="103" t="s">
        <v>4854</v>
      </c>
      <c r="AU1079" s="103" t="s">
        <v>4854</v>
      </c>
      <c r="AV1079" s="95">
        <v>0.10100000000000001</v>
      </c>
      <c r="AW1079" s="103" t="s">
        <v>4854</v>
      </c>
      <c r="AX1079" s="103" t="s">
        <v>4854</v>
      </c>
      <c r="AY1079" s="103" t="s">
        <v>4854</v>
      </c>
      <c r="AZ1079" s="103" t="s">
        <v>4854</v>
      </c>
      <c r="BA1079" s="103" t="s">
        <v>4854</v>
      </c>
      <c r="BB1079" s="103" t="s">
        <v>4854</v>
      </c>
      <c r="BC1079" s="4" t="s">
        <v>4854</v>
      </c>
      <c r="BD1079" s="10">
        <v>908</v>
      </c>
      <c r="BE1079" s="4" t="s">
        <v>4854</v>
      </c>
      <c r="BF1079" s="4" t="s">
        <v>4854</v>
      </c>
      <c r="BG1079" s="4" t="s">
        <v>4854</v>
      </c>
      <c r="BH1079" s="4" t="s">
        <v>4854</v>
      </c>
      <c r="BI1079" s="4" t="s">
        <v>4854</v>
      </c>
      <c r="BJ1079" s="4" t="s">
        <v>4854</v>
      </c>
      <c r="BK1079" s="100" t="s">
        <v>4854</v>
      </c>
      <c r="BL1079" s="91">
        <v>0.64600000000000002</v>
      </c>
      <c r="BM1079" s="100" t="s">
        <v>4854</v>
      </c>
      <c r="BN1079" s="100" t="s">
        <v>4854</v>
      </c>
      <c r="BO1079" s="100" t="s">
        <v>4854</v>
      </c>
      <c r="BP1079" s="100" t="s">
        <v>4854</v>
      </c>
      <c r="BQ1079" s="100" t="s">
        <v>4854</v>
      </c>
      <c r="BR1079" s="100" t="s">
        <v>4854</v>
      </c>
      <c r="BS1079" s="10" t="s">
        <v>4857</v>
      </c>
    </row>
    <row r="1080" spans="1:71" s="30" customFormat="1" ht="17.100000000000001" customHeight="1">
      <c r="A1080" s="14">
        <v>1069</v>
      </c>
      <c r="B1080" s="5" t="s">
        <v>657</v>
      </c>
      <c r="C1080" s="3" t="s">
        <v>733</v>
      </c>
      <c r="D1080" s="3" t="s">
        <v>658</v>
      </c>
      <c r="E1080" s="3" t="s">
        <v>659</v>
      </c>
      <c r="F1080" s="5" t="s">
        <v>5003</v>
      </c>
      <c r="G1080" s="3" t="s">
        <v>660</v>
      </c>
      <c r="H1080" s="6" t="s">
        <v>661</v>
      </c>
      <c r="I1080" s="3" t="s">
        <v>662</v>
      </c>
      <c r="J1080" s="5" t="s">
        <v>4384</v>
      </c>
      <c r="K1080" s="3" t="s">
        <v>6004</v>
      </c>
      <c r="L1080" s="3" t="s">
        <v>663</v>
      </c>
      <c r="M1080" s="5">
        <v>2</v>
      </c>
      <c r="N1080" s="21">
        <v>749.86990000000003</v>
      </c>
      <c r="O1080" s="35" t="s">
        <v>4854</v>
      </c>
      <c r="P1080" s="36" t="str">
        <f>HYPERLINK("http://ms.phosphosite.org:5080/cgi-bin/plot-msms.cgi?MassType=1&amp;NumAxis=1&amp;Mod3=170&amp;Pep=SYKPVYWSPSSR&amp;Dta=/var/www/html/dta/S01/10559.7459.2.dta&amp;Global_Mod=CS57.0215", "7459")</f>
        <v>7459</v>
      </c>
      <c r="Q1080" s="35" t="s">
        <v>4854</v>
      </c>
      <c r="R1080" s="35" t="s">
        <v>4854</v>
      </c>
      <c r="S1080" s="35" t="s">
        <v>4854</v>
      </c>
      <c r="T1080" s="35" t="s">
        <v>4854</v>
      </c>
      <c r="U1080" s="35" t="s">
        <v>4854</v>
      </c>
      <c r="V1080" s="35" t="s">
        <v>4854</v>
      </c>
      <c r="W1080" s="3" t="s">
        <v>4854</v>
      </c>
      <c r="X1080" s="5">
        <v>7460</v>
      </c>
      <c r="Y1080" s="3" t="s">
        <v>4854</v>
      </c>
      <c r="Z1080" s="3" t="s">
        <v>4854</v>
      </c>
      <c r="AA1080" s="3" t="s">
        <v>4854</v>
      </c>
      <c r="AB1080" s="3" t="s">
        <v>4854</v>
      </c>
      <c r="AC1080" s="3" t="s">
        <v>4854</v>
      </c>
      <c r="AD1080" s="3" t="s">
        <v>4854</v>
      </c>
      <c r="AE1080" s="99" t="s">
        <v>4854</v>
      </c>
      <c r="AF1080" s="90">
        <v>2.7650000000000001</v>
      </c>
      <c r="AG1080" s="99" t="s">
        <v>4854</v>
      </c>
      <c r="AH1080" s="99" t="s">
        <v>4854</v>
      </c>
      <c r="AI1080" s="99" t="s">
        <v>4854</v>
      </c>
      <c r="AJ1080" s="99" t="s">
        <v>4854</v>
      </c>
      <c r="AK1080" s="99" t="s">
        <v>4854</v>
      </c>
      <c r="AL1080" s="99" t="s">
        <v>4854</v>
      </c>
      <c r="AM1080" s="102" t="s">
        <v>4854</v>
      </c>
      <c r="AN1080" s="21">
        <v>0.73519999999999996</v>
      </c>
      <c r="AO1080" s="102" t="s">
        <v>4854</v>
      </c>
      <c r="AP1080" s="102" t="s">
        <v>4854</v>
      </c>
      <c r="AQ1080" s="102" t="s">
        <v>4854</v>
      </c>
      <c r="AR1080" s="102" t="s">
        <v>4854</v>
      </c>
      <c r="AS1080" s="102" t="s">
        <v>4854</v>
      </c>
      <c r="AT1080" s="102" t="s">
        <v>4854</v>
      </c>
      <c r="AU1080" s="102" t="s">
        <v>4854</v>
      </c>
      <c r="AV1080" s="21">
        <v>0.23899999999999999</v>
      </c>
      <c r="AW1080" s="102" t="s">
        <v>4854</v>
      </c>
      <c r="AX1080" s="102" t="s">
        <v>4854</v>
      </c>
      <c r="AY1080" s="102" t="s">
        <v>4854</v>
      </c>
      <c r="AZ1080" s="102" t="s">
        <v>4854</v>
      </c>
      <c r="BA1080" s="102" t="s">
        <v>4854</v>
      </c>
      <c r="BB1080" s="102" t="s">
        <v>4854</v>
      </c>
      <c r="BC1080" s="3" t="s">
        <v>4854</v>
      </c>
      <c r="BD1080" s="5">
        <v>1</v>
      </c>
      <c r="BE1080" s="3" t="s">
        <v>4854</v>
      </c>
      <c r="BF1080" s="3" t="s">
        <v>4854</v>
      </c>
      <c r="BG1080" s="3" t="s">
        <v>4854</v>
      </c>
      <c r="BH1080" s="3" t="s">
        <v>4854</v>
      </c>
      <c r="BI1080" s="3" t="s">
        <v>4854</v>
      </c>
      <c r="BJ1080" s="3" t="s">
        <v>4854</v>
      </c>
      <c r="BK1080" s="99" t="s">
        <v>4854</v>
      </c>
      <c r="BL1080" s="90">
        <v>1</v>
      </c>
      <c r="BM1080" s="99" t="s">
        <v>4854</v>
      </c>
      <c r="BN1080" s="99" t="s">
        <v>4854</v>
      </c>
      <c r="BO1080" s="99" t="s">
        <v>4854</v>
      </c>
      <c r="BP1080" s="99" t="s">
        <v>4854</v>
      </c>
      <c r="BQ1080" s="99" t="s">
        <v>4854</v>
      </c>
      <c r="BR1080" s="99" t="s">
        <v>4854</v>
      </c>
      <c r="BS1080" s="5" t="s">
        <v>4857</v>
      </c>
    </row>
    <row r="1081" spans="1:71" s="30" customFormat="1" ht="17.100000000000001" customHeight="1">
      <c r="A1081" s="10">
        <v>1070</v>
      </c>
      <c r="B1081" s="10" t="s">
        <v>664</v>
      </c>
      <c r="C1081" s="4" t="s">
        <v>733</v>
      </c>
      <c r="D1081" s="4" t="s">
        <v>665</v>
      </c>
      <c r="E1081" s="7" t="s">
        <v>666</v>
      </c>
      <c r="F1081" s="10" t="s">
        <v>5274</v>
      </c>
      <c r="G1081" s="4" t="s">
        <v>667</v>
      </c>
      <c r="H1081" s="7" t="s">
        <v>668</v>
      </c>
      <c r="I1081" s="4" t="s">
        <v>669</v>
      </c>
      <c r="J1081" s="10" t="s">
        <v>4780</v>
      </c>
      <c r="K1081" s="4" t="s">
        <v>6005</v>
      </c>
      <c r="L1081" s="4" t="s">
        <v>670</v>
      </c>
      <c r="M1081" s="10">
        <v>2</v>
      </c>
      <c r="N1081" s="95">
        <v>590.32569999999998</v>
      </c>
      <c r="O1081" s="38" t="s">
        <v>4854</v>
      </c>
      <c r="P1081" s="38" t="s">
        <v>4854</v>
      </c>
      <c r="Q1081" s="38" t="s">
        <v>4854</v>
      </c>
      <c r="R1081" s="38" t="s">
        <v>4854</v>
      </c>
      <c r="S1081" s="38" t="s">
        <v>4854</v>
      </c>
      <c r="T1081" s="38" t="s">
        <v>4854</v>
      </c>
      <c r="U1081" s="38" t="s">
        <v>4854</v>
      </c>
      <c r="V1081" s="37" t="str">
        <f>HYPERLINK("http://ms.phosphosite.org:5080/cgi-bin/plot-msms.cgi?MassType=1&amp;NumAxis=1&amp;Mod2=160&amp;Mod3=170&amp;Pep=ICKFTEVLK&amp;Dta=/var/www/html/dta/S01/10565.8609.2.dta&amp;Global_Mod=CS57.0215", "8609")</f>
        <v>8609</v>
      </c>
      <c r="W1081" s="4" t="s">
        <v>4854</v>
      </c>
      <c r="X1081" s="4" t="s">
        <v>4854</v>
      </c>
      <c r="Y1081" s="4" t="s">
        <v>4854</v>
      </c>
      <c r="Z1081" s="4" t="s">
        <v>4854</v>
      </c>
      <c r="AA1081" s="4" t="s">
        <v>4854</v>
      </c>
      <c r="AB1081" s="4" t="s">
        <v>4854</v>
      </c>
      <c r="AC1081" s="4" t="s">
        <v>4854</v>
      </c>
      <c r="AD1081" s="10">
        <v>8605</v>
      </c>
      <c r="AE1081" s="100" t="s">
        <v>4854</v>
      </c>
      <c r="AF1081" s="100" t="s">
        <v>4854</v>
      </c>
      <c r="AG1081" s="100" t="s">
        <v>4854</v>
      </c>
      <c r="AH1081" s="100" t="s">
        <v>4854</v>
      </c>
      <c r="AI1081" s="100" t="s">
        <v>4854</v>
      </c>
      <c r="AJ1081" s="100" t="s">
        <v>4854</v>
      </c>
      <c r="AK1081" s="100" t="s">
        <v>4854</v>
      </c>
      <c r="AL1081" s="91">
        <v>2.1800000000000002</v>
      </c>
      <c r="AM1081" s="103" t="s">
        <v>4854</v>
      </c>
      <c r="AN1081" s="103" t="s">
        <v>4854</v>
      </c>
      <c r="AO1081" s="103" t="s">
        <v>4854</v>
      </c>
      <c r="AP1081" s="103" t="s">
        <v>4854</v>
      </c>
      <c r="AQ1081" s="103" t="s">
        <v>4854</v>
      </c>
      <c r="AR1081" s="103" t="s">
        <v>4854</v>
      </c>
      <c r="AS1081" s="103" t="s">
        <v>4854</v>
      </c>
      <c r="AT1081" s="95">
        <v>0.96689999999999998</v>
      </c>
      <c r="AU1081" s="103" t="s">
        <v>4854</v>
      </c>
      <c r="AV1081" s="103" t="s">
        <v>4854</v>
      </c>
      <c r="AW1081" s="103" t="s">
        <v>4854</v>
      </c>
      <c r="AX1081" s="103" t="s">
        <v>4854</v>
      </c>
      <c r="AY1081" s="103" t="s">
        <v>4854</v>
      </c>
      <c r="AZ1081" s="103" t="s">
        <v>4854</v>
      </c>
      <c r="BA1081" s="103" t="s">
        <v>4854</v>
      </c>
      <c r="BB1081" s="95">
        <v>0.19400000000000001</v>
      </c>
      <c r="BC1081" s="4" t="s">
        <v>4854</v>
      </c>
      <c r="BD1081" s="4" t="s">
        <v>4854</v>
      </c>
      <c r="BE1081" s="4" t="s">
        <v>4854</v>
      </c>
      <c r="BF1081" s="4" t="s">
        <v>4854</v>
      </c>
      <c r="BG1081" s="4" t="s">
        <v>4854</v>
      </c>
      <c r="BH1081" s="4" t="s">
        <v>4854</v>
      </c>
      <c r="BI1081" s="4" t="s">
        <v>4854</v>
      </c>
      <c r="BJ1081" s="10">
        <v>24</v>
      </c>
      <c r="BK1081" s="100" t="s">
        <v>4854</v>
      </c>
      <c r="BL1081" s="100" t="s">
        <v>4854</v>
      </c>
      <c r="BM1081" s="100" t="s">
        <v>4854</v>
      </c>
      <c r="BN1081" s="100" t="s">
        <v>4854</v>
      </c>
      <c r="BO1081" s="100" t="s">
        <v>4854</v>
      </c>
      <c r="BP1081" s="100" t="s">
        <v>4854</v>
      </c>
      <c r="BQ1081" s="100" t="s">
        <v>4854</v>
      </c>
      <c r="BR1081" s="91">
        <v>0.99</v>
      </c>
      <c r="BS1081" s="10" t="s">
        <v>4857</v>
      </c>
    </row>
    <row r="1082" spans="1:71" s="30" customFormat="1" ht="17.100000000000001" customHeight="1">
      <c r="A1082" s="14">
        <v>1071</v>
      </c>
      <c r="B1082" s="5" t="s">
        <v>671</v>
      </c>
      <c r="C1082" s="3" t="s">
        <v>733</v>
      </c>
      <c r="D1082" s="3" t="s">
        <v>672</v>
      </c>
      <c r="E1082" s="3" t="s">
        <v>673</v>
      </c>
      <c r="F1082" s="5" t="s">
        <v>4144</v>
      </c>
      <c r="G1082" s="3" t="s">
        <v>674</v>
      </c>
      <c r="H1082" s="6" t="s">
        <v>675</v>
      </c>
      <c r="I1082" s="3" t="s">
        <v>676</v>
      </c>
      <c r="J1082" s="5" t="s">
        <v>4780</v>
      </c>
      <c r="K1082" s="3" t="s">
        <v>6006</v>
      </c>
      <c r="L1082" s="3" t="s">
        <v>677</v>
      </c>
      <c r="M1082" s="5">
        <v>3</v>
      </c>
      <c r="N1082" s="21">
        <v>414.58699999999999</v>
      </c>
      <c r="O1082" s="35" t="s">
        <v>4854</v>
      </c>
      <c r="P1082" s="36" t="str">
        <f>HYPERLINK("http://ms.phosphosite.org:5080/cgi-bin/plot-msms.cgi?MassType=1&amp;NumAxis=1&amp;Mod4=170&amp;Pep=LQAKKEEIIK&amp;Dta=/var/www/html/dta/S01/10559.3202.3.dta&amp;Global_Mod=CS57.0215", "3202")</f>
        <v>3202</v>
      </c>
      <c r="Q1082" s="36" t="str">
        <f>HYPERLINK("http://ms.phosphosite.org:5080/cgi-bin/plot-msms.cgi?MassType=1&amp;NumAxis=1&amp;Mod4=170&amp;Pep=LQAKKEEIIK&amp;Dta=/var/www/html/dta/S01/10560.3196.3.dta&amp;Global_Mod=CS57.0215", "3196")</f>
        <v>3196</v>
      </c>
      <c r="R1082" s="35" t="s">
        <v>4854</v>
      </c>
      <c r="S1082" s="35" t="s">
        <v>4854</v>
      </c>
      <c r="T1082" s="35" t="s">
        <v>4854</v>
      </c>
      <c r="U1082" s="35" t="s">
        <v>4854</v>
      </c>
      <c r="V1082" s="35" t="s">
        <v>4854</v>
      </c>
      <c r="W1082" s="3" t="s">
        <v>4854</v>
      </c>
      <c r="X1082" s="3" t="s">
        <v>4854</v>
      </c>
      <c r="Y1082" s="5">
        <v>3223</v>
      </c>
      <c r="Z1082" s="3" t="s">
        <v>4854</v>
      </c>
      <c r="AA1082" s="3" t="s">
        <v>4854</v>
      </c>
      <c r="AB1082" s="3" t="s">
        <v>4854</v>
      </c>
      <c r="AC1082" s="3" t="s">
        <v>4854</v>
      </c>
      <c r="AD1082" s="3" t="s">
        <v>4854</v>
      </c>
      <c r="AE1082" s="99" t="s">
        <v>4854</v>
      </c>
      <c r="AF1082" s="90">
        <v>2.1989999999999998</v>
      </c>
      <c r="AG1082" s="90">
        <v>2.657</v>
      </c>
      <c r="AH1082" s="99" t="s">
        <v>4854</v>
      </c>
      <c r="AI1082" s="99" t="s">
        <v>4854</v>
      </c>
      <c r="AJ1082" s="99" t="s">
        <v>4854</v>
      </c>
      <c r="AK1082" s="99" t="s">
        <v>4854</v>
      </c>
      <c r="AL1082" s="99" t="s">
        <v>4854</v>
      </c>
      <c r="AM1082" s="102" t="s">
        <v>4854</v>
      </c>
      <c r="AN1082" s="21">
        <v>3.6799999999999999E-2</v>
      </c>
      <c r="AO1082" s="21">
        <v>0.46279999999999999</v>
      </c>
      <c r="AP1082" s="102" t="s">
        <v>4854</v>
      </c>
      <c r="AQ1082" s="102" t="s">
        <v>4854</v>
      </c>
      <c r="AR1082" s="102" t="s">
        <v>4854</v>
      </c>
      <c r="AS1082" s="102" t="s">
        <v>4854</v>
      </c>
      <c r="AT1082" s="102" t="s">
        <v>4854</v>
      </c>
      <c r="AU1082" s="102" t="s">
        <v>4854</v>
      </c>
      <c r="AV1082" s="21">
        <v>0</v>
      </c>
      <c r="AW1082" s="21">
        <v>1.7000000000000001E-2</v>
      </c>
      <c r="AX1082" s="102" t="s">
        <v>4854</v>
      </c>
      <c r="AY1082" s="102" t="s">
        <v>4854</v>
      </c>
      <c r="AZ1082" s="102" t="s">
        <v>4854</v>
      </c>
      <c r="BA1082" s="102" t="s">
        <v>4854</v>
      </c>
      <c r="BB1082" s="102" t="s">
        <v>4854</v>
      </c>
      <c r="BC1082" s="3" t="s">
        <v>4854</v>
      </c>
      <c r="BD1082" s="5">
        <v>109</v>
      </c>
      <c r="BE1082" s="5">
        <v>6</v>
      </c>
      <c r="BF1082" s="3" t="s">
        <v>4854</v>
      </c>
      <c r="BG1082" s="3" t="s">
        <v>4854</v>
      </c>
      <c r="BH1082" s="3" t="s">
        <v>4854</v>
      </c>
      <c r="BI1082" s="3" t="s">
        <v>4854</v>
      </c>
      <c r="BJ1082" s="3" t="s">
        <v>4854</v>
      </c>
      <c r="BK1082" s="99" t="s">
        <v>4854</v>
      </c>
      <c r="BL1082" s="90">
        <v>0.85</v>
      </c>
      <c r="BM1082" s="90">
        <v>0.96799999999999997</v>
      </c>
      <c r="BN1082" s="99" t="s">
        <v>4854</v>
      </c>
      <c r="BO1082" s="99" t="s">
        <v>4854</v>
      </c>
      <c r="BP1082" s="99" t="s">
        <v>4854</v>
      </c>
      <c r="BQ1082" s="99" t="s">
        <v>4854</v>
      </c>
      <c r="BR1082" s="99" t="s">
        <v>4854</v>
      </c>
      <c r="BS1082" s="5" t="s">
        <v>4857</v>
      </c>
    </row>
    <row r="1083" spans="1:71" s="30" customFormat="1" ht="17.100000000000001" customHeight="1">
      <c r="A1083" s="10">
        <v>1072</v>
      </c>
      <c r="B1083" s="10" t="s">
        <v>678</v>
      </c>
      <c r="C1083" s="4" t="s">
        <v>733</v>
      </c>
      <c r="D1083" s="4" t="s">
        <v>672</v>
      </c>
      <c r="E1083" s="4" t="s">
        <v>673</v>
      </c>
      <c r="F1083" s="10" t="s">
        <v>5191</v>
      </c>
      <c r="G1083" s="4" t="s">
        <v>674</v>
      </c>
      <c r="H1083" s="7" t="s">
        <v>675</v>
      </c>
      <c r="I1083" s="4" t="s">
        <v>676</v>
      </c>
      <c r="J1083" s="10" t="s">
        <v>4780</v>
      </c>
      <c r="K1083" s="4" t="s">
        <v>6007</v>
      </c>
      <c r="L1083" s="4" t="s">
        <v>679</v>
      </c>
      <c r="M1083" s="10">
        <v>2</v>
      </c>
      <c r="N1083" s="95">
        <v>420.72910000000002</v>
      </c>
      <c r="O1083" s="38" t="s">
        <v>4854</v>
      </c>
      <c r="P1083" s="37" t="str">
        <f>HYPERLINK("http://ms.phosphosite.org:5080/cgi-bin/plot-msms.cgi?MassType=1&amp;NumAxis=1&amp;Mod6=170&amp;Pep=HMGIGKR&amp;Dta=/var/www/html/dta/S01/10559.1790.2.dta&amp;Global_Mod=CS57.0215", "1790")</f>
        <v>1790</v>
      </c>
      <c r="Q1083" s="38" t="s">
        <v>4854</v>
      </c>
      <c r="R1083" s="37" t="str">
        <f>HYPERLINK("http://ms.phosphosite.org:5080/cgi-bin/plot-msms.cgi?MassType=1&amp;NumAxis=1&amp;Mod6=170&amp;Pep=HMGIGKR&amp;Dta=/var/www/html/dta/S01/10561.1799.2.dta&amp;Global_Mod=CS57.0215", "1799")</f>
        <v>1799</v>
      </c>
      <c r="S1083" s="37" t="str">
        <f>HYPERLINK("http://ms.phosphosite.org:5080/cgi-bin/plot-msms.cgi?MassType=1&amp;NumAxis=1&amp;Mod6=170&amp;Pep=HMGIGKR&amp;Dta=/var/www/html/dta/S01/10562.1843.2.dta&amp;Global_Mod=CS57.0215", "1843")</f>
        <v>1843</v>
      </c>
      <c r="T1083" s="38" t="s">
        <v>4854</v>
      </c>
      <c r="U1083" s="38" t="s">
        <v>4854</v>
      </c>
      <c r="V1083" s="38" t="s">
        <v>4854</v>
      </c>
      <c r="W1083" s="4" t="s">
        <v>4854</v>
      </c>
      <c r="X1083" s="10">
        <v>1799</v>
      </c>
      <c r="Y1083" s="4" t="s">
        <v>4854</v>
      </c>
      <c r="Z1083" s="10">
        <v>1808</v>
      </c>
      <c r="AA1083" s="10">
        <v>1864</v>
      </c>
      <c r="AB1083" s="4" t="s">
        <v>4854</v>
      </c>
      <c r="AC1083" s="4" t="s">
        <v>4854</v>
      </c>
      <c r="AD1083" s="4" t="s">
        <v>4854</v>
      </c>
      <c r="AE1083" s="100" t="s">
        <v>4854</v>
      </c>
      <c r="AF1083" s="91">
        <v>2.339</v>
      </c>
      <c r="AG1083" s="100" t="s">
        <v>4854</v>
      </c>
      <c r="AH1083" s="91">
        <v>2.23</v>
      </c>
      <c r="AI1083" s="91">
        <v>2.2490000000000001</v>
      </c>
      <c r="AJ1083" s="100" t="s">
        <v>4854</v>
      </c>
      <c r="AK1083" s="100" t="s">
        <v>4854</v>
      </c>
      <c r="AL1083" s="100" t="s">
        <v>4854</v>
      </c>
      <c r="AM1083" s="103" t="s">
        <v>4854</v>
      </c>
      <c r="AN1083" s="95">
        <v>0.17760000000000001</v>
      </c>
      <c r="AO1083" s="103" t="s">
        <v>4854</v>
      </c>
      <c r="AP1083" s="95">
        <v>0.22159999999999999</v>
      </c>
      <c r="AQ1083" s="95">
        <v>0.1288</v>
      </c>
      <c r="AR1083" s="103" t="s">
        <v>4854</v>
      </c>
      <c r="AS1083" s="103" t="s">
        <v>4854</v>
      </c>
      <c r="AT1083" s="103" t="s">
        <v>4854</v>
      </c>
      <c r="AU1083" s="103" t="s">
        <v>4854</v>
      </c>
      <c r="AV1083" s="95">
        <v>0.184</v>
      </c>
      <c r="AW1083" s="103" t="s">
        <v>4854</v>
      </c>
      <c r="AX1083" s="95">
        <v>0.19900000000000001</v>
      </c>
      <c r="AY1083" s="95">
        <v>0.20499999999999999</v>
      </c>
      <c r="AZ1083" s="103" t="s">
        <v>4854</v>
      </c>
      <c r="BA1083" s="103" t="s">
        <v>4854</v>
      </c>
      <c r="BB1083" s="103" t="s">
        <v>4854</v>
      </c>
      <c r="BC1083" s="4" t="s">
        <v>4854</v>
      </c>
      <c r="BD1083" s="10">
        <v>1</v>
      </c>
      <c r="BE1083" s="4" t="s">
        <v>4854</v>
      </c>
      <c r="BF1083" s="10">
        <v>1</v>
      </c>
      <c r="BG1083" s="10">
        <v>2</v>
      </c>
      <c r="BH1083" s="4" t="s">
        <v>4854</v>
      </c>
      <c r="BI1083" s="4" t="s">
        <v>4854</v>
      </c>
      <c r="BJ1083" s="4" t="s">
        <v>4854</v>
      </c>
      <c r="BK1083" s="100" t="s">
        <v>4854</v>
      </c>
      <c r="BL1083" s="91">
        <v>1</v>
      </c>
      <c r="BM1083" s="100" t="s">
        <v>4854</v>
      </c>
      <c r="BN1083" s="91">
        <v>1</v>
      </c>
      <c r="BO1083" s="91">
        <v>1</v>
      </c>
      <c r="BP1083" s="100" t="s">
        <v>4854</v>
      </c>
      <c r="BQ1083" s="100" t="s">
        <v>4854</v>
      </c>
      <c r="BR1083" s="100" t="s">
        <v>4854</v>
      </c>
      <c r="BS1083" s="10" t="s">
        <v>4857</v>
      </c>
    </row>
    <row r="1084" spans="1:71" s="30" customFormat="1" ht="17.100000000000001" customHeight="1">
      <c r="A1084" s="10">
        <v>1073</v>
      </c>
      <c r="B1084" s="10" t="s">
        <v>680</v>
      </c>
      <c r="C1084" s="4" t="s">
        <v>733</v>
      </c>
      <c r="D1084" s="4" t="s">
        <v>672</v>
      </c>
      <c r="E1084" s="4" t="s">
        <v>673</v>
      </c>
      <c r="F1084" s="10" t="s">
        <v>5191</v>
      </c>
      <c r="G1084" s="4" t="s">
        <v>674</v>
      </c>
      <c r="H1084" s="7" t="s">
        <v>675</v>
      </c>
      <c r="I1084" s="4" t="s">
        <v>676</v>
      </c>
      <c r="J1084" s="10" t="s">
        <v>4780</v>
      </c>
      <c r="K1084" s="4" t="s">
        <v>6007</v>
      </c>
      <c r="L1084" s="4" t="s">
        <v>681</v>
      </c>
      <c r="M1084" s="10">
        <v>2</v>
      </c>
      <c r="N1084" s="95">
        <v>428.72649999999999</v>
      </c>
      <c r="O1084" s="38" t="s">
        <v>4854</v>
      </c>
      <c r="P1084" s="38" t="s">
        <v>4854</v>
      </c>
      <c r="Q1084" s="38" t="s">
        <v>4854</v>
      </c>
      <c r="R1084" s="38" t="s">
        <v>4854</v>
      </c>
      <c r="S1084" s="38" t="s">
        <v>4854</v>
      </c>
      <c r="T1084" s="37" t="str">
        <f>HYPERLINK("http://ms.phosphosite.org:5080/cgi-bin/plot-msms.cgi?MassType=1&amp;NumAxis=1&amp;Mod2=147&amp;Mod6=170&amp;Pep=HMGIGKR&amp;Dta=/var/www/html/dta/S01/10563.1389.2.dta&amp;Global_Mod=CS57.0215", "1389")</f>
        <v>1389</v>
      </c>
      <c r="U1084" s="38" t="s">
        <v>4854</v>
      </c>
      <c r="V1084" s="38" t="s">
        <v>4854</v>
      </c>
      <c r="W1084" s="4" t="s">
        <v>4854</v>
      </c>
      <c r="X1084" s="4" t="s">
        <v>4854</v>
      </c>
      <c r="Y1084" s="4" t="s">
        <v>4854</v>
      </c>
      <c r="Z1084" s="4" t="s">
        <v>4854</v>
      </c>
      <c r="AA1084" s="4" t="s">
        <v>4854</v>
      </c>
      <c r="AB1084" s="4" t="s">
        <v>4854</v>
      </c>
      <c r="AC1084" s="4" t="s">
        <v>4854</v>
      </c>
      <c r="AD1084" s="4" t="s">
        <v>4854</v>
      </c>
      <c r="AE1084" s="100" t="s">
        <v>4854</v>
      </c>
      <c r="AF1084" s="100" t="s">
        <v>4854</v>
      </c>
      <c r="AG1084" s="100" t="s">
        <v>4854</v>
      </c>
      <c r="AH1084" s="100" t="s">
        <v>4854</v>
      </c>
      <c r="AI1084" s="100" t="s">
        <v>4854</v>
      </c>
      <c r="AJ1084" s="91">
        <v>1.4419999999999999</v>
      </c>
      <c r="AK1084" s="100" t="s">
        <v>4854</v>
      </c>
      <c r="AL1084" s="100" t="s">
        <v>4854</v>
      </c>
      <c r="AM1084" s="103" t="s">
        <v>4854</v>
      </c>
      <c r="AN1084" s="103" t="s">
        <v>4854</v>
      </c>
      <c r="AO1084" s="103" t="s">
        <v>4854</v>
      </c>
      <c r="AP1084" s="103" t="s">
        <v>4854</v>
      </c>
      <c r="AQ1084" s="103" t="s">
        <v>4854</v>
      </c>
      <c r="AR1084" s="95">
        <v>0.2482</v>
      </c>
      <c r="AS1084" s="103" t="s">
        <v>4854</v>
      </c>
      <c r="AT1084" s="103" t="s">
        <v>4854</v>
      </c>
      <c r="AU1084" s="103" t="s">
        <v>4854</v>
      </c>
      <c r="AV1084" s="103" t="s">
        <v>4854</v>
      </c>
      <c r="AW1084" s="103" t="s">
        <v>4854</v>
      </c>
      <c r="AX1084" s="103" t="s">
        <v>4854</v>
      </c>
      <c r="AY1084" s="103" t="s">
        <v>4854</v>
      </c>
      <c r="AZ1084" s="95">
        <v>7.0000000000000007E-2</v>
      </c>
      <c r="BA1084" s="103" t="s">
        <v>4854</v>
      </c>
      <c r="BB1084" s="103" t="s">
        <v>4854</v>
      </c>
      <c r="BC1084" s="4" t="s">
        <v>4854</v>
      </c>
      <c r="BD1084" s="4" t="s">
        <v>4854</v>
      </c>
      <c r="BE1084" s="4" t="s">
        <v>4854</v>
      </c>
      <c r="BF1084" s="4" t="s">
        <v>4854</v>
      </c>
      <c r="BG1084" s="4" t="s">
        <v>4854</v>
      </c>
      <c r="BH1084" s="10">
        <v>237</v>
      </c>
      <c r="BI1084" s="4" t="s">
        <v>4854</v>
      </c>
      <c r="BJ1084" s="4" t="s">
        <v>4854</v>
      </c>
      <c r="BK1084" s="100" t="s">
        <v>4854</v>
      </c>
      <c r="BL1084" s="100" t="s">
        <v>4854</v>
      </c>
      <c r="BM1084" s="100" t="s">
        <v>4854</v>
      </c>
      <c r="BN1084" s="100" t="s">
        <v>4854</v>
      </c>
      <c r="BO1084" s="100" t="s">
        <v>4854</v>
      </c>
      <c r="BP1084" s="91">
        <v>0.90200000000000002</v>
      </c>
      <c r="BQ1084" s="100" t="s">
        <v>4854</v>
      </c>
      <c r="BR1084" s="100" t="s">
        <v>4854</v>
      </c>
      <c r="BS1084" s="10" t="s">
        <v>4857</v>
      </c>
    </row>
    <row r="1085" spans="1:71" s="30" customFormat="1" ht="17.100000000000001" customHeight="1">
      <c r="A1085" s="14">
        <v>1074</v>
      </c>
      <c r="B1085" s="5" t="s">
        <v>682</v>
      </c>
      <c r="C1085" s="3" t="s">
        <v>733</v>
      </c>
      <c r="D1085" s="3" t="s">
        <v>683</v>
      </c>
      <c r="E1085" s="3" t="s">
        <v>684</v>
      </c>
      <c r="F1085" s="5" t="s">
        <v>5279</v>
      </c>
      <c r="G1085" s="3" t="s">
        <v>685</v>
      </c>
      <c r="H1085" s="6" t="s">
        <v>686</v>
      </c>
      <c r="I1085" s="3" t="s">
        <v>687</v>
      </c>
      <c r="J1085" s="5" t="s">
        <v>4738</v>
      </c>
      <c r="K1085" s="3" t="s">
        <v>6008</v>
      </c>
      <c r="L1085" s="3" t="s">
        <v>688</v>
      </c>
      <c r="M1085" s="5">
        <v>2</v>
      </c>
      <c r="N1085" s="21">
        <v>705.37480000000005</v>
      </c>
      <c r="O1085" s="36" t="str">
        <f>HYPERLINK("http://ms.phosphosite.org:5080/cgi-bin/plot-msms.cgi?MassType=1&amp;NumAxis=1&amp;Mod4=170&amp;Pep=TDGKVFQFLNAK&amp;Dta=/var/www/html/dta/S01/10558.10347.2.dta&amp;Global_Mod=CS57.0215", "10347")</f>
        <v>10347</v>
      </c>
      <c r="P1085" s="36" t="str">
        <f>HYPERLINK("http://ms.phosphosite.org:5080/cgi-bin/plot-msms.cgi?MassType=1&amp;NumAxis=1&amp;Mod4=170&amp;Pep=TDGKVFQFLNAK&amp;Dta=/var/www/html/dta/S01/10559.10312.2.dta&amp;Global_Mod=CS57.0215", "10312")</f>
        <v>10312</v>
      </c>
      <c r="Q1085" s="36" t="str">
        <f>HYPERLINK("http://ms.phosphosite.org:5080/cgi-bin/plot-msms.cgi?MassType=1&amp;NumAxis=1&amp;Mod4=170&amp;Pep=TDGKVFQFLNAK&amp;Dta=/var/www/html/dta/S01/10560.10351.2.dta&amp;Global_Mod=CS57.0215", "10351")</f>
        <v>10351</v>
      </c>
      <c r="R1085" s="36" t="str">
        <f>HYPERLINK("http://ms.phosphosite.org:5080/cgi-bin/plot-msms.cgi?MassType=1&amp;NumAxis=1&amp;Mod4=170&amp;Pep=TDGKVFQFLNAK&amp;Dta=/var/www/html/dta/S01/10561.10362.2.dta&amp;Global_Mod=CS57.0215", "10362")</f>
        <v>10362</v>
      </c>
      <c r="S1085" s="36" t="str">
        <f>HYPERLINK("http://ms.phosphosite.org:5080/cgi-bin/plot-msms.cgi?MassType=1&amp;NumAxis=1&amp;Mod4=170&amp;Pep=TDGKVFQFLNAK&amp;Dta=/var/www/html/dta/S01/10562.10525.2.dta&amp;Global_Mod=CS57.0215", "10525")</f>
        <v>10525</v>
      </c>
      <c r="T1085" s="36" t="str">
        <f>HYPERLINK("http://ms.phosphosite.org:5080/cgi-bin/plot-msms.cgi?MassType=1&amp;NumAxis=1&amp;Mod4=170&amp;Pep=TDGKVFQFLNAK&amp;Dta=/var/www/html/dta/S01/10563.10477.2.dta&amp;Global_Mod=CS57.0215", "10477")</f>
        <v>10477</v>
      </c>
      <c r="U1085" s="35" t="s">
        <v>4854</v>
      </c>
      <c r="V1085" s="36" t="str">
        <f>HYPERLINK("http://ms.phosphosite.org:5080/cgi-bin/plot-msms.cgi?MassType=1&amp;NumAxis=1&amp;Mod4=170&amp;Pep=TDGKVFQFLNAK&amp;Dta=/var/www/html/dta/S01/10565.11030.2.dta&amp;Global_Mod=CS57.0215", "11030")</f>
        <v>11030</v>
      </c>
      <c r="W1085" s="5">
        <v>10361</v>
      </c>
      <c r="X1085" s="5">
        <v>10333</v>
      </c>
      <c r="Y1085" s="5">
        <v>10381</v>
      </c>
      <c r="Z1085" s="5">
        <v>10385</v>
      </c>
      <c r="AA1085" s="5">
        <v>10554</v>
      </c>
      <c r="AB1085" s="5">
        <v>10490</v>
      </c>
      <c r="AC1085" s="3" t="s">
        <v>4854</v>
      </c>
      <c r="AD1085" s="5">
        <v>10992</v>
      </c>
      <c r="AE1085" s="90">
        <v>3.637</v>
      </c>
      <c r="AF1085" s="90">
        <v>4.2409999999999997</v>
      </c>
      <c r="AG1085" s="90">
        <v>3.3690000000000002</v>
      </c>
      <c r="AH1085" s="90">
        <v>3.4929999999999999</v>
      </c>
      <c r="AI1085" s="90">
        <v>3.4550000000000001</v>
      </c>
      <c r="AJ1085" s="90">
        <v>1.903</v>
      </c>
      <c r="AK1085" s="99" t="s">
        <v>4854</v>
      </c>
      <c r="AL1085" s="90">
        <v>2.9060000000000001</v>
      </c>
      <c r="AM1085" s="21">
        <v>0.81320000000000003</v>
      </c>
      <c r="AN1085" s="21">
        <v>0.41099999999999998</v>
      </c>
      <c r="AO1085" s="21">
        <v>0.66779999999999995</v>
      </c>
      <c r="AP1085" s="21">
        <v>0.62880000000000003</v>
      </c>
      <c r="AQ1085" s="21">
        <v>0.40110000000000001</v>
      </c>
      <c r="AR1085" s="21">
        <v>0.73660000000000003</v>
      </c>
      <c r="AS1085" s="102" t="s">
        <v>4854</v>
      </c>
      <c r="AT1085" s="21">
        <v>0.24010000000000001</v>
      </c>
      <c r="AU1085" s="21">
        <v>0.314</v>
      </c>
      <c r="AV1085" s="21">
        <v>0.34</v>
      </c>
      <c r="AW1085" s="21">
        <v>0.316</v>
      </c>
      <c r="AX1085" s="21">
        <v>0.28599999999999998</v>
      </c>
      <c r="AY1085" s="21">
        <v>0.245</v>
      </c>
      <c r="AZ1085" s="21">
        <v>0.14299999999999999</v>
      </c>
      <c r="BA1085" s="102" t="s">
        <v>4854</v>
      </c>
      <c r="BB1085" s="21">
        <v>8.3000000000000004E-2</v>
      </c>
      <c r="BC1085" s="5">
        <v>1</v>
      </c>
      <c r="BD1085" s="5">
        <v>1</v>
      </c>
      <c r="BE1085" s="5">
        <v>1</v>
      </c>
      <c r="BF1085" s="5">
        <v>1</v>
      </c>
      <c r="BG1085" s="5">
        <v>1</v>
      </c>
      <c r="BH1085" s="5">
        <v>2</v>
      </c>
      <c r="BI1085" s="3" t="s">
        <v>4854</v>
      </c>
      <c r="BJ1085" s="5">
        <v>4</v>
      </c>
      <c r="BK1085" s="90">
        <v>1</v>
      </c>
      <c r="BL1085" s="90">
        <v>1</v>
      </c>
      <c r="BM1085" s="90">
        <v>1</v>
      </c>
      <c r="BN1085" s="90">
        <v>1</v>
      </c>
      <c r="BO1085" s="90">
        <v>1</v>
      </c>
      <c r="BP1085" s="90">
        <v>0.97799999999999998</v>
      </c>
      <c r="BQ1085" s="99" t="s">
        <v>4854</v>
      </c>
      <c r="BR1085" s="90">
        <v>0.99199999999999999</v>
      </c>
      <c r="BS1085" s="5" t="s">
        <v>4857</v>
      </c>
    </row>
    <row r="1086" spans="1:71" s="30" customFormat="1" ht="17.100000000000001" customHeight="1">
      <c r="A1086" s="10">
        <v>1075</v>
      </c>
      <c r="B1086" s="10" t="s">
        <v>689</v>
      </c>
      <c r="C1086" s="4" t="s">
        <v>733</v>
      </c>
      <c r="D1086" s="4" t="s">
        <v>690</v>
      </c>
      <c r="E1086" s="7" t="s">
        <v>691</v>
      </c>
      <c r="F1086" s="10" t="s">
        <v>4580</v>
      </c>
      <c r="G1086" s="4" t="s">
        <v>692</v>
      </c>
      <c r="H1086" s="7" t="s">
        <v>693</v>
      </c>
      <c r="I1086" s="4" t="s">
        <v>694</v>
      </c>
      <c r="J1086" s="10" t="s">
        <v>4729</v>
      </c>
      <c r="K1086" s="4" t="s">
        <v>6009</v>
      </c>
      <c r="L1086" s="4" t="s">
        <v>695</v>
      </c>
      <c r="M1086" s="10">
        <v>3</v>
      </c>
      <c r="N1086" s="95">
        <v>418.57990000000001</v>
      </c>
      <c r="O1086" s="38" t="s">
        <v>4854</v>
      </c>
      <c r="P1086" s="38" t="s">
        <v>4854</v>
      </c>
      <c r="Q1086" s="37" t="str">
        <f>HYPERLINK("http://ms.phosphosite.org:5080/cgi-bin/plot-msms.cgi?MassType=1&amp;NumAxis=1&amp;Mod1=170&amp;Pep=KKYVIYIER&amp;Dta=/var/www/html/dta/S01/10560.5558.3.dta&amp;Global_Mod=CS57.0215", "5558")</f>
        <v>5558</v>
      </c>
      <c r="R1086" s="37" t="str">
        <f>HYPERLINK("http://ms.phosphosite.org:5080/cgi-bin/plot-msms.cgi?MassType=1&amp;NumAxis=1&amp;Mod1=170&amp;Pep=KKYVIYIER&amp;Dta=/var/www/html/dta/S01/10561.5608.3.dta&amp;Global_Mod=CS57.0215", "5608")</f>
        <v>5608</v>
      </c>
      <c r="S1086" s="38" t="s">
        <v>4854</v>
      </c>
      <c r="T1086" s="38" t="s">
        <v>4854</v>
      </c>
      <c r="U1086" s="38" t="s">
        <v>4854</v>
      </c>
      <c r="V1086" s="38" t="s">
        <v>4854</v>
      </c>
      <c r="W1086" s="4" t="s">
        <v>4854</v>
      </c>
      <c r="X1086" s="4" t="s">
        <v>4854</v>
      </c>
      <c r="Y1086" s="10">
        <v>5574</v>
      </c>
      <c r="Z1086" s="10">
        <v>5612</v>
      </c>
      <c r="AA1086" s="4" t="s">
        <v>4854</v>
      </c>
      <c r="AB1086" s="4" t="s">
        <v>4854</v>
      </c>
      <c r="AC1086" s="4" t="s">
        <v>4854</v>
      </c>
      <c r="AD1086" s="4" t="s">
        <v>4854</v>
      </c>
      <c r="AE1086" s="100" t="s">
        <v>4854</v>
      </c>
      <c r="AF1086" s="100" t="s">
        <v>4854</v>
      </c>
      <c r="AG1086" s="91">
        <v>1.984</v>
      </c>
      <c r="AH1086" s="91">
        <v>2.1349999999999998</v>
      </c>
      <c r="AI1086" s="100" t="s">
        <v>4854</v>
      </c>
      <c r="AJ1086" s="100" t="s">
        <v>4854</v>
      </c>
      <c r="AK1086" s="100" t="s">
        <v>4854</v>
      </c>
      <c r="AL1086" s="100" t="s">
        <v>4854</v>
      </c>
      <c r="AM1086" s="103" t="s">
        <v>4854</v>
      </c>
      <c r="AN1086" s="103" t="s">
        <v>4854</v>
      </c>
      <c r="AO1086" s="95">
        <v>0.62619999999999998</v>
      </c>
      <c r="AP1086" s="95">
        <v>0.64610000000000001</v>
      </c>
      <c r="AQ1086" s="103" t="s">
        <v>4854</v>
      </c>
      <c r="AR1086" s="103" t="s">
        <v>4854</v>
      </c>
      <c r="AS1086" s="103" t="s">
        <v>4854</v>
      </c>
      <c r="AT1086" s="103" t="s">
        <v>4854</v>
      </c>
      <c r="AU1086" s="103" t="s">
        <v>4854</v>
      </c>
      <c r="AV1086" s="103" t="s">
        <v>4854</v>
      </c>
      <c r="AW1086" s="95">
        <v>0.13600000000000001</v>
      </c>
      <c r="AX1086" s="95">
        <v>0.14299999999999999</v>
      </c>
      <c r="AY1086" s="103" t="s">
        <v>4854</v>
      </c>
      <c r="AZ1086" s="103" t="s">
        <v>4854</v>
      </c>
      <c r="BA1086" s="103" t="s">
        <v>4854</v>
      </c>
      <c r="BB1086" s="103" t="s">
        <v>4854</v>
      </c>
      <c r="BC1086" s="4" t="s">
        <v>4854</v>
      </c>
      <c r="BD1086" s="4" t="s">
        <v>4854</v>
      </c>
      <c r="BE1086" s="10">
        <v>133</v>
      </c>
      <c r="BF1086" s="10">
        <v>749</v>
      </c>
      <c r="BG1086" s="4" t="s">
        <v>4854</v>
      </c>
      <c r="BH1086" s="4" t="s">
        <v>4854</v>
      </c>
      <c r="BI1086" s="4" t="s">
        <v>4854</v>
      </c>
      <c r="BJ1086" s="4" t="s">
        <v>4854</v>
      </c>
      <c r="BK1086" s="100" t="s">
        <v>4854</v>
      </c>
      <c r="BL1086" s="100" t="s">
        <v>4854</v>
      </c>
      <c r="BM1086" s="91">
        <v>0.96099999999999997</v>
      </c>
      <c r="BN1086" s="91">
        <v>0.95899999999999996</v>
      </c>
      <c r="BO1086" s="100" t="s">
        <v>4854</v>
      </c>
      <c r="BP1086" s="100" t="s">
        <v>4854</v>
      </c>
      <c r="BQ1086" s="100" t="s">
        <v>4854</v>
      </c>
      <c r="BR1086" s="100" t="s">
        <v>4854</v>
      </c>
      <c r="BS1086" s="10" t="s">
        <v>4857</v>
      </c>
    </row>
    <row r="1087" spans="1:71" s="30" customFormat="1" ht="17.100000000000001" customHeight="1">
      <c r="A1087" s="14">
        <v>1076</v>
      </c>
      <c r="B1087" s="5" t="s">
        <v>696</v>
      </c>
      <c r="C1087" s="3" t="s">
        <v>733</v>
      </c>
      <c r="D1087" s="3" t="s">
        <v>690</v>
      </c>
      <c r="E1087" s="6" t="s">
        <v>691</v>
      </c>
      <c r="F1087" s="5" t="s">
        <v>5247</v>
      </c>
      <c r="G1087" s="3" t="s">
        <v>692</v>
      </c>
      <c r="H1087" s="6" t="s">
        <v>693</v>
      </c>
      <c r="I1087" s="3" t="s">
        <v>694</v>
      </c>
      <c r="J1087" s="5" t="s">
        <v>4729</v>
      </c>
      <c r="K1087" s="3" t="s">
        <v>6010</v>
      </c>
      <c r="L1087" s="3" t="s">
        <v>697</v>
      </c>
      <c r="M1087" s="5">
        <v>2</v>
      </c>
      <c r="N1087" s="21">
        <v>627.36630000000002</v>
      </c>
      <c r="O1087" s="36" t="str">
        <f>HYPERLINK("http://ms.phosphosite.org:5080/cgi-bin/plot-msms.cgi?MassType=1&amp;NumAxis=1&amp;Mod2=170&amp;Pep=KKYVIYIER&amp;Dta=/var/www/html/dta/S01/10558.5629.2.dta&amp;Global_Mod=CS57.0215", "5629")</f>
        <v>5629</v>
      </c>
      <c r="P1087" s="36" t="str">
        <f>HYPERLINK("http://ms.phosphosite.org:5080/cgi-bin/plot-msms.cgi?MassType=1&amp;NumAxis=1&amp;Mod2=170&amp;Pep=KKYVIYIER&amp;Dta=/var/www/html/dta/S01/10559.5551.2.dta&amp;Global_Mod=CS57.0215", "5551")</f>
        <v>5551</v>
      </c>
      <c r="Q1087" s="36" t="str">
        <f>HYPERLINK("http://ms.phosphosite.org:5080/cgi-bin/plot-msms.cgi?MassType=1&amp;NumAxis=1&amp;Mod2=170&amp;Pep=KKYVIYIER&amp;Dta=/var/www/html/dta/S01/10560.5556.2.dta&amp;Global_Mod=CS57.0215", "5556")</f>
        <v>5556</v>
      </c>
      <c r="R1087" s="36" t="str">
        <f>HYPERLINK("http://ms.phosphosite.org:5080/cgi-bin/plot-msms.cgi?MassType=1&amp;NumAxis=1&amp;Mod2=170&amp;Pep=KKYVIYIER&amp;Dta=/var/www/html/dta/S01/10561.5611.2.dta&amp;Global_Mod=CS57.0215", "5611")</f>
        <v>5611</v>
      </c>
      <c r="S1087" s="35" t="s">
        <v>4854</v>
      </c>
      <c r="T1087" s="36" t="str">
        <f>HYPERLINK("http://ms.phosphosite.org:5080/cgi-bin/plot-msms.cgi?MassType=1&amp;NumAxis=1&amp;Mod2=170&amp;Pep=KKYVIYIER&amp;Dta=/var/www/html/dta/S01/10563.5648.2.dta&amp;Global_Mod=CS57.0215", "5648")</f>
        <v>5648</v>
      </c>
      <c r="U1087" s="35" t="s">
        <v>4854</v>
      </c>
      <c r="V1087" s="35" t="s">
        <v>4854</v>
      </c>
      <c r="W1087" s="5">
        <v>5624</v>
      </c>
      <c r="X1087" s="5">
        <v>5557</v>
      </c>
      <c r="Y1087" s="5">
        <v>5563</v>
      </c>
      <c r="Z1087" s="5">
        <v>5623</v>
      </c>
      <c r="AA1087" s="3" t="s">
        <v>4854</v>
      </c>
      <c r="AB1087" s="5">
        <v>5650</v>
      </c>
      <c r="AC1087" s="3" t="s">
        <v>4854</v>
      </c>
      <c r="AD1087" s="3" t="s">
        <v>4854</v>
      </c>
      <c r="AE1087" s="90">
        <v>2.9750000000000001</v>
      </c>
      <c r="AF1087" s="90">
        <v>2.722</v>
      </c>
      <c r="AG1087" s="90">
        <v>2.5609999999999999</v>
      </c>
      <c r="AH1087" s="90">
        <v>2.4910000000000001</v>
      </c>
      <c r="AI1087" s="99" t="s">
        <v>4854</v>
      </c>
      <c r="AJ1087" s="90">
        <v>2.38</v>
      </c>
      <c r="AK1087" s="99" t="s">
        <v>4854</v>
      </c>
      <c r="AL1087" s="99" t="s">
        <v>4854</v>
      </c>
      <c r="AM1087" s="21">
        <v>8.3799999999999999E-2</v>
      </c>
      <c r="AN1087" s="21">
        <v>0.41399999999999998</v>
      </c>
      <c r="AO1087" s="21">
        <v>5.91E-2</v>
      </c>
      <c r="AP1087" s="21">
        <v>0.36780000000000002</v>
      </c>
      <c r="AQ1087" s="102" t="s">
        <v>4854</v>
      </c>
      <c r="AR1087" s="21">
        <v>0.1971</v>
      </c>
      <c r="AS1087" s="102" t="s">
        <v>4854</v>
      </c>
      <c r="AT1087" s="102" t="s">
        <v>4854</v>
      </c>
      <c r="AU1087" s="21">
        <v>0.33500000000000002</v>
      </c>
      <c r="AV1087" s="21">
        <v>0.13500000000000001</v>
      </c>
      <c r="AW1087" s="21">
        <v>0.29399999999999998</v>
      </c>
      <c r="AX1087" s="21">
        <v>0.191</v>
      </c>
      <c r="AY1087" s="102" t="s">
        <v>4854</v>
      </c>
      <c r="AZ1087" s="21">
        <v>0.27800000000000002</v>
      </c>
      <c r="BA1087" s="102" t="s">
        <v>4854</v>
      </c>
      <c r="BB1087" s="102" t="s">
        <v>4854</v>
      </c>
      <c r="BC1087" s="5">
        <v>1</v>
      </c>
      <c r="BD1087" s="5">
        <v>1</v>
      </c>
      <c r="BE1087" s="5">
        <v>1</v>
      </c>
      <c r="BF1087" s="5">
        <v>1</v>
      </c>
      <c r="BG1087" s="3" t="s">
        <v>4854</v>
      </c>
      <c r="BH1087" s="5">
        <v>1</v>
      </c>
      <c r="BI1087" s="3" t="s">
        <v>4854</v>
      </c>
      <c r="BJ1087" s="3" t="s">
        <v>4854</v>
      </c>
      <c r="BK1087" s="90">
        <v>1</v>
      </c>
      <c r="BL1087" s="90">
        <v>0.998</v>
      </c>
      <c r="BM1087" s="90">
        <v>1</v>
      </c>
      <c r="BN1087" s="90">
        <v>0.998</v>
      </c>
      <c r="BO1087" s="99" t="s">
        <v>4854</v>
      </c>
      <c r="BP1087" s="90">
        <v>0.999</v>
      </c>
      <c r="BQ1087" s="99" t="s">
        <v>4854</v>
      </c>
      <c r="BR1087" s="99" t="s">
        <v>4854</v>
      </c>
      <c r="BS1087" s="5" t="s">
        <v>4857</v>
      </c>
    </row>
    <row r="1088" spans="1:71" s="30" customFormat="1" ht="17.100000000000001" customHeight="1">
      <c r="A1088" s="10">
        <v>1077</v>
      </c>
      <c r="B1088" s="10" t="s">
        <v>698</v>
      </c>
      <c r="C1088" s="4" t="s">
        <v>733</v>
      </c>
      <c r="D1088" s="4" t="s">
        <v>699</v>
      </c>
      <c r="E1088" s="4" t="s">
        <v>700</v>
      </c>
      <c r="F1088" s="10" t="s">
        <v>4696</v>
      </c>
      <c r="G1088" s="4" t="s">
        <v>701</v>
      </c>
      <c r="H1088" s="7" t="s">
        <v>702</v>
      </c>
      <c r="I1088" s="4" t="s">
        <v>703</v>
      </c>
      <c r="J1088" s="10" t="s">
        <v>4849</v>
      </c>
      <c r="K1088" s="4" t="s">
        <v>6011</v>
      </c>
      <c r="L1088" s="4" t="s">
        <v>704</v>
      </c>
      <c r="M1088" s="10">
        <v>3</v>
      </c>
      <c r="N1088" s="95">
        <v>485.26389999999998</v>
      </c>
      <c r="O1088" s="37" t="str">
        <f>HYPERLINK("http://ms.phosphosite.org:5080/cgi-bin/plot-msms.cgi?MassType=1&amp;NumAxis=1&amp;Mod4=170&amp;Pep=NWRKPRGIDNR&amp;Dta=/var/www/html/dta/S01/10558.12085.3.dta&amp;Global_Mod=CS57.0215", "12085")</f>
        <v>12085</v>
      </c>
      <c r="P1088" s="38" t="s">
        <v>4854</v>
      </c>
      <c r="Q1088" s="38" t="s">
        <v>4854</v>
      </c>
      <c r="R1088" s="38" t="s">
        <v>4854</v>
      </c>
      <c r="S1088" s="38" t="s">
        <v>4854</v>
      </c>
      <c r="T1088" s="38" t="s">
        <v>4854</v>
      </c>
      <c r="U1088" s="38" t="s">
        <v>4854</v>
      </c>
      <c r="V1088" s="38" t="s">
        <v>4854</v>
      </c>
      <c r="W1088" s="4" t="s">
        <v>4854</v>
      </c>
      <c r="X1088" s="4" t="s">
        <v>4854</v>
      </c>
      <c r="Y1088" s="4" t="s">
        <v>4854</v>
      </c>
      <c r="Z1088" s="4" t="s">
        <v>4854</v>
      </c>
      <c r="AA1088" s="4" t="s">
        <v>4854</v>
      </c>
      <c r="AB1088" s="4" t="s">
        <v>4854</v>
      </c>
      <c r="AC1088" s="4" t="s">
        <v>4854</v>
      </c>
      <c r="AD1088" s="4" t="s">
        <v>4854</v>
      </c>
      <c r="AE1088" s="91">
        <v>1.623</v>
      </c>
      <c r="AF1088" s="100" t="s">
        <v>4854</v>
      </c>
      <c r="AG1088" s="100" t="s">
        <v>4854</v>
      </c>
      <c r="AH1088" s="100" t="s">
        <v>4854</v>
      </c>
      <c r="AI1088" s="100" t="s">
        <v>4854</v>
      </c>
      <c r="AJ1088" s="100" t="s">
        <v>4854</v>
      </c>
      <c r="AK1088" s="100" t="s">
        <v>4854</v>
      </c>
      <c r="AL1088" s="100" t="s">
        <v>4854</v>
      </c>
      <c r="AM1088" s="95">
        <v>2.0461</v>
      </c>
      <c r="AN1088" s="103" t="s">
        <v>4854</v>
      </c>
      <c r="AO1088" s="103" t="s">
        <v>4854</v>
      </c>
      <c r="AP1088" s="103" t="s">
        <v>4854</v>
      </c>
      <c r="AQ1088" s="103" t="s">
        <v>4854</v>
      </c>
      <c r="AR1088" s="103" t="s">
        <v>4854</v>
      </c>
      <c r="AS1088" s="103" t="s">
        <v>4854</v>
      </c>
      <c r="AT1088" s="103" t="s">
        <v>4854</v>
      </c>
      <c r="AU1088" s="95">
        <v>6.4000000000000001E-2</v>
      </c>
      <c r="AV1088" s="103" t="s">
        <v>4854</v>
      </c>
      <c r="AW1088" s="103" t="s">
        <v>4854</v>
      </c>
      <c r="AX1088" s="103" t="s">
        <v>4854</v>
      </c>
      <c r="AY1088" s="103" t="s">
        <v>4854</v>
      </c>
      <c r="AZ1088" s="103" t="s">
        <v>4854</v>
      </c>
      <c r="BA1088" s="103" t="s">
        <v>4854</v>
      </c>
      <c r="BB1088" s="103" t="s">
        <v>4854</v>
      </c>
      <c r="BC1088" s="10">
        <v>3</v>
      </c>
      <c r="BD1088" s="4" t="s">
        <v>4854</v>
      </c>
      <c r="BE1088" s="4" t="s">
        <v>4854</v>
      </c>
      <c r="BF1088" s="4" t="s">
        <v>4854</v>
      </c>
      <c r="BG1088" s="4" t="s">
        <v>4854</v>
      </c>
      <c r="BH1088" s="4" t="s">
        <v>4854</v>
      </c>
      <c r="BI1088" s="4" t="s">
        <v>4854</v>
      </c>
      <c r="BJ1088" s="4" t="s">
        <v>4854</v>
      </c>
      <c r="BK1088" s="91">
        <v>0.90600000000000003</v>
      </c>
      <c r="BL1088" s="100" t="s">
        <v>4854</v>
      </c>
      <c r="BM1088" s="100" t="s">
        <v>4854</v>
      </c>
      <c r="BN1088" s="100" t="s">
        <v>4854</v>
      </c>
      <c r="BO1088" s="100" t="s">
        <v>4854</v>
      </c>
      <c r="BP1088" s="100" t="s">
        <v>4854</v>
      </c>
      <c r="BQ1088" s="100" t="s">
        <v>4854</v>
      </c>
      <c r="BR1088" s="100" t="s">
        <v>4854</v>
      </c>
      <c r="BS1088" s="10" t="s">
        <v>4857</v>
      </c>
    </row>
    <row r="1089" spans="1:71" s="30" customFormat="1" ht="17.100000000000001" customHeight="1">
      <c r="A1089" s="14">
        <v>1078</v>
      </c>
      <c r="B1089" s="5" t="s">
        <v>705</v>
      </c>
      <c r="C1089" s="3" t="s">
        <v>733</v>
      </c>
      <c r="D1089" s="3" t="s">
        <v>706</v>
      </c>
      <c r="E1089" s="3" t="s">
        <v>707</v>
      </c>
      <c r="F1089" s="5" t="s">
        <v>5237</v>
      </c>
      <c r="G1089" s="3" t="s">
        <v>708</v>
      </c>
      <c r="H1089" s="6" t="s">
        <v>709</v>
      </c>
      <c r="I1089" s="3" t="s">
        <v>710</v>
      </c>
      <c r="J1089" s="5" t="s">
        <v>4837</v>
      </c>
      <c r="K1089" s="3" t="s">
        <v>6012</v>
      </c>
      <c r="L1089" s="3" t="s">
        <v>711</v>
      </c>
      <c r="M1089" s="5">
        <v>2</v>
      </c>
      <c r="N1089" s="21">
        <v>535.31820000000005</v>
      </c>
      <c r="O1089" s="35" t="s">
        <v>4854</v>
      </c>
      <c r="P1089" s="36" t="str">
        <f>HYPERLINK("http://ms.phosphosite.org:5080/cgi-bin/plot-msms.cgi?MassType=1&amp;NumAxis=1&amp;Mod7=170&amp;Pep=IVYLYTKK&amp;Dta=/var/www/html/dta/S01/10559.6146.2.dta&amp;Global_Mod=CS57.0215", "6146")</f>
        <v>6146</v>
      </c>
      <c r="Q1089" s="36" t="str">
        <f>HYPERLINK("http://ms.phosphosite.org:5080/cgi-bin/plot-msms.cgi?MassType=1&amp;NumAxis=1&amp;Mod7=170&amp;Pep=IVYLYTKK&amp;Dta=/var/www/html/dta/S01/10560.6119.2.dta&amp;Global_Mod=CS57.0215", "6119")</f>
        <v>6119</v>
      </c>
      <c r="R1089" s="36" t="str">
        <f>HYPERLINK("http://ms.phosphosite.org:5080/cgi-bin/plot-msms.cgi?MassType=1&amp;NumAxis=1&amp;Mod7=170&amp;Pep=IVYLYTKK&amp;Dta=/var/www/html/dta/S01/10561.6176.2.dta&amp;Global_Mod=CS57.0215", "6176")</f>
        <v>6176</v>
      </c>
      <c r="S1089" s="36" t="str">
        <f>HYPERLINK("http://ms.phosphosite.org:5080/cgi-bin/plot-msms.cgi?MassType=1&amp;NumAxis=1&amp;Mod7=170&amp;Pep=IVYLYTKK&amp;Dta=/var/www/html/dta/S01/10562.6283.2.dta&amp;Global_Mod=CS57.0215", "6283")</f>
        <v>6283</v>
      </c>
      <c r="T1089" s="36" t="str">
        <f>HYPERLINK("http://ms.phosphosite.org:5080/cgi-bin/plot-msms.cgi?MassType=1&amp;NumAxis=1&amp;Mod7=170&amp;Pep=IVYLYTKK&amp;Dta=/var/www/html/dta/S01/10563.6281.2.dta&amp;Global_Mod=CS57.0215", "6281")</f>
        <v>6281</v>
      </c>
      <c r="U1089" s="35" t="s">
        <v>4854</v>
      </c>
      <c r="V1089" s="35" t="s">
        <v>4854</v>
      </c>
      <c r="W1089" s="3" t="s">
        <v>4854</v>
      </c>
      <c r="X1089" s="5">
        <v>5557</v>
      </c>
      <c r="Y1089" s="5">
        <v>5552</v>
      </c>
      <c r="Z1089" s="5">
        <v>5601</v>
      </c>
      <c r="AA1089" s="5">
        <v>5688</v>
      </c>
      <c r="AB1089" s="5">
        <v>5639</v>
      </c>
      <c r="AC1089" s="3" t="s">
        <v>4854</v>
      </c>
      <c r="AD1089" s="3" t="s">
        <v>4854</v>
      </c>
      <c r="AE1089" s="99" t="s">
        <v>4854</v>
      </c>
      <c r="AF1089" s="90">
        <v>2.0110000000000001</v>
      </c>
      <c r="AG1089" s="90">
        <v>2.6840000000000002</v>
      </c>
      <c r="AH1089" s="90">
        <v>2.3450000000000002</v>
      </c>
      <c r="AI1089" s="90">
        <v>2.3180000000000001</v>
      </c>
      <c r="AJ1089" s="90">
        <v>1.8540000000000001</v>
      </c>
      <c r="AK1089" s="99" t="s">
        <v>4854</v>
      </c>
      <c r="AL1089" s="99" t="s">
        <v>4854</v>
      </c>
      <c r="AM1089" s="102" t="s">
        <v>4854</v>
      </c>
      <c r="AN1089" s="21">
        <v>0.18579999999999999</v>
      </c>
      <c r="AO1089" s="21">
        <v>0.1961</v>
      </c>
      <c r="AP1089" s="21">
        <v>0.1895</v>
      </c>
      <c r="AQ1089" s="21">
        <v>0.12690000000000001</v>
      </c>
      <c r="AR1089" s="21">
        <v>0.23350000000000001</v>
      </c>
      <c r="AS1089" s="102" t="s">
        <v>4854</v>
      </c>
      <c r="AT1089" s="102" t="s">
        <v>4854</v>
      </c>
      <c r="AU1089" s="102" t="s">
        <v>4854</v>
      </c>
      <c r="AV1089" s="21">
        <v>0.24399999999999999</v>
      </c>
      <c r="AW1089" s="21">
        <v>0.22800000000000001</v>
      </c>
      <c r="AX1089" s="21">
        <v>0.30299999999999999</v>
      </c>
      <c r="AY1089" s="21">
        <v>0.32</v>
      </c>
      <c r="AZ1089" s="21">
        <v>7.5999999999999998E-2</v>
      </c>
      <c r="BA1089" s="102" t="s">
        <v>4854</v>
      </c>
      <c r="BB1089" s="102" t="s">
        <v>4854</v>
      </c>
      <c r="BC1089" s="3" t="s">
        <v>4854</v>
      </c>
      <c r="BD1089" s="5">
        <v>2</v>
      </c>
      <c r="BE1089" s="5">
        <v>1</v>
      </c>
      <c r="BF1089" s="5">
        <v>1</v>
      </c>
      <c r="BG1089" s="5">
        <v>1</v>
      </c>
      <c r="BH1089" s="5">
        <v>3</v>
      </c>
      <c r="BI1089" s="3" t="s">
        <v>4854</v>
      </c>
      <c r="BJ1089" s="3" t="s">
        <v>4854</v>
      </c>
      <c r="BK1089" s="99" t="s">
        <v>4854</v>
      </c>
      <c r="BL1089" s="90">
        <v>0.999</v>
      </c>
      <c r="BM1089" s="90">
        <v>1</v>
      </c>
      <c r="BN1089" s="90">
        <v>1</v>
      </c>
      <c r="BO1089" s="90">
        <v>1</v>
      </c>
      <c r="BP1089" s="90">
        <v>0.99299999999999999</v>
      </c>
      <c r="BQ1089" s="99" t="s">
        <v>4854</v>
      </c>
      <c r="BR1089" s="99" t="s">
        <v>4854</v>
      </c>
      <c r="BS1089" s="5" t="s">
        <v>4857</v>
      </c>
    </row>
    <row r="1090" spans="1:71" s="30" customFormat="1" ht="17.100000000000001" customHeight="1">
      <c r="A1090" s="10">
        <v>1079</v>
      </c>
      <c r="B1090" s="10" t="s">
        <v>712</v>
      </c>
      <c r="C1090" s="4" t="s">
        <v>733</v>
      </c>
      <c r="D1090" s="4" t="s">
        <v>706</v>
      </c>
      <c r="E1090" s="4" t="s">
        <v>707</v>
      </c>
      <c r="F1090" s="10" t="s">
        <v>4696</v>
      </c>
      <c r="G1090" s="4" t="s">
        <v>708</v>
      </c>
      <c r="H1090" s="7" t="s">
        <v>709</v>
      </c>
      <c r="I1090" s="4" t="s">
        <v>710</v>
      </c>
      <c r="J1090" s="10" t="s">
        <v>4837</v>
      </c>
      <c r="K1090" s="4" t="s">
        <v>6013</v>
      </c>
      <c r="L1090" s="4" t="s">
        <v>713</v>
      </c>
      <c r="M1090" s="10">
        <v>2</v>
      </c>
      <c r="N1090" s="95">
        <v>535.31820000000005</v>
      </c>
      <c r="O1090" s="37" t="str">
        <f>HYPERLINK("http://ms.phosphosite.org:5080/cgi-bin/plot-msms.cgi?MassType=1&amp;NumAxis=1&amp;Mod8=170&amp;Pep=IVYLYTKK&amp;Dta=/var/www/html/dta/S01/10558.6198.2.dta&amp;Global_Mod=CS57.0215", "6198")</f>
        <v>6198</v>
      </c>
      <c r="P1090" s="38" t="s">
        <v>4854</v>
      </c>
      <c r="Q1090" s="38" t="s">
        <v>4854</v>
      </c>
      <c r="R1090" s="38" t="s">
        <v>4854</v>
      </c>
      <c r="S1090" s="38" t="s">
        <v>4854</v>
      </c>
      <c r="T1090" s="38" t="s">
        <v>4854</v>
      </c>
      <c r="U1090" s="38" t="s">
        <v>4854</v>
      </c>
      <c r="V1090" s="38" t="s">
        <v>4854</v>
      </c>
      <c r="W1090" s="10">
        <v>5602</v>
      </c>
      <c r="X1090" s="4" t="s">
        <v>4854</v>
      </c>
      <c r="Y1090" s="4" t="s">
        <v>4854</v>
      </c>
      <c r="Z1090" s="4" t="s">
        <v>4854</v>
      </c>
      <c r="AA1090" s="4" t="s">
        <v>4854</v>
      </c>
      <c r="AB1090" s="4" t="s">
        <v>4854</v>
      </c>
      <c r="AC1090" s="4" t="s">
        <v>4854</v>
      </c>
      <c r="AD1090" s="4" t="s">
        <v>4854</v>
      </c>
      <c r="AE1090" s="91">
        <v>2.7690000000000001</v>
      </c>
      <c r="AF1090" s="100" t="s">
        <v>4854</v>
      </c>
      <c r="AG1090" s="100" t="s">
        <v>4854</v>
      </c>
      <c r="AH1090" s="100" t="s">
        <v>4854</v>
      </c>
      <c r="AI1090" s="100" t="s">
        <v>4854</v>
      </c>
      <c r="AJ1090" s="100" t="s">
        <v>4854</v>
      </c>
      <c r="AK1090" s="100" t="s">
        <v>4854</v>
      </c>
      <c r="AL1090" s="100" t="s">
        <v>4854</v>
      </c>
      <c r="AM1090" s="95">
        <v>-0.10589999999999999</v>
      </c>
      <c r="AN1090" s="103" t="s">
        <v>4854</v>
      </c>
      <c r="AO1090" s="103" t="s">
        <v>4854</v>
      </c>
      <c r="AP1090" s="103" t="s">
        <v>4854</v>
      </c>
      <c r="AQ1090" s="103" t="s">
        <v>4854</v>
      </c>
      <c r="AR1090" s="103" t="s">
        <v>4854</v>
      </c>
      <c r="AS1090" s="103" t="s">
        <v>4854</v>
      </c>
      <c r="AT1090" s="103" t="s">
        <v>4854</v>
      </c>
      <c r="AU1090" s="95">
        <v>0.27500000000000002</v>
      </c>
      <c r="AV1090" s="103" t="s">
        <v>4854</v>
      </c>
      <c r="AW1090" s="103" t="s">
        <v>4854</v>
      </c>
      <c r="AX1090" s="103" t="s">
        <v>4854</v>
      </c>
      <c r="AY1090" s="103" t="s">
        <v>4854</v>
      </c>
      <c r="AZ1090" s="103" t="s">
        <v>4854</v>
      </c>
      <c r="BA1090" s="103" t="s">
        <v>4854</v>
      </c>
      <c r="BB1090" s="103" t="s">
        <v>4854</v>
      </c>
      <c r="BC1090" s="10">
        <v>1</v>
      </c>
      <c r="BD1090" s="4" t="s">
        <v>4854</v>
      </c>
      <c r="BE1090" s="4" t="s">
        <v>4854</v>
      </c>
      <c r="BF1090" s="4" t="s">
        <v>4854</v>
      </c>
      <c r="BG1090" s="4" t="s">
        <v>4854</v>
      </c>
      <c r="BH1090" s="4" t="s">
        <v>4854</v>
      </c>
      <c r="BI1090" s="4" t="s">
        <v>4854</v>
      </c>
      <c r="BJ1090" s="4" t="s">
        <v>4854</v>
      </c>
      <c r="BK1090" s="91">
        <v>1</v>
      </c>
      <c r="BL1090" s="100" t="s">
        <v>4854</v>
      </c>
      <c r="BM1090" s="100" t="s">
        <v>4854</v>
      </c>
      <c r="BN1090" s="100" t="s">
        <v>4854</v>
      </c>
      <c r="BO1090" s="100" t="s">
        <v>4854</v>
      </c>
      <c r="BP1090" s="100" t="s">
        <v>4854</v>
      </c>
      <c r="BQ1090" s="100" t="s">
        <v>4854</v>
      </c>
      <c r="BR1090" s="100" t="s">
        <v>4854</v>
      </c>
      <c r="BS1090" s="10" t="s">
        <v>4857</v>
      </c>
    </row>
    <row r="1091" spans="1:71" s="30" customFormat="1" ht="17.100000000000001" customHeight="1">
      <c r="A1091" s="14">
        <v>1080</v>
      </c>
      <c r="B1091" s="5" t="s">
        <v>714</v>
      </c>
      <c r="C1091" s="3" t="s">
        <v>733</v>
      </c>
      <c r="D1091" s="3" t="s">
        <v>715</v>
      </c>
      <c r="E1091" s="3" t="s">
        <v>716</v>
      </c>
      <c r="F1091" s="5" t="s">
        <v>4965</v>
      </c>
      <c r="G1091" s="3" t="s">
        <v>717</v>
      </c>
      <c r="H1091" s="6" t="s">
        <v>718</v>
      </c>
      <c r="I1091" s="3" t="s">
        <v>719</v>
      </c>
      <c r="J1091" s="5" t="s">
        <v>4825</v>
      </c>
      <c r="K1091" s="3" t="s">
        <v>6014</v>
      </c>
      <c r="L1091" s="3" t="s">
        <v>720</v>
      </c>
      <c r="M1091" s="5">
        <v>2</v>
      </c>
      <c r="N1091" s="21">
        <v>555.79870000000005</v>
      </c>
      <c r="O1091" s="36" t="str">
        <f>HYPERLINK("http://ms.phosphosite.org:5080/cgi-bin/plot-msms.cgi?MassType=1&amp;NumAxis=1&amp;Mod9=170&amp;Pep=TKGTSSFGKR&amp;Dta=/var/www/html/dta/S01/10558.1650.2.dta&amp;Global_Mod=CS57.0215", "1650")</f>
        <v>1650</v>
      </c>
      <c r="P1091" s="35" t="s">
        <v>4854</v>
      </c>
      <c r="Q1091" s="35" t="s">
        <v>4854</v>
      </c>
      <c r="R1091" s="35" t="s">
        <v>4854</v>
      </c>
      <c r="S1091" s="35" t="s">
        <v>4854</v>
      </c>
      <c r="T1091" s="35" t="s">
        <v>4854</v>
      </c>
      <c r="U1091" s="36" t="str">
        <f>HYPERLINK("http://ms.phosphosite.org:5080/cgi-bin/plot-msms.cgi?MassType=1&amp;NumAxis=1&amp;Mod9=170&amp;Pep=TKGTSSFGKR&amp;Dta=/var/www/html/dta/S01/10564.1834.2.dta&amp;Global_Mod=CS57.0215", "1834")</f>
        <v>1834</v>
      </c>
      <c r="V1091" s="35" t="s">
        <v>4854</v>
      </c>
      <c r="W1091" s="3" t="s">
        <v>4854</v>
      </c>
      <c r="X1091" s="3" t="s">
        <v>4854</v>
      </c>
      <c r="Y1091" s="3" t="s">
        <v>4854</v>
      </c>
      <c r="Z1091" s="3" t="s">
        <v>4854</v>
      </c>
      <c r="AA1091" s="3" t="s">
        <v>4854</v>
      </c>
      <c r="AB1091" s="3" t="s">
        <v>4854</v>
      </c>
      <c r="AC1091" s="3" t="s">
        <v>4854</v>
      </c>
      <c r="AD1091" s="3" t="s">
        <v>4854</v>
      </c>
      <c r="AE1091" s="90">
        <v>2.2170000000000001</v>
      </c>
      <c r="AF1091" s="99" t="s">
        <v>4854</v>
      </c>
      <c r="AG1091" s="99" t="s">
        <v>4854</v>
      </c>
      <c r="AH1091" s="99" t="s">
        <v>4854</v>
      </c>
      <c r="AI1091" s="99" t="s">
        <v>4854</v>
      </c>
      <c r="AJ1091" s="99" t="s">
        <v>4854</v>
      </c>
      <c r="AK1091" s="90">
        <v>2.3610000000000002</v>
      </c>
      <c r="AL1091" s="99" t="s">
        <v>4854</v>
      </c>
      <c r="AM1091" s="21">
        <v>-1.4227000000000001</v>
      </c>
      <c r="AN1091" s="102" t="s">
        <v>4854</v>
      </c>
      <c r="AO1091" s="102" t="s">
        <v>4854</v>
      </c>
      <c r="AP1091" s="102" t="s">
        <v>4854</v>
      </c>
      <c r="AQ1091" s="102" t="s">
        <v>4854</v>
      </c>
      <c r="AR1091" s="102" t="s">
        <v>4854</v>
      </c>
      <c r="AS1091" s="21">
        <v>-0.96079999999999999</v>
      </c>
      <c r="AT1091" s="102" t="s">
        <v>4854</v>
      </c>
      <c r="AU1091" s="21">
        <v>0.30199999999999999</v>
      </c>
      <c r="AV1091" s="102" t="s">
        <v>4854</v>
      </c>
      <c r="AW1091" s="102" t="s">
        <v>4854</v>
      </c>
      <c r="AX1091" s="102" t="s">
        <v>4854</v>
      </c>
      <c r="AY1091" s="102" t="s">
        <v>4854</v>
      </c>
      <c r="AZ1091" s="102" t="s">
        <v>4854</v>
      </c>
      <c r="BA1091" s="21">
        <v>0.28499999999999998</v>
      </c>
      <c r="BB1091" s="102" t="s">
        <v>4854</v>
      </c>
      <c r="BC1091" s="5">
        <v>2</v>
      </c>
      <c r="BD1091" s="3" t="s">
        <v>4854</v>
      </c>
      <c r="BE1091" s="3" t="s">
        <v>4854</v>
      </c>
      <c r="BF1091" s="3" t="s">
        <v>4854</v>
      </c>
      <c r="BG1091" s="3" t="s">
        <v>4854</v>
      </c>
      <c r="BH1091" s="3" t="s">
        <v>4854</v>
      </c>
      <c r="BI1091" s="5">
        <v>1</v>
      </c>
      <c r="BJ1091" s="3" t="s">
        <v>4854</v>
      </c>
      <c r="BK1091" s="90">
        <v>0.32800000000000001</v>
      </c>
      <c r="BL1091" s="99" t="s">
        <v>4854</v>
      </c>
      <c r="BM1091" s="99" t="s">
        <v>4854</v>
      </c>
      <c r="BN1091" s="99" t="s">
        <v>4854</v>
      </c>
      <c r="BO1091" s="99" t="s">
        <v>4854</v>
      </c>
      <c r="BP1091" s="99" t="s">
        <v>4854</v>
      </c>
      <c r="BQ1091" s="90">
        <v>0.79100000000000004</v>
      </c>
      <c r="BR1091" s="99" t="s">
        <v>4854</v>
      </c>
      <c r="BS1091" s="5" t="s">
        <v>4857</v>
      </c>
    </row>
    <row r="1092" spans="1:71" s="30" customFormat="1" ht="17.100000000000001" customHeight="1">
      <c r="A1092" s="10">
        <v>1081</v>
      </c>
      <c r="B1092" s="10" t="s">
        <v>721</v>
      </c>
      <c r="C1092" s="4" t="s">
        <v>733</v>
      </c>
      <c r="D1092" s="4" t="s">
        <v>722</v>
      </c>
      <c r="E1092" s="4" t="s">
        <v>722</v>
      </c>
      <c r="F1092" s="10" t="s">
        <v>3917</v>
      </c>
      <c r="G1092" s="4" t="s">
        <v>588</v>
      </c>
      <c r="H1092" s="7" t="s">
        <v>589</v>
      </c>
      <c r="I1092" s="4" t="s">
        <v>590</v>
      </c>
      <c r="J1092" s="10" t="s">
        <v>4716</v>
      </c>
      <c r="K1092" s="4" t="s">
        <v>6015</v>
      </c>
      <c r="L1092" s="4" t="s">
        <v>591</v>
      </c>
      <c r="M1092" s="10">
        <v>3</v>
      </c>
      <c r="N1092" s="95">
        <v>542.65769999999998</v>
      </c>
      <c r="O1092" s="37" t="str">
        <f>HYPERLINK("http://ms.phosphosite.org:5080/cgi-bin/plot-msms.cgi?MassType=1&amp;NumAxis=1&amp;Mod10=170&amp;Pep=EVIDVIAVTKGRGVK&amp;Dta=/var/www/html/dta/S01/10558.4461.3.dta&amp;Global_Mod=CS57.0215", "4461")</f>
        <v>4461</v>
      </c>
      <c r="P1092" s="38" t="s">
        <v>4854</v>
      </c>
      <c r="Q1092" s="38" t="s">
        <v>4854</v>
      </c>
      <c r="R1092" s="38" t="s">
        <v>4854</v>
      </c>
      <c r="S1092" s="38" t="s">
        <v>4854</v>
      </c>
      <c r="T1092" s="38" t="s">
        <v>4854</v>
      </c>
      <c r="U1092" s="38" t="s">
        <v>4854</v>
      </c>
      <c r="V1092" s="38" t="s">
        <v>4854</v>
      </c>
      <c r="W1092" s="4" t="s">
        <v>4854</v>
      </c>
      <c r="X1092" s="4" t="s">
        <v>4854</v>
      </c>
      <c r="Y1092" s="4" t="s">
        <v>4854</v>
      </c>
      <c r="Z1092" s="4" t="s">
        <v>4854</v>
      </c>
      <c r="AA1092" s="4" t="s">
        <v>4854</v>
      </c>
      <c r="AB1092" s="4" t="s">
        <v>4854</v>
      </c>
      <c r="AC1092" s="4" t="s">
        <v>4854</v>
      </c>
      <c r="AD1092" s="4" t="s">
        <v>4854</v>
      </c>
      <c r="AE1092" s="91">
        <v>3.06</v>
      </c>
      <c r="AF1092" s="100" t="s">
        <v>4854</v>
      </c>
      <c r="AG1092" s="100" t="s">
        <v>4854</v>
      </c>
      <c r="AH1092" s="100" t="s">
        <v>4854</v>
      </c>
      <c r="AI1092" s="100" t="s">
        <v>4854</v>
      </c>
      <c r="AJ1092" s="100" t="s">
        <v>4854</v>
      </c>
      <c r="AK1092" s="100" t="s">
        <v>4854</v>
      </c>
      <c r="AL1092" s="100" t="s">
        <v>4854</v>
      </c>
      <c r="AM1092" s="95">
        <v>8.9599999999999999E-2</v>
      </c>
      <c r="AN1092" s="103" t="s">
        <v>4854</v>
      </c>
      <c r="AO1092" s="103" t="s">
        <v>4854</v>
      </c>
      <c r="AP1092" s="103" t="s">
        <v>4854</v>
      </c>
      <c r="AQ1092" s="103" t="s">
        <v>4854</v>
      </c>
      <c r="AR1092" s="103" t="s">
        <v>4854</v>
      </c>
      <c r="AS1092" s="103" t="s">
        <v>4854</v>
      </c>
      <c r="AT1092" s="103" t="s">
        <v>4854</v>
      </c>
      <c r="AU1092" s="95">
        <v>9.6000000000000002E-2</v>
      </c>
      <c r="AV1092" s="103" t="s">
        <v>4854</v>
      </c>
      <c r="AW1092" s="103" t="s">
        <v>4854</v>
      </c>
      <c r="AX1092" s="103" t="s">
        <v>4854</v>
      </c>
      <c r="AY1092" s="103" t="s">
        <v>4854</v>
      </c>
      <c r="AZ1092" s="103" t="s">
        <v>4854</v>
      </c>
      <c r="BA1092" s="103" t="s">
        <v>4854</v>
      </c>
      <c r="BB1092" s="103" t="s">
        <v>4854</v>
      </c>
      <c r="BC1092" s="10">
        <v>3</v>
      </c>
      <c r="BD1092" s="4" t="s">
        <v>4854</v>
      </c>
      <c r="BE1092" s="4" t="s">
        <v>4854</v>
      </c>
      <c r="BF1092" s="4" t="s">
        <v>4854</v>
      </c>
      <c r="BG1092" s="4" t="s">
        <v>4854</v>
      </c>
      <c r="BH1092" s="4" t="s">
        <v>4854</v>
      </c>
      <c r="BI1092" s="4" t="s">
        <v>4854</v>
      </c>
      <c r="BJ1092" s="4" t="s">
        <v>4854</v>
      </c>
      <c r="BK1092" s="91">
        <v>0.36</v>
      </c>
      <c r="BL1092" s="100" t="s">
        <v>4854</v>
      </c>
      <c r="BM1092" s="100" t="s">
        <v>4854</v>
      </c>
      <c r="BN1092" s="100" t="s">
        <v>4854</v>
      </c>
      <c r="BO1092" s="100" t="s">
        <v>4854</v>
      </c>
      <c r="BP1092" s="100" t="s">
        <v>4854</v>
      </c>
      <c r="BQ1092" s="100" t="s">
        <v>4854</v>
      </c>
      <c r="BR1092" s="100" t="s">
        <v>4854</v>
      </c>
      <c r="BS1092" s="10" t="s">
        <v>4857</v>
      </c>
    </row>
    <row r="1093" spans="1:71" s="30" customFormat="1" ht="17.100000000000001" customHeight="1">
      <c r="A1093" s="14">
        <v>1082</v>
      </c>
      <c r="B1093" s="5" t="s">
        <v>592</v>
      </c>
      <c r="C1093" s="3" t="s">
        <v>733</v>
      </c>
      <c r="D1093" s="3" t="s">
        <v>593</v>
      </c>
      <c r="E1093" s="3" t="s">
        <v>594</v>
      </c>
      <c r="F1093" s="5" t="s">
        <v>5181</v>
      </c>
      <c r="G1093" s="3" t="s">
        <v>595</v>
      </c>
      <c r="H1093" s="6" t="s">
        <v>596</v>
      </c>
      <c r="I1093" s="3" t="s">
        <v>597</v>
      </c>
      <c r="J1093" s="5" t="s">
        <v>4832</v>
      </c>
      <c r="K1093" s="3" t="s">
        <v>6016</v>
      </c>
      <c r="L1093" s="3" t="s">
        <v>598</v>
      </c>
      <c r="M1093" s="5">
        <v>2</v>
      </c>
      <c r="N1093" s="21">
        <v>591.3193</v>
      </c>
      <c r="O1093" s="35" t="s">
        <v>4854</v>
      </c>
      <c r="P1093" s="36" t="str">
        <f>HYPERLINK("http://ms.phosphosite.org:5080/cgi-bin/plot-msms.cgi?MassType=1&amp;NumAxis=1&amp;Mod6=170&amp;Pep=NFLGEKYIR&amp;Dta=/var/www/html/dta/S01/10559.8290.2.dta&amp;Global_Mod=CS57.0215", "8290")</f>
        <v>8290</v>
      </c>
      <c r="Q1093" s="35" t="s">
        <v>4854</v>
      </c>
      <c r="R1093" s="35" t="s">
        <v>4854</v>
      </c>
      <c r="S1093" s="35" t="s">
        <v>4854</v>
      </c>
      <c r="T1093" s="35" t="s">
        <v>4854</v>
      </c>
      <c r="U1093" s="35" t="s">
        <v>4854</v>
      </c>
      <c r="V1093" s="36" t="str">
        <f>HYPERLINK("http://ms.phosphosite.org:5080/cgi-bin/plot-msms.cgi?MassType=1&amp;NumAxis=1&amp;Mod6=170&amp;Pep=NFLGEKYIR&amp;Dta=/var/www/html/dta/S01/10565.8908.2.dta&amp;Global_Mod=CS57.0215", "8908")</f>
        <v>8908</v>
      </c>
      <c r="W1093" s="3" t="s">
        <v>4854</v>
      </c>
      <c r="X1093" s="3" t="s">
        <v>4854</v>
      </c>
      <c r="Y1093" s="3" t="s">
        <v>4854</v>
      </c>
      <c r="Z1093" s="3" t="s">
        <v>4854</v>
      </c>
      <c r="AA1093" s="3" t="s">
        <v>4854</v>
      </c>
      <c r="AB1093" s="3" t="s">
        <v>4854</v>
      </c>
      <c r="AC1093" s="3" t="s">
        <v>4854</v>
      </c>
      <c r="AD1093" s="5">
        <v>8913</v>
      </c>
      <c r="AE1093" s="99" t="s">
        <v>4854</v>
      </c>
      <c r="AF1093" s="90">
        <v>1.8979999999999999</v>
      </c>
      <c r="AG1093" s="99" t="s">
        <v>4854</v>
      </c>
      <c r="AH1093" s="99" t="s">
        <v>4854</v>
      </c>
      <c r="AI1093" s="99" t="s">
        <v>4854</v>
      </c>
      <c r="AJ1093" s="99" t="s">
        <v>4854</v>
      </c>
      <c r="AK1093" s="99" t="s">
        <v>4854</v>
      </c>
      <c r="AL1093" s="90">
        <v>2.2799999999999998</v>
      </c>
      <c r="AM1093" s="102" t="s">
        <v>4854</v>
      </c>
      <c r="AN1093" s="21">
        <v>0.5665</v>
      </c>
      <c r="AO1093" s="102" t="s">
        <v>4854</v>
      </c>
      <c r="AP1093" s="102" t="s">
        <v>4854</v>
      </c>
      <c r="AQ1093" s="102" t="s">
        <v>4854</v>
      </c>
      <c r="AR1093" s="102" t="s">
        <v>4854</v>
      </c>
      <c r="AS1093" s="102" t="s">
        <v>4854</v>
      </c>
      <c r="AT1093" s="21">
        <v>-0.46760000000000002</v>
      </c>
      <c r="AU1093" s="102" t="s">
        <v>4854</v>
      </c>
      <c r="AV1093" s="21">
        <v>1.7000000000000001E-2</v>
      </c>
      <c r="AW1093" s="102" t="s">
        <v>4854</v>
      </c>
      <c r="AX1093" s="102" t="s">
        <v>4854</v>
      </c>
      <c r="AY1093" s="102" t="s">
        <v>4854</v>
      </c>
      <c r="AZ1093" s="102" t="s">
        <v>4854</v>
      </c>
      <c r="BA1093" s="102" t="s">
        <v>4854</v>
      </c>
      <c r="BB1093" s="21">
        <v>0.11799999999999999</v>
      </c>
      <c r="BC1093" s="3" t="s">
        <v>4854</v>
      </c>
      <c r="BD1093" s="5">
        <v>7</v>
      </c>
      <c r="BE1093" s="3" t="s">
        <v>4854</v>
      </c>
      <c r="BF1093" s="3" t="s">
        <v>4854</v>
      </c>
      <c r="BG1093" s="3" t="s">
        <v>4854</v>
      </c>
      <c r="BH1093" s="3" t="s">
        <v>4854</v>
      </c>
      <c r="BI1093" s="3" t="s">
        <v>4854</v>
      </c>
      <c r="BJ1093" s="5">
        <v>1</v>
      </c>
      <c r="BK1093" s="99" t="s">
        <v>4854</v>
      </c>
      <c r="BL1093" s="90">
        <v>0.89500000000000002</v>
      </c>
      <c r="BM1093" s="99" t="s">
        <v>4854</v>
      </c>
      <c r="BN1093" s="99" t="s">
        <v>4854</v>
      </c>
      <c r="BO1093" s="99" t="s">
        <v>4854</v>
      </c>
      <c r="BP1093" s="99" t="s">
        <v>4854</v>
      </c>
      <c r="BQ1093" s="99" t="s">
        <v>4854</v>
      </c>
      <c r="BR1093" s="90">
        <v>0.98499999999999999</v>
      </c>
      <c r="BS1093" s="5" t="s">
        <v>4857</v>
      </c>
    </row>
    <row r="1094" spans="1:71" s="30" customFormat="1" ht="17.100000000000001" customHeight="1">
      <c r="A1094" s="10">
        <v>1083</v>
      </c>
      <c r="B1094" s="10" t="s">
        <v>599</v>
      </c>
      <c r="C1094" s="4" t="s">
        <v>733</v>
      </c>
      <c r="D1094" s="4" t="s">
        <v>600</v>
      </c>
      <c r="E1094" s="4" t="s">
        <v>601</v>
      </c>
      <c r="F1094" s="10" t="s">
        <v>5079</v>
      </c>
      <c r="G1094" s="4" t="s">
        <v>602</v>
      </c>
      <c r="H1094" s="7" t="s">
        <v>603</v>
      </c>
      <c r="I1094" s="4" t="s">
        <v>604</v>
      </c>
      <c r="J1094" s="10" t="s">
        <v>4834</v>
      </c>
      <c r="K1094" s="4" t="s">
        <v>6017</v>
      </c>
      <c r="L1094" s="4" t="s">
        <v>605</v>
      </c>
      <c r="M1094" s="10">
        <v>3</v>
      </c>
      <c r="N1094" s="95">
        <v>756.40210000000002</v>
      </c>
      <c r="O1094" s="38" t="s">
        <v>4854</v>
      </c>
      <c r="P1094" s="38" t="s">
        <v>4854</v>
      </c>
      <c r="Q1094" s="38" t="s">
        <v>4854</v>
      </c>
      <c r="R1094" s="37" t="str">
        <f>HYPERLINK("http://ms.phosphosite.org:5080/cgi-bin/plot-msms.cgi?MassType=1&amp;NumAxis=1&amp;Mod19=170&amp;Pep=YVASYLLAALGGNSSPSAKDIK&amp;Dta=/var/www/html/dta/S01/10561.12664.3.dta&amp;Global_Mod=CS57.0215", "12664")</f>
        <v>12664</v>
      </c>
      <c r="S1094" s="38" t="s">
        <v>4854</v>
      </c>
      <c r="T1094" s="38" t="s">
        <v>4854</v>
      </c>
      <c r="U1094" s="37" t="str">
        <f>HYPERLINK("http://ms.phosphosite.org:5080/cgi-bin/plot-msms.cgi?MassType=1&amp;NumAxis=1&amp;Mod19=170&amp;Pep=YVASYLLAALGGNSSPSAKDIK&amp;Dta=/var/www/html/dta/S01/10564.13348.3.dta&amp;Global_Mod=CS57.0215", "13348")</f>
        <v>13348</v>
      </c>
      <c r="V1094" s="38" t="s">
        <v>4854</v>
      </c>
      <c r="W1094" s="4" t="s">
        <v>4854</v>
      </c>
      <c r="X1094" s="4" t="s">
        <v>4854</v>
      </c>
      <c r="Y1094" s="4" t="s">
        <v>4854</v>
      </c>
      <c r="Z1094" s="10">
        <v>12655</v>
      </c>
      <c r="AA1094" s="4" t="s">
        <v>4854</v>
      </c>
      <c r="AB1094" s="4" t="s">
        <v>4854</v>
      </c>
      <c r="AC1094" s="10">
        <v>13352</v>
      </c>
      <c r="AD1094" s="4" t="s">
        <v>4854</v>
      </c>
      <c r="AE1094" s="100" t="s">
        <v>4854</v>
      </c>
      <c r="AF1094" s="100" t="s">
        <v>4854</v>
      </c>
      <c r="AG1094" s="100" t="s">
        <v>4854</v>
      </c>
      <c r="AH1094" s="91">
        <v>3.95</v>
      </c>
      <c r="AI1094" s="100" t="s">
        <v>4854</v>
      </c>
      <c r="AJ1094" s="100" t="s">
        <v>4854</v>
      </c>
      <c r="AK1094" s="91">
        <v>4.6900000000000004</v>
      </c>
      <c r="AL1094" s="100" t="s">
        <v>4854</v>
      </c>
      <c r="AM1094" s="103" t="s">
        <v>4854</v>
      </c>
      <c r="AN1094" s="103" t="s">
        <v>4854</v>
      </c>
      <c r="AO1094" s="103" t="s">
        <v>4854</v>
      </c>
      <c r="AP1094" s="95">
        <v>1.7602</v>
      </c>
      <c r="AQ1094" s="103" t="s">
        <v>4854</v>
      </c>
      <c r="AR1094" s="103" t="s">
        <v>4854</v>
      </c>
      <c r="AS1094" s="95">
        <v>1.5369999999999999</v>
      </c>
      <c r="AT1094" s="103" t="s">
        <v>4854</v>
      </c>
      <c r="AU1094" s="103" t="s">
        <v>4854</v>
      </c>
      <c r="AV1094" s="103" t="s">
        <v>4854</v>
      </c>
      <c r="AW1094" s="103" t="s">
        <v>4854</v>
      </c>
      <c r="AX1094" s="95">
        <v>0.185</v>
      </c>
      <c r="AY1094" s="103" t="s">
        <v>4854</v>
      </c>
      <c r="AZ1094" s="103" t="s">
        <v>4854</v>
      </c>
      <c r="BA1094" s="95">
        <v>0.32900000000000001</v>
      </c>
      <c r="BB1094" s="103" t="s">
        <v>4854</v>
      </c>
      <c r="BC1094" s="4" t="s">
        <v>4854</v>
      </c>
      <c r="BD1094" s="4" t="s">
        <v>4854</v>
      </c>
      <c r="BE1094" s="4" t="s">
        <v>4854</v>
      </c>
      <c r="BF1094" s="10">
        <v>1</v>
      </c>
      <c r="BG1094" s="4" t="s">
        <v>4854</v>
      </c>
      <c r="BH1094" s="4" t="s">
        <v>4854</v>
      </c>
      <c r="BI1094" s="10">
        <v>1</v>
      </c>
      <c r="BJ1094" s="4" t="s">
        <v>4854</v>
      </c>
      <c r="BK1094" s="100" t="s">
        <v>4854</v>
      </c>
      <c r="BL1094" s="100" t="s">
        <v>4854</v>
      </c>
      <c r="BM1094" s="100" t="s">
        <v>4854</v>
      </c>
      <c r="BN1094" s="91">
        <v>0.999</v>
      </c>
      <c r="BO1094" s="100" t="s">
        <v>4854</v>
      </c>
      <c r="BP1094" s="100" t="s">
        <v>4854</v>
      </c>
      <c r="BQ1094" s="91">
        <v>1</v>
      </c>
      <c r="BR1094" s="100" t="s">
        <v>4854</v>
      </c>
      <c r="BS1094" s="10" t="s">
        <v>4857</v>
      </c>
    </row>
    <row r="1095" spans="1:71" s="30" customFormat="1" ht="17.100000000000001" customHeight="1">
      <c r="A1095" s="14">
        <v>1084</v>
      </c>
      <c r="B1095" s="5" t="s">
        <v>606</v>
      </c>
      <c r="C1095" s="3" t="s">
        <v>733</v>
      </c>
      <c r="D1095" s="3" t="s">
        <v>607</v>
      </c>
      <c r="E1095" s="3" t="s">
        <v>608</v>
      </c>
      <c r="F1095" s="5" t="s">
        <v>5137</v>
      </c>
      <c r="G1095" s="3" t="s">
        <v>609</v>
      </c>
      <c r="H1095" s="6" t="s">
        <v>610</v>
      </c>
      <c r="I1095" s="3" t="s">
        <v>611</v>
      </c>
      <c r="J1095" s="5" t="s">
        <v>4738</v>
      </c>
      <c r="K1095" s="3" t="s">
        <v>6018</v>
      </c>
      <c r="L1095" s="3" t="s">
        <v>612</v>
      </c>
      <c r="M1095" s="5">
        <v>2</v>
      </c>
      <c r="N1095" s="21">
        <v>558.31899999999996</v>
      </c>
      <c r="O1095" s="36" t="str">
        <f>HYPERLINK("http://ms.phosphosite.org:5080/cgi-bin/plot-msms.cgi?MassType=1&amp;NumAxis=1&amp;Mod8=170&amp;Pep=VLLGETGKEK&amp;Dta=/var/www/html/dta/S01/10558.4026.2.dta&amp;Global_Mod=CS57.0215", "4026")</f>
        <v>4026</v>
      </c>
      <c r="P1095" s="35" t="s">
        <v>4854</v>
      </c>
      <c r="Q1095" s="35" t="s">
        <v>4854</v>
      </c>
      <c r="R1095" s="35" t="s">
        <v>4854</v>
      </c>
      <c r="S1095" s="35" t="s">
        <v>4854</v>
      </c>
      <c r="T1095" s="35" t="s">
        <v>4854</v>
      </c>
      <c r="U1095" s="35" t="s">
        <v>4854</v>
      </c>
      <c r="V1095" s="35" t="s">
        <v>4854</v>
      </c>
      <c r="W1095" s="5">
        <v>4025</v>
      </c>
      <c r="X1095" s="3" t="s">
        <v>4854</v>
      </c>
      <c r="Y1095" s="3" t="s">
        <v>4854</v>
      </c>
      <c r="Z1095" s="3" t="s">
        <v>4854</v>
      </c>
      <c r="AA1095" s="3" t="s">
        <v>4854</v>
      </c>
      <c r="AB1095" s="3" t="s">
        <v>4854</v>
      </c>
      <c r="AC1095" s="3" t="s">
        <v>4854</v>
      </c>
      <c r="AD1095" s="3" t="s">
        <v>4854</v>
      </c>
      <c r="AE1095" s="90">
        <v>2.7069999999999999</v>
      </c>
      <c r="AF1095" s="99" t="s">
        <v>4854</v>
      </c>
      <c r="AG1095" s="99" t="s">
        <v>4854</v>
      </c>
      <c r="AH1095" s="99" t="s">
        <v>4854</v>
      </c>
      <c r="AI1095" s="99" t="s">
        <v>4854</v>
      </c>
      <c r="AJ1095" s="99" t="s">
        <v>4854</v>
      </c>
      <c r="AK1095" s="99" t="s">
        <v>4854</v>
      </c>
      <c r="AL1095" s="99" t="s">
        <v>4854</v>
      </c>
      <c r="AM1095" s="21">
        <v>-1.417</v>
      </c>
      <c r="AN1095" s="102" t="s">
        <v>4854</v>
      </c>
      <c r="AO1095" s="102" t="s">
        <v>4854</v>
      </c>
      <c r="AP1095" s="102" t="s">
        <v>4854</v>
      </c>
      <c r="AQ1095" s="102" t="s">
        <v>4854</v>
      </c>
      <c r="AR1095" s="102" t="s">
        <v>4854</v>
      </c>
      <c r="AS1095" s="102" t="s">
        <v>4854</v>
      </c>
      <c r="AT1095" s="102" t="s">
        <v>4854</v>
      </c>
      <c r="AU1095" s="21">
        <v>0.123</v>
      </c>
      <c r="AV1095" s="102" t="s">
        <v>4854</v>
      </c>
      <c r="AW1095" s="102" t="s">
        <v>4854</v>
      </c>
      <c r="AX1095" s="102" t="s">
        <v>4854</v>
      </c>
      <c r="AY1095" s="102" t="s">
        <v>4854</v>
      </c>
      <c r="AZ1095" s="102" t="s">
        <v>4854</v>
      </c>
      <c r="BA1095" s="102" t="s">
        <v>4854</v>
      </c>
      <c r="BB1095" s="102" t="s">
        <v>4854</v>
      </c>
      <c r="BC1095" s="5">
        <v>1</v>
      </c>
      <c r="BD1095" s="3" t="s">
        <v>4854</v>
      </c>
      <c r="BE1095" s="3" t="s">
        <v>4854</v>
      </c>
      <c r="BF1095" s="3" t="s">
        <v>4854</v>
      </c>
      <c r="BG1095" s="3" t="s">
        <v>4854</v>
      </c>
      <c r="BH1095" s="3" t="s">
        <v>4854</v>
      </c>
      <c r="BI1095" s="3" t="s">
        <v>4854</v>
      </c>
      <c r="BJ1095" s="3" t="s">
        <v>4854</v>
      </c>
      <c r="BK1095" s="90">
        <v>0.96199999999999997</v>
      </c>
      <c r="BL1095" s="99" t="s">
        <v>4854</v>
      </c>
      <c r="BM1095" s="99" t="s">
        <v>4854</v>
      </c>
      <c r="BN1095" s="99" t="s">
        <v>4854</v>
      </c>
      <c r="BO1095" s="99" t="s">
        <v>4854</v>
      </c>
      <c r="BP1095" s="99" t="s">
        <v>4854</v>
      </c>
      <c r="BQ1095" s="99" t="s">
        <v>4854</v>
      </c>
      <c r="BR1095" s="99" t="s">
        <v>4854</v>
      </c>
      <c r="BS1095" s="5" t="s">
        <v>4857</v>
      </c>
    </row>
    <row r="1096" spans="1:71" s="30" customFormat="1" ht="17.100000000000001" customHeight="1">
      <c r="A1096" s="10">
        <v>1085</v>
      </c>
      <c r="B1096" s="10" t="s">
        <v>613</v>
      </c>
      <c r="C1096" s="4" t="s">
        <v>733</v>
      </c>
      <c r="D1096" s="4" t="s">
        <v>607</v>
      </c>
      <c r="E1096" s="4" t="s">
        <v>608</v>
      </c>
      <c r="F1096" s="10" t="s">
        <v>5045</v>
      </c>
      <c r="G1096" s="4" t="s">
        <v>609</v>
      </c>
      <c r="H1096" s="7" t="s">
        <v>610</v>
      </c>
      <c r="I1096" s="4" t="s">
        <v>611</v>
      </c>
      <c r="J1096" s="10" t="s">
        <v>4738</v>
      </c>
      <c r="K1096" s="4" t="s">
        <v>6019</v>
      </c>
      <c r="L1096" s="4" t="s">
        <v>614</v>
      </c>
      <c r="M1096" s="10">
        <v>2</v>
      </c>
      <c r="N1096" s="95">
        <v>558.82420000000002</v>
      </c>
      <c r="O1096" s="38" t="s">
        <v>4854</v>
      </c>
      <c r="P1096" s="37" t="str">
        <f>HYPERLINK("http://ms.phosphosite.org:5080/cgi-bin/plot-msms.cgi?MassType=1&amp;NumAxis=1&amp;Mod7=170&amp;Pep=NIGLGFKTPK&amp;Dta=/var/www/html/dta/S01/10559.7338.2.dta&amp;Global_Mod=CS57.0215", "7338")</f>
        <v>7338</v>
      </c>
      <c r="Q1096" s="37" t="str">
        <f>HYPERLINK("http://ms.phosphosite.org:5080/cgi-bin/plot-msms.cgi?MassType=1&amp;NumAxis=1&amp;Mod7=170&amp;Pep=NIGLGFKTPK&amp;Dta=/var/www/html/dta/S01/10560.7310.2.dta&amp;Global_Mod=CS57.0215", "7310")</f>
        <v>7310</v>
      </c>
      <c r="R1096" s="38" t="s">
        <v>4854</v>
      </c>
      <c r="S1096" s="38" t="s">
        <v>4854</v>
      </c>
      <c r="T1096" s="38" t="s">
        <v>4854</v>
      </c>
      <c r="U1096" s="38" t="s">
        <v>4854</v>
      </c>
      <c r="V1096" s="38" t="s">
        <v>4854</v>
      </c>
      <c r="W1096" s="4" t="s">
        <v>4854</v>
      </c>
      <c r="X1096" s="10">
        <v>7317</v>
      </c>
      <c r="Y1096" s="10">
        <v>7290</v>
      </c>
      <c r="Z1096" s="4" t="s">
        <v>4854</v>
      </c>
      <c r="AA1096" s="4" t="s">
        <v>4854</v>
      </c>
      <c r="AB1096" s="4" t="s">
        <v>4854</v>
      </c>
      <c r="AC1096" s="4" t="s">
        <v>4854</v>
      </c>
      <c r="AD1096" s="4" t="s">
        <v>4854</v>
      </c>
      <c r="AE1096" s="100" t="s">
        <v>4854</v>
      </c>
      <c r="AF1096" s="91">
        <v>2.3650000000000002</v>
      </c>
      <c r="AG1096" s="91">
        <v>2.3050000000000002</v>
      </c>
      <c r="AH1096" s="100" t="s">
        <v>4854</v>
      </c>
      <c r="AI1096" s="100" t="s">
        <v>4854</v>
      </c>
      <c r="AJ1096" s="100" t="s">
        <v>4854</v>
      </c>
      <c r="AK1096" s="100" t="s">
        <v>4854</v>
      </c>
      <c r="AL1096" s="100" t="s">
        <v>4854</v>
      </c>
      <c r="AM1096" s="103" t="s">
        <v>4854</v>
      </c>
      <c r="AN1096" s="95">
        <v>1.9568000000000001</v>
      </c>
      <c r="AO1096" s="95">
        <v>1.9192</v>
      </c>
      <c r="AP1096" s="103" t="s">
        <v>4854</v>
      </c>
      <c r="AQ1096" s="103" t="s">
        <v>4854</v>
      </c>
      <c r="AR1096" s="103" t="s">
        <v>4854</v>
      </c>
      <c r="AS1096" s="103" t="s">
        <v>4854</v>
      </c>
      <c r="AT1096" s="103" t="s">
        <v>4854</v>
      </c>
      <c r="AU1096" s="103" t="s">
        <v>4854</v>
      </c>
      <c r="AV1096" s="95">
        <v>0.216</v>
      </c>
      <c r="AW1096" s="95">
        <v>0.22</v>
      </c>
      <c r="AX1096" s="103" t="s">
        <v>4854</v>
      </c>
      <c r="AY1096" s="103" t="s">
        <v>4854</v>
      </c>
      <c r="AZ1096" s="103" t="s">
        <v>4854</v>
      </c>
      <c r="BA1096" s="103" t="s">
        <v>4854</v>
      </c>
      <c r="BB1096" s="103" t="s">
        <v>4854</v>
      </c>
      <c r="BC1096" s="4" t="s">
        <v>4854</v>
      </c>
      <c r="BD1096" s="10">
        <v>4</v>
      </c>
      <c r="BE1096" s="10">
        <v>1</v>
      </c>
      <c r="BF1096" s="4" t="s">
        <v>4854</v>
      </c>
      <c r="BG1096" s="4" t="s">
        <v>4854</v>
      </c>
      <c r="BH1096" s="4" t="s">
        <v>4854</v>
      </c>
      <c r="BI1096" s="4" t="s">
        <v>4854</v>
      </c>
      <c r="BJ1096" s="4" t="s">
        <v>4854</v>
      </c>
      <c r="BK1096" s="100" t="s">
        <v>4854</v>
      </c>
      <c r="BL1096" s="91">
        <v>0.997</v>
      </c>
      <c r="BM1096" s="91">
        <v>0.998</v>
      </c>
      <c r="BN1096" s="100" t="s">
        <v>4854</v>
      </c>
      <c r="BO1096" s="100" t="s">
        <v>4854</v>
      </c>
      <c r="BP1096" s="100" t="s">
        <v>4854</v>
      </c>
      <c r="BQ1096" s="100" t="s">
        <v>4854</v>
      </c>
      <c r="BR1096" s="100" t="s">
        <v>4854</v>
      </c>
      <c r="BS1096" s="10" t="s">
        <v>4857</v>
      </c>
    </row>
    <row r="1097" spans="1:71" s="30" customFormat="1" ht="17.100000000000001" customHeight="1">
      <c r="A1097" s="14">
        <v>1086</v>
      </c>
      <c r="B1097" s="5" t="s">
        <v>615</v>
      </c>
      <c r="C1097" s="3" t="s">
        <v>733</v>
      </c>
      <c r="D1097" s="3" t="s">
        <v>616</v>
      </c>
      <c r="E1097" s="3" t="s">
        <v>617</v>
      </c>
      <c r="F1097" s="5" t="s">
        <v>5225</v>
      </c>
      <c r="G1097" s="3" t="s">
        <v>618</v>
      </c>
      <c r="H1097" s="6" t="s">
        <v>619</v>
      </c>
      <c r="I1097" s="3" t="s">
        <v>620</v>
      </c>
      <c r="J1097" s="5" t="s">
        <v>4849</v>
      </c>
      <c r="K1097" s="3" t="s">
        <v>6020</v>
      </c>
      <c r="L1097" s="3" t="s">
        <v>621</v>
      </c>
      <c r="M1097" s="5">
        <v>2</v>
      </c>
      <c r="N1097" s="21">
        <v>613.84259999999995</v>
      </c>
      <c r="O1097" s="36" t="str">
        <f>HYPERLINK("http://ms.phosphosite.org:5080/cgi-bin/plot-msms.cgi?MassType=1&amp;NumAxis=1&amp;Mod5=170&amp;Pep=VIIEKYYTR&amp;Dta=/var/www/html/dta/S01/10558.6702.2.dta&amp;Global_Mod=CS57.0215", "6702")</f>
        <v>6702</v>
      </c>
      <c r="P1097" s="36" t="str">
        <f>HYPERLINK("http://ms.phosphosite.org:5080/cgi-bin/plot-msms.cgi?MassType=1&amp;NumAxis=1&amp;Mod5=170&amp;Pep=VIIEKYYTR&amp;Dta=/var/www/html/dta/S01/10559.6659.2.dta&amp;Global_Mod=CS57.0215", "6659")</f>
        <v>6659</v>
      </c>
      <c r="Q1097" s="36" t="str">
        <f>HYPERLINK("http://ms.phosphosite.org:5080/cgi-bin/plot-msms.cgi?MassType=1&amp;NumAxis=1&amp;Mod5=170&amp;Pep=VIIEKYYTR&amp;Dta=/var/www/html/dta/S01/10560.6665.2.dta&amp;Global_Mod=CS57.0215", "6665")</f>
        <v>6665</v>
      </c>
      <c r="R1097" s="36" t="str">
        <f>HYPERLINK("http://ms.phosphosite.org:5080/cgi-bin/plot-msms.cgi?MassType=1&amp;NumAxis=1&amp;Mod5=170&amp;Pep=VIIEKYYTR&amp;Dta=/var/www/html/dta/S01/10561.6688.2.dta&amp;Global_Mod=CS57.0215", "6688")</f>
        <v>6688</v>
      </c>
      <c r="S1097" s="36" t="str">
        <f>HYPERLINK("http://ms.phosphosite.org:5080/cgi-bin/plot-msms.cgi?MassType=1&amp;NumAxis=1&amp;Mod5=170&amp;Pep=VIIEKYYTR&amp;Dta=/var/www/html/dta/S01/10562.6788.2.dta&amp;Global_Mod=CS57.0215", "6788")</f>
        <v>6788</v>
      </c>
      <c r="T1097" s="36" t="str">
        <f>HYPERLINK("http://ms.phosphosite.org:5080/cgi-bin/plot-msms.cgi?MassType=1&amp;NumAxis=1&amp;Mod5=170&amp;Pep=VIIEKYYTR&amp;Dta=/var/www/html/dta/S01/10563.6747.2.dta&amp;Global_Mod=CS57.0215", "6747")</f>
        <v>6747</v>
      </c>
      <c r="U1097" s="35" t="s">
        <v>4854</v>
      </c>
      <c r="V1097" s="35" t="s">
        <v>4854</v>
      </c>
      <c r="W1097" s="5">
        <v>6721</v>
      </c>
      <c r="X1097" s="5">
        <v>6668</v>
      </c>
      <c r="Y1097" s="5">
        <v>6652</v>
      </c>
      <c r="Z1097" s="5">
        <v>6712</v>
      </c>
      <c r="AA1097" s="5">
        <v>6818</v>
      </c>
      <c r="AB1097" s="5">
        <v>6783</v>
      </c>
      <c r="AC1097" s="3" t="s">
        <v>4854</v>
      </c>
      <c r="AD1097" s="3" t="s">
        <v>4854</v>
      </c>
      <c r="AE1097" s="90">
        <v>1.9850000000000001</v>
      </c>
      <c r="AF1097" s="90">
        <v>2.9119999999999999</v>
      </c>
      <c r="AG1097" s="90">
        <v>2.6179999999999999</v>
      </c>
      <c r="AH1097" s="90">
        <v>2.8359999999999999</v>
      </c>
      <c r="AI1097" s="90">
        <v>2.347</v>
      </c>
      <c r="AJ1097" s="90">
        <v>2.81</v>
      </c>
      <c r="AK1097" s="99" t="s">
        <v>4854</v>
      </c>
      <c r="AL1097" s="99" t="s">
        <v>4854</v>
      </c>
      <c r="AM1097" s="21">
        <v>9.6699999999999994E-2</v>
      </c>
      <c r="AN1097" s="21">
        <v>0.43659999999999999</v>
      </c>
      <c r="AO1097" s="21">
        <v>0.56630000000000003</v>
      </c>
      <c r="AP1097" s="21">
        <v>0.33560000000000001</v>
      </c>
      <c r="AQ1097" s="21">
        <v>0.45779999999999998</v>
      </c>
      <c r="AR1097" s="21">
        <v>0.25650000000000001</v>
      </c>
      <c r="AS1097" s="102" t="s">
        <v>4854</v>
      </c>
      <c r="AT1097" s="102" t="s">
        <v>4854</v>
      </c>
      <c r="AU1097" s="21">
        <v>0.21299999999999999</v>
      </c>
      <c r="AV1097" s="21">
        <v>0.36899999999999999</v>
      </c>
      <c r="AW1097" s="21">
        <v>0.29599999999999999</v>
      </c>
      <c r="AX1097" s="21">
        <v>0.19600000000000001</v>
      </c>
      <c r="AY1097" s="21">
        <v>0.24399999999999999</v>
      </c>
      <c r="AZ1097" s="21">
        <v>0.29899999999999999</v>
      </c>
      <c r="BA1097" s="102" t="s">
        <v>4854</v>
      </c>
      <c r="BB1097" s="102" t="s">
        <v>4854</v>
      </c>
      <c r="BC1097" s="5">
        <v>1</v>
      </c>
      <c r="BD1097" s="5">
        <v>1</v>
      </c>
      <c r="BE1097" s="5">
        <v>1</v>
      </c>
      <c r="BF1097" s="5">
        <v>1</v>
      </c>
      <c r="BG1097" s="5">
        <v>1</v>
      </c>
      <c r="BH1097" s="5">
        <v>1</v>
      </c>
      <c r="BI1097" s="3" t="s">
        <v>4854</v>
      </c>
      <c r="BJ1097" s="3" t="s">
        <v>4854</v>
      </c>
      <c r="BK1097" s="90">
        <v>0.995</v>
      </c>
      <c r="BL1097" s="90">
        <v>1</v>
      </c>
      <c r="BM1097" s="90">
        <v>1</v>
      </c>
      <c r="BN1097" s="90">
        <v>0.999</v>
      </c>
      <c r="BO1097" s="90">
        <v>0.999</v>
      </c>
      <c r="BP1097" s="90">
        <v>1</v>
      </c>
      <c r="BQ1097" s="99" t="s">
        <v>4854</v>
      </c>
      <c r="BR1097" s="99" t="s">
        <v>4854</v>
      </c>
      <c r="BS1097" s="5" t="s">
        <v>4857</v>
      </c>
    </row>
    <row r="1098" spans="1:71" s="30" customFormat="1" ht="17.100000000000001" customHeight="1">
      <c r="A1098" s="10">
        <v>1087</v>
      </c>
      <c r="B1098" s="10" t="s">
        <v>622</v>
      </c>
      <c r="C1098" s="4" t="s">
        <v>733</v>
      </c>
      <c r="D1098" s="4" t="s">
        <v>623</v>
      </c>
      <c r="E1098" s="4" t="s">
        <v>624</v>
      </c>
      <c r="F1098" s="10" t="s">
        <v>5007</v>
      </c>
      <c r="G1098" s="4" t="s">
        <v>625</v>
      </c>
      <c r="H1098" s="7" t="s">
        <v>626</v>
      </c>
      <c r="I1098" s="4" t="s">
        <v>627</v>
      </c>
      <c r="J1098" s="10" t="s">
        <v>4738</v>
      </c>
      <c r="K1098" s="4" t="s">
        <v>6021</v>
      </c>
      <c r="L1098" s="4" t="s">
        <v>628</v>
      </c>
      <c r="M1098" s="10">
        <v>2</v>
      </c>
      <c r="N1098" s="95">
        <v>832.41790000000003</v>
      </c>
      <c r="O1098" s="37" t="str">
        <f>HYPERLINK("http://ms.phosphosite.org:5080/cgi-bin/plot-msms.cgi?MassType=1&amp;NumAxis=1&amp;Mod3=170&amp;Pep=DGKYSQVLANGLDNK&amp;Dta=/var/www/html/dta/S01/10558.7956.2.dta&amp;Global_Mod=CS57.0215", "7956")</f>
        <v>7956</v>
      </c>
      <c r="P1098" s="37" t="str">
        <f>HYPERLINK("http://ms.phosphosite.org:5080/cgi-bin/plot-msms.cgi?MassType=1&amp;NumAxis=1&amp;Mod3=170&amp;Pep=DGKYSQVLANGLDNK&amp;Dta=/var/www/html/dta/S01/10559.7917.2.dta&amp;Global_Mod=CS57.0215", "7917")</f>
        <v>7917</v>
      </c>
      <c r="Q1098" s="37" t="str">
        <f>HYPERLINK("http://ms.phosphosite.org:5080/cgi-bin/plot-msms.cgi?MassType=1&amp;NumAxis=1&amp;Mod3=170&amp;Pep=DGKYSQVLANGLDNK&amp;Dta=/var/www/html/dta/S01/10560.7893.2.dta&amp;Global_Mod=CS57.0215", "7893")</f>
        <v>7893</v>
      </c>
      <c r="R1098" s="37" t="str">
        <f>HYPERLINK("http://ms.phosphosite.org:5080/cgi-bin/plot-msms.cgi?MassType=1&amp;NumAxis=1&amp;Mod3=170&amp;Pep=DGKYSQVLANGLDNK&amp;Dta=/var/www/html/dta/S01/10561.7942.2.dta&amp;Global_Mod=CS57.0215", "7942")</f>
        <v>7942</v>
      </c>
      <c r="S1098" s="37" t="str">
        <f>HYPERLINK("http://ms.phosphosite.org:5080/cgi-bin/plot-msms.cgi?MassType=1&amp;NumAxis=1&amp;Mod3=170&amp;Pep=DGKYSQVLANGLDNK&amp;Dta=/var/www/html/dta/S01/10562.8067.2.dta&amp;Global_Mod=CS57.0215", "8067")</f>
        <v>8067</v>
      </c>
      <c r="T1098" s="37" t="str">
        <f>HYPERLINK("http://ms.phosphosite.org:5080/cgi-bin/plot-msms.cgi?MassType=1&amp;NumAxis=1&amp;Mod3=170&amp;Pep=DGKYSQVLANGLDNK&amp;Dta=/var/www/html/dta/S01/10563.8035.2.dta&amp;Global_Mod=CS57.0215", "8035")</f>
        <v>8035</v>
      </c>
      <c r="U1098" s="37" t="str">
        <f>HYPERLINK("http://ms.phosphosite.org:5080/cgi-bin/plot-msms.cgi?MassType=1&amp;NumAxis=1&amp;Mod3=170&amp;Pep=DGKYSQVLANGLDNK&amp;Dta=/var/www/html/dta/S01/10564.8462.2.dta&amp;Global_Mod=CS57.0215", "8462")</f>
        <v>8462</v>
      </c>
      <c r="V1098" s="37" t="str">
        <f>HYPERLINK("http://ms.phosphosite.org:5080/cgi-bin/plot-msms.cgi?MassType=1&amp;NumAxis=1&amp;Mod3=170&amp;Pep=DGKYSQVLANGLDNK&amp;Dta=/var/www/html/dta/S01/10565.8490.2.dta&amp;Global_Mod=CS57.0215", "8490")</f>
        <v>8490</v>
      </c>
      <c r="W1098" s="10">
        <v>7974</v>
      </c>
      <c r="X1098" s="10">
        <v>7911</v>
      </c>
      <c r="Y1098" s="10">
        <v>7906</v>
      </c>
      <c r="Z1098" s="10">
        <v>7955</v>
      </c>
      <c r="AA1098" s="10">
        <v>8083</v>
      </c>
      <c r="AB1098" s="10">
        <v>8037</v>
      </c>
      <c r="AC1098" s="10">
        <v>8465</v>
      </c>
      <c r="AD1098" s="10">
        <v>8473</v>
      </c>
      <c r="AE1098" s="91">
        <v>4.0229999999999997</v>
      </c>
      <c r="AF1098" s="91">
        <v>3.5550000000000002</v>
      </c>
      <c r="AG1098" s="91">
        <v>4.0129999999999999</v>
      </c>
      <c r="AH1098" s="91">
        <v>3.7570000000000001</v>
      </c>
      <c r="AI1098" s="91">
        <v>3.851</v>
      </c>
      <c r="AJ1098" s="91">
        <v>3.9169999999999998</v>
      </c>
      <c r="AK1098" s="91">
        <v>3.6520000000000001</v>
      </c>
      <c r="AL1098" s="91">
        <v>4.9909999999999997</v>
      </c>
      <c r="AM1098" s="95">
        <v>1.2078</v>
      </c>
      <c r="AN1098" s="95">
        <v>1.2666999999999999</v>
      </c>
      <c r="AO1098" s="95">
        <v>1.5216000000000001</v>
      </c>
      <c r="AP1098" s="95">
        <v>1.4356</v>
      </c>
      <c r="AQ1098" s="95">
        <v>1.4361999999999999</v>
      </c>
      <c r="AR1098" s="95">
        <v>1.6892</v>
      </c>
      <c r="AS1098" s="95">
        <v>1.1783999999999999</v>
      </c>
      <c r="AT1098" s="95">
        <v>0.71740000000000004</v>
      </c>
      <c r="AU1098" s="95">
        <v>0.30299999999999999</v>
      </c>
      <c r="AV1098" s="95">
        <v>0.311</v>
      </c>
      <c r="AW1098" s="95">
        <v>0.36599999999999999</v>
      </c>
      <c r="AX1098" s="95">
        <v>0.36499999999999999</v>
      </c>
      <c r="AY1098" s="95">
        <v>0.32300000000000001</v>
      </c>
      <c r="AZ1098" s="95">
        <v>0.311</v>
      </c>
      <c r="BA1098" s="95">
        <v>0.29799999999999999</v>
      </c>
      <c r="BB1098" s="95">
        <v>0.36799999999999999</v>
      </c>
      <c r="BC1098" s="10">
        <v>1</v>
      </c>
      <c r="BD1098" s="10">
        <v>1</v>
      </c>
      <c r="BE1098" s="10">
        <v>1</v>
      </c>
      <c r="BF1098" s="10">
        <v>1</v>
      </c>
      <c r="BG1098" s="10">
        <v>1</v>
      </c>
      <c r="BH1098" s="10">
        <v>1</v>
      </c>
      <c r="BI1098" s="10">
        <v>1</v>
      </c>
      <c r="BJ1098" s="10">
        <v>1</v>
      </c>
      <c r="BK1098" s="91">
        <v>1</v>
      </c>
      <c r="BL1098" s="91">
        <v>1</v>
      </c>
      <c r="BM1098" s="91">
        <v>1</v>
      </c>
      <c r="BN1098" s="91">
        <v>1</v>
      </c>
      <c r="BO1098" s="91">
        <v>1</v>
      </c>
      <c r="BP1098" s="91">
        <v>1</v>
      </c>
      <c r="BQ1098" s="91">
        <v>1</v>
      </c>
      <c r="BR1098" s="91">
        <v>1</v>
      </c>
      <c r="BS1098" s="10" t="s">
        <v>4857</v>
      </c>
    </row>
    <row r="1099" spans="1:71" s="30" customFormat="1" ht="17.100000000000001" customHeight="1">
      <c r="A1099" s="14">
        <v>1088</v>
      </c>
      <c r="B1099" s="5" t="s">
        <v>629</v>
      </c>
      <c r="C1099" s="3" t="s">
        <v>733</v>
      </c>
      <c r="D1099" s="3" t="s">
        <v>630</v>
      </c>
      <c r="E1099" s="3" t="s">
        <v>631</v>
      </c>
      <c r="F1099" s="5" t="s">
        <v>5205</v>
      </c>
      <c r="G1099" s="3" t="s">
        <v>632</v>
      </c>
      <c r="H1099" s="6" t="s">
        <v>633</v>
      </c>
      <c r="I1099" s="3" t="s">
        <v>634</v>
      </c>
      <c r="J1099" s="5" t="s">
        <v>4738</v>
      </c>
      <c r="K1099" s="3" t="s">
        <v>6022</v>
      </c>
      <c r="L1099" s="3" t="s">
        <v>635</v>
      </c>
      <c r="M1099" s="5">
        <v>3</v>
      </c>
      <c r="N1099" s="21">
        <v>505.25970000000001</v>
      </c>
      <c r="O1099" s="35" t="s">
        <v>4854</v>
      </c>
      <c r="P1099" s="35" t="s">
        <v>4854</v>
      </c>
      <c r="Q1099" s="35" t="s">
        <v>4854</v>
      </c>
      <c r="R1099" s="36" t="str">
        <f>HYPERLINK("http://ms.phosphosite.org:5080/cgi-bin/plot-msms.cgi?MassType=1&amp;NumAxis=1&amp;Mod9=170&amp;Pep=YYKVDENGKISR&amp;Dta=/var/www/html/dta/S01/10561.3726.3.dta&amp;Global_Mod=CS57.0215", "3726")</f>
        <v>3726</v>
      </c>
      <c r="S1099" s="35" t="s">
        <v>4854</v>
      </c>
      <c r="T1099" s="35" t="s">
        <v>4854</v>
      </c>
      <c r="U1099" s="35" t="s">
        <v>4854</v>
      </c>
      <c r="V1099" s="36" t="str">
        <f>HYPERLINK("http://ms.phosphosite.org:5080/cgi-bin/plot-msms.cgi?MassType=1&amp;NumAxis=1&amp;Mod9=170&amp;Pep=YYKVDENGKISR&amp;Dta=/var/www/html/dta/S01/10565.4182.3.dta&amp;Global_Mod=CS57.0215", "4182")</f>
        <v>4182</v>
      </c>
      <c r="W1099" s="3" t="s">
        <v>4854</v>
      </c>
      <c r="X1099" s="3" t="s">
        <v>4854</v>
      </c>
      <c r="Y1099" s="3" t="s">
        <v>4854</v>
      </c>
      <c r="Z1099" s="5">
        <v>3742</v>
      </c>
      <c r="AA1099" s="3" t="s">
        <v>4854</v>
      </c>
      <c r="AB1099" s="3" t="s">
        <v>4854</v>
      </c>
      <c r="AC1099" s="3" t="s">
        <v>4854</v>
      </c>
      <c r="AD1099" s="5">
        <v>4168</v>
      </c>
      <c r="AE1099" s="99" t="s">
        <v>4854</v>
      </c>
      <c r="AF1099" s="99" t="s">
        <v>4854</v>
      </c>
      <c r="AG1099" s="99" t="s">
        <v>4854</v>
      </c>
      <c r="AH1099" s="90">
        <v>2.2930000000000001</v>
      </c>
      <c r="AI1099" s="99" t="s">
        <v>4854</v>
      </c>
      <c r="AJ1099" s="99" t="s">
        <v>4854</v>
      </c>
      <c r="AK1099" s="99" t="s">
        <v>4854</v>
      </c>
      <c r="AL1099" s="90">
        <v>3.0670000000000002</v>
      </c>
      <c r="AM1099" s="102" t="s">
        <v>4854</v>
      </c>
      <c r="AN1099" s="102" t="s">
        <v>4854</v>
      </c>
      <c r="AO1099" s="102" t="s">
        <v>4854</v>
      </c>
      <c r="AP1099" s="21">
        <v>0.50829999999999997</v>
      </c>
      <c r="AQ1099" s="102" t="s">
        <v>4854</v>
      </c>
      <c r="AR1099" s="102" t="s">
        <v>4854</v>
      </c>
      <c r="AS1099" s="102" t="s">
        <v>4854</v>
      </c>
      <c r="AT1099" s="21">
        <v>-0.47399999999999998</v>
      </c>
      <c r="AU1099" s="102" t="s">
        <v>4854</v>
      </c>
      <c r="AV1099" s="102" t="s">
        <v>4854</v>
      </c>
      <c r="AW1099" s="102" t="s">
        <v>4854</v>
      </c>
      <c r="AX1099" s="21">
        <v>7.6999999999999999E-2</v>
      </c>
      <c r="AY1099" s="102" t="s">
        <v>4854</v>
      </c>
      <c r="AZ1099" s="102" t="s">
        <v>4854</v>
      </c>
      <c r="BA1099" s="102" t="s">
        <v>4854</v>
      </c>
      <c r="BB1099" s="21">
        <v>0.307</v>
      </c>
      <c r="BC1099" s="3" t="s">
        <v>4854</v>
      </c>
      <c r="BD1099" s="3" t="s">
        <v>4854</v>
      </c>
      <c r="BE1099" s="3" t="s">
        <v>4854</v>
      </c>
      <c r="BF1099" s="5">
        <v>13</v>
      </c>
      <c r="BG1099" s="3" t="s">
        <v>4854</v>
      </c>
      <c r="BH1099" s="3" t="s">
        <v>4854</v>
      </c>
      <c r="BI1099" s="3" t="s">
        <v>4854</v>
      </c>
      <c r="BJ1099" s="5">
        <v>22</v>
      </c>
      <c r="BK1099" s="99" t="s">
        <v>4854</v>
      </c>
      <c r="BL1099" s="99" t="s">
        <v>4854</v>
      </c>
      <c r="BM1099" s="99" t="s">
        <v>4854</v>
      </c>
      <c r="BN1099" s="90">
        <v>0.96399999999999997</v>
      </c>
      <c r="BO1099" s="99" t="s">
        <v>4854</v>
      </c>
      <c r="BP1099" s="99" t="s">
        <v>4854</v>
      </c>
      <c r="BQ1099" s="99" t="s">
        <v>4854</v>
      </c>
      <c r="BR1099" s="90">
        <v>0.999</v>
      </c>
      <c r="BS1099" s="5" t="s">
        <v>4857</v>
      </c>
    </row>
    <row r="1100" spans="1:71" s="30" customFormat="1" ht="17.100000000000001" customHeight="1">
      <c r="A1100" s="10">
        <v>1089</v>
      </c>
      <c r="B1100" s="10" t="s">
        <v>636</v>
      </c>
      <c r="C1100" s="4" t="s">
        <v>733</v>
      </c>
      <c r="D1100" s="4" t="s">
        <v>630</v>
      </c>
      <c r="E1100" s="4" t="s">
        <v>631</v>
      </c>
      <c r="F1100" s="10" t="s">
        <v>5028</v>
      </c>
      <c r="G1100" s="4" t="s">
        <v>632</v>
      </c>
      <c r="H1100" s="7" t="s">
        <v>633</v>
      </c>
      <c r="I1100" s="4" t="s">
        <v>634</v>
      </c>
      <c r="J1100" s="10" t="s">
        <v>4738</v>
      </c>
      <c r="K1100" s="4" t="s">
        <v>6023</v>
      </c>
      <c r="L1100" s="4" t="s">
        <v>637</v>
      </c>
      <c r="M1100" s="10">
        <v>2</v>
      </c>
      <c r="N1100" s="95">
        <v>888.87310000000002</v>
      </c>
      <c r="O1100" s="37" t="str">
        <f>HYPERLINK("http://ms.phosphosite.org:5080/cgi-bin/plot-msms.cgi?MassType=1&amp;NumAxis=1&amp;Mod1=160&amp;Mod2=160&amp;Mod6=160&amp;Mod9=170&amp;Pep=CCLTYCFNKPEDK&amp;Dta=/var/www/html/dta/S01/10558.7239.2.dta&amp;Global_Mod=CS57.0215", "7239")</f>
        <v>7239</v>
      </c>
      <c r="P1100" s="38" t="s">
        <v>4854</v>
      </c>
      <c r="Q1100" s="37" t="str">
        <f>HYPERLINK("http://ms.phosphosite.org:5080/cgi-bin/plot-msms.cgi?MassType=1&amp;NumAxis=1&amp;Mod1=160&amp;Mod2=160&amp;Mod6=160&amp;Mod9=170&amp;Pep=CCLTYCFNKPEDK&amp;Dta=/var/www/html/dta/S01/10560.7107.2.dta&amp;Global_Mod=CS57.0215", "7107")</f>
        <v>7107</v>
      </c>
      <c r="R1100" s="38" t="s">
        <v>4854</v>
      </c>
      <c r="S1100" s="37" t="str">
        <f>HYPERLINK("http://ms.phosphosite.org:5080/cgi-bin/plot-msms.cgi?MassType=1&amp;NumAxis=1&amp;Mod1=160&amp;Mod2=160&amp;Mod6=160&amp;Mod9=170&amp;Pep=CCLTYCFNKPEDK&amp;Dta=/var/www/html/dta/S01/10562.7266.2.dta&amp;Global_Mod=CS57.0215", "7266")</f>
        <v>7266</v>
      </c>
      <c r="T1100" s="37" t="str">
        <f>HYPERLINK("http://ms.phosphosite.org:5080/cgi-bin/plot-msms.cgi?MassType=1&amp;NumAxis=1&amp;Mod1=160&amp;Mod2=160&amp;Mod6=160&amp;Mod9=170&amp;Pep=CCLTYCFNKPEDK&amp;Dta=/var/www/html/dta/S01/10563.7232.2.dta&amp;Global_Mod=CS57.0215", "7232")</f>
        <v>7232</v>
      </c>
      <c r="U1100" s="37" t="str">
        <f>HYPERLINK("http://ms.phosphosite.org:5080/cgi-bin/plot-msms.cgi?MassType=1&amp;NumAxis=1&amp;Mod1=160&amp;Mod2=160&amp;Mod6=160&amp;Mod9=170&amp;Pep=CCLTYCFNKPEDK&amp;Dta=/var/www/html/dta/S01/10564.7612.2.dta&amp;Global_Mod=CS57.0215", "7612")</f>
        <v>7612</v>
      </c>
      <c r="V1100" s="37" t="str">
        <f>HYPERLINK("http://ms.phosphosite.org:5080/cgi-bin/plot-msms.cgi?MassType=1&amp;NumAxis=1&amp;Mod1=160&amp;Mod2=160&amp;Mod6=160&amp;Mod9=170&amp;Pep=CCLTYCFNKPEDK&amp;Dta=/var/www/html/dta/S01/10565.7677.2.dta&amp;Global_Mod=CS57.0215", "7677")</f>
        <v>7677</v>
      </c>
      <c r="W1100" s="10">
        <v>7204</v>
      </c>
      <c r="X1100" s="4" t="s">
        <v>4854</v>
      </c>
      <c r="Y1100" s="10">
        <v>7136</v>
      </c>
      <c r="Z1100" s="4" t="s">
        <v>4854</v>
      </c>
      <c r="AA1100" s="10">
        <v>7280</v>
      </c>
      <c r="AB1100" s="10">
        <v>7256</v>
      </c>
      <c r="AC1100" s="10">
        <v>7640</v>
      </c>
      <c r="AD1100" s="10">
        <v>7725</v>
      </c>
      <c r="AE1100" s="91">
        <v>3.3439999999999999</v>
      </c>
      <c r="AF1100" s="100" t="s">
        <v>4854</v>
      </c>
      <c r="AG1100" s="91">
        <v>4.335</v>
      </c>
      <c r="AH1100" s="100" t="s">
        <v>4854</v>
      </c>
      <c r="AI1100" s="91">
        <v>3.4380000000000002</v>
      </c>
      <c r="AJ1100" s="91">
        <v>3.4380000000000002</v>
      </c>
      <c r="AK1100" s="91">
        <v>4.2869999999999999</v>
      </c>
      <c r="AL1100" s="91">
        <v>3.8330000000000002</v>
      </c>
      <c r="AM1100" s="95">
        <v>0.58040000000000003</v>
      </c>
      <c r="AN1100" s="103" t="s">
        <v>4854</v>
      </c>
      <c r="AO1100" s="95">
        <v>0.71150000000000002</v>
      </c>
      <c r="AP1100" s="103" t="s">
        <v>4854</v>
      </c>
      <c r="AQ1100" s="95">
        <v>0.3468</v>
      </c>
      <c r="AR1100" s="95">
        <v>0.45490000000000003</v>
      </c>
      <c r="AS1100" s="95">
        <v>0.53420000000000001</v>
      </c>
      <c r="AT1100" s="95">
        <v>7.0499999999999993E-2</v>
      </c>
      <c r="AU1100" s="95">
        <v>0.47</v>
      </c>
      <c r="AV1100" s="103" t="s">
        <v>4854</v>
      </c>
      <c r="AW1100" s="95">
        <v>0.46100000000000002</v>
      </c>
      <c r="AX1100" s="103" t="s">
        <v>4854</v>
      </c>
      <c r="AY1100" s="95">
        <v>0.46800000000000003</v>
      </c>
      <c r="AZ1100" s="95">
        <v>0.45</v>
      </c>
      <c r="BA1100" s="95">
        <v>0.434</v>
      </c>
      <c r="BB1100" s="95">
        <v>0.40500000000000003</v>
      </c>
      <c r="BC1100" s="10">
        <v>1</v>
      </c>
      <c r="BD1100" s="4" t="s">
        <v>4854</v>
      </c>
      <c r="BE1100" s="10">
        <v>1</v>
      </c>
      <c r="BF1100" s="4" t="s">
        <v>4854</v>
      </c>
      <c r="BG1100" s="10">
        <v>1</v>
      </c>
      <c r="BH1100" s="10">
        <v>1</v>
      </c>
      <c r="BI1100" s="10">
        <v>1</v>
      </c>
      <c r="BJ1100" s="10">
        <v>1</v>
      </c>
      <c r="BK1100" s="91">
        <v>1</v>
      </c>
      <c r="BL1100" s="100" t="s">
        <v>4854</v>
      </c>
      <c r="BM1100" s="91">
        <v>1</v>
      </c>
      <c r="BN1100" s="100" t="s">
        <v>4854</v>
      </c>
      <c r="BO1100" s="91">
        <v>1</v>
      </c>
      <c r="BP1100" s="91">
        <v>1</v>
      </c>
      <c r="BQ1100" s="91">
        <v>1</v>
      </c>
      <c r="BR1100" s="91">
        <v>1</v>
      </c>
      <c r="BS1100" s="10" t="s">
        <v>4857</v>
      </c>
    </row>
    <row r="1101" spans="1:71" s="30" customFormat="1" ht="17.100000000000001" customHeight="1">
      <c r="A1101" s="10">
        <v>1090</v>
      </c>
      <c r="B1101" s="10" t="s">
        <v>638</v>
      </c>
      <c r="C1101" s="4" t="s">
        <v>733</v>
      </c>
      <c r="D1101" s="4" t="s">
        <v>630</v>
      </c>
      <c r="E1101" s="4" t="s">
        <v>631</v>
      </c>
      <c r="F1101" s="10" t="s">
        <v>5028</v>
      </c>
      <c r="G1101" s="4" t="s">
        <v>632</v>
      </c>
      <c r="H1101" s="7" t="s">
        <v>633</v>
      </c>
      <c r="I1101" s="4" t="s">
        <v>634</v>
      </c>
      <c r="J1101" s="10" t="s">
        <v>4738</v>
      </c>
      <c r="K1101" s="4" t="s">
        <v>6023</v>
      </c>
      <c r="L1101" s="4" t="s">
        <v>637</v>
      </c>
      <c r="M1101" s="10">
        <v>2</v>
      </c>
      <c r="N1101" s="95">
        <v>888.87310000000002</v>
      </c>
      <c r="O1101" s="37" t="str">
        <f>HYPERLINK("http://ms.phosphosite.org:5080/cgi-bin/plot-msms.cgi?MassType=1&amp;NumAxis=1&amp;Mod1=160&amp;Mod2=160&amp;Mod6=160&amp;Mod9=170&amp;Pep=CCLTYCFNKPEDK&amp;Dta=/var/www/html/dta/S01/10558.7200.2.dta&amp;Global_Mod=CS57.0215", "7200")</f>
        <v>7200</v>
      </c>
      <c r="P1101" s="38" t="s">
        <v>4854</v>
      </c>
      <c r="Q1101" s="38" t="s">
        <v>4854</v>
      </c>
      <c r="R1101" s="38" t="s">
        <v>4854</v>
      </c>
      <c r="S1101" s="38" t="s">
        <v>4854</v>
      </c>
      <c r="T1101" s="38" t="s">
        <v>4854</v>
      </c>
      <c r="U1101" s="38" t="s">
        <v>4854</v>
      </c>
      <c r="V1101" s="38" t="s">
        <v>4854</v>
      </c>
      <c r="W1101" s="10">
        <v>7204</v>
      </c>
      <c r="X1101" s="4" t="s">
        <v>4854</v>
      </c>
      <c r="Y1101" s="4" t="s">
        <v>4854</v>
      </c>
      <c r="Z1101" s="4" t="s">
        <v>4854</v>
      </c>
      <c r="AA1101" s="4" t="s">
        <v>4854</v>
      </c>
      <c r="AB1101" s="4" t="s">
        <v>4854</v>
      </c>
      <c r="AC1101" s="4" t="s">
        <v>4854</v>
      </c>
      <c r="AD1101" s="4" t="s">
        <v>4854</v>
      </c>
      <c r="AE1101" s="91">
        <v>2.484</v>
      </c>
      <c r="AF1101" s="100" t="s">
        <v>4854</v>
      </c>
      <c r="AG1101" s="100" t="s">
        <v>4854</v>
      </c>
      <c r="AH1101" s="100" t="s">
        <v>4854</v>
      </c>
      <c r="AI1101" s="100" t="s">
        <v>4854</v>
      </c>
      <c r="AJ1101" s="100" t="s">
        <v>4854</v>
      </c>
      <c r="AK1101" s="100" t="s">
        <v>4854</v>
      </c>
      <c r="AL1101" s="100" t="s">
        <v>4854</v>
      </c>
      <c r="AM1101" s="95">
        <v>0.58040000000000003</v>
      </c>
      <c r="AN1101" s="103" t="s">
        <v>4854</v>
      </c>
      <c r="AO1101" s="103" t="s">
        <v>4854</v>
      </c>
      <c r="AP1101" s="103" t="s">
        <v>4854</v>
      </c>
      <c r="AQ1101" s="103" t="s">
        <v>4854</v>
      </c>
      <c r="AR1101" s="103" t="s">
        <v>4854</v>
      </c>
      <c r="AS1101" s="103" t="s">
        <v>4854</v>
      </c>
      <c r="AT1101" s="103" t="s">
        <v>4854</v>
      </c>
      <c r="AU1101" s="95">
        <v>0.218</v>
      </c>
      <c r="AV1101" s="103" t="s">
        <v>4854</v>
      </c>
      <c r="AW1101" s="103" t="s">
        <v>4854</v>
      </c>
      <c r="AX1101" s="103" t="s">
        <v>4854</v>
      </c>
      <c r="AY1101" s="103" t="s">
        <v>4854</v>
      </c>
      <c r="AZ1101" s="103" t="s">
        <v>4854</v>
      </c>
      <c r="BA1101" s="103" t="s">
        <v>4854</v>
      </c>
      <c r="BB1101" s="103" t="s">
        <v>4854</v>
      </c>
      <c r="BC1101" s="10">
        <v>1</v>
      </c>
      <c r="BD1101" s="4" t="s">
        <v>4854</v>
      </c>
      <c r="BE1101" s="4" t="s">
        <v>4854</v>
      </c>
      <c r="BF1101" s="4" t="s">
        <v>4854</v>
      </c>
      <c r="BG1101" s="4" t="s">
        <v>4854</v>
      </c>
      <c r="BH1101" s="4" t="s">
        <v>4854</v>
      </c>
      <c r="BI1101" s="4" t="s">
        <v>4854</v>
      </c>
      <c r="BJ1101" s="4" t="s">
        <v>4854</v>
      </c>
      <c r="BK1101" s="91">
        <v>1</v>
      </c>
      <c r="BL1101" s="100" t="s">
        <v>4854</v>
      </c>
      <c r="BM1101" s="100" t="s">
        <v>4854</v>
      </c>
      <c r="BN1101" s="100" t="s">
        <v>4854</v>
      </c>
      <c r="BO1101" s="100" t="s">
        <v>4854</v>
      </c>
      <c r="BP1101" s="100" t="s">
        <v>4854</v>
      </c>
      <c r="BQ1101" s="100" t="s">
        <v>4854</v>
      </c>
      <c r="BR1101" s="100" t="s">
        <v>4854</v>
      </c>
      <c r="BS1101" s="10" t="s">
        <v>4857</v>
      </c>
    </row>
    <row r="1102" spans="1:71" s="30" customFormat="1" ht="17.100000000000001" customHeight="1">
      <c r="A1102" s="10">
        <v>1091</v>
      </c>
      <c r="B1102" s="10" t="s">
        <v>639</v>
      </c>
      <c r="C1102" s="4" t="s">
        <v>733</v>
      </c>
      <c r="D1102" s="4" t="s">
        <v>630</v>
      </c>
      <c r="E1102" s="4" t="s">
        <v>631</v>
      </c>
      <c r="F1102" s="10" t="s">
        <v>5028</v>
      </c>
      <c r="G1102" s="4" t="s">
        <v>632</v>
      </c>
      <c r="H1102" s="7" t="s">
        <v>633</v>
      </c>
      <c r="I1102" s="4" t="s">
        <v>634</v>
      </c>
      <c r="J1102" s="10" t="s">
        <v>4738</v>
      </c>
      <c r="K1102" s="4" t="s">
        <v>6023</v>
      </c>
      <c r="L1102" s="4" t="s">
        <v>637</v>
      </c>
      <c r="M1102" s="10">
        <v>3</v>
      </c>
      <c r="N1102" s="95">
        <v>592.91790000000003</v>
      </c>
      <c r="O1102" s="37" t="str">
        <f>HYPERLINK("http://ms.phosphosite.org:5080/cgi-bin/plot-msms.cgi?MassType=1&amp;NumAxis=1&amp;Mod1=160&amp;Mod2=160&amp;Mod6=160&amp;Mod9=170&amp;Pep=CCLTYCFNKPEDK&amp;Dta=/var/www/html/dta/S01/10558.7206.3.dta&amp;Global_Mod=CS57.0215", "7206")</f>
        <v>7206</v>
      </c>
      <c r="P1102" s="37" t="str">
        <f>HYPERLINK("http://ms.phosphosite.org:5080/cgi-bin/plot-msms.cgi?MassType=1&amp;NumAxis=1&amp;Mod1=160&amp;Mod2=160&amp;Mod6=160&amp;Mod9=170&amp;Pep=CCLTYCFNKPEDK&amp;Dta=/var/www/html/dta/S01/10559.7134.3.dta&amp;Global_Mod=CS57.0215", "7134")</f>
        <v>7134</v>
      </c>
      <c r="Q1102" s="37" t="str">
        <f>HYPERLINK("http://ms.phosphosite.org:5080/cgi-bin/plot-msms.cgi?MassType=1&amp;NumAxis=1&amp;Mod1=160&amp;Mod2=160&amp;Mod6=160&amp;Mod9=170&amp;Pep=CCLTYCFNKPEDK&amp;Dta=/var/www/html/dta/S01/10560.7137.3.dta&amp;Global_Mod=CS57.0215", "7137")</f>
        <v>7137</v>
      </c>
      <c r="R1102" s="37" t="str">
        <f>HYPERLINK("http://ms.phosphosite.org:5080/cgi-bin/plot-msms.cgi?MassType=1&amp;NumAxis=1&amp;Mod1=160&amp;Mod2=160&amp;Mod6=160&amp;Mod9=170&amp;Pep=CCLTYCFNKPEDK&amp;Dta=/var/www/html/dta/S01/10561.7187.3.dta&amp;Global_Mod=CS57.0215", "7187")</f>
        <v>7187</v>
      </c>
      <c r="S1102" s="37" t="str">
        <f>HYPERLINK("http://ms.phosphosite.org:5080/cgi-bin/plot-msms.cgi?MassType=1&amp;NumAxis=1&amp;Mod1=160&amp;Mod2=160&amp;Mod6=160&amp;Mod9=170&amp;Pep=CCLTYCFNKPEDK&amp;Dta=/var/www/html/dta/S01/10562.7273.3.dta&amp;Global_Mod=CS57.0215", "7273")</f>
        <v>7273</v>
      </c>
      <c r="T1102" s="37" t="str">
        <f>HYPERLINK("http://ms.phosphosite.org:5080/cgi-bin/plot-msms.cgi?MassType=1&amp;NumAxis=1&amp;Mod1=160&amp;Mod2=160&amp;Mod6=160&amp;Mod9=170&amp;Pep=CCLTYCFNKPEDK&amp;Dta=/var/www/html/dta/S01/10563.7249.3.dta&amp;Global_Mod=CS57.0215", "7249")</f>
        <v>7249</v>
      </c>
      <c r="U1102" s="38" t="s">
        <v>4854</v>
      </c>
      <c r="V1102" s="38" t="s">
        <v>4854</v>
      </c>
      <c r="W1102" s="10">
        <v>7204</v>
      </c>
      <c r="X1102" s="10">
        <v>7141</v>
      </c>
      <c r="Y1102" s="10">
        <v>7136</v>
      </c>
      <c r="Z1102" s="10">
        <v>7196</v>
      </c>
      <c r="AA1102" s="10">
        <v>7280</v>
      </c>
      <c r="AB1102" s="10">
        <v>7267</v>
      </c>
      <c r="AC1102" s="4" t="s">
        <v>4854</v>
      </c>
      <c r="AD1102" s="4" t="s">
        <v>4854</v>
      </c>
      <c r="AE1102" s="91">
        <v>3.6019999999999999</v>
      </c>
      <c r="AF1102" s="91">
        <v>3.0550000000000002</v>
      </c>
      <c r="AG1102" s="91">
        <v>3.875</v>
      </c>
      <c r="AH1102" s="91">
        <v>3.4590000000000001</v>
      </c>
      <c r="AI1102" s="91">
        <v>3.26</v>
      </c>
      <c r="AJ1102" s="91">
        <v>3.085</v>
      </c>
      <c r="AK1102" s="100" t="s">
        <v>4854</v>
      </c>
      <c r="AL1102" s="100" t="s">
        <v>4854</v>
      </c>
      <c r="AM1102" s="95">
        <v>0.21060000000000001</v>
      </c>
      <c r="AN1102" s="95">
        <v>0.41889999999999999</v>
      </c>
      <c r="AO1102" s="95">
        <v>0.19539999999999999</v>
      </c>
      <c r="AP1102" s="95">
        <v>0.30969999999999998</v>
      </c>
      <c r="AQ1102" s="95">
        <v>1.1900000000000001E-2</v>
      </c>
      <c r="AR1102" s="95">
        <v>0.3266</v>
      </c>
      <c r="AS1102" s="103" t="s">
        <v>4854</v>
      </c>
      <c r="AT1102" s="103" t="s">
        <v>4854</v>
      </c>
      <c r="AU1102" s="95">
        <v>0.222</v>
      </c>
      <c r="AV1102" s="95">
        <v>0.27400000000000002</v>
      </c>
      <c r="AW1102" s="95">
        <v>0.22900000000000001</v>
      </c>
      <c r="AX1102" s="95">
        <v>0.249</v>
      </c>
      <c r="AY1102" s="95">
        <v>0.32200000000000001</v>
      </c>
      <c r="AZ1102" s="95">
        <v>0.24199999999999999</v>
      </c>
      <c r="BA1102" s="103" t="s">
        <v>4854</v>
      </c>
      <c r="BB1102" s="103" t="s">
        <v>4854</v>
      </c>
      <c r="BC1102" s="10">
        <v>1</v>
      </c>
      <c r="BD1102" s="10">
        <v>1</v>
      </c>
      <c r="BE1102" s="10">
        <v>1</v>
      </c>
      <c r="BF1102" s="10">
        <v>1</v>
      </c>
      <c r="BG1102" s="10">
        <v>4</v>
      </c>
      <c r="BH1102" s="10">
        <v>1</v>
      </c>
      <c r="BI1102" s="4" t="s">
        <v>4854</v>
      </c>
      <c r="BJ1102" s="4" t="s">
        <v>4854</v>
      </c>
      <c r="BK1102" s="91">
        <v>1</v>
      </c>
      <c r="BL1102" s="91">
        <v>1</v>
      </c>
      <c r="BM1102" s="91">
        <v>1</v>
      </c>
      <c r="BN1102" s="91">
        <v>1</v>
      </c>
      <c r="BO1102" s="91">
        <v>1</v>
      </c>
      <c r="BP1102" s="91">
        <v>1</v>
      </c>
      <c r="BQ1102" s="100" t="s">
        <v>4854</v>
      </c>
      <c r="BR1102" s="100" t="s">
        <v>4854</v>
      </c>
      <c r="BS1102" s="10" t="s">
        <v>4857</v>
      </c>
    </row>
    <row r="1103" spans="1:71" s="30" customFormat="1" ht="17.100000000000001" customHeight="1">
      <c r="A1103" s="14">
        <v>1092</v>
      </c>
      <c r="B1103" s="5" t="s">
        <v>640</v>
      </c>
      <c r="C1103" s="3" t="s">
        <v>733</v>
      </c>
      <c r="D1103" s="3" t="s">
        <v>641</v>
      </c>
      <c r="E1103" s="6" t="s">
        <v>642</v>
      </c>
      <c r="F1103" s="5" t="s">
        <v>5298</v>
      </c>
      <c r="G1103" s="3" t="s">
        <v>643</v>
      </c>
      <c r="H1103" s="6" t="s">
        <v>644</v>
      </c>
      <c r="I1103" s="3" t="s">
        <v>645</v>
      </c>
      <c r="J1103" s="5" t="s">
        <v>4662</v>
      </c>
      <c r="K1103" s="3" t="s">
        <v>6024</v>
      </c>
      <c r="L1103" s="3" t="s">
        <v>646</v>
      </c>
      <c r="M1103" s="5">
        <v>2</v>
      </c>
      <c r="N1103" s="21">
        <v>597.78549999999996</v>
      </c>
      <c r="O1103" s="35" t="s">
        <v>4854</v>
      </c>
      <c r="P1103" s="36" t="str">
        <f>HYPERLINK("http://ms.phosphosite.org:5080/cgi-bin/plot-msms.cgi?MassType=1&amp;NumAxis=1&amp;Mod2=170&amp;Pep=NKEEAAEYAK&amp;Dta=/var/www/html/dta/S01/10559.2556.2.dta&amp;Global_Mod=CS57.0215", "2556")</f>
        <v>2556</v>
      </c>
      <c r="Q1103" s="35" t="s">
        <v>4854</v>
      </c>
      <c r="R1103" s="35" t="s">
        <v>4854</v>
      </c>
      <c r="S1103" s="35" t="s">
        <v>4854</v>
      </c>
      <c r="T1103" s="35" t="s">
        <v>4854</v>
      </c>
      <c r="U1103" s="35" t="s">
        <v>4854</v>
      </c>
      <c r="V1103" s="35" t="s">
        <v>4854</v>
      </c>
      <c r="W1103" s="3" t="s">
        <v>4854</v>
      </c>
      <c r="X1103" s="3" t="s">
        <v>4854</v>
      </c>
      <c r="Y1103" s="3" t="s">
        <v>4854</v>
      </c>
      <c r="Z1103" s="3" t="s">
        <v>4854</v>
      </c>
      <c r="AA1103" s="3" t="s">
        <v>4854</v>
      </c>
      <c r="AB1103" s="3" t="s">
        <v>4854</v>
      </c>
      <c r="AC1103" s="3" t="s">
        <v>4854</v>
      </c>
      <c r="AD1103" s="3" t="s">
        <v>4854</v>
      </c>
      <c r="AE1103" s="99" t="s">
        <v>4854</v>
      </c>
      <c r="AF1103" s="90">
        <v>1.9039999999999999</v>
      </c>
      <c r="AG1103" s="99" t="s">
        <v>4854</v>
      </c>
      <c r="AH1103" s="99" t="s">
        <v>4854</v>
      </c>
      <c r="AI1103" s="99" t="s">
        <v>4854</v>
      </c>
      <c r="AJ1103" s="99" t="s">
        <v>4854</v>
      </c>
      <c r="AK1103" s="99" t="s">
        <v>4854</v>
      </c>
      <c r="AL1103" s="99" t="s">
        <v>4854</v>
      </c>
      <c r="AM1103" s="102" t="s">
        <v>4854</v>
      </c>
      <c r="AN1103" s="21">
        <v>-0.76300000000000001</v>
      </c>
      <c r="AO1103" s="102" t="s">
        <v>4854</v>
      </c>
      <c r="AP1103" s="102" t="s">
        <v>4854</v>
      </c>
      <c r="AQ1103" s="102" t="s">
        <v>4854</v>
      </c>
      <c r="AR1103" s="102" t="s">
        <v>4854</v>
      </c>
      <c r="AS1103" s="102" t="s">
        <v>4854</v>
      </c>
      <c r="AT1103" s="102" t="s">
        <v>4854</v>
      </c>
      <c r="AU1103" s="102" t="s">
        <v>4854</v>
      </c>
      <c r="AV1103" s="21">
        <v>0.127</v>
      </c>
      <c r="AW1103" s="102" t="s">
        <v>4854</v>
      </c>
      <c r="AX1103" s="102" t="s">
        <v>4854</v>
      </c>
      <c r="AY1103" s="102" t="s">
        <v>4854</v>
      </c>
      <c r="AZ1103" s="102" t="s">
        <v>4854</v>
      </c>
      <c r="BA1103" s="102" t="s">
        <v>4854</v>
      </c>
      <c r="BB1103" s="102" t="s">
        <v>4854</v>
      </c>
      <c r="BC1103" s="3" t="s">
        <v>4854</v>
      </c>
      <c r="BD1103" s="5">
        <v>60</v>
      </c>
      <c r="BE1103" s="3" t="s">
        <v>4854</v>
      </c>
      <c r="BF1103" s="3" t="s">
        <v>4854</v>
      </c>
      <c r="BG1103" s="3" t="s">
        <v>4854</v>
      </c>
      <c r="BH1103" s="3" t="s">
        <v>4854</v>
      </c>
      <c r="BI1103" s="3" t="s">
        <v>4854</v>
      </c>
      <c r="BJ1103" s="3" t="s">
        <v>4854</v>
      </c>
      <c r="BK1103" s="99" t="s">
        <v>4854</v>
      </c>
      <c r="BL1103" s="90">
        <v>0.87</v>
      </c>
      <c r="BM1103" s="99" t="s">
        <v>4854</v>
      </c>
      <c r="BN1103" s="99" t="s">
        <v>4854</v>
      </c>
      <c r="BO1103" s="99" t="s">
        <v>4854</v>
      </c>
      <c r="BP1103" s="99" t="s">
        <v>4854</v>
      </c>
      <c r="BQ1103" s="99" t="s">
        <v>4854</v>
      </c>
      <c r="BR1103" s="99" t="s">
        <v>4854</v>
      </c>
      <c r="BS1103" s="5" t="s">
        <v>4857</v>
      </c>
    </row>
    <row r="1104" spans="1:71" s="30" customFormat="1" ht="17.100000000000001" customHeight="1">
      <c r="A1104" s="10">
        <v>1093</v>
      </c>
      <c r="B1104" s="10" t="s">
        <v>647</v>
      </c>
      <c r="C1104" s="4" t="s">
        <v>733</v>
      </c>
      <c r="D1104" s="4" t="s">
        <v>648</v>
      </c>
      <c r="E1104" s="4" t="s">
        <v>649</v>
      </c>
      <c r="F1104" s="10" t="s">
        <v>5001</v>
      </c>
      <c r="G1104" s="4" t="s">
        <v>650</v>
      </c>
      <c r="H1104" s="7" t="s">
        <v>651</v>
      </c>
      <c r="I1104" s="4" t="s">
        <v>652</v>
      </c>
      <c r="J1104" s="10" t="s">
        <v>4823</v>
      </c>
      <c r="K1104" s="4" t="s">
        <v>6025</v>
      </c>
      <c r="L1104" s="4" t="s">
        <v>653</v>
      </c>
      <c r="M1104" s="10">
        <v>2</v>
      </c>
      <c r="N1104" s="95">
        <v>1094.0884000000001</v>
      </c>
      <c r="O1104" s="37" t="str">
        <f>HYPERLINK("http://ms.phosphosite.org:5080/cgi-bin/plot-msms.cgi?MassType=1&amp;NumAxis=1&amp;Mod4=170&amp;Pep=DLDKPFLLPVESVYSIPGR&amp;Dta=/var/www/html/dta/S01/10558.14632.2.dta&amp;Global_Mod=CS57.0215", "14632")</f>
        <v>14632</v>
      </c>
      <c r="P1104" s="37" t="str">
        <f>HYPERLINK("http://ms.phosphosite.org:5080/cgi-bin/plot-msms.cgi?MassType=1&amp;NumAxis=1&amp;Mod4=170&amp;Pep=DLDKPFLLPVESVYSIPGR&amp;Dta=/var/www/html/dta/S01/10559.14678.2.dta&amp;Global_Mod=CS57.0215", "14678")</f>
        <v>14678</v>
      </c>
      <c r="Q1104" s="38" t="s">
        <v>4854</v>
      </c>
      <c r="R1104" s="38" t="s">
        <v>4854</v>
      </c>
      <c r="S1104" s="38" t="s">
        <v>4854</v>
      </c>
      <c r="T1104" s="38" t="s">
        <v>4854</v>
      </c>
      <c r="U1104" s="38" t="s">
        <v>4854</v>
      </c>
      <c r="V1104" s="38" t="s">
        <v>4854</v>
      </c>
      <c r="W1104" s="4" t="s">
        <v>4854</v>
      </c>
      <c r="X1104" s="4" t="s">
        <v>4854</v>
      </c>
      <c r="Y1104" s="4" t="s">
        <v>4854</v>
      </c>
      <c r="Z1104" s="4" t="s">
        <v>4854</v>
      </c>
      <c r="AA1104" s="4" t="s">
        <v>4854</v>
      </c>
      <c r="AB1104" s="4" t="s">
        <v>4854</v>
      </c>
      <c r="AC1104" s="4" t="s">
        <v>4854</v>
      </c>
      <c r="AD1104" s="4" t="s">
        <v>4854</v>
      </c>
      <c r="AE1104" s="91">
        <v>1.4059999999999999</v>
      </c>
      <c r="AF1104" s="91">
        <v>1.946</v>
      </c>
      <c r="AG1104" s="100" t="s">
        <v>4854</v>
      </c>
      <c r="AH1104" s="100" t="s">
        <v>4854</v>
      </c>
      <c r="AI1104" s="100" t="s">
        <v>4854</v>
      </c>
      <c r="AJ1104" s="100" t="s">
        <v>4854</v>
      </c>
      <c r="AK1104" s="100" t="s">
        <v>4854</v>
      </c>
      <c r="AL1104" s="100" t="s">
        <v>4854</v>
      </c>
      <c r="AM1104" s="95">
        <v>1.4044000000000001</v>
      </c>
      <c r="AN1104" s="95">
        <v>1.7464</v>
      </c>
      <c r="AO1104" s="103" t="s">
        <v>4854</v>
      </c>
      <c r="AP1104" s="103" t="s">
        <v>4854</v>
      </c>
      <c r="AQ1104" s="103" t="s">
        <v>4854</v>
      </c>
      <c r="AR1104" s="103" t="s">
        <v>4854</v>
      </c>
      <c r="AS1104" s="103" t="s">
        <v>4854</v>
      </c>
      <c r="AT1104" s="103" t="s">
        <v>4854</v>
      </c>
      <c r="AU1104" s="95">
        <v>0.18099999999999999</v>
      </c>
      <c r="AV1104" s="95">
        <v>0.17699999999999999</v>
      </c>
      <c r="AW1104" s="103" t="s">
        <v>4854</v>
      </c>
      <c r="AX1104" s="103" t="s">
        <v>4854</v>
      </c>
      <c r="AY1104" s="103" t="s">
        <v>4854</v>
      </c>
      <c r="AZ1104" s="103" t="s">
        <v>4854</v>
      </c>
      <c r="BA1104" s="103" t="s">
        <v>4854</v>
      </c>
      <c r="BB1104" s="103" t="s">
        <v>4854</v>
      </c>
      <c r="BC1104" s="10">
        <v>84</v>
      </c>
      <c r="BD1104" s="10">
        <v>267</v>
      </c>
      <c r="BE1104" s="4" t="s">
        <v>4854</v>
      </c>
      <c r="BF1104" s="4" t="s">
        <v>4854</v>
      </c>
      <c r="BG1104" s="4" t="s">
        <v>4854</v>
      </c>
      <c r="BH1104" s="4" t="s">
        <v>4854</v>
      </c>
      <c r="BI1104" s="4" t="s">
        <v>4854</v>
      </c>
      <c r="BJ1104" s="4" t="s">
        <v>4854</v>
      </c>
      <c r="BK1104" s="91">
        <v>0.89200000000000002</v>
      </c>
      <c r="BL1104" s="91">
        <v>0.68899999999999995</v>
      </c>
      <c r="BM1104" s="100" t="s">
        <v>4854</v>
      </c>
      <c r="BN1104" s="100" t="s">
        <v>4854</v>
      </c>
      <c r="BO1104" s="100" t="s">
        <v>4854</v>
      </c>
      <c r="BP1104" s="100" t="s">
        <v>4854</v>
      </c>
      <c r="BQ1104" s="100" t="s">
        <v>4854</v>
      </c>
      <c r="BR1104" s="100" t="s">
        <v>4854</v>
      </c>
      <c r="BS1104" s="10" t="s">
        <v>4857</v>
      </c>
    </row>
    <row r="1105" spans="1:71" s="30" customFormat="1" ht="17.100000000000001" customHeight="1">
      <c r="A1105" s="14">
        <v>1094</v>
      </c>
      <c r="B1105" s="5" t="s">
        <v>522</v>
      </c>
      <c r="C1105" s="3" t="s">
        <v>733</v>
      </c>
      <c r="D1105" s="3" t="s">
        <v>523</v>
      </c>
      <c r="E1105" s="3" t="s">
        <v>524</v>
      </c>
      <c r="F1105" s="5" t="s">
        <v>2858</v>
      </c>
      <c r="G1105" s="3" t="s">
        <v>525</v>
      </c>
      <c r="H1105" s="6" t="s">
        <v>526</v>
      </c>
      <c r="I1105" s="3" t="s">
        <v>527</v>
      </c>
      <c r="J1105" s="5" t="s">
        <v>4390</v>
      </c>
      <c r="K1105" s="3" t="s">
        <v>6026</v>
      </c>
      <c r="L1105" s="3" t="s">
        <v>528</v>
      </c>
      <c r="M1105" s="5">
        <v>3</v>
      </c>
      <c r="N1105" s="21">
        <v>725.34799999999996</v>
      </c>
      <c r="O1105" s="35" t="s">
        <v>4854</v>
      </c>
      <c r="P1105" s="35" t="s">
        <v>4854</v>
      </c>
      <c r="Q1105" s="35" t="s">
        <v>4854</v>
      </c>
      <c r="R1105" s="36" t="str">
        <f>HYPERLINK("http://ms.phosphosite.org:5080/cgi-bin/plot-msms.cgi?MassType=1&amp;NumAxis=1&amp;Mod11=170&amp;Mod13=160&amp;Pep=VIGENAEDDRKECWVVGR&amp;Dta=/var/www/html/dta/S01/10561.6918.3.dta&amp;Global_Mod=CS57.0215", "6918")</f>
        <v>6918</v>
      </c>
      <c r="S1105" s="35" t="s">
        <v>4854</v>
      </c>
      <c r="T1105" s="35" t="s">
        <v>4854</v>
      </c>
      <c r="U1105" s="35" t="s">
        <v>4854</v>
      </c>
      <c r="V1105" s="35" t="s">
        <v>4854</v>
      </c>
      <c r="W1105" s="3" t="s">
        <v>4854</v>
      </c>
      <c r="X1105" s="3" t="s">
        <v>4854</v>
      </c>
      <c r="Y1105" s="3" t="s">
        <v>4854</v>
      </c>
      <c r="Z1105" s="5">
        <v>6943</v>
      </c>
      <c r="AA1105" s="3" t="s">
        <v>4854</v>
      </c>
      <c r="AB1105" s="3" t="s">
        <v>4854</v>
      </c>
      <c r="AC1105" s="3" t="s">
        <v>4854</v>
      </c>
      <c r="AD1105" s="3" t="s">
        <v>4854</v>
      </c>
      <c r="AE1105" s="99" t="s">
        <v>4854</v>
      </c>
      <c r="AF1105" s="99" t="s">
        <v>4854</v>
      </c>
      <c r="AG1105" s="99" t="s">
        <v>4854</v>
      </c>
      <c r="AH1105" s="90">
        <v>2.206</v>
      </c>
      <c r="AI1105" s="99" t="s">
        <v>4854</v>
      </c>
      <c r="AJ1105" s="99" t="s">
        <v>4854</v>
      </c>
      <c r="AK1105" s="99" t="s">
        <v>4854</v>
      </c>
      <c r="AL1105" s="99" t="s">
        <v>4854</v>
      </c>
      <c r="AM1105" s="102" t="s">
        <v>4854</v>
      </c>
      <c r="AN1105" s="102" t="s">
        <v>4854</v>
      </c>
      <c r="AO1105" s="102" t="s">
        <v>4854</v>
      </c>
      <c r="AP1105" s="21">
        <v>1.9412</v>
      </c>
      <c r="AQ1105" s="102" t="s">
        <v>4854</v>
      </c>
      <c r="AR1105" s="102" t="s">
        <v>4854</v>
      </c>
      <c r="AS1105" s="102" t="s">
        <v>4854</v>
      </c>
      <c r="AT1105" s="102" t="s">
        <v>4854</v>
      </c>
      <c r="AU1105" s="102" t="s">
        <v>4854</v>
      </c>
      <c r="AV1105" s="102" t="s">
        <v>4854</v>
      </c>
      <c r="AW1105" s="102" t="s">
        <v>4854</v>
      </c>
      <c r="AX1105" s="21">
        <v>0.13400000000000001</v>
      </c>
      <c r="AY1105" s="102" t="s">
        <v>4854</v>
      </c>
      <c r="AZ1105" s="102" t="s">
        <v>4854</v>
      </c>
      <c r="BA1105" s="102" t="s">
        <v>4854</v>
      </c>
      <c r="BB1105" s="102" t="s">
        <v>4854</v>
      </c>
      <c r="BC1105" s="3" t="s">
        <v>4854</v>
      </c>
      <c r="BD1105" s="3" t="s">
        <v>4854</v>
      </c>
      <c r="BE1105" s="3" t="s">
        <v>4854</v>
      </c>
      <c r="BF1105" s="5">
        <v>64</v>
      </c>
      <c r="BG1105" s="3" t="s">
        <v>4854</v>
      </c>
      <c r="BH1105" s="3" t="s">
        <v>4854</v>
      </c>
      <c r="BI1105" s="3" t="s">
        <v>4854</v>
      </c>
      <c r="BJ1105" s="3" t="s">
        <v>4854</v>
      </c>
      <c r="BK1105" s="99" t="s">
        <v>4854</v>
      </c>
      <c r="BL1105" s="99" t="s">
        <v>4854</v>
      </c>
      <c r="BM1105" s="99" t="s">
        <v>4854</v>
      </c>
      <c r="BN1105" s="90">
        <v>0.95099999999999996</v>
      </c>
      <c r="BO1105" s="99" t="s">
        <v>4854</v>
      </c>
      <c r="BP1105" s="99" t="s">
        <v>4854</v>
      </c>
      <c r="BQ1105" s="99" t="s">
        <v>4854</v>
      </c>
      <c r="BR1105" s="99" t="s">
        <v>4854</v>
      </c>
      <c r="BS1105" s="5" t="s">
        <v>4857</v>
      </c>
    </row>
    <row r="1106" spans="1:71" ht="17.100000000000001" customHeight="1">
      <c r="A1106" s="31">
        <v>1095</v>
      </c>
      <c r="B1106" s="2" t="s">
        <v>529</v>
      </c>
      <c r="C1106" s="1"/>
      <c r="D1106" s="1"/>
      <c r="E1106" s="1"/>
      <c r="F1106" s="1"/>
      <c r="G1106" s="1"/>
      <c r="H1106" s="1"/>
      <c r="I1106" s="1"/>
      <c r="J1106" s="1"/>
      <c r="K1106" s="1"/>
      <c r="L1106" s="1"/>
      <c r="M1106" s="1"/>
      <c r="N1106" s="94"/>
      <c r="O1106" s="34"/>
      <c r="P1106" s="34"/>
      <c r="Q1106" s="34"/>
      <c r="R1106" s="34"/>
      <c r="S1106" s="34"/>
      <c r="T1106" s="34"/>
      <c r="U1106" s="34"/>
      <c r="V1106" s="34"/>
      <c r="W1106" s="1"/>
      <c r="X1106" s="1"/>
      <c r="Y1106" s="1"/>
      <c r="Z1106" s="1"/>
      <c r="AA1106" s="1"/>
      <c r="AB1106" s="1"/>
      <c r="AC1106" s="1"/>
      <c r="AD1106" s="1"/>
      <c r="AE1106" s="89"/>
      <c r="AF1106" s="89"/>
      <c r="AG1106" s="89"/>
      <c r="AH1106" s="89"/>
      <c r="AI1106" s="89"/>
      <c r="AJ1106" s="89"/>
      <c r="AK1106" s="89"/>
      <c r="AL1106" s="89"/>
      <c r="AM1106" s="94"/>
      <c r="AN1106" s="94"/>
      <c r="AO1106" s="94"/>
      <c r="AP1106" s="94"/>
      <c r="AQ1106" s="94"/>
      <c r="AR1106" s="94"/>
      <c r="AS1106" s="94"/>
      <c r="AT1106" s="94"/>
      <c r="AU1106" s="94"/>
      <c r="AV1106" s="94"/>
      <c r="AW1106" s="94"/>
      <c r="AX1106" s="94"/>
      <c r="AY1106" s="94"/>
      <c r="AZ1106" s="94"/>
      <c r="BA1106" s="94"/>
      <c r="BB1106" s="94"/>
      <c r="BC1106" s="1"/>
      <c r="BD1106" s="1"/>
      <c r="BE1106" s="1"/>
      <c r="BF1106" s="1"/>
      <c r="BG1106" s="1"/>
      <c r="BH1106" s="1"/>
      <c r="BI1106" s="1"/>
      <c r="BJ1106" s="1"/>
      <c r="BK1106" s="89"/>
      <c r="BL1106" s="89"/>
      <c r="BM1106" s="89"/>
      <c r="BN1106" s="89"/>
      <c r="BO1106" s="89"/>
      <c r="BP1106" s="89"/>
      <c r="BQ1106" s="89"/>
      <c r="BR1106" s="89"/>
      <c r="BS1106" s="1"/>
    </row>
    <row r="1107" spans="1:71" s="30" customFormat="1" ht="17.100000000000001" customHeight="1">
      <c r="A1107" s="10">
        <v>1096</v>
      </c>
      <c r="B1107" s="10" t="s">
        <v>530</v>
      </c>
      <c r="C1107" s="4" t="s">
        <v>529</v>
      </c>
      <c r="D1107" s="4" t="s">
        <v>531</v>
      </c>
      <c r="E1107" s="7" t="s">
        <v>532</v>
      </c>
      <c r="F1107" s="10" t="s">
        <v>1229</v>
      </c>
      <c r="G1107" s="4" t="s">
        <v>533</v>
      </c>
      <c r="H1107" s="7" t="s">
        <v>534</v>
      </c>
      <c r="I1107" s="4" t="s">
        <v>535</v>
      </c>
      <c r="J1107" s="10" t="s">
        <v>655</v>
      </c>
      <c r="K1107" s="4" t="s">
        <v>6027</v>
      </c>
      <c r="L1107" s="4" t="s">
        <v>536</v>
      </c>
      <c r="M1107" s="10">
        <v>2</v>
      </c>
      <c r="N1107" s="95">
        <v>477.24560000000002</v>
      </c>
      <c r="O1107" s="37" t="str">
        <f>HYPERLINK("http://ms.phosphosite.org:5080/cgi-bin/plot-msms.cgi?MassType=1&amp;NumAxis=1&amp;Mod4=170&amp;Pep=FEQKGFR&amp;Dta=/var/www/html/dta/S01/10558.3791.2.dta&amp;Global_Mod=CS57.0215", "3791")</f>
        <v>3791</v>
      </c>
      <c r="P1107" s="37" t="str">
        <f>HYPERLINK("http://ms.phosphosite.org:5080/cgi-bin/plot-msms.cgi?MassType=1&amp;NumAxis=1&amp;Mod4=170&amp;Pep=FEQKGFR&amp;Dta=/var/www/html/dta/S01/10559.3718.2.dta&amp;Global_Mod=CS57.0215", "3718")</f>
        <v>3718</v>
      </c>
      <c r="Q1107" s="37" t="str">
        <f>HYPERLINK("http://ms.phosphosite.org:5080/cgi-bin/plot-msms.cgi?MassType=1&amp;NumAxis=1&amp;Mod4=170&amp;Pep=FEQKGFR&amp;Dta=/var/www/html/dta/S01/10560.3713.2.dta&amp;Global_Mod=CS57.0215", "3713")</f>
        <v>3713</v>
      </c>
      <c r="R1107" s="37" t="str">
        <f>HYPERLINK("http://ms.phosphosite.org:5080/cgi-bin/plot-msms.cgi?MassType=1&amp;NumAxis=1&amp;Mod4=170&amp;Pep=FEQKGFR&amp;Dta=/var/www/html/dta/S01/10561.3745.2.dta&amp;Global_Mod=CS57.0215", "3745")</f>
        <v>3745</v>
      </c>
      <c r="S1107" s="37" t="str">
        <f>HYPERLINK("http://ms.phosphosite.org:5080/cgi-bin/plot-msms.cgi?MassType=1&amp;NumAxis=1&amp;Mod4=170&amp;Pep=FEQKGFR&amp;Dta=/var/www/html/dta/S01/10562.3843.2.dta&amp;Global_Mod=CS57.0215", "3843")</f>
        <v>3843</v>
      </c>
      <c r="T1107" s="37" t="str">
        <f>HYPERLINK("http://ms.phosphosite.org:5080/cgi-bin/plot-msms.cgi?MassType=1&amp;NumAxis=1&amp;Mod4=170&amp;Pep=FEQKGFR&amp;Dta=/var/www/html/dta/S01/10563.3749.2.dta&amp;Global_Mod=CS57.0215", "3749")</f>
        <v>3749</v>
      </c>
      <c r="U1107" s="37" t="str">
        <f>HYPERLINK("http://ms.phosphosite.org:5080/cgi-bin/plot-msms.cgi?MassType=1&amp;NumAxis=1&amp;Mod4=170&amp;Pep=FEQKGFR&amp;Dta=/var/www/html/dta/S01/10564.4121.2.dta&amp;Global_Mod=CS57.0215", "4121")</f>
        <v>4121</v>
      </c>
      <c r="V1107" s="37" t="str">
        <f>HYPERLINK("http://ms.phosphosite.org:5080/cgi-bin/plot-msms.cgi?MassType=1&amp;NumAxis=1&amp;Mod4=170&amp;Pep=FEQKGFR&amp;Dta=/var/www/html/dta/S01/10565.4216.2.dta&amp;Global_Mod=CS57.0215", "4216")</f>
        <v>4216</v>
      </c>
      <c r="W1107" s="10">
        <v>3810</v>
      </c>
      <c r="X1107" s="10">
        <v>3728</v>
      </c>
      <c r="Y1107" s="10">
        <v>3723</v>
      </c>
      <c r="Z1107" s="10">
        <v>3753</v>
      </c>
      <c r="AA1107" s="10">
        <v>3840</v>
      </c>
      <c r="AB1107" s="10">
        <v>3758</v>
      </c>
      <c r="AC1107" s="10">
        <v>4131</v>
      </c>
      <c r="AD1107" s="10">
        <v>4245</v>
      </c>
      <c r="AE1107" s="91">
        <v>2.4409999999999998</v>
      </c>
      <c r="AF1107" s="91">
        <v>2.4319999999999999</v>
      </c>
      <c r="AG1107" s="91">
        <v>2.3580000000000001</v>
      </c>
      <c r="AH1107" s="91">
        <v>2.6379999999999999</v>
      </c>
      <c r="AI1107" s="91">
        <v>2.62</v>
      </c>
      <c r="AJ1107" s="91">
        <v>2.2469999999999999</v>
      </c>
      <c r="AK1107" s="91">
        <v>2.3929999999999998</v>
      </c>
      <c r="AL1107" s="91">
        <v>2.3359999999999999</v>
      </c>
      <c r="AM1107" s="95">
        <v>0.38279999999999997</v>
      </c>
      <c r="AN1107" s="95">
        <v>0.32929999999999998</v>
      </c>
      <c r="AO1107" s="95">
        <v>0.44990000000000002</v>
      </c>
      <c r="AP1107" s="95">
        <v>0.81799999999999995</v>
      </c>
      <c r="AQ1107" s="95">
        <v>0.4027</v>
      </c>
      <c r="AR1107" s="95">
        <v>0.5181</v>
      </c>
      <c r="AS1107" s="95">
        <v>5.45E-2</v>
      </c>
      <c r="AT1107" s="95">
        <v>0.25169999999999998</v>
      </c>
      <c r="AU1107" s="95">
        <v>1</v>
      </c>
      <c r="AV1107" s="95">
        <v>1</v>
      </c>
      <c r="AW1107" s="95">
        <v>1</v>
      </c>
      <c r="AX1107" s="95">
        <v>1</v>
      </c>
      <c r="AY1107" s="95">
        <v>1</v>
      </c>
      <c r="AZ1107" s="95">
        <v>1</v>
      </c>
      <c r="BA1107" s="95">
        <v>1</v>
      </c>
      <c r="BB1107" s="95">
        <v>1</v>
      </c>
      <c r="BC1107" s="10">
        <v>4</v>
      </c>
      <c r="BD1107" s="10">
        <v>4</v>
      </c>
      <c r="BE1107" s="10">
        <v>6</v>
      </c>
      <c r="BF1107" s="10">
        <v>4</v>
      </c>
      <c r="BG1107" s="10">
        <v>9</v>
      </c>
      <c r="BH1107" s="10">
        <v>9</v>
      </c>
      <c r="BI1107" s="10">
        <v>2</v>
      </c>
      <c r="BJ1107" s="10">
        <v>17</v>
      </c>
      <c r="BK1107" s="91">
        <v>0.98</v>
      </c>
      <c r="BL1107" s="91">
        <v>0.98</v>
      </c>
      <c r="BM1107" s="91">
        <v>0.97299999999999998</v>
      </c>
      <c r="BN1107" s="91">
        <v>0.98799999999999999</v>
      </c>
      <c r="BO1107" s="91">
        <v>0.98299999999999998</v>
      </c>
      <c r="BP1107" s="91">
        <v>0.95899999999999996</v>
      </c>
      <c r="BQ1107" s="91">
        <v>0.98299999999999998</v>
      </c>
      <c r="BR1107" s="91">
        <v>0.96</v>
      </c>
      <c r="BS1107" s="10" t="s">
        <v>4857</v>
      </c>
    </row>
    <row r="1108" spans="1:71" s="30" customFormat="1" ht="17.100000000000001" customHeight="1">
      <c r="A1108" s="14">
        <v>1097</v>
      </c>
      <c r="B1108" s="5" t="s">
        <v>537</v>
      </c>
      <c r="C1108" s="3" t="s">
        <v>529</v>
      </c>
      <c r="D1108" s="3" t="s">
        <v>538</v>
      </c>
      <c r="E1108" s="3" t="s">
        <v>539</v>
      </c>
      <c r="F1108" s="5" t="s">
        <v>540</v>
      </c>
      <c r="G1108" s="3" t="s">
        <v>541</v>
      </c>
      <c r="H1108" s="6" t="s">
        <v>542</v>
      </c>
      <c r="I1108" s="3" t="s">
        <v>543</v>
      </c>
      <c r="J1108" s="5" t="s">
        <v>4693</v>
      </c>
      <c r="K1108" s="3" t="s">
        <v>6028</v>
      </c>
      <c r="L1108" s="3" t="s">
        <v>544</v>
      </c>
      <c r="M1108" s="5">
        <v>2</v>
      </c>
      <c r="N1108" s="21">
        <v>721.91430000000003</v>
      </c>
      <c r="O1108" s="35" t="s">
        <v>4854</v>
      </c>
      <c r="P1108" s="36" t="str">
        <f>HYPERLINK("http://ms.phosphosite.org:5080/cgi-bin/plot-msms.cgi?MassType=1&amp;NumAxis=1&amp;Mod5=170&amp;Mod6=170&amp;Pep=VASGKKPSSIKKE&amp;Dta=/var/www/html/dta/S01/10559.3672.2.dta&amp;Global_Mod=CS57.0215", "3672")</f>
        <v>3672</v>
      </c>
      <c r="Q1108" s="35" t="s">
        <v>4854</v>
      </c>
      <c r="R1108" s="35" t="s">
        <v>4854</v>
      </c>
      <c r="S1108" s="35" t="s">
        <v>4854</v>
      </c>
      <c r="T1108" s="35" t="s">
        <v>4854</v>
      </c>
      <c r="U1108" s="35" t="s">
        <v>4854</v>
      </c>
      <c r="V1108" s="35" t="s">
        <v>4854</v>
      </c>
      <c r="W1108" s="3" t="s">
        <v>4854</v>
      </c>
      <c r="X1108" s="3" t="s">
        <v>4854</v>
      </c>
      <c r="Y1108" s="3" t="s">
        <v>4854</v>
      </c>
      <c r="Z1108" s="3" t="s">
        <v>4854</v>
      </c>
      <c r="AA1108" s="3" t="s">
        <v>4854</v>
      </c>
      <c r="AB1108" s="3" t="s">
        <v>4854</v>
      </c>
      <c r="AC1108" s="3" t="s">
        <v>4854</v>
      </c>
      <c r="AD1108" s="3" t="s">
        <v>4854</v>
      </c>
      <c r="AE1108" s="99" t="s">
        <v>4854</v>
      </c>
      <c r="AF1108" s="90">
        <v>2.8519999999999999</v>
      </c>
      <c r="AG1108" s="99" t="s">
        <v>4854</v>
      </c>
      <c r="AH1108" s="99" t="s">
        <v>4854</v>
      </c>
      <c r="AI1108" s="99" t="s">
        <v>4854</v>
      </c>
      <c r="AJ1108" s="99" t="s">
        <v>4854</v>
      </c>
      <c r="AK1108" s="99" t="s">
        <v>4854</v>
      </c>
      <c r="AL1108" s="99" t="s">
        <v>4854</v>
      </c>
      <c r="AM1108" s="102" t="s">
        <v>4854</v>
      </c>
      <c r="AN1108" s="21">
        <v>-0.4007</v>
      </c>
      <c r="AO1108" s="102" t="s">
        <v>4854</v>
      </c>
      <c r="AP1108" s="102" t="s">
        <v>4854</v>
      </c>
      <c r="AQ1108" s="102" t="s">
        <v>4854</v>
      </c>
      <c r="AR1108" s="102" t="s">
        <v>4854</v>
      </c>
      <c r="AS1108" s="102" t="s">
        <v>4854</v>
      </c>
      <c r="AT1108" s="102" t="s">
        <v>4854</v>
      </c>
      <c r="AU1108" s="102" t="s">
        <v>4854</v>
      </c>
      <c r="AV1108" s="21">
        <v>0.18</v>
      </c>
      <c r="AW1108" s="102" t="s">
        <v>4854</v>
      </c>
      <c r="AX1108" s="102" t="s">
        <v>4854</v>
      </c>
      <c r="AY1108" s="102" t="s">
        <v>4854</v>
      </c>
      <c r="AZ1108" s="102" t="s">
        <v>4854</v>
      </c>
      <c r="BA1108" s="102" t="s">
        <v>4854</v>
      </c>
      <c r="BB1108" s="102" t="s">
        <v>4854</v>
      </c>
      <c r="BC1108" s="3" t="s">
        <v>4854</v>
      </c>
      <c r="BD1108" s="5">
        <v>1</v>
      </c>
      <c r="BE1108" s="3" t="s">
        <v>4854</v>
      </c>
      <c r="BF1108" s="3" t="s">
        <v>4854</v>
      </c>
      <c r="BG1108" s="3" t="s">
        <v>4854</v>
      </c>
      <c r="BH1108" s="3" t="s">
        <v>4854</v>
      </c>
      <c r="BI1108" s="3" t="s">
        <v>4854</v>
      </c>
      <c r="BJ1108" s="3" t="s">
        <v>4854</v>
      </c>
      <c r="BK1108" s="99" t="s">
        <v>4854</v>
      </c>
      <c r="BL1108" s="90">
        <v>0.65900000000000003</v>
      </c>
      <c r="BM1108" s="99" t="s">
        <v>4854</v>
      </c>
      <c r="BN1108" s="99" t="s">
        <v>4854</v>
      </c>
      <c r="BO1108" s="99" t="s">
        <v>4854</v>
      </c>
      <c r="BP1108" s="99" t="s">
        <v>4854</v>
      </c>
      <c r="BQ1108" s="99" t="s">
        <v>4854</v>
      </c>
      <c r="BR1108" s="99" t="s">
        <v>4854</v>
      </c>
      <c r="BS1108" s="5" t="s">
        <v>4857</v>
      </c>
    </row>
    <row r="1109" spans="1:71" s="30" customFormat="1" ht="17.100000000000001" customHeight="1">
      <c r="A1109" s="14">
        <v>1098</v>
      </c>
      <c r="B1109" s="5" t="s">
        <v>545</v>
      </c>
      <c r="C1109" s="3" t="s">
        <v>529</v>
      </c>
      <c r="D1109" s="3" t="s">
        <v>538</v>
      </c>
      <c r="E1109" s="3" t="s">
        <v>539</v>
      </c>
      <c r="F1109" s="5" t="s">
        <v>540</v>
      </c>
      <c r="G1109" s="3" t="s">
        <v>541</v>
      </c>
      <c r="H1109" s="6" t="s">
        <v>542</v>
      </c>
      <c r="I1109" s="3" t="s">
        <v>543</v>
      </c>
      <c r="J1109" s="5" t="s">
        <v>4693</v>
      </c>
      <c r="K1109" s="3" t="s">
        <v>6028</v>
      </c>
      <c r="L1109" s="3" t="s">
        <v>544</v>
      </c>
      <c r="M1109" s="5">
        <v>2</v>
      </c>
      <c r="N1109" s="21">
        <v>721.91430000000003</v>
      </c>
      <c r="O1109" s="35" t="s">
        <v>4854</v>
      </c>
      <c r="P1109" s="36" t="str">
        <f>HYPERLINK("http://ms.phosphosite.org:5080/cgi-bin/plot-msms.cgi?MassType=1&amp;NumAxis=1&amp;Mod5=170&amp;Mod6=170&amp;Pep=VASGKKPSSIKKE&amp;Dta=/var/www/html/dta/S01/10559.3163.2.dta&amp;Global_Mod=CS57.0215", "3163")</f>
        <v>3163</v>
      </c>
      <c r="Q1109" s="35" t="s">
        <v>4854</v>
      </c>
      <c r="R1109" s="35" t="s">
        <v>4854</v>
      </c>
      <c r="S1109" s="35" t="s">
        <v>4854</v>
      </c>
      <c r="T1109" s="35" t="s">
        <v>4854</v>
      </c>
      <c r="U1109" s="35" t="s">
        <v>4854</v>
      </c>
      <c r="V1109" s="35" t="s">
        <v>4854</v>
      </c>
      <c r="W1109" s="3" t="s">
        <v>4854</v>
      </c>
      <c r="X1109" s="3" t="s">
        <v>4854</v>
      </c>
      <c r="Y1109" s="3" t="s">
        <v>4854</v>
      </c>
      <c r="Z1109" s="3" t="s">
        <v>4854</v>
      </c>
      <c r="AA1109" s="3" t="s">
        <v>4854</v>
      </c>
      <c r="AB1109" s="3" t="s">
        <v>4854</v>
      </c>
      <c r="AC1109" s="3" t="s">
        <v>4854</v>
      </c>
      <c r="AD1109" s="3" t="s">
        <v>4854</v>
      </c>
      <c r="AE1109" s="99" t="s">
        <v>4854</v>
      </c>
      <c r="AF1109" s="90">
        <v>2.2759999999999998</v>
      </c>
      <c r="AG1109" s="99" t="s">
        <v>4854</v>
      </c>
      <c r="AH1109" s="99" t="s">
        <v>4854</v>
      </c>
      <c r="AI1109" s="99" t="s">
        <v>4854</v>
      </c>
      <c r="AJ1109" s="99" t="s">
        <v>4854</v>
      </c>
      <c r="AK1109" s="99" t="s">
        <v>4854</v>
      </c>
      <c r="AL1109" s="99" t="s">
        <v>4854</v>
      </c>
      <c r="AM1109" s="102" t="s">
        <v>4854</v>
      </c>
      <c r="AN1109" s="21">
        <v>0.1933</v>
      </c>
      <c r="AO1109" s="102" t="s">
        <v>4854</v>
      </c>
      <c r="AP1109" s="102" t="s">
        <v>4854</v>
      </c>
      <c r="AQ1109" s="102" t="s">
        <v>4854</v>
      </c>
      <c r="AR1109" s="102" t="s">
        <v>4854</v>
      </c>
      <c r="AS1109" s="102" t="s">
        <v>4854</v>
      </c>
      <c r="AT1109" s="102" t="s">
        <v>4854</v>
      </c>
      <c r="AU1109" s="102" t="s">
        <v>4854</v>
      </c>
      <c r="AV1109" s="21">
        <v>7.0000000000000001E-3</v>
      </c>
      <c r="AW1109" s="102" t="s">
        <v>4854</v>
      </c>
      <c r="AX1109" s="102" t="s">
        <v>4854</v>
      </c>
      <c r="AY1109" s="102" t="s">
        <v>4854</v>
      </c>
      <c r="AZ1109" s="102" t="s">
        <v>4854</v>
      </c>
      <c r="BA1109" s="102" t="s">
        <v>4854</v>
      </c>
      <c r="BB1109" s="102" t="s">
        <v>4854</v>
      </c>
      <c r="BC1109" s="3" t="s">
        <v>4854</v>
      </c>
      <c r="BD1109" s="5">
        <v>39</v>
      </c>
      <c r="BE1109" s="3" t="s">
        <v>4854</v>
      </c>
      <c r="BF1109" s="3" t="s">
        <v>4854</v>
      </c>
      <c r="BG1109" s="3" t="s">
        <v>4854</v>
      </c>
      <c r="BH1109" s="3" t="s">
        <v>4854</v>
      </c>
      <c r="BI1109" s="3" t="s">
        <v>4854</v>
      </c>
      <c r="BJ1109" s="3" t="s">
        <v>4854</v>
      </c>
      <c r="BK1109" s="99" t="s">
        <v>4854</v>
      </c>
      <c r="BL1109" s="90">
        <v>5.2999999999999999E-2</v>
      </c>
      <c r="BM1109" s="99" t="s">
        <v>4854</v>
      </c>
      <c r="BN1109" s="99" t="s">
        <v>4854</v>
      </c>
      <c r="BO1109" s="99" t="s">
        <v>4854</v>
      </c>
      <c r="BP1109" s="99" t="s">
        <v>4854</v>
      </c>
      <c r="BQ1109" s="99" t="s">
        <v>4854</v>
      </c>
      <c r="BR1109" s="99" t="s">
        <v>4854</v>
      </c>
      <c r="BS1109" s="5" t="s">
        <v>4857</v>
      </c>
    </row>
    <row r="1110" spans="1:71" ht="17.100000000000001" customHeight="1">
      <c r="A1110" s="31">
        <v>1099</v>
      </c>
      <c r="B1110" s="2" t="s">
        <v>546</v>
      </c>
      <c r="C1110" s="1"/>
      <c r="D1110" s="1"/>
      <c r="E1110" s="1"/>
      <c r="F1110" s="1"/>
      <c r="G1110" s="1"/>
      <c r="H1110" s="1"/>
      <c r="I1110" s="1"/>
      <c r="J1110" s="1"/>
      <c r="K1110" s="1"/>
      <c r="L1110" s="1"/>
      <c r="M1110" s="1"/>
      <c r="N1110" s="94"/>
      <c r="O1110" s="34"/>
      <c r="P1110" s="34"/>
      <c r="Q1110" s="34"/>
      <c r="R1110" s="34"/>
      <c r="S1110" s="34"/>
      <c r="T1110" s="34"/>
      <c r="U1110" s="34"/>
      <c r="V1110" s="34"/>
      <c r="W1110" s="1"/>
      <c r="X1110" s="1"/>
      <c r="Y1110" s="1"/>
      <c r="Z1110" s="1"/>
      <c r="AA1110" s="1"/>
      <c r="AB1110" s="1"/>
      <c r="AC1110" s="1"/>
      <c r="AD1110" s="1"/>
      <c r="AE1110" s="89"/>
      <c r="AF1110" s="89"/>
      <c r="AG1110" s="89"/>
      <c r="AH1110" s="89"/>
      <c r="AI1110" s="89"/>
      <c r="AJ1110" s="89"/>
      <c r="AK1110" s="89"/>
      <c r="AL1110" s="89"/>
      <c r="AM1110" s="94"/>
      <c r="AN1110" s="94"/>
      <c r="AO1110" s="94"/>
      <c r="AP1110" s="94"/>
      <c r="AQ1110" s="94"/>
      <c r="AR1110" s="94"/>
      <c r="AS1110" s="94"/>
      <c r="AT1110" s="94"/>
      <c r="AU1110" s="94"/>
      <c r="AV1110" s="94"/>
      <c r="AW1110" s="94"/>
      <c r="AX1110" s="94"/>
      <c r="AY1110" s="94"/>
      <c r="AZ1110" s="94"/>
      <c r="BA1110" s="94"/>
      <c r="BB1110" s="94"/>
      <c r="BC1110" s="1"/>
      <c r="BD1110" s="1"/>
      <c r="BE1110" s="1"/>
      <c r="BF1110" s="1"/>
      <c r="BG1110" s="1"/>
      <c r="BH1110" s="1"/>
      <c r="BI1110" s="1"/>
      <c r="BJ1110" s="1"/>
      <c r="BK1110" s="89"/>
      <c r="BL1110" s="89"/>
      <c r="BM1110" s="89"/>
      <c r="BN1110" s="89"/>
      <c r="BO1110" s="89"/>
      <c r="BP1110" s="89"/>
      <c r="BQ1110" s="89"/>
      <c r="BR1110" s="89"/>
      <c r="BS1110" s="1"/>
    </row>
    <row r="1111" spans="1:71" s="30" customFormat="1" ht="17.100000000000001" customHeight="1">
      <c r="A1111" s="10">
        <v>1100</v>
      </c>
      <c r="B1111" s="10" t="s">
        <v>547</v>
      </c>
      <c r="C1111" s="4" t="s">
        <v>546</v>
      </c>
      <c r="D1111" s="4" t="s">
        <v>548</v>
      </c>
      <c r="E1111" s="4" t="s">
        <v>549</v>
      </c>
      <c r="F1111" s="10" t="s">
        <v>2509</v>
      </c>
      <c r="G1111" s="4" t="s">
        <v>550</v>
      </c>
      <c r="H1111" s="7" t="s">
        <v>551</v>
      </c>
      <c r="I1111" s="4" t="s">
        <v>552</v>
      </c>
      <c r="J1111" s="10" t="s">
        <v>3700</v>
      </c>
      <c r="K1111" s="4" t="s">
        <v>6029</v>
      </c>
      <c r="L1111" s="4" t="s">
        <v>553</v>
      </c>
      <c r="M1111" s="10">
        <v>2</v>
      </c>
      <c r="N1111" s="95">
        <v>770.83849999999995</v>
      </c>
      <c r="O1111" s="37" t="str">
        <f>HYPERLINK("http://ms.phosphosite.org:5080/cgi-bin/plot-msms.cgi?MassType=1&amp;NumAxis=1&amp;Mod8=170&amp;Mod12=160&amp;Pep=SAANFSEKEEACR&amp;Dta=/var/www/html/dta/S01/10558.3902.2.dta&amp;Global_Mod=CS57.0215", "3902")</f>
        <v>3902</v>
      </c>
      <c r="P1111" s="37" t="str">
        <f>HYPERLINK("http://ms.phosphosite.org:5080/cgi-bin/plot-msms.cgi?MassType=1&amp;NumAxis=1&amp;Mod8=170&amp;Mod12=160&amp;Pep=SAANFSEKEEACR&amp;Dta=/var/www/html/dta/S01/10559.3807.2.dta&amp;Global_Mod=CS57.0215", "3807")</f>
        <v>3807</v>
      </c>
      <c r="Q1111" s="37" t="str">
        <f>HYPERLINK("http://ms.phosphosite.org:5080/cgi-bin/plot-msms.cgi?MassType=1&amp;NumAxis=1&amp;Mod8=170&amp;Mod12=160&amp;Pep=SAANFSEKEEACR&amp;Dta=/var/www/html/dta/S01/10560.3798.2.dta&amp;Global_Mod=CS57.0215", "3798")</f>
        <v>3798</v>
      </c>
      <c r="R1111" s="37" t="str">
        <f>HYPERLINK("http://ms.phosphosite.org:5080/cgi-bin/plot-msms.cgi?MassType=1&amp;NumAxis=1&amp;Mod8=170&amp;Mod12=160&amp;Pep=SAANFSEKEEACR&amp;Dta=/var/www/html/dta/S01/10561.3839.2.dta&amp;Global_Mod=CS57.0215", "3839")</f>
        <v>3839</v>
      </c>
      <c r="S1111" s="37" t="str">
        <f>HYPERLINK("http://ms.phosphosite.org:5080/cgi-bin/plot-msms.cgi?MassType=1&amp;NumAxis=1&amp;Mod8=170&amp;Mod12=160&amp;Pep=SAANFSEKEEACR&amp;Dta=/var/www/html/dta/S01/10562.3923.2.dta&amp;Global_Mod=CS57.0215", "3923")</f>
        <v>3923</v>
      </c>
      <c r="T1111" s="37" t="str">
        <f>HYPERLINK("http://ms.phosphosite.org:5080/cgi-bin/plot-msms.cgi?MassType=1&amp;NumAxis=1&amp;Mod8=170&amp;Mod12=160&amp;Pep=SAANFSEKEEACR&amp;Dta=/var/www/html/dta/S01/10563.3856.2.dta&amp;Global_Mod=CS57.0215", "3856")</f>
        <v>3856</v>
      </c>
      <c r="U1111" s="37" t="str">
        <f>HYPERLINK("http://ms.phosphosite.org:5080/cgi-bin/plot-msms.cgi?MassType=1&amp;NumAxis=1&amp;Mod8=170&amp;Mod12=160&amp;Pep=SAANFSEKEEACR&amp;Dta=/var/www/html/dta/S01/10564.4177.2.dta&amp;Global_Mod=CS57.0215", "4177")</f>
        <v>4177</v>
      </c>
      <c r="V1111" s="37" t="str">
        <f>HYPERLINK("http://ms.phosphosite.org:5080/cgi-bin/plot-msms.cgi?MassType=1&amp;NumAxis=1&amp;Mod8=170&amp;Mod12=160&amp;Pep=SAANFSEKEEACR&amp;Dta=/var/www/html/dta/S01/10565.4296.2.dta&amp;Global_Mod=CS57.0215", "4296")</f>
        <v>4296</v>
      </c>
      <c r="W1111" s="10">
        <v>3926</v>
      </c>
      <c r="X1111" s="10">
        <v>3821</v>
      </c>
      <c r="Y1111" s="10">
        <v>3822</v>
      </c>
      <c r="Z1111" s="10">
        <v>3841</v>
      </c>
      <c r="AA1111" s="10">
        <v>3948</v>
      </c>
      <c r="AB1111" s="10">
        <v>3868</v>
      </c>
      <c r="AC1111" s="10">
        <v>4186</v>
      </c>
      <c r="AD1111" s="10">
        <v>4309</v>
      </c>
      <c r="AE1111" s="91">
        <v>4.016</v>
      </c>
      <c r="AF1111" s="91">
        <v>3.3530000000000002</v>
      </c>
      <c r="AG1111" s="91">
        <v>3.93</v>
      </c>
      <c r="AH1111" s="91">
        <v>3.5950000000000002</v>
      </c>
      <c r="AI1111" s="91">
        <v>4.0209999999999999</v>
      </c>
      <c r="AJ1111" s="91">
        <v>3.8860000000000001</v>
      </c>
      <c r="AK1111" s="91">
        <v>3.5659999999999998</v>
      </c>
      <c r="AL1111" s="91">
        <v>3.8849999999999998</v>
      </c>
      <c r="AM1111" s="95">
        <v>0.52259999999999995</v>
      </c>
      <c r="AN1111" s="95">
        <v>0.26750000000000002</v>
      </c>
      <c r="AO1111" s="95">
        <v>0.5252</v>
      </c>
      <c r="AP1111" s="95">
        <v>0.75619999999999998</v>
      </c>
      <c r="AQ1111" s="95">
        <v>0.3473</v>
      </c>
      <c r="AR1111" s="95">
        <v>0.40250000000000002</v>
      </c>
      <c r="AS1111" s="95">
        <v>0.27460000000000001</v>
      </c>
      <c r="AT1111" s="95">
        <v>0.1065</v>
      </c>
      <c r="AU1111" s="95">
        <v>0.45500000000000002</v>
      </c>
      <c r="AV1111" s="95">
        <v>0.41499999999999998</v>
      </c>
      <c r="AW1111" s="95">
        <v>0.43099999999999999</v>
      </c>
      <c r="AX1111" s="95">
        <v>0.496</v>
      </c>
      <c r="AY1111" s="95">
        <v>0.48199999999999998</v>
      </c>
      <c r="AZ1111" s="95">
        <v>0.41299999999999998</v>
      </c>
      <c r="BA1111" s="95">
        <v>0.48299999999999998</v>
      </c>
      <c r="BB1111" s="95">
        <v>0.497</v>
      </c>
      <c r="BC1111" s="10">
        <v>1</v>
      </c>
      <c r="BD1111" s="10">
        <v>1</v>
      </c>
      <c r="BE1111" s="10">
        <v>1</v>
      </c>
      <c r="BF1111" s="10">
        <v>1</v>
      </c>
      <c r="BG1111" s="10">
        <v>1</v>
      </c>
      <c r="BH1111" s="10">
        <v>1</v>
      </c>
      <c r="BI1111" s="10">
        <v>1</v>
      </c>
      <c r="BJ1111" s="10">
        <v>1</v>
      </c>
      <c r="BK1111" s="91">
        <v>1</v>
      </c>
      <c r="BL1111" s="91">
        <v>1</v>
      </c>
      <c r="BM1111" s="91">
        <v>1</v>
      </c>
      <c r="BN1111" s="91">
        <v>1</v>
      </c>
      <c r="BO1111" s="91">
        <v>1</v>
      </c>
      <c r="BP1111" s="91">
        <v>1</v>
      </c>
      <c r="BQ1111" s="91">
        <v>1</v>
      </c>
      <c r="BR1111" s="91">
        <v>1</v>
      </c>
      <c r="BS1111" s="10" t="s">
        <v>4857</v>
      </c>
    </row>
    <row r="1112" spans="1:71" s="30" customFormat="1" ht="17.100000000000001" customHeight="1">
      <c r="A1112" s="14">
        <v>1101</v>
      </c>
      <c r="B1112" s="5" t="s">
        <v>554</v>
      </c>
      <c r="C1112" s="3" t="s">
        <v>546</v>
      </c>
      <c r="D1112" s="3" t="s">
        <v>555</v>
      </c>
      <c r="E1112" s="6" t="s">
        <v>556</v>
      </c>
      <c r="F1112" s="5" t="s">
        <v>5086</v>
      </c>
      <c r="G1112" s="3" t="s">
        <v>557</v>
      </c>
      <c r="H1112" s="6" t="s">
        <v>558</v>
      </c>
      <c r="I1112" s="3" t="s">
        <v>559</v>
      </c>
      <c r="J1112" s="5" t="s">
        <v>3000</v>
      </c>
      <c r="K1112" s="3" t="s">
        <v>6030</v>
      </c>
      <c r="L1112" s="3" t="s">
        <v>560</v>
      </c>
      <c r="M1112" s="5">
        <v>3</v>
      </c>
      <c r="N1112" s="21">
        <v>1011.8606</v>
      </c>
      <c r="O1112" s="35" t="s">
        <v>4854</v>
      </c>
      <c r="P1112" s="35" t="s">
        <v>4854</v>
      </c>
      <c r="Q1112" s="35" t="s">
        <v>4854</v>
      </c>
      <c r="R1112" s="36" t="str">
        <f>HYPERLINK("http://ms.phosphosite.org:5080/cgi-bin/plot-msms.cgi?MassType=1&amp;NumAxis=1&amp;Mod12=147&amp;Mod21=170&amp;Pep=VPHSLDLSSPNMANTVNAALKPLETLSR&amp;Dta=/var/www/html/dta/S01/10561.11735.3.dta&amp;Global_Mod=CS57.0215", "11735")</f>
        <v>11735</v>
      </c>
      <c r="S1112" s="35" t="s">
        <v>4854</v>
      </c>
      <c r="T1112" s="35" t="s">
        <v>4854</v>
      </c>
      <c r="U1112" s="35" t="s">
        <v>4854</v>
      </c>
      <c r="V1112" s="35" t="s">
        <v>4854</v>
      </c>
      <c r="W1112" s="3" t="s">
        <v>4854</v>
      </c>
      <c r="X1112" s="3" t="s">
        <v>4854</v>
      </c>
      <c r="Y1112" s="3" t="s">
        <v>4854</v>
      </c>
      <c r="Z1112" s="5">
        <v>11940</v>
      </c>
      <c r="AA1112" s="3" t="s">
        <v>4854</v>
      </c>
      <c r="AB1112" s="3" t="s">
        <v>4854</v>
      </c>
      <c r="AC1112" s="3" t="s">
        <v>4854</v>
      </c>
      <c r="AD1112" s="3" t="s">
        <v>4854</v>
      </c>
      <c r="AE1112" s="99" t="s">
        <v>4854</v>
      </c>
      <c r="AF1112" s="99" t="s">
        <v>4854</v>
      </c>
      <c r="AG1112" s="99" t="s">
        <v>4854</v>
      </c>
      <c r="AH1112" s="90">
        <v>2.9689999999999999</v>
      </c>
      <c r="AI1112" s="99" t="s">
        <v>4854</v>
      </c>
      <c r="AJ1112" s="99" t="s">
        <v>4854</v>
      </c>
      <c r="AK1112" s="99" t="s">
        <v>4854</v>
      </c>
      <c r="AL1112" s="99" t="s">
        <v>4854</v>
      </c>
      <c r="AM1112" s="102" t="s">
        <v>4854</v>
      </c>
      <c r="AN1112" s="102" t="s">
        <v>4854</v>
      </c>
      <c r="AO1112" s="102" t="s">
        <v>4854</v>
      </c>
      <c r="AP1112" s="21">
        <v>1.9242999999999999</v>
      </c>
      <c r="AQ1112" s="102" t="s">
        <v>4854</v>
      </c>
      <c r="AR1112" s="102" t="s">
        <v>4854</v>
      </c>
      <c r="AS1112" s="102" t="s">
        <v>4854</v>
      </c>
      <c r="AT1112" s="102" t="s">
        <v>4854</v>
      </c>
      <c r="AU1112" s="102" t="s">
        <v>4854</v>
      </c>
      <c r="AV1112" s="102" t="s">
        <v>4854</v>
      </c>
      <c r="AW1112" s="102" t="s">
        <v>4854</v>
      </c>
      <c r="AX1112" s="21">
        <v>0.36</v>
      </c>
      <c r="AY1112" s="102" t="s">
        <v>4854</v>
      </c>
      <c r="AZ1112" s="102" t="s">
        <v>4854</v>
      </c>
      <c r="BA1112" s="102" t="s">
        <v>4854</v>
      </c>
      <c r="BB1112" s="102" t="s">
        <v>4854</v>
      </c>
      <c r="BC1112" s="3" t="s">
        <v>4854</v>
      </c>
      <c r="BD1112" s="3" t="s">
        <v>4854</v>
      </c>
      <c r="BE1112" s="3" t="s">
        <v>4854</v>
      </c>
      <c r="BF1112" s="5">
        <v>9</v>
      </c>
      <c r="BG1112" s="3" t="s">
        <v>4854</v>
      </c>
      <c r="BH1112" s="3" t="s">
        <v>4854</v>
      </c>
      <c r="BI1112" s="3" t="s">
        <v>4854</v>
      </c>
      <c r="BJ1112" s="3" t="s">
        <v>4854</v>
      </c>
      <c r="BK1112" s="99" t="s">
        <v>4854</v>
      </c>
      <c r="BL1112" s="99" t="s">
        <v>4854</v>
      </c>
      <c r="BM1112" s="99" t="s">
        <v>4854</v>
      </c>
      <c r="BN1112" s="90">
        <v>1</v>
      </c>
      <c r="BO1112" s="99" t="s">
        <v>4854</v>
      </c>
      <c r="BP1112" s="99" t="s">
        <v>4854</v>
      </c>
      <c r="BQ1112" s="99" t="s">
        <v>4854</v>
      </c>
      <c r="BR1112" s="99" t="s">
        <v>4854</v>
      </c>
      <c r="BS1112" s="5" t="s">
        <v>4857</v>
      </c>
    </row>
    <row r="1113" spans="1:71" s="30" customFormat="1" ht="17.100000000000001" customHeight="1">
      <c r="A1113" s="10">
        <v>1102</v>
      </c>
      <c r="B1113" s="10" t="s">
        <v>561</v>
      </c>
      <c r="C1113" s="4" t="s">
        <v>546</v>
      </c>
      <c r="D1113" s="4" t="s">
        <v>562</v>
      </c>
      <c r="E1113" s="4" t="s">
        <v>563</v>
      </c>
      <c r="F1113" s="10" t="s">
        <v>4088</v>
      </c>
      <c r="G1113" s="4" t="s">
        <v>564</v>
      </c>
      <c r="H1113" s="7" t="s">
        <v>565</v>
      </c>
      <c r="I1113" s="4" t="s">
        <v>566</v>
      </c>
      <c r="J1113" s="10" t="s">
        <v>4697</v>
      </c>
      <c r="K1113" s="4" t="s">
        <v>6031</v>
      </c>
      <c r="L1113" s="4" t="s">
        <v>567</v>
      </c>
      <c r="M1113" s="10">
        <v>2</v>
      </c>
      <c r="N1113" s="95">
        <v>707.35209999999995</v>
      </c>
      <c r="O1113" s="37" t="str">
        <f>HYPERLINK("http://ms.phosphosite.org:5080/cgi-bin/plot-msms.cgi?MassType=1&amp;NumAxis=1&amp;Mod12=170&amp;Pep=VSQGVEDGPEAKR&amp;Dta=/var/www/html/dta/S01/10558.2485.2.dta&amp;Global_Mod=CS57.0215", "2485")</f>
        <v>2485</v>
      </c>
      <c r="P1113" s="37" t="str">
        <f>HYPERLINK("http://ms.phosphosite.org:5080/cgi-bin/plot-msms.cgi?MassType=1&amp;NumAxis=1&amp;Mod12=170&amp;Pep=VSQGVEDGPEAKR&amp;Dta=/var/www/html/dta/S01/10559.2460.2.dta&amp;Global_Mod=CS57.0215", "2460")</f>
        <v>2460</v>
      </c>
      <c r="Q1113" s="37" t="str">
        <f>HYPERLINK("http://ms.phosphosite.org:5080/cgi-bin/plot-msms.cgi?MassType=1&amp;NumAxis=1&amp;Mod12=170&amp;Pep=VSQGVEDGPEAKR&amp;Dta=/var/www/html/dta/S01/10560.2413.2.dta&amp;Global_Mod=CS57.0215", "2413")</f>
        <v>2413</v>
      </c>
      <c r="R1113" s="37" t="str">
        <f>HYPERLINK("http://ms.phosphosite.org:5080/cgi-bin/plot-msms.cgi?MassType=1&amp;NumAxis=1&amp;Mod12=170&amp;Pep=VSQGVEDGPEAKR&amp;Dta=/var/www/html/dta/S01/10561.2464.2.dta&amp;Global_Mod=CS57.0215", "2464")</f>
        <v>2464</v>
      </c>
      <c r="S1113" s="38" t="s">
        <v>4854</v>
      </c>
      <c r="T1113" s="38" t="s">
        <v>4854</v>
      </c>
      <c r="U1113" s="37" t="str">
        <f>HYPERLINK("http://ms.phosphosite.org:5080/cgi-bin/plot-msms.cgi?MassType=1&amp;NumAxis=1&amp;Mod12=170&amp;Pep=VSQGVEDGPEAKR&amp;Dta=/var/www/html/dta/S01/10564.2750.2.dta&amp;Global_Mod=CS57.0215", "2750")</f>
        <v>2750</v>
      </c>
      <c r="V1113" s="37" t="str">
        <f>HYPERLINK("http://ms.phosphosite.org:5080/cgi-bin/plot-msms.cgi?MassType=1&amp;NumAxis=1&amp;Mod12=170&amp;Pep=VSQGVEDGPEAKR&amp;Dta=/var/www/html/dta/S01/10565.2824.2.dta&amp;Global_Mod=CS57.0215", "2824")</f>
        <v>2824</v>
      </c>
      <c r="W1113" s="10">
        <v>2477</v>
      </c>
      <c r="X1113" s="10">
        <v>2439</v>
      </c>
      <c r="Y1113" s="10">
        <v>2395</v>
      </c>
      <c r="Z1113" s="10">
        <v>2465</v>
      </c>
      <c r="AA1113" s="4" t="s">
        <v>4854</v>
      </c>
      <c r="AB1113" s="4" t="s">
        <v>4854</v>
      </c>
      <c r="AC1113" s="10">
        <v>2742</v>
      </c>
      <c r="AD1113" s="10">
        <v>2808</v>
      </c>
      <c r="AE1113" s="91">
        <v>3.27</v>
      </c>
      <c r="AF1113" s="91">
        <v>3.222</v>
      </c>
      <c r="AG1113" s="91">
        <v>3.4390000000000001</v>
      </c>
      <c r="AH1113" s="91">
        <v>3.544</v>
      </c>
      <c r="AI1113" s="100" t="s">
        <v>4854</v>
      </c>
      <c r="AJ1113" s="100" t="s">
        <v>4854</v>
      </c>
      <c r="AK1113" s="91">
        <v>3.129</v>
      </c>
      <c r="AL1113" s="91">
        <v>3.226</v>
      </c>
      <c r="AM1113" s="95">
        <v>0.75829999999999997</v>
      </c>
      <c r="AN1113" s="95">
        <v>-0.1414</v>
      </c>
      <c r="AO1113" s="95">
        <v>0.89559999999999995</v>
      </c>
      <c r="AP1113" s="95">
        <v>0.26040000000000002</v>
      </c>
      <c r="AQ1113" s="103" t="s">
        <v>4854</v>
      </c>
      <c r="AR1113" s="103" t="s">
        <v>4854</v>
      </c>
      <c r="AS1113" s="95">
        <v>0.11749999999999999</v>
      </c>
      <c r="AT1113" s="95">
        <v>1.6299999999999999E-2</v>
      </c>
      <c r="AU1113" s="95">
        <v>0.31</v>
      </c>
      <c r="AV1113" s="95">
        <v>0.36499999999999999</v>
      </c>
      <c r="AW1113" s="95">
        <v>0.378</v>
      </c>
      <c r="AX1113" s="95">
        <v>0.40600000000000003</v>
      </c>
      <c r="AY1113" s="103" t="s">
        <v>4854</v>
      </c>
      <c r="AZ1113" s="103" t="s">
        <v>4854</v>
      </c>
      <c r="BA1113" s="95">
        <v>0.378</v>
      </c>
      <c r="BB1113" s="95">
        <v>0.39100000000000001</v>
      </c>
      <c r="BC1113" s="10">
        <v>1</v>
      </c>
      <c r="BD1113" s="10">
        <v>1</v>
      </c>
      <c r="BE1113" s="10">
        <v>1</v>
      </c>
      <c r="BF1113" s="10">
        <v>1</v>
      </c>
      <c r="BG1113" s="4" t="s">
        <v>4854</v>
      </c>
      <c r="BH1113" s="4" t="s">
        <v>4854</v>
      </c>
      <c r="BI1113" s="10">
        <v>1</v>
      </c>
      <c r="BJ1113" s="10">
        <v>1</v>
      </c>
      <c r="BK1113" s="91">
        <v>1</v>
      </c>
      <c r="BL1113" s="91">
        <v>1</v>
      </c>
      <c r="BM1113" s="91">
        <v>1</v>
      </c>
      <c r="BN1113" s="91">
        <v>1</v>
      </c>
      <c r="BO1113" s="100" t="s">
        <v>4854</v>
      </c>
      <c r="BP1113" s="100" t="s">
        <v>4854</v>
      </c>
      <c r="BQ1113" s="91">
        <v>1</v>
      </c>
      <c r="BR1113" s="91">
        <v>1</v>
      </c>
      <c r="BS1113" s="10" t="s">
        <v>4857</v>
      </c>
    </row>
    <row r="1114" spans="1:71" s="30" customFormat="1" ht="17.100000000000001" customHeight="1">
      <c r="A1114" s="14">
        <v>1103</v>
      </c>
      <c r="B1114" s="5" t="s">
        <v>568</v>
      </c>
      <c r="C1114" s="3" t="s">
        <v>546</v>
      </c>
      <c r="D1114" s="3" t="s">
        <v>569</v>
      </c>
      <c r="E1114" s="3" t="s">
        <v>570</v>
      </c>
      <c r="F1114" s="5" t="s">
        <v>571</v>
      </c>
      <c r="G1114" s="3" t="s">
        <v>572</v>
      </c>
      <c r="H1114" s="6" t="s">
        <v>573</v>
      </c>
      <c r="I1114" s="3" t="s">
        <v>574</v>
      </c>
      <c r="J1114" s="5" t="s">
        <v>4463</v>
      </c>
      <c r="K1114" s="3" t="s">
        <v>6032</v>
      </c>
      <c r="L1114" s="3" t="s">
        <v>575</v>
      </c>
      <c r="M1114" s="5">
        <v>3</v>
      </c>
      <c r="N1114" s="21">
        <v>494.61099999999999</v>
      </c>
      <c r="O1114" s="35" t="s">
        <v>4854</v>
      </c>
      <c r="P1114" s="35" t="s">
        <v>4854</v>
      </c>
      <c r="Q1114" s="35" t="s">
        <v>4854</v>
      </c>
      <c r="R1114" s="35" t="s">
        <v>4854</v>
      </c>
      <c r="S1114" s="36" t="str">
        <f>HYPERLINK("http://ms.phosphosite.org:5080/cgi-bin/plot-msms.cgi?MassType=1&amp;NumAxis=1&amp;Mod9=170&amp;Mod13=170&amp;Pep=VVTPDGRGKNRAK&amp;Dta=/var/www/html/dta/S01/10562.4859.3.dta&amp;Global_Mod=CS57.0215", "4859")</f>
        <v>4859</v>
      </c>
      <c r="T1114" s="35" t="s">
        <v>4854</v>
      </c>
      <c r="U1114" s="35" t="s">
        <v>4854</v>
      </c>
      <c r="V1114" s="35" t="s">
        <v>4854</v>
      </c>
      <c r="W1114" s="3" t="s">
        <v>4854</v>
      </c>
      <c r="X1114" s="3" t="s">
        <v>4854</v>
      </c>
      <c r="Y1114" s="3" t="s">
        <v>4854</v>
      </c>
      <c r="Z1114" s="3" t="s">
        <v>4854</v>
      </c>
      <c r="AA1114" s="3" t="s">
        <v>4854</v>
      </c>
      <c r="AB1114" s="3" t="s">
        <v>4854</v>
      </c>
      <c r="AC1114" s="3" t="s">
        <v>4854</v>
      </c>
      <c r="AD1114" s="3" t="s">
        <v>4854</v>
      </c>
      <c r="AE1114" s="99" t="s">
        <v>4854</v>
      </c>
      <c r="AF1114" s="99" t="s">
        <v>4854</v>
      </c>
      <c r="AG1114" s="99" t="s">
        <v>4854</v>
      </c>
      <c r="AH1114" s="99" t="s">
        <v>4854</v>
      </c>
      <c r="AI1114" s="90">
        <v>2.569</v>
      </c>
      <c r="AJ1114" s="99" t="s">
        <v>4854</v>
      </c>
      <c r="AK1114" s="99" t="s">
        <v>4854</v>
      </c>
      <c r="AL1114" s="99" t="s">
        <v>4854</v>
      </c>
      <c r="AM1114" s="102" t="s">
        <v>4854</v>
      </c>
      <c r="AN1114" s="102" t="s">
        <v>4854</v>
      </c>
      <c r="AO1114" s="102" t="s">
        <v>4854</v>
      </c>
      <c r="AP1114" s="102" t="s">
        <v>4854</v>
      </c>
      <c r="AQ1114" s="21">
        <v>0.37759999999999999</v>
      </c>
      <c r="AR1114" s="102" t="s">
        <v>4854</v>
      </c>
      <c r="AS1114" s="102" t="s">
        <v>4854</v>
      </c>
      <c r="AT1114" s="102" t="s">
        <v>4854</v>
      </c>
      <c r="AU1114" s="102" t="s">
        <v>4854</v>
      </c>
      <c r="AV1114" s="102" t="s">
        <v>4854</v>
      </c>
      <c r="AW1114" s="102" t="s">
        <v>4854</v>
      </c>
      <c r="AX1114" s="102" t="s">
        <v>4854</v>
      </c>
      <c r="AY1114" s="21">
        <v>1.2999999999999999E-2</v>
      </c>
      <c r="AZ1114" s="102" t="s">
        <v>4854</v>
      </c>
      <c r="BA1114" s="102" t="s">
        <v>4854</v>
      </c>
      <c r="BB1114" s="102" t="s">
        <v>4854</v>
      </c>
      <c r="BC1114" s="3" t="s">
        <v>4854</v>
      </c>
      <c r="BD1114" s="3" t="s">
        <v>4854</v>
      </c>
      <c r="BE1114" s="3" t="s">
        <v>4854</v>
      </c>
      <c r="BF1114" s="3" t="s">
        <v>4854</v>
      </c>
      <c r="BG1114" s="5">
        <v>10</v>
      </c>
      <c r="BH1114" s="3" t="s">
        <v>4854</v>
      </c>
      <c r="BI1114" s="3" t="s">
        <v>4854</v>
      </c>
      <c r="BJ1114" s="3" t="s">
        <v>4854</v>
      </c>
      <c r="BK1114" s="99" t="s">
        <v>4854</v>
      </c>
      <c r="BL1114" s="99" t="s">
        <v>4854</v>
      </c>
      <c r="BM1114" s="99" t="s">
        <v>4854</v>
      </c>
      <c r="BN1114" s="99" t="s">
        <v>4854</v>
      </c>
      <c r="BO1114" s="90">
        <v>0.54900000000000004</v>
      </c>
      <c r="BP1114" s="99" t="s">
        <v>4854</v>
      </c>
      <c r="BQ1114" s="99" t="s">
        <v>4854</v>
      </c>
      <c r="BR1114" s="99" t="s">
        <v>4854</v>
      </c>
      <c r="BS1114" s="5" t="s">
        <v>4857</v>
      </c>
    </row>
    <row r="1115" spans="1:71" s="30" customFormat="1" ht="17.100000000000001" customHeight="1">
      <c r="A1115" s="10">
        <v>1104</v>
      </c>
      <c r="B1115" s="10" t="s">
        <v>576</v>
      </c>
      <c r="C1115" s="4" t="s">
        <v>546</v>
      </c>
      <c r="D1115" s="4" t="s">
        <v>577</v>
      </c>
      <c r="E1115" s="7" t="s">
        <v>578</v>
      </c>
      <c r="F1115" s="10" t="s">
        <v>5011</v>
      </c>
      <c r="G1115" s="4" t="s">
        <v>579</v>
      </c>
      <c r="H1115" s="7" t="s">
        <v>580</v>
      </c>
      <c r="I1115" s="4" t="s">
        <v>581</v>
      </c>
      <c r="J1115" s="10" t="s">
        <v>4390</v>
      </c>
      <c r="K1115" s="4" t="s">
        <v>6033</v>
      </c>
      <c r="L1115" s="4" t="s">
        <v>582</v>
      </c>
      <c r="M1115" s="10">
        <v>3</v>
      </c>
      <c r="N1115" s="95">
        <v>727.35879999999997</v>
      </c>
      <c r="O1115" s="38" t="s">
        <v>4854</v>
      </c>
      <c r="P1115" s="38" t="s">
        <v>4854</v>
      </c>
      <c r="Q1115" s="37" t="str">
        <f>HYPERLINK("http://ms.phosphosite.org:5080/cgi-bin/plot-msms.cgi?MassType=1&amp;NumAxis=1&amp;Mod14=170&amp;Pep=QPAENVNQYLTDSKFVER&amp;Dta=/var/www/html/dta/S01/10560.9422.3.dta&amp;Global_Mod=CS57.0215", "9422")</f>
        <v>9422</v>
      </c>
      <c r="R1115" s="38" t="s">
        <v>4854</v>
      </c>
      <c r="S1115" s="38" t="s">
        <v>4854</v>
      </c>
      <c r="T1115" s="38" t="s">
        <v>4854</v>
      </c>
      <c r="U1115" s="38" t="s">
        <v>4854</v>
      </c>
      <c r="V1115" s="38" t="s">
        <v>4854</v>
      </c>
      <c r="W1115" s="4" t="s">
        <v>4854</v>
      </c>
      <c r="X1115" s="4" t="s">
        <v>4854</v>
      </c>
      <c r="Y1115" s="4" t="s">
        <v>4854</v>
      </c>
      <c r="Z1115" s="4" t="s">
        <v>4854</v>
      </c>
      <c r="AA1115" s="4" t="s">
        <v>4854</v>
      </c>
      <c r="AB1115" s="4" t="s">
        <v>4854</v>
      </c>
      <c r="AC1115" s="4" t="s">
        <v>4854</v>
      </c>
      <c r="AD1115" s="4" t="s">
        <v>4854</v>
      </c>
      <c r="AE1115" s="100" t="s">
        <v>4854</v>
      </c>
      <c r="AF1115" s="100" t="s">
        <v>4854</v>
      </c>
      <c r="AG1115" s="91">
        <v>2.97</v>
      </c>
      <c r="AH1115" s="100" t="s">
        <v>4854</v>
      </c>
      <c r="AI1115" s="100" t="s">
        <v>4854</v>
      </c>
      <c r="AJ1115" s="100" t="s">
        <v>4854</v>
      </c>
      <c r="AK1115" s="100" t="s">
        <v>4854</v>
      </c>
      <c r="AL1115" s="100" t="s">
        <v>4854</v>
      </c>
      <c r="AM1115" s="103" t="s">
        <v>4854</v>
      </c>
      <c r="AN1115" s="103" t="s">
        <v>4854</v>
      </c>
      <c r="AO1115" s="95">
        <v>-1.6301000000000001</v>
      </c>
      <c r="AP1115" s="103" t="s">
        <v>4854</v>
      </c>
      <c r="AQ1115" s="103" t="s">
        <v>4854</v>
      </c>
      <c r="AR1115" s="103" t="s">
        <v>4854</v>
      </c>
      <c r="AS1115" s="103" t="s">
        <v>4854</v>
      </c>
      <c r="AT1115" s="103" t="s">
        <v>4854</v>
      </c>
      <c r="AU1115" s="103" t="s">
        <v>4854</v>
      </c>
      <c r="AV1115" s="103" t="s">
        <v>4854</v>
      </c>
      <c r="AW1115" s="95">
        <v>0.15</v>
      </c>
      <c r="AX1115" s="103" t="s">
        <v>4854</v>
      </c>
      <c r="AY1115" s="103" t="s">
        <v>4854</v>
      </c>
      <c r="AZ1115" s="103" t="s">
        <v>4854</v>
      </c>
      <c r="BA1115" s="103" t="s">
        <v>4854</v>
      </c>
      <c r="BB1115" s="103" t="s">
        <v>4854</v>
      </c>
      <c r="BC1115" s="4" t="s">
        <v>4854</v>
      </c>
      <c r="BD1115" s="4" t="s">
        <v>4854</v>
      </c>
      <c r="BE1115" s="10">
        <v>29</v>
      </c>
      <c r="BF1115" s="4" t="s">
        <v>4854</v>
      </c>
      <c r="BG1115" s="4" t="s">
        <v>4854</v>
      </c>
      <c r="BH1115" s="4" t="s">
        <v>4854</v>
      </c>
      <c r="BI1115" s="4" t="s">
        <v>4854</v>
      </c>
      <c r="BJ1115" s="4" t="s">
        <v>4854</v>
      </c>
      <c r="BK1115" s="100" t="s">
        <v>4854</v>
      </c>
      <c r="BL1115" s="100" t="s">
        <v>4854</v>
      </c>
      <c r="BM1115" s="91">
        <v>0.80200000000000005</v>
      </c>
      <c r="BN1115" s="100" t="s">
        <v>4854</v>
      </c>
      <c r="BO1115" s="100" t="s">
        <v>4854</v>
      </c>
      <c r="BP1115" s="100" t="s">
        <v>4854</v>
      </c>
      <c r="BQ1115" s="100" t="s">
        <v>4854</v>
      </c>
      <c r="BR1115" s="100" t="s">
        <v>4854</v>
      </c>
      <c r="BS1115" s="10" t="s">
        <v>4857</v>
      </c>
    </row>
    <row r="1116" spans="1:71" s="30" customFormat="1" ht="17.100000000000001" customHeight="1">
      <c r="A1116" s="14">
        <v>1105</v>
      </c>
      <c r="B1116" s="5" t="s">
        <v>583</v>
      </c>
      <c r="C1116" s="3" t="s">
        <v>546</v>
      </c>
      <c r="D1116" s="3" t="s">
        <v>584</v>
      </c>
      <c r="E1116" s="3" t="s">
        <v>585</v>
      </c>
      <c r="F1116" s="5" t="s">
        <v>5186</v>
      </c>
      <c r="G1116" s="3" t="s">
        <v>586</v>
      </c>
      <c r="H1116" s="6" t="s">
        <v>587</v>
      </c>
      <c r="I1116" s="3" t="s">
        <v>461</v>
      </c>
      <c r="J1116" s="5" t="s">
        <v>4849</v>
      </c>
      <c r="K1116" s="3" t="s">
        <v>6034</v>
      </c>
      <c r="L1116" s="3" t="s">
        <v>462</v>
      </c>
      <c r="M1116" s="5">
        <v>3</v>
      </c>
      <c r="N1116" s="21">
        <v>581.29079999999999</v>
      </c>
      <c r="O1116" s="35" t="s">
        <v>4854</v>
      </c>
      <c r="P1116" s="35" t="s">
        <v>4854</v>
      </c>
      <c r="Q1116" s="35" t="s">
        <v>4854</v>
      </c>
      <c r="R1116" s="35" t="s">
        <v>4854</v>
      </c>
      <c r="S1116" s="35" t="s">
        <v>4854</v>
      </c>
      <c r="T1116" s="35" t="s">
        <v>4854</v>
      </c>
      <c r="U1116" s="35" t="s">
        <v>4854</v>
      </c>
      <c r="V1116" s="36" t="str">
        <f>HYPERLINK("http://ms.phosphosite.org:5080/cgi-bin/plot-msms.cgi?MassType=1&amp;NumAxis=1&amp;Mod3=160&amp;Mod6=170&amp;Pep=IECGPKYPEAPPSVR&amp;Dta=/var/www/html/dta/S01/10565.6147.3.dta&amp;Global_Mod=CS57.0215", "6147")</f>
        <v>6147</v>
      </c>
      <c r="W1116" s="3" t="s">
        <v>4854</v>
      </c>
      <c r="X1116" s="3" t="s">
        <v>4854</v>
      </c>
      <c r="Y1116" s="3" t="s">
        <v>4854</v>
      </c>
      <c r="Z1116" s="3" t="s">
        <v>4854</v>
      </c>
      <c r="AA1116" s="3" t="s">
        <v>4854</v>
      </c>
      <c r="AB1116" s="3" t="s">
        <v>4854</v>
      </c>
      <c r="AC1116" s="3" t="s">
        <v>4854</v>
      </c>
      <c r="AD1116" s="5">
        <v>6152</v>
      </c>
      <c r="AE1116" s="99" t="s">
        <v>4854</v>
      </c>
      <c r="AF1116" s="99" t="s">
        <v>4854</v>
      </c>
      <c r="AG1116" s="99" t="s">
        <v>4854</v>
      </c>
      <c r="AH1116" s="99" t="s">
        <v>4854</v>
      </c>
      <c r="AI1116" s="99" t="s">
        <v>4854</v>
      </c>
      <c r="AJ1116" s="99" t="s">
        <v>4854</v>
      </c>
      <c r="AK1116" s="99" t="s">
        <v>4854</v>
      </c>
      <c r="AL1116" s="90">
        <v>2.6160000000000001</v>
      </c>
      <c r="AM1116" s="102" t="s">
        <v>4854</v>
      </c>
      <c r="AN1116" s="102" t="s">
        <v>4854</v>
      </c>
      <c r="AO1116" s="102" t="s">
        <v>4854</v>
      </c>
      <c r="AP1116" s="102" t="s">
        <v>4854</v>
      </c>
      <c r="AQ1116" s="102" t="s">
        <v>4854</v>
      </c>
      <c r="AR1116" s="102" t="s">
        <v>4854</v>
      </c>
      <c r="AS1116" s="102" t="s">
        <v>4854</v>
      </c>
      <c r="AT1116" s="21">
        <v>-0.6643</v>
      </c>
      <c r="AU1116" s="102" t="s">
        <v>4854</v>
      </c>
      <c r="AV1116" s="102" t="s">
        <v>4854</v>
      </c>
      <c r="AW1116" s="102" t="s">
        <v>4854</v>
      </c>
      <c r="AX1116" s="102" t="s">
        <v>4854</v>
      </c>
      <c r="AY1116" s="102" t="s">
        <v>4854</v>
      </c>
      <c r="AZ1116" s="102" t="s">
        <v>4854</v>
      </c>
      <c r="BA1116" s="102" t="s">
        <v>4854</v>
      </c>
      <c r="BB1116" s="21">
        <v>6.8000000000000005E-2</v>
      </c>
      <c r="BC1116" s="3" t="s">
        <v>4854</v>
      </c>
      <c r="BD1116" s="3" t="s">
        <v>4854</v>
      </c>
      <c r="BE1116" s="3" t="s">
        <v>4854</v>
      </c>
      <c r="BF1116" s="3" t="s">
        <v>4854</v>
      </c>
      <c r="BG1116" s="3" t="s">
        <v>4854</v>
      </c>
      <c r="BH1116" s="3" t="s">
        <v>4854</v>
      </c>
      <c r="BI1116" s="3" t="s">
        <v>4854</v>
      </c>
      <c r="BJ1116" s="5">
        <v>1</v>
      </c>
      <c r="BK1116" s="99" t="s">
        <v>4854</v>
      </c>
      <c r="BL1116" s="99" t="s">
        <v>4854</v>
      </c>
      <c r="BM1116" s="99" t="s">
        <v>4854</v>
      </c>
      <c r="BN1116" s="99" t="s">
        <v>4854</v>
      </c>
      <c r="BO1116" s="99" t="s">
        <v>4854</v>
      </c>
      <c r="BP1116" s="99" t="s">
        <v>4854</v>
      </c>
      <c r="BQ1116" s="99" t="s">
        <v>4854</v>
      </c>
      <c r="BR1116" s="90">
        <v>0.96699999999999997</v>
      </c>
      <c r="BS1116" s="5" t="s">
        <v>4857</v>
      </c>
    </row>
    <row r="1117" spans="1:71" s="30" customFormat="1" ht="17.100000000000001" customHeight="1">
      <c r="A1117" s="10">
        <v>1106</v>
      </c>
      <c r="B1117" s="10" t="s">
        <v>463</v>
      </c>
      <c r="C1117" s="4" t="s">
        <v>546</v>
      </c>
      <c r="D1117" s="4" t="s">
        <v>464</v>
      </c>
      <c r="E1117" s="4" t="s">
        <v>465</v>
      </c>
      <c r="F1117" s="10" t="s">
        <v>4448</v>
      </c>
      <c r="G1117" s="4" t="s">
        <v>466</v>
      </c>
      <c r="H1117" s="7" t="s">
        <v>467</v>
      </c>
      <c r="I1117" s="4" t="s">
        <v>468</v>
      </c>
      <c r="J1117" s="10" t="s">
        <v>4430</v>
      </c>
      <c r="K1117" s="4" t="s">
        <v>6035</v>
      </c>
      <c r="L1117" s="4" t="s">
        <v>469</v>
      </c>
      <c r="M1117" s="10">
        <v>4</v>
      </c>
      <c r="N1117" s="95">
        <v>686.58230000000003</v>
      </c>
      <c r="O1117" s="37" t="str">
        <f>HYPERLINK("http://ms.phosphosite.org:5080/cgi-bin/plot-msms.cgi?MassType=1&amp;NumAxis=1&amp;Mod2=170&amp;Mod20=160&amp;Pep=GKLQVFGLYSGEEFHETFDCPIK&amp;Dta=/var/www/html/dta/S01/10558.6038.4.dta&amp;Global_Mod=CS57.0215", "6038")</f>
        <v>6038</v>
      </c>
      <c r="P1117" s="38" t="s">
        <v>4854</v>
      </c>
      <c r="Q1117" s="38" t="s">
        <v>4854</v>
      </c>
      <c r="R1117" s="38" t="s">
        <v>4854</v>
      </c>
      <c r="S1117" s="38" t="s">
        <v>4854</v>
      </c>
      <c r="T1117" s="38" t="s">
        <v>4854</v>
      </c>
      <c r="U1117" s="38" t="s">
        <v>4854</v>
      </c>
      <c r="V1117" s="38" t="s">
        <v>4854</v>
      </c>
      <c r="W1117" s="4" t="s">
        <v>4854</v>
      </c>
      <c r="X1117" s="4" t="s">
        <v>4854</v>
      </c>
      <c r="Y1117" s="4" t="s">
        <v>4854</v>
      </c>
      <c r="Z1117" s="4" t="s">
        <v>4854</v>
      </c>
      <c r="AA1117" s="4" t="s">
        <v>4854</v>
      </c>
      <c r="AB1117" s="4" t="s">
        <v>4854</v>
      </c>
      <c r="AC1117" s="4" t="s">
        <v>4854</v>
      </c>
      <c r="AD1117" s="4" t="s">
        <v>4854</v>
      </c>
      <c r="AE1117" s="91">
        <v>2.8319999999999999</v>
      </c>
      <c r="AF1117" s="100" t="s">
        <v>4854</v>
      </c>
      <c r="AG1117" s="100" t="s">
        <v>4854</v>
      </c>
      <c r="AH1117" s="100" t="s">
        <v>4854</v>
      </c>
      <c r="AI1117" s="100" t="s">
        <v>4854</v>
      </c>
      <c r="AJ1117" s="100" t="s">
        <v>4854</v>
      </c>
      <c r="AK1117" s="100" t="s">
        <v>4854</v>
      </c>
      <c r="AL1117" s="100" t="s">
        <v>4854</v>
      </c>
      <c r="AM1117" s="95">
        <v>1.4498</v>
      </c>
      <c r="AN1117" s="103" t="s">
        <v>4854</v>
      </c>
      <c r="AO1117" s="103" t="s">
        <v>4854</v>
      </c>
      <c r="AP1117" s="103" t="s">
        <v>4854</v>
      </c>
      <c r="AQ1117" s="103" t="s">
        <v>4854</v>
      </c>
      <c r="AR1117" s="103" t="s">
        <v>4854</v>
      </c>
      <c r="AS1117" s="103" t="s">
        <v>4854</v>
      </c>
      <c r="AT1117" s="103" t="s">
        <v>4854</v>
      </c>
      <c r="AU1117" s="95">
        <v>1.2999999999999999E-2</v>
      </c>
      <c r="AV1117" s="103" t="s">
        <v>4854</v>
      </c>
      <c r="AW1117" s="103" t="s">
        <v>4854</v>
      </c>
      <c r="AX1117" s="103" t="s">
        <v>4854</v>
      </c>
      <c r="AY1117" s="103" t="s">
        <v>4854</v>
      </c>
      <c r="AZ1117" s="103" t="s">
        <v>4854</v>
      </c>
      <c r="BA1117" s="103" t="s">
        <v>4854</v>
      </c>
      <c r="BB1117" s="103" t="s">
        <v>4854</v>
      </c>
      <c r="BC1117" s="10">
        <v>4</v>
      </c>
      <c r="BD1117" s="4" t="s">
        <v>4854</v>
      </c>
      <c r="BE1117" s="4" t="s">
        <v>4854</v>
      </c>
      <c r="BF1117" s="4" t="s">
        <v>4854</v>
      </c>
      <c r="BG1117" s="4" t="s">
        <v>4854</v>
      </c>
      <c r="BH1117" s="4" t="s">
        <v>4854</v>
      </c>
      <c r="BI1117" s="4" t="s">
        <v>4854</v>
      </c>
      <c r="BJ1117" s="4" t="s">
        <v>4854</v>
      </c>
      <c r="BK1117" s="91">
        <v>6.6000000000000003E-2</v>
      </c>
      <c r="BL1117" s="100" t="s">
        <v>4854</v>
      </c>
      <c r="BM1117" s="100" t="s">
        <v>4854</v>
      </c>
      <c r="BN1117" s="100" t="s">
        <v>4854</v>
      </c>
      <c r="BO1117" s="100" t="s">
        <v>4854</v>
      </c>
      <c r="BP1117" s="100" t="s">
        <v>4854</v>
      </c>
      <c r="BQ1117" s="100" t="s">
        <v>4854</v>
      </c>
      <c r="BR1117" s="100" t="s">
        <v>4854</v>
      </c>
      <c r="BS1117" s="10" t="s">
        <v>4857</v>
      </c>
    </row>
    <row r="1118" spans="1:71" ht="17.100000000000001" customHeight="1">
      <c r="A1118" s="31">
        <v>1107</v>
      </c>
      <c r="B1118" s="2" t="s">
        <v>470</v>
      </c>
      <c r="C1118" s="1"/>
      <c r="D1118" s="1"/>
      <c r="E1118" s="1"/>
      <c r="F1118" s="1"/>
      <c r="G1118" s="1"/>
      <c r="H1118" s="1"/>
      <c r="I1118" s="1"/>
      <c r="J1118" s="1"/>
      <c r="K1118" s="1"/>
      <c r="L1118" s="1"/>
      <c r="M1118" s="1"/>
      <c r="N1118" s="94"/>
      <c r="O1118" s="34"/>
      <c r="P1118" s="34"/>
      <c r="Q1118" s="34"/>
      <c r="R1118" s="34"/>
      <c r="S1118" s="34"/>
      <c r="T1118" s="34"/>
      <c r="U1118" s="34"/>
      <c r="V1118" s="34"/>
      <c r="W1118" s="1"/>
      <c r="X1118" s="1"/>
      <c r="Y1118" s="1"/>
      <c r="Z1118" s="1"/>
      <c r="AA1118" s="1"/>
      <c r="AB1118" s="1"/>
      <c r="AC1118" s="1"/>
      <c r="AD1118" s="1"/>
      <c r="AE1118" s="89"/>
      <c r="AF1118" s="89"/>
      <c r="AG1118" s="89"/>
      <c r="AH1118" s="89"/>
      <c r="AI1118" s="89"/>
      <c r="AJ1118" s="89"/>
      <c r="AK1118" s="89"/>
      <c r="AL1118" s="89"/>
      <c r="AM1118" s="94"/>
      <c r="AN1118" s="94"/>
      <c r="AO1118" s="94"/>
      <c r="AP1118" s="94"/>
      <c r="AQ1118" s="94"/>
      <c r="AR1118" s="94"/>
      <c r="AS1118" s="94"/>
      <c r="AT1118" s="94"/>
      <c r="AU1118" s="94"/>
      <c r="AV1118" s="94"/>
      <c r="AW1118" s="94"/>
      <c r="AX1118" s="94"/>
      <c r="AY1118" s="94"/>
      <c r="AZ1118" s="94"/>
      <c r="BA1118" s="94"/>
      <c r="BB1118" s="94"/>
      <c r="BC1118" s="1"/>
      <c r="BD1118" s="1"/>
      <c r="BE1118" s="1"/>
      <c r="BF1118" s="1"/>
      <c r="BG1118" s="1"/>
      <c r="BH1118" s="1"/>
      <c r="BI1118" s="1"/>
      <c r="BJ1118" s="1"/>
      <c r="BK1118" s="89"/>
      <c r="BL1118" s="89"/>
      <c r="BM1118" s="89"/>
      <c r="BN1118" s="89"/>
      <c r="BO1118" s="89"/>
      <c r="BP1118" s="89"/>
      <c r="BQ1118" s="89"/>
      <c r="BR1118" s="89"/>
      <c r="BS1118" s="1"/>
    </row>
    <row r="1119" spans="1:71" s="30" customFormat="1" ht="17.100000000000001" customHeight="1">
      <c r="A1119" s="14">
        <v>1108</v>
      </c>
      <c r="B1119" s="5" t="s">
        <v>471</v>
      </c>
      <c r="C1119" s="3" t="s">
        <v>470</v>
      </c>
      <c r="D1119" s="3" t="s">
        <v>472</v>
      </c>
      <c r="E1119" s="3" t="s">
        <v>473</v>
      </c>
      <c r="F1119" s="5" t="s">
        <v>4967</v>
      </c>
      <c r="G1119" s="3" t="s">
        <v>474</v>
      </c>
      <c r="H1119" s="6" t="s">
        <v>475</v>
      </c>
      <c r="I1119" s="3" t="s">
        <v>476</v>
      </c>
      <c r="J1119" s="5" t="s">
        <v>4384</v>
      </c>
      <c r="K1119" s="3" t="s">
        <v>6036</v>
      </c>
      <c r="L1119" s="3" t="s">
        <v>477</v>
      </c>
      <c r="M1119" s="5">
        <v>2</v>
      </c>
      <c r="N1119" s="21">
        <v>803.42780000000005</v>
      </c>
      <c r="O1119" s="36" t="str">
        <f>HYPERLINK("http://ms.phosphosite.org:5080/cgi-bin/plot-msms.cgi?MassType=1&amp;NumAxis=1&amp;Mod4=170&amp;Pep=AYSKNVEGQDLVLK&amp;Dta=/var/www/html/dta/S01/10558.7048.2.dta&amp;Global_Mod=CS57.0215", "7048")</f>
        <v>7048</v>
      </c>
      <c r="P1119" s="35" t="s">
        <v>4854</v>
      </c>
      <c r="Q1119" s="35" t="s">
        <v>4854</v>
      </c>
      <c r="R1119" s="35" t="s">
        <v>4854</v>
      </c>
      <c r="S1119" s="35" t="s">
        <v>4854</v>
      </c>
      <c r="T1119" s="35" t="s">
        <v>4854</v>
      </c>
      <c r="U1119" s="36" t="str">
        <f>HYPERLINK("http://ms.phosphosite.org:5080/cgi-bin/plot-msms.cgi?MassType=1&amp;NumAxis=1&amp;Mod4=170&amp;Pep=AYSKNVEGQDLVLK&amp;Dta=/var/www/html/dta/S01/10564.7474.2.dta&amp;Global_Mod=CS57.0215", "7474")</f>
        <v>7474</v>
      </c>
      <c r="V1119" s="35" t="s">
        <v>4854</v>
      </c>
      <c r="W1119" s="5">
        <v>7061</v>
      </c>
      <c r="X1119" s="3" t="s">
        <v>4854</v>
      </c>
      <c r="Y1119" s="3" t="s">
        <v>4854</v>
      </c>
      <c r="Z1119" s="3" t="s">
        <v>4854</v>
      </c>
      <c r="AA1119" s="3" t="s">
        <v>4854</v>
      </c>
      <c r="AB1119" s="3" t="s">
        <v>4854</v>
      </c>
      <c r="AC1119" s="5">
        <v>7475</v>
      </c>
      <c r="AD1119" s="3" t="s">
        <v>4854</v>
      </c>
      <c r="AE1119" s="90">
        <v>3.0190000000000001</v>
      </c>
      <c r="AF1119" s="99" t="s">
        <v>4854</v>
      </c>
      <c r="AG1119" s="99" t="s">
        <v>4854</v>
      </c>
      <c r="AH1119" s="99" t="s">
        <v>4854</v>
      </c>
      <c r="AI1119" s="99" t="s">
        <v>4854</v>
      </c>
      <c r="AJ1119" s="99" t="s">
        <v>4854</v>
      </c>
      <c r="AK1119" s="90">
        <v>2.7970000000000002</v>
      </c>
      <c r="AL1119" s="99" t="s">
        <v>4854</v>
      </c>
      <c r="AM1119" s="21">
        <v>0.60950000000000004</v>
      </c>
      <c r="AN1119" s="102" t="s">
        <v>4854</v>
      </c>
      <c r="AO1119" s="102" t="s">
        <v>4854</v>
      </c>
      <c r="AP1119" s="102" t="s">
        <v>4854</v>
      </c>
      <c r="AQ1119" s="102" t="s">
        <v>4854</v>
      </c>
      <c r="AR1119" s="102" t="s">
        <v>4854</v>
      </c>
      <c r="AS1119" s="21">
        <v>0.58209999999999995</v>
      </c>
      <c r="AT1119" s="102" t="s">
        <v>4854</v>
      </c>
      <c r="AU1119" s="21">
        <v>0.18</v>
      </c>
      <c r="AV1119" s="102" t="s">
        <v>4854</v>
      </c>
      <c r="AW1119" s="102" t="s">
        <v>4854</v>
      </c>
      <c r="AX1119" s="102" t="s">
        <v>4854</v>
      </c>
      <c r="AY1119" s="102" t="s">
        <v>4854</v>
      </c>
      <c r="AZ1119" s="102" t="s">
        <v>4854</v>
      </c>
      <c r="BA1119" s="21">
        <v>0.23699999999999999</v>
      </c>
      <c r="BB1119" s="102" t="s">
        <v>4854</v>
      </c>
      <c r="BC1119" s="5">
        <v>3</v>
      </c>
      <c r="BD1119" s="3" t="s">
        <v>4854</v>
      </c>
      <c r="BE1119" s="3" t="s">
        <v>4854</v>
      </c>
      <c r="BF1119" s="3" t="s">
        <v>4854</v>
      </c>
      <c r="BG1119" s="3" t="s">
        <v>4854</v>
      </c>
      <c r="BH1119" s="3" t="s">
        <v>4854</v>
      </c>
      <c r="BI1119" s="5">
        <v>1</v>
      </c>
      <c r="BJ1119" s="3" t="s">
        <v>4854</v>
      </c>
      <c r="BK1119" s="90">
        <v>0.998</v>
      </c>
      <c r="BL1119" s="99" t="s">
        <v>4854</v>
      </c>
      <c r="BM1119" s="99" t="s">
        <v>4854</v>
      </c>
      <c r="BN1119" s="99" t="s">
        <v>4854</v>
      </c>
      <c r="BO1119" s="99" t="s">
        <v>4854</v>
      </c>
      <c r="BP1119" s="99" t="s">
        <v>4854</v>
      </c>
      <c r="BQ1119" s="90">
        <v>0.999</v>
      </c>
      <c r="BR1119" s="99" t="s">
        <v>4854</v>
      </c>
      <c r="BS1119" s="5" t="s">
        <v>4857</v>
      </c>
    </row>
    <row r="1120" spans="1:71" s="30" customFormat="1" ht="17.100000000000001" customHeight="1">
      <c r="A1120" s="10">
        <v>1109</v>
      </c>
      <c r="B1120" s="10" t="s">
        <v>478</v>
      </c>
      <c r="C1120" s="4" t="s">
        <v>470</v>
      </c>
      <c r="D1120" s="4" t="s">
        <v>479</v>
      </c>
      <c r="E1120" s="4" t="s">
        <v>480</v>
      </c>
      <c r="F1120" s="10" t="s">
        <v>5252</v>
      </c>
      <c r="G1120" s="4" t="s">
        <v>481</v>
      </c>
      <c r="H1120" s="7" t="s">
        <v>482</v>
      </c>
      <c r="I1120" s="4" t="s">
        <v>483</v>
      </c>
      <c r="J1120" s="10" t="s">
        <v>4672</v>
      </c>
      <c r="K1120" s="4" t="s">
        <v>6037</v>
      </c>
      <c r="L1120" s="4" t="s">
        <v>484</v>
      </c>
      <c r="M1120" s="10">
        <v>3</v>
      </c>
      <c r="N1120" s="95">
        <v>895.41849999999999</v>
      </c>
      <c r="O1120" s="38" t="s">
        <v>4854</v>
      </c>
      <c r="P1120" s="38" t="s">
        <v>4854</v>
      </c>
      <c r="Q1120" s="37" t="str">
        <f>HYPERLINK("http://ms.phosphosite.org:5080/cgi-bin/plot-msms.cgi?MassType=1&amp;NumAxis=1&amp;Mod15=160&amp;Mod16=170&amp;Pep=KLTALDYHNPSGFNCKDETEFR&amp;Dta=/var/www/html/dta/S01/10560.7153.3.dta&amp;Global_Mod=CS57.0215", "7153")</f>
        <v>7153</v>
      </c>
      <c r="R1120" s="38" t="s">
        <v>4854</v>
      </c>
      <c r="S1120" s="38" t="s">
        <v>4854</v>
      </c>
      <c r="T1120" s="38" t="s">
        <v>4854</v>
      </c>
      <c r="U1120" s="38" t="s">
        <v>4854</v>
      </c>
      <c r="V1120" s="38" t="s">
        <v>4854</v>
      </c>
      <c r="W1120" s="4" t="s">
        <v>4854</v>
      </c>
      <c r="X1120" s="4" t="s">
        <v>4854</v>
      </c>
      <c r="Y1120" s="10">
        <v>7125</v>
      </c>
      <c r="Z1120" s="4" t="s">
        <v>4854</v>
      </c>
      <c r="AA1120" s="4" t="s">
        <v>4854</v>
      </c>
      <c r="AB1120" s="4" t="s">
        <v>4854</v>
      </c>
      <c r="AC1120" s="4" t="s">
        <v>4854</v>
      </c>
      <c r="AD1120" s="4" t="s">
        <v>4854</v>
      </c>
      <c r="AE1120" s="100" t="s">
        <v>4854</v>
      </c>
      <c r="AF1120" s="100" t="s">
        <v>4854</v>
      </c>
      <c r="AG1120" s="91">
        <v>4.3419999999999996</v>
      </c>
      <c r="AH1120" s="100" t="s">
        <v>4854</v>
      </c>
      <c r="AI1120" s="100" t="s">
        <v>4854</v>
      </c>
      <c r="AJ1120" s="100" t="s">
        <v>4854</v>
      </c>
      <c r="AK1120" s="100" t="s">
        <v>4854</v>
      </c>
      <c r="AL1120" s="100" t="s">
        <v>4854</v>
      </c>
      <c r="AM1120" s="103" t="s">
        <v>4854</v>
      </c>
      <c r="AN1120" s="103" t="s">
        <v>4854</v>
      </c>
      <c r="AO1120" s="95">
        <v>0.88729999999999998</v>
      </c>
      <c r="AP1120" s="103" t="s">
        <v>4854</v>
      </c>
      <c r="AQ1120" s="103" t="s">
        <v>4854</v>
      </c>
      <c r="AR1120" s="103" t="s">
        <v>4854</v>
      </c>
      <c r="AS1120" s="103" t="s">
        <v>4854</v>
      </c>
      <c r="AT1120" s="103" t="s">
        <v>4854</v>
      </c>
      <c r="AU1120" s="103" t="s">
        <v>4854</v>
      </c>
      <c r="AV1120" s="103" t="s">
        <v>4854</v>
      </c>
      <c r="AW1120" s="95">
        <v>0.35</v>
      </c>
      <c r="AX1120" s="103" t="s">
        <v>4854</v>
      </c>
      <c r="AY1120" s="103" t="s">
        <v>4854</v>
      </c>
      <c r="AZ1120" s="103" t="s">
        <v>4854</v>
      </c>
      <c r="BA1120" s="103" t="s">
        <v>4854</v>
      </c>
      <c r="BB1120" s="103" t="s">
        <v>4854</v>
      </c>
      <c r="BC1120" s="4" t="s">
        <v>4854</v>
      </c>
      <c r="BD1120" s="4" t="s">
        <v>4854</v>
      </c>
      <c r="BE1120" s="10">
        <v>1</v>
      </c>
      <c r="BF1120" s="4" t="s">
        <v>4854</v>
      </c>
      <c r="BG1120" s="4" t="s">
        <v>4854</v>
      </c>
      <c r="BH1120" s="4" t="s">
        <v>4854</v>
      </c>
      <c r="BI1120" s="4" t="s">
        <v>4854</v>
      </c>
      <c r="BJ1120" s="4" t="s">
        <v>4854</v>
      </c>
      <c r="BK1120" s="100" t="s">
        <v>4854</v>
      </c>
      <c r="BL1120" s="100" t="s">
        <v>4854</v>
      </c>
      <c r="BM1120" s="91">
        <v>1</v>
      </c>
      <c r="BN1120" s="100" t="s">
        <v>4854</v>
      </c>
      <c r="BO1120" s="100" t="s">
        <v>4854</v>
      </c>
      <c r="BP1120" s="100" t="s">
        <v>4854</v>
      </c>
      <c r="BQ1120" s="100" t="s">
        <v>4854</v>
      </c>
      <c r="BR1120" s="100" t="s">
        <v>4854</v>
      </c>
      <c r="BS1120" s="10" t="s">
        <v>4857</v>
      </c>
    </row>
    <row r="1121" spans="1:71" s="30" customFormat="1" ht="17.100000000000001" customHeight="1">
      <c r="A1121" s="10">
        <v>1110</v>
      </c>
      <c r="B1121" s="10" t="s">
        <v>485</v>
      </c>
      <c r="C1121" s="4" t="s">
        <v>470</v>
      </c>
      <c r="D1121" s="4" t="s">
        <v>479</v>
      </c>
      <c r="E1121" s="4" t="s">
        <v>480</v>
      </c>
      <c r="F1121" s="10" t="s">
        <v>5252</v>
      </c>
      <c r="G1121" s="4" t="s">
        <v>481</v>
      </c>
      <c r="H1121" s="7" t="s">
        <v>482</v>
      </c>
      <c r="I1121" s="4" t="s">
        <v>483</v>
      </c>
      <c r="J1121" s="10" t="s">
        <v>4672</v>
      </c>
      <c r="K1121" s="4" t="s">
        <v>6037</v>
      </c>
      <c r="L1121" s="4" t="s">
        <v>484</v>
      </c>
      <c r="M1121" s="10">
        <v>4</v>
      </c>
      <c r="N1121" s="95">
        <v>671.81569999999999</v>
      </c>
      <c r="O1121" s="37" t="str">
        <f>HYPERLINK("http://ms.phosphosite.org:5080/cgi-bin/plot-msms.cgi?MassType=1&amp;NumAxis=1&amp;Mod15=160&amp;Mod16=170&amp;Pep=KLTALDYHNPSGFNCKDETEFR&amp;Dta=/var/www/html/dta/S01/10558.7192.4.dta&amp;Global_Mod=CS57.0215", "7192")</f>
        <v>7192</v>
      </c>
      <c r="P1121" s="37" t="str">
        <f>HYPERLINK("http://ms.phosphosite.org:5080/cgi-bin/plot-msms.cgi?MassType=1&amp;NumAxis=1&amp;Mod15=160&amp;Mod16=170&amp;Pep=KLTALDYHNPSGFNCKDETEFR&amp;Dta=/var/www/html/dta/S01/10559.7136.4.dta&amp;Global_Mod=CS57.0215", "7136")</f>
        <v>7136</v>
      </c>
      <c r="Q1121" s="38" t="s">
        <v>4854</v>
      </c>
      <c r="R1121" s="37" t="str">
        <f>HYPERLINK("http://ms.phosphosite.org:5080/cgi-bin/plot-msms.cgi?MassType=1&amp;NumAxis=1&amp;Mod15=160&amp;Mod16=170&amp;Pep=KLTALDYHNPSGFNCKDETEFR&amp;Dta=/var/www/html/dta/S01/10561.7159.4.dta&amp;Global_Mod=CS57.0215", "7159")</f>
        <v>7159</v>
      </c>
      <c r="S1121" s="37" t="str">
        <f>HYPERLINK("http://ms.phosphosite.org:5080/cgi-bin/plot-msms.cgi?MassType=1&amp;NumAxis=1&amp;Mod15=160&amp;Mod16=170&amp;Pep=KLTALDYHNPSGFNCKDETEFR&amp;Dta=/var/www/html/dta/S01/10562.7277.4.dta&amp;Global_Mod=CS57.0215", "7277")</f>
        <v>7277</v>
      </c>
      <c r="T1121" s="37" t="str">
        <f>HYPERLINK("http://ms.phosphosite.org:5080/cgi-bin/plot-msms.cgi?MassType=1&amp;NumAxis=1&amp;Mod15=160&amp;Mod16=170&amp;Pep=KLTALDYHNPSGFNCKDETEFR&amp;Dta=/var/www/html/dta/S01/10563.7252.4.dta&amp;Global_Mod=CS57.0215", "7252")</f>
        <v>7252</v>
      </c>
      <c r="U1121" s="38" t="s">
        <v>4854</v>
      </c>
      <c r="V1121" s="38" t="s">
        <v>4854</v>
      </c>
      <c r="W1121" s="10">
        <v>7204</v>
      </c>
      <c r="X1121" s="10">
        <v>7141</v>
      </c>
      <c r="Y1121" s="4" t="s">
        <v>4854</v>
      </c>
      <c r="Z1121" s="10">
        <v>7185</v>
      </c>
      <c r="AA1121" s="10">
        <v>7291</v>
      </c>
      <c r="AB1121" s="10">
        <v>7256</v>
      </c>
      <c r="AC1121" s="4" t="s">
        <v>4854</v>
      </c>
      <c r="AD1121" s="4" t="s">
        <v>4854</v>
      </c>
      <c r="AE1121" s="91">
        <v>2.351</v>
      </c>
      <c r="AF1121" s="91">
        <v>3.1259999999999999</v>
      </c>
      <c r="AG1121" s="100" t="s">
        <v>4854</v>
      </c>
      <c r="AH1121" s="91">
        <v>2.694</v>
      </c>
      <c r="AI1121" s="91">
        <v>2.91</v>
      </c>
      <c r="AJ1121" s="91">
        <v>2.762</v>
      </c>
      <c r="AK1121" s="100" t="s">
        <v>4854</v>
      </c>
      <c r="AL1121" s="100" t="s">
        <v>4854</v>
      </c>
      <c r="AM1121" s="95">
        <v>0.18029999999999999</v>
      </c>
      <c r="AN1121" s="95">
        <v>0.1288</v>
      </c>
      <c r="AO1121" s="103" t="s">
        <v>4854</v>
      </c>
      <c r="AP1121" s="95">
        <v>0.46</v>
      </c>
      <c r="AQ1121" s="95">
        <v>0.1598</v>
      </c>
      <c r="AR1121" s="95">
        <v>0.44290000000000002</v>
      </c>
      <c r="AS1121" s="103" t="s">
        <v>4854</v>
      </c>
      <c r="AT1121" s="103" t="s">
        <v>4854</v>
      </c>
      <c r="AU1121" s="95">
        <v>9.5000000000000001E-2</v>
      </c>
      <c r="AV1121" s="95">
        <v>0.20499999999999999</v>
      </c>
      <c r="AW1121" s="103" t="s">
        <v>4854</v>
      </c>
      <c r="AX1121" s="95">
        <v>5.7000000000000002E-2</v>
      </c>
      <c r="AY1121" s="95">
        <v>0.26800000000000002</v>
      </c>
      <c r="AZ1121" s="95">
        <v>0.216</v>
      </c>
      <c r="BA1121" s="103" t="s">
        <v>4854</v>
      </c>
      <c r="BB1121" s="103" t="s">
        <v>4854</v>
      </c>
      <c r="BC1121" s="10">
        <v>28</v>
      </c>
      <c r="BD1121" s="10">
        <v>1</v>
      </c>
      <c r="BE1121" s="4" t="s">
        <v>4854</v>
      </c>
      <c r="BF1121" s="10">
        <v>2</v>
      </c>
      <c r="BG1121" s="10">
        <v>1</v>
      </c>
      <c r="BH1121" s="10">
        <v>1</v>
      </c>
      <c r="BI1121" s="4" t="s">
        <v>4854</v>
      </c>
      <c r="BJ1121" s="4" t="s">
        <v>4854</v>
      </c>
      <c r="BK1121" s="91">
        <v>0.96099999999999997</v>
      </c>
      <c r="BL1121" s="91">
        <v>0.999</v>
      </c>
      <c r="BM1121" s="100" t="s">
        <v>4854</v>
      </c>
      <c r="BN1121" s="91">
        <v>0.98799999999999999</v>
      </c>
      <c r="BO1121" s="91">
        <v>1</v>
      </c>
      <c r="BP1121" s="91">
        <v>1</v>
      </c>
      <c r="BQ1121" s="100" t="s">
        <v>4854</v>
      </c>
      <c r="BR1121" s="100" t="s">
        <v>4854</v>
      </c>
      <c r="BS1121" s="10" t="s">
        <v>4857</v>
      </c>
    </row>
    <row r="1122" spans="1:71" s="30" customFormat="1" ht="17.100000000000001" customHeight="1">
      <c r="A1122" s="10">
        <v>1111</v>
      </c>
      <c r="B1122" s="10" t="s">
        <v>965</v>
      </c>
      <c r="C1122" s="4" t="s">
        <v>470</v>
      </c>
      <c r="D1122" s="4" t="s">
        <v>479</v>
      </c>
      <c r="E1122" s="4" t="s">
        <v>480</v>
      </c>
      <c r="F1122" s="10" t="s">
        <v>5252</v>
      </c>
      <c r="G1122" s="4" t="s">
        <v>481</v>
      </c>
      <c r="H1122" s="7" t="s">
        <v>482</v>
      </c>
      <c r="I1122" s="4" t="s">
        <v>483</v>
      </c>
      <c r="J1122" s="10" t="s">
        <v>4672</v>
      </c>
      <c r="K1122" s="4" t="s">
        <v>6037</v>
      </c>
      <c r="L1122" s="4" t="s">
        <v>486</v>
      </c>
      <c r="M1122" s="10">
        <v>3</v>
      </c>
      <c r="N1122" s="95">
        <v>852.72019999999998</v>
      </c>
      <c r="O1122" s="37" t="str">
        <f>HYPERLINK("http://ms.phosphosite.org:5080/cgi-bin/plot-msms.cgi?MassType=1&amp;NumAxis=1&amp;Mod14=160&amp;Mod15=170&amp;Pep=LTALDYHNPSGFNCKDETEFR&amp;Dta=/var/www/html/dta/S01/10558.8067.3.dta&amp;Global_Mod=CS57.0215", "8067")</f>
        <v>8067</v>
      </c>
      <c r="P1122" s="37" t="str">
        <f>HYPERLINK("http://ms.phosphosite.org:5080/cgi-bin/plot-msms.cgi?MassType=1&amp;NumAxis=1&amp;Mod14=160&amp;Mod15=170&amp;Pep=LTALDYHNPSGFNCKDETEFR&amp;Dta=/var/www/html/dta/S01/10559.8040.3.dta&amp;Global_Mod=CS57.0215", "8040")</f>
        <v>8040</v>
      </c>
      <c r="Q1122" s="37" t="str">
        <f>HYPERLINK("http://ms.phosphosite.org:5080/cgi-bin/plot-msms.cgi?MassType=1&amp;NumAxis=1&amp;Mod14=160&amp;Mod15=170&amp;Pep=LTALDYHNPSGFNCKDETEFR&amp;Dta=/var/www/html/dta/S01/10560.8023.3.dta&amp;Global_Mod=CS57.0215", "8023")</f>
        <v>8023</v>
      </c>
      <c r="R1122" s="37" t="str">
        <f>HYPERLINK("http://ms.phosphosite.org:5080/cgi-bin/plot-msms.cgi?MassType=1&amp;NumAxis=1&amp;Mod14=160&amp;Mod15=170&amp;Pep=LTALDYHNPSGFNCKDETEFR&amp;Dta=/var/www/html/dta/S01/10561.8060.3.dta&amp;Global_Mod=CS57.0215", "8060")</f>
        <v>8060</v>
      </c>
      <c r="S1122" s="37" t="str">
        <f>HYPERLINK("http://ms.phosphosite.org:5080/cgi-bin/plot-msms.cgi?MassType=1&amp;NumAxis=1&amp;Mod14=160&amp;Mod15=170&amp;Pep=LTALDYHNPSGFNCKDETEFR&amp;Dta=/var/www/html/dta/S01/10562.8187.3.dta&amp;Global_Mod=CS57.0215", "8187")</f>
        <v>8187</v>
      </c>
      <c r="T1122" s="37" t="str">
        <f>HYPERLINK("http://ms.phosphosite.org:5080/cgi-bin/plot-msms.cgi?MassType=1&amp;NumAxis=1&amp;Mod14=160&amp;Mod15=170&amp;Pep=LTALDYHNPSGFNCKDETEFR&amp;Dta=/var/www/html/dta/S01/10563.8156.3.dta&amp;Global_Mod=CS57.0215", "8156")</f>
        <v>8156</v>
      </c>
      <c r="U1122" s="37" t="str">
        <f>HYPERLINK("http://ms.phosphosite.org:5080/cgi-bin/plot-msms.cgi?MassType=1&amp;NumAxis=1&amp;Mod14=160&amp;Mod15=170&amp;Pep=LTALDYHNPSGFNCKDETEFR&amp;Dta=/var/www/html/dta/S01/10564.8544.3.dta&amp;Global_Mod=CS57.0215", "8544")</f>
        <v>8544</v>
      </c>
      <c r="V1122" s="37" t="str">
        <f>HYPERLINK("http://ms.phosphosite.org:5080/cgi-bin/plot-msms.cgi?MassType=1&amp;NumAxis=1&amp;Mod14=160&amp;Mod15=170&amp;Pep=LTALDYHNPSGFNCKDETEFR&amp;Dta=/var/www/html/dta/S01/10565.8544.3.dta&amp;Global_Mod=CS57.0215", "8544")</f>
        <v>8544</v>
      </c>
      <c r="W1122" s="10">
        <v>8084</v>
      </c>
      <c r="X1122" s="10">
        <v>8054</v>
      </c>
      <c r="Y1122" s="10">
        <v>8049</v>
      </c>
      <c r="Z1122" s="10">
        <v>8076</v>
      </c>
      <c r="AA1122" s="10">
        <v>8193</v>
      </c>
      <c r="AB1122" s="10">
        <v>8169</v>
      </c>
      <c r="AC1122" s="10">
        <v>8553</v>
      </c>
      <c r="AD1122" s="10">
        <v>8550</v>
      </c>
      <c r="AE1122" s="91">
        <v>5.5259999999999998</v>
      </c>
      <c r="AF1122" s="91">
        <v>5.1890000000000001</v>
      </c>
      <c r="AG1122" s="91">
        <v>5.9829999999999997</v>
      </c>
      <c r="AH1122" s="91">
        <v>6.0229999999999997</v>
      </c>
      <c r="AI1122" s="91">
        <v>5.7850000000000001</v>
      </c>
      <c r="AJ1122" s="91">
        <v>4.6680000000000001</v>
      </c>
      <c r="AK1122" s="91">
        <v>6.476</v>
      </c>
      <c r="AL1122" s="91">
        <v>6.0129999999999999</v>
      </c>
      <c r="AM1122" s="95">
        <v>0.79020000000000001</v>
      </c>
      <c r="AN1122" s="95">
        <v>0.2296</v>
      </c>
      <c r="AO1122" s="95">
        <v>0.61609999999999998</v>
      </c>
      <c r="AP1122" s="95">
        <v>0.71509999999999996</v>
      </c>
      <c r="AQ1122" s="95">
        <v>0.58250000000000002</v>
      </c>
      <c r="AR1122" s="95">
        <v>0.58830000000000005</v>
      </c>
      <c r="AS1122" s="95">
        <v>0.71550000000000002</v>
      </c>
      <c r="AT1122" s="95">
        <v>0.52459999999999996</v>
      </c>
      <c r="AU1122" s="95">
        <v>0.46500000000000002</v>
      </c>
      <c r="AV1122" s="95">
        <v>0.47299999999999998</v>
      </c>
      <c r="AW1122" s="95">
        <v>0.48199999999999998</v>
      </c>
      <c r="AX1122" s="95">
        <v>0.55000000000000004</v>
      </c>
      <c r="AY1122" s="95">
        <v>0.41499999999999998</v>
      </c>
      <c r="AZ1122" s="95">
        <v>0.45900000000000002</v>
      </c>
      <c r="BA1122" s="95">
        <v>0.53700000000000003</v>
      </c>
      <c r="BB1122" s="95">
        <v>0.51700000000000002</v>
      </c>
      <c r="BC1122" s="10">
        <v>1</v>
      </c>
      <c r="BD1122" s="10">
        <v>1</v>
      </c>
      <c r="BE1122" s="10">
        <v>1</v>
      </c>
      <c r="BF1122" s="10">
        <v>1</v>
      </c>
      <c r="BG1122" s="10">
        <v>1</v>
      </c>
      <c r="BH1122" s="10">
        <v>1</v>
      </c>
      <c r="BI1122" s="10">
        <v>1</v>
      </c>
      <c r="BJ1122" s="10">
        <v>1</v>
      </c>
      <c r="BK1122" s="91">
        <v>1</v>
      </c>
      <c r="BL1122" s="91">
        <v>1</v>
      </c>
      <c r="BM1122" s="91">
        <v>1</v>
      </c>
      <c r="BN1122" s="91">
        <v>1</v>
      </c>
      <c r="BO1122" s="91">
        <v>1</v>
      </c>
      <c r="BP1122" s="91">
        <v>1</v>
      </c>
      <c r="BQ1122" s="91">
        <v>1</v>
      </c>
      <c r="BR1122" s="91">
        <v>1</v>
      </c>
      <c r="BS1122" s="10" t="s">
        <v>4857</v>
      </c>
    </row>
    <row r="1123" spans="1:71" s="30" customFormat="1" ht="17.100000000000001" customHeight="1">
      <c r="A1123" s="14">
        <v>1112</v>
      </c>
      <c r="B1123" s="5" t="s">
        <v>487</v>
      </c>
      <c r="C1123" s="3" t="s">
        <v>470</v>
      </c>
      <c r="D1123" s="3" t="s">
        <v>488</v>
      </c>
      <c r="E1123" s="3" t="s">
        <v>489</v>
      </c>
      <c r="F1123" s="5" t="s">
        <v>490</v>
      </c>
      <c r="G1123" s="3" t="s">
        <v>491</v>
      </c>
      <c r="H1123" s="6" t="s">
        <v>492</v>
      </c>
      <c r="I1123" s="3" t="s">
        <v>493</v>
      </c>
      <c r="J1123" s="5" t="s">
        <v>494</v>
      </c>
      <c r="K1123" s="3" t="s">
        <v>6038</v>
      </c>
      <c r="L1123" s="3" t="s">
        <v>495</v>
      </c>
      <c r="M1123" s="5">
        <v>2</v>
      </c>
      <c r="N1123" s="21">
        <v>396.2423</v>
      </c>
      <c r="O1123" s="35" t="s">
        <v>4854</v>
      </c>
      <c r="P1123" s="35" t="s">
        <v>4854</v>
      </c>
      <c r="Q1123" s="35" t="s">
        <v>4854</v>
      </c>
      <c r="R1123" s="35" t="s">
        <v>4854</v>
      </c>
      <c r="S1123" s="35" t="s">
        <v>4854</v>
      </c>
      <c r="T1123" s="35" t="s">
        <v>4854</v>
      </c>
      <c r="U1123" s="35" t="s">
        <v>4854</v>
      </c>
      <c r="V1123" s="36" t="str">
        <f>HYPERLINK("http://ms.phosphosite.org:5080/cgi-bin/plot-msms.cgi?MassType=1&amp;NumAxis=1&amp;Mod3=170&amp;Pep=ALKYVR&amp;Dta=/var/www/html/dta/S01/10565.3966.2.dta&amp;Global_Mod=CS57.0215", "3966")</f>
        <v>3966</v>
      </c>
      <c r="W1123" s="3" t="s">
        <v>4854</v>
      </c>
      <c r="X1123" s="3" t="s">
        <v>4854</v>
      </c>
      <c r="Y1123" s="3" t="s">
        <v>4854</v>
      </c>
      <c r="Z1123" s="3" t="s">
        <v>4854</v>
      </c>
      <c r="AA1123" s="3" t="s">
        <v>4854</v>
      </c>
      <c r="AB1123" s="3" t="s">
        <v>4854</v>
      </c>
      <c r="AC1123" s="3" t="s">
        <v>4854</v>
      </c>
      <c r="AD1123" s="3" t="s">
        <v>4854</v>
      </c>
      <c r="AE1123" s="99" t="s">
        <v>4854</v>
      </c>
      <c r="AF1123" s="99" t="s">
        <v>4854</v>
      </c>
      <c r="AG1123" s="99" t="s">
        <v>4854</v>
      </c>
      <c r="AH1123" s="99" t="s">
        <v>4854</v>
      </c>
      <c r="AI1123" s="99" t="s">
        <v>4854</v>
      </c>
      <c r="AJ1123" s="99" t="s">
        <v>4854</v>
      </c>
      <c r="AK1123" s="99" t="s">
        <v>4854</v>
      </c>
      <c r="AL1123" s="90">
        <v>1.829</v>
      </c>
      <c r="AM1123" s="102" t="s">
        <v>4854</v>
      </c>
      <c r="AN1123" s="102" t="s">
        <v>4854</v>
      </c>
      <c r="AO1123" s="102" t="s">
        <v>4854</v>
      </c>
      <c r="AP1123" s="102" t="s">
        <v>4854</v>
      </c>
      <c r="AQ1123" s="102" t="s">
        <v>4854</v>
      </c>
      <c r="AR1123" s="102" t="s">
        <v>4854</v>
      </c>
      <c r="AS1123" s="102" t="s">
        <v>4854</v>
      </c>
      <c r="AT1123" s="21">
        <v>-5.1999999999999998E-3</v>
      </c>
      <c r="AU1123" s="102" t="s">
        <v>4854</v>
      </c>
      <c r="AV1123" s="102" t="s">
        <v>4854</v>
      </c>
      <c r="AW1123" s="102" t="s">
        <v>4854</v>
      </c>
      <c r="AX1123" s="102" t="s">
        <v>4854</v>
      </c>
      <c r="AY1123" s="102" t="s">
        <v>4854</v>
      </c>
      <c r="AZ1123" s="102" t="s">
        <v>4854</v>
      </c>
      <c r="BA1123" s="102" t="s">
        <v>4854</v>
      </c>
      <c r="BB1123" s="21">
        <v>0.17699999999999999</v>
      </c>
      <c r="BC1123" s="3" t="s">
        <v>4854</v>
      </c>
      <c r="BD1123" s="3" t="s">
        <v>4854</v>
      </c>
      <c r="BE1123" s="3" t="s">
        <v>4854</v>
      </c>
      <c r="BF1123" s="3" t="s">
        <v>4854</v>
      </c>
      <c r="BG1123" s="3" t="s">
        <v>4854</v>
      </c>
      <c r="BH1123" s="3" t="s">
        <v>4854</v>
      </c>
      <c r="BI1123" s="3" t="s">
        <v>4854</v>
      </c>
      <c r="BJ1123" s="5">
        <v>1</v>
      </c>
      <c r="BK1123" s="99" t="s">
        <v>4854</v>
      </c>
      <c r="BL1123" s="99" t="s">
        <v>4854</v>
      </c>
      <c r="BM1123" s="99" t="s">
        <v>4854</v>
      </c>
      <c r="BN1123" s="99" t="s">
        <v>4854</v>
      </c>
      <c r="BO1123" s="99" t="s">
        <v>4854</v>
      </c>
      <c r="BP1123" s="99" t="s">
        <v>4854</v>
      </c>
      <c r="BQ1123" s="99" t="s">
        <v>4854</v>
      </c>
      <c r="BR1123" s="90">
        <v>0.55700000000000005</v>
      </c>
      <c r="BS1123" s="5" t="s">
        <v>4857</v>
      </c>
    </row>
    <row r="1124" spans="1:71" s="30" customFormat="1" ht="17.100000000000001" customHeight="1">
      <c r="A1124" s="10">
        <v>1113</v>
      </c>
      <c r="B1124" s="10" t="s">
        <v>496</v>
      </c>
      <c r="C1124" s="4" t="s">
        <v>470</v>
      </c>
      <c r="D1124" s="4" t="s">
        <v>497</v>
      </c>
      <c r="E1124" s="4" t="s">
        <v>498</v>
      </c>
      <c r="F1124" s="10" t="s">
        <v>4592</v>
      </c>
      <c r="G1124" s="4" t="s">
        <v>491</v>
      </c>
      <c r="H1124" s="7" t="s">
        <v>499</v>
      </c>
      <c r="I1124" s="4" t="s">
        <v>493</v>
      </c>
      <c r="J1124" s="10" t="s">
        <v>4729</v>
      </c>
      <c r="K1124" s="4" t="s">
        <v>6039</v>
      </c>
      <c r="L1124" s="4" t="s">
        <v>500</v>
      </c>
      <c r="M1124" s="10">
        <v>4</v>
      </c>
      <c r="N1124" s="95">
        <v>888.43359999999996</v>
      </c>
      <c r="O1124" s="38" t="s">
        <v>4854</v>
      </c>
      <c r="P1124" s="38" t="s">
        <v>4854</v>
      </c>
      <c r="Q1124" s="38" t="s">
        <v>4854</v>
      </c>
      <c r="R1124" s="38" t="s">
        <v>4854</v>
      </c>
      <c r="S1124" s="37" t="str">
        <f>HYPERLINK("http://ms.phosphosite.org:5080/cgi-bin/plot-msms.cgi?MassType=1&amp;NumAxis=1&amp;Mod2=160&amp;Mod3=147&amp;Mod24=170&amp;Pep=YCMNEAEMVDVALGILIEGRKQEKPWEQR&amp;Dta=/var/www/html/dta/S01/10562.14390.4.dta&amp;Global_Mod=CS57.0215", "14390")</f>
        <v>14390</v>
      </c>
      <c r="T1124" s="38" t="s">
        <v>4854</v>
      </c>
      <c r="U1124" s="38" t="s">
        <v>4854</v>
      </c>
      <c r="V1124" s="38" t="s">
        <v>4854</v>
      </c>
      <c r="W1124" s="4" t="s">
        <v>4854</v>
      </c>
      <c r="X1124" s="4" t="s">
        <v>4854</v>
      </c>
      <c r="Y1124" s="4" t="s">
        <v>4854</v>
      </c>
      <c r="Z1124" s="4" t="s">
        <v>4854</v>
      </c>
      <c r="AA1124" s="4" t="s">
        <v>4854</v>
      </c>
      <c r="AB1124" s="4" t="s">
        <v>4854</v>
      </c>
      <c r="AC1124" s="4" t="s">
        <v>4854</v>
      </c>
      <c r="AD1124" s="4" t="s">
        <v>4854</v>
      </c>
      <c r="AE1124" s="100" t="s">
        <v>4854</v>
      </c>
      <c r="AF1124" s="100" t="s">
        <v>4854</v>
      </c>
      <c r="AG1124" s="100" t="s">
        <v>4854</v>
      </c>
      <c r="AH1124" s="100" t="s">
        <v>4854</v>
      </c>
      <c r="AI1124" s="91">
        <v>1.9770000000000001</v>
      </c>
      <c r="AJ1124" s="100" t="s">
        <v>4854</v>
      </c>
      <c r="AK1124" s="100" t="s">
        <v>4854</v>
      </c>
      <c r="AL1124" s="100" t="s">
        <v>4854</v>
      </c>
      <c r="AM1124" s="103" t="s">
        <v>4854</v>
      </c>
      <c r="AN1124" s="103" t="s">
        <v>4854</v>
      </c>
      <c r="AO1124" s="103" t="s">
        <v>4854</v>
      </c>
      <c r="AP1124" s="103" t="s">
        <v>4854</v>
      </c>
      <c r="AQ1124" s="95">
        <v>0.23180000000000001</v>
      </c>
      <c r="AR1124" s="103" t="s">
        <v>4854</v>
      </c>
      <c r="AS1124" s="103" t="s">
        <v>4854</v>
      </c>
      <c r="AT1124" s="103" t="s">
        <v>4854</v>
      </c>
      <c r="AU1124" s="103" t="s">
        <v>4854</v>
      </c>
      <c r="AV1124" s="103" t="s">
        <v>4854</v>
      </c>
      <c r="AW1124" s="103" t="s">
        <v>4854</v>
      </c>
      <c r="AX1124" s="103" t="s">
        <v>4854</v>
      </c>
      <c r="AY1124" s="95">
        <v>1.0999999999999999E-2</v>
      </c>
      <c r="AZ1124" s="103" t="s">
        <v>4854</v>
      </c>
      <c r="BA1124" s="103" t="s">
        <v>4854</v>
      </c>
      <c r="BB1124" s="103" t="s">
        <v>4854</v>
      </c>
      <c r="BC1124" s="4" t="s">
        <v>4854</v>
      </c>
      <c r="BD1124" s="4" t="s">
        <v>4854</v>
      </c>
      <c r="BE1124" s="4" t="s">
        <v>4854</v>
      </c>
      <c r="BF1124" s="4" t="s">
        <v>4854</v>
      </c>
      <c r="BG1124" s="10">
        <v>3</v>
      </c>
      <c r="BH1124" s="4" t="s">
        <v>4854</v>
      </c>
      <c r="BI1124" s="4" t="s">
        <v>4854</v>
      </c>
      <c r="BJ1124" s="4" t="s">
        <v>4854</v>
      </c>
      <c r="BK1124" s="100" t="s">
        <v>4854</v>
      </c>
      <c r="BL1124" s="100" t="s">
        <v>4854</v>
      </c>
      <c r="BM1124" s="100" t="s">
        <v>4854</v>
      </c>
      <c r="BN1124" s="100" t="s">
        <v>4854</v>
      </c>
      <c r="BO1124" s="91">
        <v>0.06</v>
      </c>
      <c r="BP1124" s="100" t="s">
        <v>4854</v>
      </c>
      <c r="BQ1124" s="100" t="s">
        <v>4854</v>
      </c>
      <c r="BR1124" s="100" t="s">
        <v>4854</v>
      </c>
      <c r="BS1124" s="10" t="s">
        <v>4857</v>
      </c>
    </row>
    <row r="1125" spans="1:71" s="30" customFormat="1" ht="17.100000000000001" customHeight="1">
      <c r="A1125" s="14">
        <v>1114</v>
      </c>
      <c r="B1125" s="5" t="s">
        <v>501</v>
      </c>
      <c r="C1125" s="3" t="s">
        <v>470</v>
      </c>
      <c r="D1125" s="3" t="s">
        <v>502</v>
      </c>
      <c r="E1125" s="3" t="s">
        <v>503</v>
      </c>
      <c r="F1125" s="5" t="s">
        <v>504</v>
      </c>
      <c r="G1125" s="3" t="s">
        <v>505</v>
      </c>
      <c r="H1125" s="6" t="s">
        <v>506</v>
      </c>
      <c r="I1125" s="3" t="s">
        <v>507</v>
      </c>
      <c r="J1125" s="5" t="s">
        <v>508</v>
      </c>
      <c r="K1125" s="3" t="s">
        <v>6040</v>
      </c>
      <c r="L1125" s="3" t="s">
        <v>509</v>
      </c>
      <c r="M1125" s="5">
        <v>4</v>
      </c>
      <c r="N1125" s="21">
        <v>888.43119999999999</v>
      </c>
      <c r="O1125" s="35" t="s">
        <v>4854</v>
      </c>
      <c r="P1125" s="35" t="s">
        <v>4854</v>
      </c>
      <c r="Q1125" s="35" t="s">
        <v>4854</v>
      </c>
      <c r="R1125" s="35" t="s">
        <v>4854</v>
      </c>
      <c r="S1125" s="36" t="str">
        <f>HYPERLINK("http://ms.phosphosite.org:5080/cgi-bin/plot-msms.cgi?MassType=1&amp;NumAxis=1&amp;Mod5=147&amp;Mod8=170&amp;Mod22=160&amp;Pep=HGEEMRWKTSSMVALVGPHPECPQVPYLTR&amp;Dta=/var/www/html/dta/S01/10562.14028.4.dta&amp;Global_Mod=CS57.0215", "14028")</f>
        <v>14028</v>
      </c>
      <c r="T1125" s="35" t="s">
        <v>4854</v>
      </c>
      <c r="U1125" s="35" t="s">
        <v>4854</v>
      </c>
      <c r="V1125" s="35" t="s">
        <v>4854</v>
      </c>
      <c r="W1125" s="3" t="s">
        <v>4854</v>
      </c>
      <c r="X1125" s="3" t="s">
        <v>4854</v>
      </c>
      <c r="Y1125" s="3" t="s">
        <v>4854</v>
      </c>
      <c r="Z1125" s="3" t="s">
        <v>4854</v>
      </c>
      <c r="AA1125" s="3" t="s">
        <v>4854</v>
      </c>
      <c r="AB1125" s="3" t="s">
        <v>4854</v>
      </c>
      <c r="AC1125" s="3" t="s">
        <v>4854</v>
      </c>
      <c r="AD1125" s="3" t="s">
        <v>4854</v>
      </c>
      <c r="AE1125" s="99" t="s">
        <v>4854</v>
      </c>
      <c r="AF1125" s="99" t="s">
        <v>4854</v>
      </c>
      <c r="AG1125" s="99" t="s">
        <v>4854</v>
      </c>
      <c r="AH1125" s="99" t="s">
        <v>4854</v>
      </c>
      <c r="AI1125" s="90">
        <v>2.254</v>
      </c>
      <c r="AJ1125" s="99" t="s">
        <v>4854</v>
      </c>
      <c r="AK1125" s="99" t="s">
        <v>4854</v>
      </c>
      <c r="AL1125" s="99" t="s">
        <v>4854</v>
      </c>
      <c r="AM1125" s="102" t="s">
        <v>4854</v>
      </c>
      <c r="AN1125" s="102" t="s">
        <v>4854</v>
      </c>
      <c r="AO1125" s="102" t="s">
        <v>4854</v>
      </c>
      <c r="AP1125" s="102" t="s">
        <v>4854</v>
      </c>
      <c r="AQ1125" s="21">
        <v>1.5498000000000001</v>
      </c>
      <c r="AR1125" s="102" t="s">
        <v>4854</v>
      </c>
      <c r="AS1125" s="102" t="s">
        <v>4854</v>
      </c>
      <c r="AT1125" s="102" t="s">
        <v>4854</v>
      </c>
      <c r="AU1125" s="102" t="s">
        <v>4854</v>
      </c>
      <c r="AV1125" s="102" t="s">
        <v>4854</v>
      </c>
      <c r="AW1125" s="102" t="s">
        <v>4854</v>
      </c>
      <c r="AX1125" s="102" t="s">
        <v>4854</v>
      </c>
      <c r="AY1125" s="21">
        <v>0.104</v>
      </c>
      <c r="AZ1125" s="102" t="s">
        <v>4854</v>
      </c>
      <c r="BA1125" s="102" t="s">
        <v>4854</v>
      </c>
      <c r="BB1125" s="102" t="s">
        <v>4854</v>
      </c>
      <c r="BC1125" s="3" t="s">
        <v>4854</v>
      </c>
      <c r="BD1125" s="3" t="s">
        <v>4854</v>
      </c>
      <c r="BE1125" s="3" t="s">
        <v>4854</v>
      </c>
      <c r="BF1125" s="3" t="s">
        <v>4854</v>
      </c>
      <c r="BG1125" s="5">
        <v>23</v>
      </c>
      <c r="BH1125" s="3" t="s">
        <v>4854</v>
      </c>
      <c r="BI1125" s="3" t="s">
        <v>4854</v>
      </c>
      <c r="BJ1125" s="3" t="s">
        <v>4854</v>
      </c>
      <c r="BK1125" s="99" t="s">
        <v>4854</v>
      </c>
      <c r="BL1125" s="99" t="s">
        <v>4854</v>
      </c>
      <c r="BM1125" s="99" t="s">
        <v>4854</v>
      </c>
      <c r="BN1125" s="99" t="s">
        <v>4854</v>
      </c>
      <c r="BO1125" s="90">
        <v>8.2000000000000003E-2</v>
      </c>
      <c r="BP1125" s="99" t="s">
        <v>4854</v>
      </c>
      <c r="BQ1125" s="99" t="s">
        <v>4854</v>
      </c>
      <c r="BR1125" s="99" t="s">
        <v>4854</v>
      </c>
      <c r="BS1125" s="5" t="s">
        <v>4857</v>
      </c>
    </row>
    <row r="1126" spans="1:71" s="30" customFormat="1" ht="17.100000000000001" customHeight="1">
      <c r="A1126" s="10">
        <v>1115</v>
      </c>
      <c r="B1126" s="10" t="s">
        <v>510</v>
      </c>
      <c r="C1126" s="4" t="s">
        <v>470</v>
      </c>
      <c r="D1126" s="4" t="s">
        <v>511</v>
      </c>
      <c r="E1126" s="4" t="s">
        <v>512</v>
      </c>
      <c r="F1126" s="10" t="s">
        <v>5088</v>
      </c>
      <c r="G1126" s="4" t="s">
        <v>513</v>
      </c>
      <c r="H1126" s="7" t="s">
        <v>514</v>
      </c>
      <c r="I1126" s="4" t="s">
        <v>515</v>
      </c>
      <c r="J1126" s="10" t="s">
        <v>4693</v>
      </c>
      <c r="K1126" s="4" t="s">
        <v>6041</v>
      </c>
      <c r="L1126" s="4" t="s">
        <v>516</v>
      </c>
      <c r="M1126" s="10">
        <v>2</v>
      </c>
      <c r="N1126" s="95">
        <v>711.8433</v>
      </c>
      <c r="O1126" s="37" t="str">
        <f>HYPERLINK("http://ms.phosphosite.org:5080/cgi-bin/plot-msms.cgi?MassType=1&amp;NumAxis=1&amp;Mod7=160&amp;Mod11=170&amp;Pep=SSSHSFCSVVKR&amp;Dta=/var/www/html/dta/S01/10558.3438.2.dta&amp;Global_Mod=CS57.0215", "3438")</f>
        <v>3438</v>
      </c>
      <c r="P1126" s="37" t="str">
        <f>HYPERLINK("http://ms.phosphosite.org:5080/cgi-bin/plot-msms.cgi?MassType=1&amp;NumAxis=1&amp;Mod7=160&amp;Mod11=170&amp;Pep=SSSHSFCSVVKR&amp;Dta=/var/www/html/dta/S01/10559.3375.2.dta&amp;Global_Mod=CS57.0215", "3375")</f>
        <v>3375</v>
      </c>
      <c r="Q1126" s="38" t="s">
        <v>4854</v>
      </c>
      <c r="R1126" s="38" t="s">
        <v>4854</v>
      </c>
      <c r="S1126" s="38" t="s">
        <v>4854</v>
      </c>
      <c r="T1126" s="38" t="s">
        <v>4854</v>
      </c>
      <c r="U1126" s="38" t="s">
        <v>4854</v>
      </c>
      <c r="V1126" s="38" t="s">
        <v>4854</v>
      </c>
      <c r="W1126" s="10">
        <v>3418</v>
      </c>
      <c r="X1126" s="10">
        <v>3355</v>
      </c>
      <c r="Y1126" s="4" t="s">
        <v>4854</v>
      </c>
      <c r="Z1126" s="4" t="s">
        <v>4854</v>
      </c>
      <c r="AA1126" s="4" t="s">
        <v>4854</v>
      </c>
      <c r="AB1126" s="4" t="s">
        <v>4854</v>
      </c>
      <c r="AC1126" s="4" t="s">
        <v>4854</v>
      </c>
      <c r="AD1126" s="4" t="s">
        <v>4854</v>
      </c>
      <c r="AE1126" s="91">
        <v>2.6720000000000002</v>
      </c>
      <c r="AF1126" s="91">
        <v>2.9980000000000002</v>
      </c>
      <c r="AG1126" s="100" t="s">
        <v>4854</v>
      </c>
      <c r="AH1126" s="100" t="s">
        <v>4854</v>
      </c>
      <c r="AI1126" s="100" t="s">
        <v>4854</v>
      </c>
      <c r="AJ1126" s="100" t="s">
        <v>4854</v>
      </c>
      <c r="AK1126" s="100" t="s">
        <v>4854</v>
      </c>
      <c r="AL1126" s="100" t="s">
        <v>4854</v>
      </c>
      <c r="AM1126" s="95">
        <v>1.3245</v>
      </c>
      <c r="AN1126" s="95">
        <v>0.99760000000000004</v>
      </c>
      <c r="AO1126" s="103" t="s">
        <v>4854</v>
      </c>
      <c r="AP1126" s="103" t="s">
        <v>4854</v>
      </c>
      <c r="AQ1126" s="103" t="s">
        <v>4854</v>
      </c>
      <c r="AR1126" s="103" t="s">
        <v>4854</v>
      </c>
      <c r="AS1126" s="103" t="s">
        <v>4854</v>
      </c>
      <c r="AT1126" s="103" t="s">
        <v>4854</v>
      </c>
      <c r="AU1126" s="95">
        <v>0.20399999999999999</v>
      </c>
      <c r="AV1126" s="95">
        <v>0.309</v>
      </c>
      <c r="AW1126" s="103" t="s">
        <v>4854</v>
      </c>
      <c r="AX1126" s="103" t="s">
        <v>4854</v>
      </c>
      <c r="AY1126" s="103" t="s">
        <v>4854</v>
      </c>
      <c r="AZ1126" s="103" t="s">
        <v>4854</v>
      </c>
      <c r="BA1126" s="103" t="s">
        <v>4854</v>
      </c>
      <c r="BB1126" s="103" t="s">
        <v>4854</v>
      </c>
      <c r="BC1126" s="10">
        <v>1</v>
      </c>
      <c r="BD1126" s="10">
        <v>1</v>
      </c>
      <c r="BE1126" s="4" t="s">
        <v>4854</v>
      </c>
      <c r="BF1126" s="4" t="s">
        <v>4854</v>
      </c>
      <c r="BG1126" s="4" t="s">
        <v>4854</v>
      </c>
      <c r="BH1126" s="4" t="s">
        <v>4854</v>
      </c>
      <c r="BI1126" s="4" t="s">
        <v>4854</v>
      </c>
      <c r="BJ1126" s="4" t="s">
        <v>4854</v>
      </c>
      <c r="BK1126" s="91">
        <v>1</v>
      </c>
      <c r="BL1126" s="91">
        <v>1</v>
      </c>
      <c r="BM1126" s="100" t="s">
        <v>4854</v>
      </c>
      <c r="BN1126" s="100" t="s">
        <v>4854</v>
      </c>
      <c r="BO1126" s="100" t="s">
        <v>4854</v>
      </c>
      <c r="BP1126" s="100" t="s">
        <v>4854</v>
      </c>
      <c r="BQ1126" s="100" t="s">
        <v>4854</v>
      </c>
      <c r="BR1126" s="100" t="s">
        <v>4854</v>
      </c>
      <c r="BS1126" s="10" t="s">
        <v>4857</v>
      </c>
    </row>
    <row r="1127" spans="1:71" s="30" customFormat="1" ht="17.100000000000001" customHeight="1">
      <c r="A1127" s="10">
        <v>1116</v>
      </c>
      <c r="B1127" s="10" t="s">
        <v>517</v>
      </c>
      <c r="C1127" s="4" t="s">
        <v>470</v>
      </c>
      <c r="D1127" s="4" t="s">
        <v>511</v>
      </c>
      <c r="E1127" s="4" t="s">
        <v>512</v>
      </c>
      <c r="F1127" s="10" t="s">
        <v>5088</v>
      </c>
      <c r="G1127" s="4" t="s">
        <v>513</v>
      </c>
      <c r="H1127" s="7" t="s">
        <v>514</v>
      </c>
      <c r="I1127" s="4" t="s">
        <v>515</v>
      </c>
      <c r="J1127" s="10" t="s">
        <v>4693</v>
      </c>
      <c r="K1127" s="4" t="s">
        <v>6041</v>
      </c>
      <c r="L1127" s="4" t="s">
        <v>516</v>
      </c>
      <c r="M1127" s="10">
        <v>3</v>
      </c>
      <c r="N1127" s="95">
        <v>474.89800000000002</v>
      </c>
      <c r="O1127" s="38" t="s">
        <v>4854</v>
      </c>
      <c r="P1127" s="38" t="s">
        <v>4854</v>
      </c>
      <c r="Q1127" s="38" t="s">
        <v>4854</v>
      </c>
      <c r="R1127" s="38" t="s">
        <v>4854</v>
      </c>
      <c r="S1127" s="38" t="s">
        <v>4854</v>
      </c>
      <c r="T1127" s="38" t="s">
        <v>4854</v>
      </c>
      <c r="U1127" s="37" t="str">
        <f>HYPERLINK("http://ms.phosphosite.org:5080/cgi-bin/plot-msms.cgi?MassType=1&amp;NumAxis=1&amp;Mod7=160&amp;Mod11=170&amp;Pep=SSSHSFCSVVKR&amp;Dta=/var/www/html/dta/S01/10564.3716.3.dta&amp;Global_Mod=CS57.0215", "3716")</f>
        <v>3716</v>
      </c>
      <c r="V1127" s="38" t="s">
        <v>4854</v>
      </c>
      <c r="W1127" s="4" t="s">
        <v>4854</v>
      </c>
      <c r="X1127" s="4" t="s">
        <v>4854</v>
      </c>
      <c r="Y1127" s="4" t="s">
        <v>4854</v>
      </c>
      <c r="Z1127" s="4" t="s">
        <v>4854</v>
      </c>
      <c r="AA1127" s="4" t="s">
        <v>4854</v>
      </c>
      <c r="AB1127" s="4" t="s">
        <v>4854</v>
      </c>
      <c r="AC1127" s="10">
        <v>3725</v>
      </c>
      <c r="AD1127" s="4" t="s">
        <v>4854</v>
      </c>
      <c r="AE1127" s="100" t="s">
        <v>4854</v>
      </c>
      <c r="AF1127" s="100" t="s">
        <v>4854</v>
      </c>
      <c r="AG1127" s="100" t="s">
        <v>4854</v>
      </c>
      <c r="AH1127" s="100" t="s">
        <v>4854</v>
      </c>
      <c r="AI1127" s="100" t="s">
        <v>4854</v>
      </c>
      <c r="AJ1127" s="100" t="s">
        <v>4854</v>
      </c>
      <c r="AK1127" s="91">
        <v>3.0950000000000002</v>
      </c>
      <c r="AL1127" s="100" t="s">
        <v>4854</v>
      </c>
      <c r="AM1127" s="103" t="s">
        <v>4854</v>
      </c>
      <c r="AN1127" s="103" t="s">
        <v>4854</v>
      </c>
      <c r="AO1127" s="103" t="s">
        <v>4854</v>
      </c>
      <c r="AP1127" s="103" t="s">
        <v>4854</v>
      </c>
      <c r="AQ1127" s="103" t="s">
        <v>4854</v>
      </c>
      <c r="AR1127" s="103" t="s">
        <v>4854</v>
      </c>
      <c r="AS1127" s="95">
        <v>0.52239999999999998</v>
      </c>
      <c r="AT1127" s="103" t="s">
        <v>4854</v>
      </c>
      <c r="AU1127" s="103" t="s">
        <v>4854</v>
      </c>
      <c r="AV1127" s="103" t="s">
        <v>4854</v>
      </c>
      <c r="AW1127" s="103" t="s">
        <v>4854</v>
      </c>
      <c r="AX1127" s="103" t="s">
        <v>4854</v>
      </c>
      <c r="AY1127" s="103" t="s">
        <v>4854</v>
      </c>
      <c r="AZ1127" s="103" t="s">
        <v>4854</v>
      </c>
      <c r="BA1127" s="95">
        <v>8.7999999999999995E-2</v>
      </c>
      <c r="BB1127" s="103" t="s">
        <v>4854</v>
      </c>
      <c r="BC1127" s="4" t="s">
        <v>4854</v>
      </c>
      <c r="BD1127" s="4" t="s">
        <v>4854</v>
      </c>
      <c r="BE1127" s="4" t="s">
        <v>4854</v>
      </c>
      <c r="BF1127" s="4" t="s">
        <v>4854</v>
      </c>
      <c r="BG1127" s="4" t="s">
        <v>4854</v>
      </c>
      <c r="BH1127" s="4" t="s">
        <v>4854</v>
      </c>
      <c r="BI1127" s="10">
        <v>1</v>
      </c>
      <c r="BJ1127" s="4" t="s">
        <v>4854</v>
      </c>
      <c r="BK1127" s="100" t="s">
        <v>4854</v>
      </c>
      <c r="BL1127" s="100" t="s">
        <v>4854</v>
      </c>
      <c r="BM1127" s="100" t="s">
        <v>4854</v>
      </c>
      <c r="BN1127" s="100" t="s">
        <v>4854</v>
      </c>
      <c r="BO1127" s="100" t="s">
        <v>4854</v>
      </c>
      <c r="BP1127" s="100" t="s">
        <v>4854</v>
      </c>
      <c r="BQ1127" s="91">
        <v>0.999</v>
      </c>
      <c r="BR1127" s="100" t="s">
        <v>4854</v>
      </c>
      <c r="BS1127" s="10" t="s">
        <v>4857</v>
      </c>
    </row>
    <row r="1128" spans="1:71" s="30" customFormat="1" ht="17.100000000000001" customHeight="1">
      <c r="A1128" s="14">
        <v>1117</v>
      </c>
      <c r="B1128" s="5" t="s">
        <v>518</v>
      </c>
      <c r="C1128" s="3" t="s">
        <v>470</v>
      </c>
      <c r="D1128" s="3" t="s">
        <v>519</v>
      </c>
      <c r="E1128" s="3" t="s">
        <v>519</v>
      </c>
      <c r="F1128" s="5" t="s">
        <v>554</v>
      </c>
      <c r="G1128" s="3" t="s">
        <v>520</v>
      </c>
      <c r="H1128" s="6" t="s">
        <v>521</v>
      </c>
      <c r="I1128" s="3" t="s">
        <v>398</v>
      </c>
      <c r="J1128" s="5" t="s">
        <v>4203</v>
      </c>
      <c r="K1128" s="3" t="s">
        <v>6042</v>
      </c>
      <c r="L1128" s="3" t="s">
        <v>399</v>
      </c>
      <c r="M1128" s="5">
        <v>3</v>
      </c>
      <c r="N1128" s="21">
        <v>524.31029999999998</v>
      </c>
      <c r="O1128" s="35" t="s">
        <v>4854</v>
      </c>
      <c r="P1128" s="35" t="s">
        <v>4854</v>
      </c>
      <c r="Q1128" s="36" t="str">
        <f>HYPERLINK("http://ms.phosphosite.org:5080/cgi-bin/plot-msms.cgi?MassType=1&amp;NumAxis=1&amp;Mod7=170&amp;Pep=IISIINKTENKKQ&amp;Dta=/var/www/html/dta/S01/10560.2390.3.dta&amp;Global_Mod=CS57.0215", "2390")</f>
        <v>2390</v>
      </c>
      <c r="R1128" s="35" t="s">
        <v>4854</v>
      </c>
      <c r="S1128" s="35" t="s">
        <v>4854</v>
      </c>
      <c r="T1128" s="35" t="s">
        <v>4854</v>
      </c>
      <c r="U1128" s="36" t="str">
        <f>HYPERLINK("http://ms.phosphosite.org:5080/cgi-bin/plot-msms.cgi?MassType=1&amp;NumAxis=1&amp;Mod7=170&amp;Pep=IISIINKTENKKQ&amp;Dta=/var/www/html/dta/S01/10564.2734.3.dta&amp;Global_Mod=CS57.0215", "2734")</f>
        <v>2734</v>
      </c>
      <c r="V1128" s="35" t="s">
        <v>4854</v>
      </c>
      <c r="W1128" s="3" t="s">
        <v>4854</v>
      </c>
      <c r="X1128" s="3" t="s">
        <v>4854</v>
      </c>
      <c r="Y1128" s="3" t="s">
        <v>4854</v>
      </c>
      <c r="Z1128" s="3" t="s">
        <v>4854</v>
      </c>
      <c r="AA1128" s="3" t="s">
        <v>4854</v>
      </c>
      <c r="AB1128" s="3" t="s">
        <v>4854</v>
      </c>
      <c r="AC1128" s="3" t="s">
        <v>4854</v>
      </c>
      <c r="AD1128" s="3" t="s">
        <v>4854</v>
      </c>
      <c r="AE1128" s="99" t="s">
        <v>4854</v>
      </c>
      <c r="AF1128" s="99" t="s">
        <v>4854</v>
      </c>
      <c r="AG1128" s="90">
        <v>2.5219999999999998</v>
      </c>
      <c r="AH1128" s="99" t="s">
        <v>4854</v>
      </c>
      <c r="AI1128" s="99" t="s">
        <v>4854</v>
      </c>
      <c r="AJ1128" s="99" t="s">
        <v>4854</v>
      </c>
      <c r="AK1128" s="90">
        <v>2.7170000000000001</v>
      </c>
      <c r="AL1128" s="99" t="s">
        <v>4854</v>
      </c>
      <c r="AM1128" s="102" t="s">
        <v>4854</v>
      </c>
      <c r="AN1128" s="102" t="s">
        <v>4854</v>
      </c>
      <c r="AO1128" s="21">
        <v>-0.26750000000000002</v>
      </c>
      <c r="AP1128" s="102" t="s">
        <v>4854</v>
      </c>
      <c r="AQ1128" s="102" t="s">
        <v>4854</v>
      </c>
      <c r="AR1128" s="102" t="s">
        <v>4854</v>
      </c>
      <c r="AS1128" s="21">
        <v>-0.55459999999999998</v>
      </c>
      <c r="AT1128" s="102" t="s">
        <v>4854</v>
      </c>
      <c r="AU1128" s="102" t="s">
        <v>4854</v>
      </c>
      <c r="AV1128" s="102" t="s">
        <v>4854</v>
      </c>
      <c r="AW1128" s="21">
        <v>7.0000000000000007E-2</v>
      </c>
      <c r="AX1128" s="102" t="s">
        <v>4854</v>
      </c>
      <c r="AY1128" s="102" t="s">
        <v>4854</v>
      </c>
      <c r="AZ1128" s="102" t="s">
        <v>4854</v>
      </c>
      <c r="BA1128" s="21">
        <v>0</v>
      </c>
      <c r="BB1128" s="102" t="s">
        <v>4854</v>
      </c>
      <c r="BC1128" s="3" t="s">
        <v>4854</v>
      </c>
      <c r="BD1128" s="3" t="s">
        <v>4854</v>
      </c>
      <c r="BE1128" s="5">
        <v>1</v>
      </c>
      <c r="BF1128" s="3" t="s">
        <v>4854</v>
      </c>
      <c r="BG1128" s="3" t="s">
        <v>4854</v>
      </c>
      <c r="BH1128" s="3" t="s">
        <v>4854</v>
      </c>
      <c r="BI1128" s="5">
        <v>1</v>
      </c>
      <c r="BJ1128" s="3" t="s">
        <v>4854</v>
      </c>
      <c r="BK1128" s="99" t="s">
        <v>4854</v>
      </c>
      <c r="BL1128" s="99" t="s">
        <v>4854</v>
      </c>
      <c r="BM1128" s="90">
        <v>0.22500000000000001</v>
      </c>
      <c r="BN1128" s="99" t="s">
        <v>4854</v>
      </c>
      <c r="BO1128" s="99" t="s">
        <v>4854</v>
      </c>
      <c r="BP1128" s="99" t="s">
        <v>4854</v>
      </c>
      <c r="BQ1128" s="90">
        <v>0.06</v>
      </c>
      <c r="BR1128" s="99" t="s">
        <v>4854</v>
      </c>
      <c r="BS1128" s="5" t="s">
        <v>4857</v>
      </c>
    </row>
    <row r="1129" spans="1:71" s="30" customFormat="1" ht="17.100000000000001" customHeight="1">
      <c r="A1129" s="10">
        <v>1118</v>
      </c>
      <c r="B1129" s="10" t="s">
        <v>400</v>
      </c>
      <c r="C1129" s="4" t="s">
        <v>470</v>
      </c>
      <c r="D1129" s="4" t="s">
        <v>401</v>
      </c>
      <c r="E1129" s="4" t="s">
        <v>402</v>
      </c>
      <c r="F1129" s="10" t="s">
        <v>403</v>
      </c>
      <c r="G1129" s="4" t="s">
        <v>404</v>
      </c>
      <c r="H1129" s="7" t="s">
        <v>405</v>
      </c>
      <c r="I1129" s="4" t="s">
        <v>406</v>
      </c>
      <c r="J1129" s="10" t="s">
        <v>407</v>
      </c>
      <c r="K1129" s="4" t="s">
        <v>6043</v>
      </c>
      <c r="L1129" s="4" t="s">
        <v>408</v>
      </c>
      <c r="M1129" s="10">
        <v>2</v>
      </c>
      <c r="N1129" s="95">
        <v>564.33019999999999</v>
      </c>
      <c r="O1129" s="38" t="s">
        <v>4854</v>
      </c>
      <c r="P1129" s="38" t="s">
        <v>4854</v>
      </c>
      <c r="Q1129" s="38" t="s">
        <v>4854</v>
      </c>
      <c r="R1129" s="38" t="s">
        <v>4854</v>
      </c>
      <c r="S1129" s="38" t="s">
        <v>4854</v>
      </c>
      <c r="T1129" s="38" t="s">
        <v>4854</v>
      </c>
      <c r="U1129" s="37" t="str">
        <f>HYPERLINK("http://ms.phosphosite.org:5080/cgi-bin/plot-msms.cgi?MassType=1&amp;NumAxis=1&amp;Mod3=170&amp;Pep=QGKTALAVAAR&amp;Dta=/var/www/html/dta/S01/10564.2978.2.dta&amp;Global_Mod=CS57.0215", "2978")</f>
        <v>2978</v>
      </c>
      <c r="V1129" s="38" t="s">
        <v>4854</v>
      </c>
      <c r="W1129" s="4" t="s">
        <v>4854</v>
      </c>
      <c r="X1129" s="4" t="s">
        <v>4854</v>
      </c>
      <c r="Y1129" s="4" t="s">
        <v>4854</v>
      </c>
      <c r="Z1129" s="4" t="s">
        <v>4854</v>
      </c>
      <c r="AA1129" s="4" t="s">
        <v>4854</v>
      </c>
      <c r="AB1129" s="4" t="s">
        <v>4854</v>
      </c>
      <c r="AC1129" s="4" t="s">
        <v>4854</v>
      </c>
      <c r="AD1129" s="4" t="s">
        <v>4854</v>
      </c>
      <c r="AE1129" s="100" t="s">
        <v>4854</v>
      </c>
      <c r="AF1129" s="100" t="s">
        <v>4854</v>
      </c>
      <c r="AG1129" s="100" t="s">
        <v>4854</v>
      </c>
      <c r="AH1129" s="100" t="s">
        <v>4854</v>
      </c>
      <c r="AI1129" s="100" t="s">
        <v>4854</v>
      </c>
      <c r="AJ1129" s="100" t="s">
        <v>4854</v>
      </c>
      <c r="AK1129" s="91">
        <v>2.3530000000000002</v>
      </c>
      <c r="AL1129" s="100" t="s">
        <v>4854</v>
      </c>
      <c r="AM1129" s="103" t="s">
        <v>4854</v>
      </c>
      <c r="AN1129" s="103" t="s">
        <v>4854</v>
      </c>
      <c r="AO1129" s="103" t="s">
        <v>4854</v>
      </c>
      <c r="AP1129" s="103" t="s">
        <v>4854</v>
      </c>
      <c r="AQ1129" s="103" t="s">
        <v>4854</v>
      </c>
      <c r="AR1129" s="103" t="s">
        <v>4854</v>
      </c>
      <c r="AS1129" s="95">
        <v>2.0001000000000002</v>
      </c>
      <c r="AT1129" s="103" t="s">
        <v>4854</v>
      </c>
      <c r="AU1129" s="103" t="s">
        <v>4854</v>
      </c>
      <c r="AV1129" s="103" t="s">
        <v>4854</v>
      </c>
      <c r="AW1129" s="103" t="s">
        <v>4854</v>
      </c>
      <c r="AX1129" s="103" t="s">
        <v>4854</v>
      </c>
      <c r="AY1129" s="103" t="s">
        <v>4854</v>
      </c>
      <c r="AZ1129" s="103" t="s">
        <v>4854</v>
      </c>
      <c r="BA1129" s="95">
        <v>3.4000000000000002E-2</v>
      </c>
      <c r="BB1129" s="103" t="s">
        <v>4854</v>
      </c>
      <c r="BC1129" s="4" t="s">
        <v>4854</v>
      </c>
      <c r="BD1129" s="4" t="s">
        <v>4854</v>
      </c>
      <c r="BE1129" s="4" t="s">
        <v>4854</v>
      </c>
      <c r="BF1129" s="4" t="s">
        <v>4854</v>
      </c>
      <c r="BG1129" s="4" t="s">
        <v>4854</v>
      </c>
      <c r="BH1129" s="4" t="s">
        <v>4854</v>
      </c>
      <c r="BI1129" s="10">
        <v>298</v>
      </c>
      <c r="BJ1129" s="4" t="s">
        <v>4854</v>
      </c>
      <c r="BK1129" s="100" t="s">
        <v>4854</v>
      </c>
      <c r="BL1129" s="100" t="s">
        <v>4854</v>
      </c>
      <c r="BM1129" s="100" t="s">
        <v>4854</v>
      </c>
      <c r="BN1129" s="100" t="s">
        <v>4854</v>
      </c>
      <c r="BO1129" s="100" t="s">
        <v>4854</v>
      </c>
      <c r="BP1129" s="100" t="s">
        <v>4854</v>
      </c>
      <c r="BQ1129" s="91">
        <v>0.877</v>
      </c>
      <c r="BR1129" s="100" t="s">
        <v>4854</v>
      </c>
      <c r="BS1129" s="10" t="s">
        <v>4857</v>
      </c>
    </row>
    <row r="1130" spans="1:71" s="30" customFormat="1" ht="17.100000000000001" customHeight="1">
      <c r="A1130" s="14">
        <v>1119</v>
      </c>
      <c r="B1130" s="5" t="s">
        <v>409</v>
      </c>
      <c r="C1130" s="3" t="s">
        <v>470</v>
      </c>
      <c r="D1130" s="3" t="s">
        <v>410</v>
      </c>
      <c r="E1130" s="3" t="s">
        <v>411</v>
      </c>
      <c r="F1130" s="5" t="s">
        <v>2915</v>
      </c>
      <c r="G1130" s="3" t="s">
        <v>412</v>
      </c>
      <c r="H1130" s="6" t="s">
        <v>413</v>
      </c>
      <c r="I1130" s="3" t="s">
        <v>414</v>
      </c>
      <c r="J1130" s="5" t="s">
        <v>4571</v>
      </c>
      <c r="K1130" s="3" t="s">
        <v>6044</v>
      </c>
      <c r="L1130" s="3" t="s">
        <v>415</v>
      </c>
      <c r="M1130" s="5">
        <v>2</v>
      </c>
      <c r="N1130" s="21">
        <v>882.45519999999999</v>
      </c>
      <c r="O1130" s="36" t="str">
        <f>HYPERLINK("http://ms.phosphosite.org:5080/cgi-bin/plot-msms.cgi?MassType=1&amp;NumAxis=1&amp;Mod8=147&amp;Mod9=170&amp;Pep=DSDMNVLMKTLGLLR&amp;Dta=/var/www/html/dta/S01/10558.6830.2.dta&amp;Global_Mod=CS57.0215", "6830")</f>
        <v>6830</v>
      </c>
      <c r="P1130" s="35" t="s">
        <v>4854</v>
      </c>
      <c r="Q1130" s="35" t="s">
        <v>4854</v>
      </c>
      <c r="R1130" s="35" t="s">
        <v>4854</v>
      </c>
      <c r="S1130" s="35" t="s">
        <v>4854</v>
      </c>
      <c r="T1130" s="35" t="s">
        <v>4854</v>
      </c>
      <c r="U1130" s="35" t="s">
        <v>4854</v>
      </c>
      <c r="V1130" s="35" t="s">
        <v>4854</v>
      </c>
      <c r="W1130" s="3" t="s">
        <v>4854</v>
      </c>
      <c r="X1130" s="3" t="s">
        <v>4854</v>
      </c>
      <c r="Y1130" s="3" t="s">
        <v>4854</v>
      </c>
      <c r="Z1130" s="3" t="s">
        <v>4854</v>
      </c>
      <c r="AA1130" s="3" t="s">
        <v>4854</v>
      </c>
      <c r="AB1130" s="3" t="s">
        <v>4854</v>
      </c>
      <c r="AC1130" s="3" t="s">
        <v>4854</v>
      </c>
      <c r="AD1130" s="3" t="s">
        <v>4854</v>
      </c>
      <c r="AE1130" s="90">
        <v>2.3759999999999999</v>
      </c>
      <c r="AF1130" s="99" t="s">
        <v>4854</v>
      </c>
      <c r="AG1130" s="99" t="s">
        <v>4854</v>
      </c>
      <c r="AH1130" s="99" t="s">
        <v>4854</v>
      </c>
      <c r="AI1130" s="99" t="s">
        <v>4854</v>
      </c>
      <c r="AJ1130" s="99" t="s">
        <v>4854</v>
      </c>
      <c r="AK1130" s="99" t="s">
        <v>4854</v>
      </c>
      <c r="AL1130" s="99" t="s">
        <v>4854</v>
      </c>
      <c r="AM1130" s="21">
        <v>0.71279999999999999</v>
      </c>
      <c r="AN1130" s="102" t="s">
        <v>4854</v>
      </c>
      <c r="AO1130" s="102" t="s">
        <v>4854</v>
      </c>
      <c r="AP1130" s="102" t="s">
        <v>4854</v>
      </c>
      <c r="AQ1130" s="102" t="s">
        <v>4854</v>
      </c>
      <c r="AR1130" s="102" t="s">
        <v>4854</v>
      </c>
      <c r="AS1130" s="102" t="s">
        <v>4854</v>
      </c>
      <c r="AT1130" s="102" t="s">
        <v>4854</v>
      </c>
      <c r="AU1130" s="21">
        <v>4.8000000000000001E-2</v>
      </c>
      <c r="AV1130" s="102" t="s">
        <v>4854</v>
      </c>
      <c r="AW1130" s="102" t="s">
        <v>4854</v>
      </c>
      <c r="AX1130" s="102" t="s">
        <v>4854</v>
      </c>
      <c r="AY1130" s="102" t="s">
        <v>4854</v>
      </c>
      <c r="AZ1130" s="102" t="s">
        <v>4854</v>
      </c>
      <c r="BA1130" s="102" t="s">
        <v>4854</v>
      </c>
      <c r="BB1130" s="102" t="s">
        <v>4854</v>
      </c>
      <c r="BC1130" s="5">
        <v>86</v>
      </c>
      <c r="BD1130" s="3" t="s">
        <v>4854</v>
      </c>
      <c r="BE1130" s="3" t="s">
        <v>4854</v>
      </c>
      <c r="BF1130" s="3" t="s">
        <v>4854</v>
      </c>
      <c r="BG1130" s="3" t="s">
        <v>4854</v>
      </c>
      <c r="BH1130" s="3" t="s">
        <v>4854</v>
      </c>
      <c r="BI1130" s="3" t="s">
        <v>4854</v>
      </c>
      <c r="BJ1130" s="3" t="s">
        <v>4854</v>
      </c>
      <c r="BK1130" s="90">
        <v>6.8000000000000005E-2</v>
      </c>
      <c r="BL1130" s="99" t="s">
        <v>4854</v>
      </c>
      <c r="BM1130" s="99" t="s">
        <v>4854</v>
      </c>
      <c r="BN1130" s="99" t="s">
        <v>4854</v>
      </c>
      <c r="BO1130" s="99" t="s">
        <v>4854</v>
      </c>
      <c r="BP1130" s="99" t="s">
        <v>4854</v>
      </c>
      <c r="BQ1130" s="99" t="s">
        <v>4854</v>
      </c>
      <c r="BR1130" s="99" t="s">
        <v>4854</v>
      </c>
      <c r="BS1130" s="5" t="s">
        <v>4857</v>
      </c>
    </row>
    <row r="1131" spans="1:71" s="30" customFormat="1" ht="17.100000000000001" customHeight="1">
      <c r="A1131" s="10">
        <v>1120</v>
      </c>
      <c r="B1131" s="10" t="s">
        <v>416</v>
      </c>
      <c r="C1131" s="4" t="s">
        <v>470</v>
      </c>
      <c r="D1131" s="4" t="s">
        <v>417</v>
      </c>
      <c r="E1131" s="4" t="s">
        <v>418</v>
      </c>
      <c r="F1131" s="10" t="s">
        <v>4088</v>
      </c>
      <c r="G1131" s="4" t="s">
        <v>419</v>
      </c>
      <c r="H1131" s="7" t="s">
        <v>420</v>
      </c>
      <c r="I1131" s="4" t="s">
        <v>421</v>
      </c>
      <c r="J1131" s="10" t="s">
        <v>4624</v>
      </c>
      <c r="K1131" s="4" t="s">
        <v>6045</v>
      </c>
      <c r="L1131" s="4" t="s">
        <v>422</v>
      </c>
      <c r="M1131" s="10">
        <v>2</v>
      </c>
      <c r="N1131" s="95">
        <v>463.77449999999999</v>
      </c>
      <c r="O1131" s="38" t="s">
        <v>4854</v>
      </c>
      <c r="P1131" s="38" t="s">
        <v>4854</v>
      </c>
      <c r="Q1131" s="38" t="s">
        <v>4854</v>
      </c>
      <c r="R1131" s="38" t="s">
        <v>4854</v>
      </c>
      <c r="S1131" s="38" t="s">
        <v>4854</v>
      </c>
      <c r="T1131" s="38" t="s">
        <v>4854</v>
      </c>
      <c r="U1131" s="37" t="str">
        <f>HYPERLINK("http://ms.phosphosite.org:5080/cgi-bin/plot-msms.cgi?MassType=1&amp;NumAxis=1&amp;Mod4=170&amp;Pep=IGGKSPVAR&amp;Dta=/var/www/html/dta/S01/10564.3954.2.dta&amp;Global_Mod=CS57.0215", "3954")</f>
        <v>3954</v>
      </c>
      <c r="V1131" s="38" t="s">
        <v>4854</v>
      </c>
      <c r="W1131" s="4" t="s">
        <v>4854</v>
      </c>
      <c r="X1131" s="4" t="s">
        <v>4854</v>
      </c>
      <c r="Y1131" s="4" t="s">
        <v>4854</v>
      </c>
      <c r="Z1131" s="4" t="s">
        <v>4854</v>
      </c>
      <c r="AA1131" s="4" t="s">
        <v>4854</v>
      </c>
      <c r="AB1131" s="4" t="s">
        <v>4854</v>
      </c>
      <c r="AC1131" s="4" t="s">
        <v>4854</v>
      </c>
      <c r="AD1131" s="4" t="s">
        <v>4854</v>
      </c>
      <c r="AE1131" s="100" t="s">
        <v>4854</v>
      </c>
      <c r="AF1131" s="100" t="s">
        <v>4854</v>
      </c>
      <c r="AG1131" s="100" t="s">
        <v>4854</v>
      </c>
      <c r="AH1131" s="100" t="s">
        <v>4854</v>
      </c>
      <c r="AI1131" s="100" t="s">
        <v>4854</v>
      </c>
      <c r="AJ1131" s="100" t="s">
        <v>4854</v>
      </c>
      <c r="AK1131" s="91">
        <v>2.3090000000000002</v>
      </c>
      <c r="AL1131" s="100" t="s">
        <v>4854</v>
      </c>
      <c r="AM1131" s="103" t="s">
        <v>4854</v>
      </c>
      <c r="AN1131" s="103" t="s">
        <v>4854</v>
      </c>
      <c r="AO1131" s="103" t="s">
        <v>4854</v>
      </c>
      <c r="AP1131" s="103" t="s">
        <v>4854</v>
      </c>
      <c r="AQ1131" s="103" t="s">
        <v>4854</v>
      </c>
      <c r="AR1131" s="103" t="s">
        <v>4854</v>
      </c>
      <c r="AS1131" s="95">
        <v>-0.64570000000000005</v>
      </c>
      <c r="AT1131" s="103" t="s">
        <v>4854</v>
      </c>
      <c r="AU1131" s="103" t="s">
        <v>4854</v>
      </c>
      <c r="AV1131" s="103" t="s">
        <v>4854</v>
      </c>
      <c r="AW1131" s="103" t="s">
        <v>4854</v>
      </c>
      <c r="AX1131" s="103" t="s">
        <v>4854</v>
      </c>
      <c r="AY1131" s="103" t="s">
        <v>4854</v>
      </c>
      <c r="AZ1131" s="103" t="s">
        <v>4854</v>
      </c>
      <c r="BA1131" s="95">
        <v>3.5000000000000003E-2</v>
      </c>
      <c r="BB1131" s="103" t="s">
        <v>4854</v>
      </c>
      <c r="BC1131" s="4" t="s">
        <v>4854</v>
      </c>
      <c r="BD1131" s="4" t="s">
        <v>4854</v>
      </c>
      <c r="BE1131" s="4" t="s">
        <v>4854</v>
      </c>
      <c r="BF1131" s="4" t="s">
        <v>4854</v>
      </c>
      <c r="BG1131" s="4" t="s">
        <v>4854</v>
      </c>
      <c r="BH1131" s="4" t="s">
        <v>4854</v>
      </c>
      <c r="BI1131" s="10">
        <v>3</v>
      </c>
      <c r="BJ1131" s="4" t="s">
        <v>4854</v>
      </c>
      <c r="BK1131" s="100" t="s">
        <v>4854</v>
      </c>
      <c r="BL1131" s="100" t="s">
        <v>4854</v>
      </c>
      <c r="BM1131" s="100" t="s">
        <v>4854</v>
      </c>
      <c r="BN1131" s="100" t="s">
        <v>4854</v>
      </c>
      <c r="BO1131" s="100" t="s">
        <v>4854</v>
      </c>
      <c r="BP1131" s="100" t="s">
        <v>4854</v>
      </c>
      <c r="BQ1131" s="91">
        <v>0.13100000000000001</v>
      </c>
      <c r="BR1131" s="100" t="s">
        <v>4854</v>
      </c>
      <c r="BS1131" s="10" t="s">
        <v>4857</v>
      </c>
    </row>
    <row r="1132" spans="1:71" s="30" customFormat="1" ht="17.100000000000001" customHeight="1">
      <c r="A1132" s="14">
        <v>1121</v>
      </c>
      <c r="B1132" s="5" t="s">
        <v>423</v>
      </c>
      <c r="C1132" s="3" t="s">
        <v>470</v>
      </c>
      <c r="D1132" s="3" t="s">
        <v>424</v>
      </c>
      <c r="E1132" s="3" t="s">
        <v>425</v>
      </c>
      <c r="F1132" s="5" t="s">
        <v>4863</v>
      </c>
      <c r="G1132" s="3" t="s">
        <v>426</v>
      </c>
      <c r="H1132" s="6" t="s">
        <v>427</v>
      </c>
      <c r="I1132" s="3" t="s">
        <v>428</v>
      </c>
      <c r="J1132" s="5" t="s">
        <v>4692</v>
      </c>
      <c r="K1132" s="3" t="s">
        <v>6046</v>
      </c>
      <c r="L1132" s="3" t="s">
        <v>429</v>
      </c>
      <c r="M1132" s="5">
        <v>2</v>
      </c>
      <c r="N1132" s="21">
        <v>432.75049999999999</v>
      </c>
      <c r="O1132" s="36" t="str">
        <f>HYPERLINK("http://ms.phosphosite.org:5080/cgi-bin/plot-msms.cgi?MassType=1&amp;NumAxis=1&amp;Mod4=170&amp;Pep=ITGKTFR&amp;Dta=/var/www/html/dta/S01/10558.3284.2.dta&amp;Global_Mod=CS57.0215", "3284")</f>
        <v>3284</v>
      </c>
      <c r="P1132" s="35" t="s">
        <v>4854</v>
      </c>
      <c r="Q1132" s="36" t="str">
        <f>HYPERLINK("http://ms.phosphosite.org:5080/cgi-bin/plot-msms.cgi?MassType=1&amp;NumAxis=1&amp;Mod4=170&amp;Pep=ITGKTFR&amp;Dta=/var/www/html/dta/S01/10560.3215.2.dta&amp;Global_Mod=CS57.0215", "3215")</f>
        <v>3215</v>
      </c>
      <c r="R1132" s="35" t="s">
        <v>4854</v>
      </c>
      <c r="S1132" s="35" t="s">
        <v>4854</v>
      </c>
      <c r="T1132" s="35" t="s">
        <v>4854</v>
      </c>
      <c r="U1132" s="35" t="s">
        <v>4854</v>
      </c>
      <c r="V1132" s="35" t="s">
        <v>4854</v>
      </c>
      <c r="W1132" s="3" t="s">
        <v>4854</v>
      </c>
      <c r="X1132" s="3" t="s">
        <v>4854</v>
      </c>
      <c r="Y1132" s="5">
        <v>3212</v>
      </c>
      <c r="Z1132" s="3" t="s">
        <v>4854</v>
      </c>
      <c r="AA1132" s="3" t="s">
        <v>4854</v>
      </c>
      <c r="AB1132" s="3" t="s">
        <v>4854</v>
      </c>
      <c r="AC1132" s="3" t="s">
        <v>4854</v>
      </c>
      <c r="AD1132" s="3" t="s">
        <v>4854</v>
      </c>
      <c r="AE1132" s="90">
        <v>1.754</v>
      </c>
      <c r="AF1132" s="99" t="s">
        <v>4854</v>
      </c>
      <c r="AG1132" s="90">
        <v>1.704</v>
      </c>
      <c r="AH1132" s="99" t="s">
        <v>4854</v>
      </c>
      <c r="AI1132" s="99" t="s">
        <v>4854</v>
      </c>
      <c r="AJ1132" s="99" t="s">
        <v>4854</v>
      </c>
      <c r="AK1132" s="99" t="s">
        <v>4854</v>
      </c>
      <c r="AL1132" s="99" t="s">
        <v>4854</v>
      </c>
      <c r="AM1132" s="21">
        <v>0.41710000000000003</v>
      </c>
      <c r="AN1132" s="102" t="s">
        <v>4854</v>
      </c>
      <c r="AO1132" s="21">
        <v>0.15679999999999999</v>
      </c>
      <c r="AP1132" s="102" t="s">
        <v>4854</v>
      </c>
      <c r="AQ1132" s="102" t="s">
        <v>4854</v>
      </c>
      <c r="AR1132" s="102" t="s">
        <v>4854</v>
      </c>
      <c r="AS1132" s="102" t="s">
        <v>4854</v>
      </c>
      <c r="AT1132" s="102" t="s">
        <v>4854</v>
      </c>
      <c r="AU1132" s="21">
        <v>0.01</v>
      </c>
      <c r="AV1132" s="102" t="s">
        <v>4854</v>
      </c>
      <c r="AW1132" s="21">
        <v>8.6999999999999994E-2</v>
      </c>
      <c r="AX1132" s="102" t="s">
        <v>4854</v>
      </c>
      <c r="AY1132" s="102" t="s">
        <v>4854</v>
      </c>
      <c r="AZ1132" s="102" t="s">
        <v>4854</v>
      </c>
      <c r="BA1132" s="102" t="s">
        <v>4854</v>
      </c>
      <c r="BB1132" s="102" t="s">
        <v>4854</v>
      </c>
      <c r="BC1132" s="5">
        <v>2</v>
      </c>
      <c r="BD1132" s="3" t="s">
        <v>4854</v>
      </c>
      <c r="BE1132" s="5">
        <v>2</v>
      </c>
      <c r="BF1132" s="3" t="s">
        <v>4854</v>
      </c>
      <c r="BG1132" s="3" t="s">
        <v>4854</v>
      </c>
      <c r="BH1132" s="3" t="s">
        <v>4854</v>
      </c>
      <c r="BI1132" s="3" t="s">
        <v>4854</v>
      </c>
      <c r="BJ1132" s="3" t="s">
        <v>4854</v>
      </c>
      <c r="BK1132" s="90">
        <v>0.91200000000000003</v>
      </c>
      <c r="BL1132" s="99" t="s">
        <v>4854</v>
      </c>
      <c r="BM1132" s="90">
        <v>0.95699999999999996</v>
      </c>
      <c r="BN1132" s="99" t="s">
        <v>4854</v>
      </c>
      <c r="BO1132" s="99" t="s">
        <v>4854</v>
      </c>
      <c r="BP1132" s="99" t="s">
        <v>4854</v>
      </c>
      <c r="BQ1132" s="99" t="s">
        <v>4854</v>
      </c>
      <c r="BR1132" s="99" t="s">
        <v>4854</v>
      </c>
      <c r="BS1132" s="5" t="s">
        <v>4857</v>
      </c>
    </row>
    <row r="1133" spans="1:71" s="30" customFormat="1" ht="17.100000000000001" customHeight="1">
      <c r="A1133" s="10">
        <v>1122</v>
      </c>
      <c r="B1133" s="10" t="s">
        <v>430</v>
      </c>
      <c r="C1133" s="4" t="s">
        <v>470</v>
      </c>
      <c r="D1133" s="4" t="s">
        <v>431</v>
      </c>
      <c r="E1133" s="4" t="s">
        <v>432</v>
      </c>
      <c r="F1133" s="10" t="s">
        <v>5329</v>
      </c>
      <c r="G1133" s="4" t="s">
        <v>433</v>
      </c>
      <c r="H1133" s="7" t="s">
        <v>434</v>
      </c>
      <c r="I1133" s="4" t="s">
        <v>435</v>
      </c>
      <c r="J1133" s="10" t="s">
        <v>436</v>
      </c>
      <c r="K1133" s="4" t="s">
        <v>6047</v>
      </c>
      <c r="L1133" s="4" t="s">
        <v>437</v>
      </c>
      <c r="M1133" s="10">
        <v>2</v>
      </c>
      <c r="N1133" s="95">
        <v>441.23500000000001</v>
      </c>
      <c r="O1133" s="38" t="s">
        <v>4854</v>
      </c>
      <c r="P1133" s="38" t="s">
        <v>4854</v>
      </c>
      <c r="Q1133" s="38" t="s">
        <v>4854</v>
      </c>
      <c r="R1133" s="38" t="s">
        <v>4854</v>
      </c>
      <c r="S1133" s="38" t="s">
        <v>4854</v>
      </c>
      <c r="T1133" s="38" t="s">
        <v>4854</v>
      </c>
      <c r="U1133" s="37" t="str">
        <f>HYPERLINK("http://ms.phosphosite.org:5080/cgi-bin/plot-msms.cgi?MassType=1&amp;NumAxis=1&amp;Mod5=170&amp;Pep=ALAHKYH&amp;Dta=/var/www/html/dta/S01/10564.1859.2.dta&amp;Global_Mod=CS57.0215", "1859")</f>
        <v>1859</v>
      </c>
      <c r="V1133" s="38" t="s">
        <v>4854</v>
      </c>
      <c r="W1133" s="4" t="s">
        <v>4854</v>
      </c>
      <c r="X1133" s="4" t="s">
        <v>4854</v>
      </c>
      <c r="Y1133" s="4" t="s">
        <v>4854</v>
      </c>
      <c r="Z1133" s="4" t="s">
        <v>4854</v>
      </c>
      <c r="AA1133" s="4" t="s">
        <v>4854</v>
      </c>
      <c r="AB1133" s="4" t="s">
        <v>4854</v>
      </c>
      <c r="AC1133" s="4" t="s">
        <v>4854</v>
      </c>
      <c r="AD1133" s="4" t="s">
        <v>4854</v>
      </c>
      <c r="AE1133" s="100" t="s">
        <v>4854</v>
      </c>
      <c r="AF1133" s="100" t="s">
        <v>4854</v>
      </c>
      <c r="AG1133" s="100" t="s">
        <v>4854</v>
      </c>
      <c r="AH1133" s="100" t="s">
        <v>4854</v>
      </c>
      <c r="AI1133" s="100" t="s">
        <v>4854</v>
      </c>
      <c r="AJ1133" s="100" t="s">
        <v>4854</v>
      </c>
      <c r="AK1133" s="91">
        <v>1.8560000000000001</v>
      </c>
      <c r="AL1133" s="100" t="s">
        <v>4854</v>
      </c>
      <c r="AM1133" s="103" t="s">
        <v>4854</v>
      </c>
      <c r="AN1133" s="103" t="s">
        <v>4854</v>
      </c>
      <c r="AO1133" s="103" t="s">
        <v>4854</v>
      </c>
      <c r="AP1133" s="103" t="s">
        <v>4854</v>
      </c>
      <c r="AQ1133" s="103" t="s">
        <v>4854</v>
      </c>
      <c r="AR1133" s="103" t="s">
        <v>4854</v>
      </c>
      <c r="AS1133" s="95">
        <v>-0.21859999999999999</v>
      </c>
      <c r="AT1133" s="103" t="s">
        <v>4854</v>
      </c>
      <c r="AU1133" s="103" t="s">
        <v>4854</v>
      </c>
      <c r="AV1133" s="103" t="s">
        <v>4854</v>
      </c>
      <c r="AW1133" s="103" t="s">
        <v>4854</v>
      </c>
      <c r="AX1133" s="103" t="s">
        <v>4854</v>
      </c>
      <c r="AY1133" s="103" t="s">
        <v>4854</v>
      </c>
      <c r="AZ1133" s="103" t="s">
        <v>4854</v>
      </c>
      <c r="BA1133" s="95">
        <v>0.247</v>
      </c>
      <c r="BB1133" s="103" t="s">
        <v>4854</v>
      </c>
      <c r="BC1133" s="4" t="s">
        <v>4854</v>
      </c>
      <c r="BD1133" s="4" t="s">
        <v>4854</v>
      </c>
      <c r="BE1133" s="4" t="s">
        <v>4854</v>
      </c>
      <c r="BF1133" s="4" t="s">
        <v>4854</v>
      </c>
      <c r="BG1133" s="4" t="s">
        <v>4854</v>
      </c>
      <c r="BH1133" s="4" t="s">
        <v>4854</v>
      </c>
      <c r="BI1133" s="10">
        <v>1</v>
      </c>
      <c r="BJ1133" s="4" t="s">
        <v>4854</v>
      </c>
      <c r="BK1133" s="100" t="s">
        <v>4854</v>
      </c>
      <c r="BL1133" s="100" t="s">
        <v>4854</v>
      </c>
      <c r="BM1133" s="100" t="s">
        <v>4854</v>
      </c>
      <c r="BN1133" s="100" t="s">
        <v>4854</v>
      </c>
      <c r="BO1133" s="100" t="s">
        <v>4854</v>
      </c>
      <c r="BP1133" s="100" t="s">
        <v>4854</v>
      </c>
      <c r="BQ1133" s="91">
        <v>0.71499999999999997</v>
      </c>
      <c r="BR1133" s="100" t="s">
        <v>4854</v>
      </c>
      <c r="BS1133" s="10" t="s">
        <v>4857</v>
      </c>
    </row>
    <row r="1134" spans="1:71" s="30" customFormat="1" ht="17.100000000000001" customHeight="1">
      <c r="A1134" s="10">
        <v>1123</v>
      </c>
      <c r="B1134" s="10" t="s">
        <v>438</v>
      </c>
      <c r="C1134" s="4" t="s">
        <v>470</v>
      </c>
      <c r="D1134" s="4" t="s">
        <v>439</v>
      </c>
      <c r="E1134" s="4" t="s">
        <v>439</v>
      </c>
      <c r="F1134" s="10" t="s">
        <v>4270</v>
      </c>
      <c r="G1134" s="4" t="s">
        <v>433</v>
      </c>
      <c r="H1134" s="7" t="s">
        <v>440</v>
      </c>
      <c r="I1134" s="4" t="s">
        <v>435</v>
      </c>
      <c r="J1134" s="10" t="s">
        <v>4849</v>
      </c>
      <c r="K1134" s="4" t="s">
        <v>6048</v>
      </c>
      <c r="L1134" s="4" t="s">
        <v>441</v>
      </c>
      <c r="M1134" s="10">
        <v>2</v>
      </c>
      <c r="N1134" s="95">
        <v>724.90409999999997</v>
      </c>
      <c r="O1134" s="38" t="s">
        <v>4854</v>
      </c>
      <c r="P1134" s="38" t="s">
        <v>4854</v>
      </c>
      <c r="Q1134" s="37" t="str">
        <f>HYPERLINK("http://ms.phosphosite.org:5080/cgi-bin/plot-msms.cgi?MassType=1&amp;NumAxis=1&amp;Mod12=170&amp;Pep=VVAGVAAALAHKYH&amp;Dta=/var/www/html/dta/S01/10560.7604.2.dta&amp;Global_Mod=CS57.0215", "7604")</f>
        <v>7604</v>
      </c>
      <c r="R1134" s="37" t="str">
        <f>HYPERLINK("http://ms.phosphosite.org:5080/cgi-bin/plot-msms.cgi?MassType=1&amp;NumAxis=1&amp;Mod12=170&amp;Pep=VVAGVAAALAHKYH&amp;Dta=/var/www/html/dta/S01/10561.7644.2.dta&amp;Global_Mod=CS57.0215", "7644")</f>
        <v>7644</v>
      </c>
      <c r="S1134" s="37" t="str">
        <f>HYPERLINK("http://ms.phosphosite.org:5080/cgi-bin/plot-msms.cgi?MassType=1&amp;NumAxis=1&amp;Mod12=170&amp;Pep=VVAGVAAALAHKYH&amp;Dta=/var/www/html/dta/S01/10562.7758.2.dta&amp;Global_Mod=CS57.0215", "7758")</f>
        <v>7758</v>
      </c>
      <c r="T1134" s="37" t="str">
        <f>HYPERLINK("http://ms.phosphosite.org:5080/cgi-bin/plot-msms.cgi?MassType=1&amp;NumAxis=1&amp;Mod12=170&amp;Pep=VVAGVAAALAHKYH&amp;Dta=/var/www/html/dta/S01/10563.7727.2.dta&amp;Global_Mod=CS57.0215", "7727")</f>
        <v>7727</v>
      </c>
      <c r="U1134" s="37" t="str">
        <f>HYPERLINK("http://ms.phosphosite.org:5080/cgi-bin/plot-msms.cgi?MassType=1&amp;NumAxis=1&amp;Mod12=170&amp;Pep=VVAGVAAALAHKYH&amp;Dta=/var/www/html/dta/S01/10564.8110.2.dta&amp;Global_Mod=CS57.0215", "8110")</f>
        <v>8110</v>
      </c>
      <c r="V1134" s="37" t="str">
        <f>HYPERLINK("http://ms.phosphosite.org:5080/cgi-bin/plot-msms.cgi?MassType=1&amp;NumAxis=1&amp;Mod12=170&amp;Pep=VVAGVAAALAHKYH&amp;Dta=/var/www/html/dta/S01/10565.8152.2.dta&amp;Global_Mod=CS57.0215", "8152")</f>
        <v>8152</v>
      </c>
      <c r="W1134" s="4" t="s">
        <v>4854</v>
      </c>
      <c r="X1134" s="4" t="s">
        <v>4854</v>
      </c>
      <c r="Y1134" s="10">
        <v>7653</v>
      </c>
      <c r="Z1134" s="10">
        <v>7669</v>
      </c>
      <c r="AA1134" s="10">
        <v>7786</v>
      </c>
      <c r="AB1134" s="10">
        <v>7762</v>
      </c>
      <c r="AC1134" s="10">
        <v>8157</v>
      </c>
      <c r="AD1134" s="10">
        <v>8209</v>
      </c>
      <c r="AE1134" s="100" t="s">
        <v>4854</v>
      </c>
      <c r="AF1134" s="100" t="s">
        <v>4854</v>
      </c>
      <c r="AG1134" s="91">
        <v>4.0289999999999999</v>
      </c>
      <c r="AH1134" s="91">
        <v>3.9910000000000001</v>
      </c>
      <c r="AI1134" s="91">
        <v>3.8639999999999999</v>
      </c>
      <c r="AJ1134" s="91">
        <v>4.0620000000000003</v>
      </c>
      <c r="AK1134" s="91">
        <v>4.1849999999999996</v>
      </c>
      <c r="AL1134" s="91">
        <v>3.8109999999999999</v>
      </c>
      <c r="AM1134" s="103" t="s">
        <v>4854</v>
      </c>
      <c r="AN1134" s="103" t="s">
        <v>4854</v>
      </c>
      <c r="AO1134" s="95">
        <v>0.51249999999999996</v>
      </c>
      <c r="AP1134" s="95">
        <v>0.54979999999999996</v>
      </c>
      <c r="AQ1134" s="95">
        <v>0.48209999999999997</v>
      </c>
      <c r="AR1134" s="95">
        <v>0.35299999999999998</v>
      </c>
      <c r="AS1134" s="95">
        <v>-1E-3</v>
      </c>
      <c r="AT1134" s="95">
        <v>-0.33300000000000002</v>
      </c>
      <c r="AU1134" s="103" t="s">
        <v>4854</v>
      </c>
      <c r="AV1134" s="103" t="s">
        <v>4854</v>
      </c>
      <c r="AW1134" s="95">
        <v>0.504</v>
      </c>
      <c r="AX1134" s="95">
        <v>0.44800000000000001</v>
      </c>
      <c r="AY1134" s="95">
        <v>0.51300000000000001</v>
      </c>
      <c r="AZ1134" s="95">
        <v>0.47299999999999998</v>
      </c>
      <c r="BA1134" s="95">
        <v>0.45800000000000002</v>
      </c>
      <c r="BB1134" s="95">
        <v>0.44</v>
      </c>
      <c r="BC1134" s="4" t="s">
        <v>4854</v>
      </c>
      <c r="BD1134" s="4" t="s">
        <v>4854</v>
      </c>
      <c r="BE1134" s="10">
        <v>1</v>
      </c>
      <c r="BF1134" s="10">
        <v>1</v>
      </c>
      <c r="BG1134" s="10">
        <v>1</v>
      </c>
      <c r="BH1134" s="10">
        <v>1</v>
      </c>
      <c r="BI1134" s="10">
        <v>1</v>
      </c>
      <c r="BJ1134" s="10">
        <v>1</v>
      </c>
      <c r="BK1134" s="100" t="s">
        <v>4854</v>
      </c>
      <c r="BL1134" s="100" t="s">
        <v>4854</v>
      </c>
      <c r="BM1134" s="91">
        <v>1</v>
      </c>
      <c r="BN1134" s="91">
        <v>1</v>
      </c>
      <c r="BO1134" s="91">
        <v>1</v>
      </c>
      <c r="BP1134" s="91">
        <v>1</v>
      </c>
      <c r="BQ1134" s="91">
        <v>1</v>
      </c>
      <c r="BR1134" s="91">
        <v>1</v>
      </c>
      <c r="BS1134" s="10" t="s">
        <v>4857</v>
      </c>
    </row>
    <row r="1135" spans="1:71" s="30" customFormat="1" ht="17.100000000000001" customHeight="1">
      <c r="A1135" s="10">
        <v>1124</v>
      </c>
      <c r="B1135" s="10" t="s">
        <v>442</v>
      </c>
      <c r="C1135" s="4" t="s">
        <v>470</v>
      </c>
      <c r="D1135" s="4" t="s">
        <v>439</v>
      </c>
      <c r="E1135" s="4" t="s">
        <v>439</v>
      </c>
      <c r="F1135" s="10" t="s">
        <v>4270</v>
      </c>
      <c r="G1135" s="4" t="s">
        <v>433</v>
      </c>
      <c r="H1135" s="7" t="s">
        <v>440</v>
      </c>
      <c r="I1135" s="4" t="s">
        <v>435</v>
      </c>
      <c r="J1135" s="10" t="s">
        <v>4849</v>
      </c>
      <c r="K1135" s="4" t="s">
        <v>6048</v>
      </c>
      <c r="L1135" s="4" t="s">
        <v>441</v>
      </c>
      <c r="M1135" s="10">
        <v>2</v>
      </c>
      <c r="N1135" s="95">
        <v>724.90409999999997</v>
      </c>
      <c r="O1135" s="38" t="s">
        <v>4854</v>
      </c>
      <c r="P1135" s="38" t="s">
        <v>4854</v>
      </c>
      <c r="Q1135" s="38" t="s">
        <v>4854</v>
      </c>
      <c r="R1135" s="37" t="str">
        <f>HYPERLINK("http://ms.phosphosite.org:5080/cgi-bin/plot-msms.cgi?MassType=1&amp;NumAxis=1&amp;Mod12=170&amp;Pep=VVAGVAAALAHKYH&amp;Dta=/var/www/html/dta/S01/10561.7744.2.dta&amp;Global_Mod=CS57.0215", "7744")</f>
        <v>7744</v>
      </c>
      <c r="S1135" s="38" t="s">
        <v>4854</v>
      </c>
      <c r="T1135" s="38" t="s">
        <v>4854</v>
      </c>
      <c r="U1135" s="37" t="str">
        <f>HYPERLINK("http://ms.phosphosite.org:5080/cgi-bin/plot-msms.cgi?MassType=1&amp;NumAxis=1&amp;Mod12=170&amp;Pep=VVAGVAAALAHKYH&amp;Dta=/var/www/html/dta/S01/10564.8205.2.dta&amp;Global_Mod=CS57.0215", "8205")</f>
        <v>8205</v>
      </c>
      <c r="V1135" s="37" t="str">
        <f>HYPERLINK("http://ms.phosphosite.org:5080/cgi-bin/plot-msms.cgi?MassType=1&amp;NumAxis=1&amp;Mod12=170&amp;Pep=VVAGVAAALAHKYH&amp;Dta=/var/www/html/dta/S01/10565.8251.2.dta&amp;Global_Mod=CS57.0215", "8251")</f>
        <v>8251</v>
      </c>
      <c r="W1135" s="4" t="s">
        <v>4854</v>
      </c>
      <c r="X1135" s="4" t="s">
        <v>4854</v>
      </c>
      <c r="Y1135" s="4" t="s">
        <v>4854</v>
      </c>
      <c r="Z1135" s="10">
        <v>7669</v>
      </c>
      <c r="AA1135" s="4" t="s">
        <v>4854</v>
      </c>
      <c r="AB1135" s="4" t="s">
        <v>4854</v>
      </c>
      <c r="AC1135" s="10">
        <v>8157</v>
      </c>
      <c r="AD1135" s="10">
        <v>8209</v>
      </c>
      <c r="AE1135" s="100" t="s">
        <v>4854</v>
      </c>
      <c r="AF1135" s="100" t="s">
        <v>4854</v>
      </c>
      <c r="AG1135" s="100" t="s">
        <v>4854</v>
      </c>
      <c r="AH1135" s="91">
        <v>3.3109999999999999</v>
      </c>
      <c r="AI1135" s="100" t="s">
        <v>4854</v>
      </c>
      <c r="AJ1135" s="100" t="s">
        <v>4854</v>
      </c>
      <c r="AK1135" s="91">
        <v>3.5019999999999998</v>
      </c>
      <c r="AL1135" s="91">
        <v>3.0369999999999999</v>
      </c>
      <c r="AM1135" s="103" t="s">
        <v>4854</v>
      </c>
      <c r="AN1135" s="103" t="s">
        <v>4854</v>
      </c>
      <c r="AO1135" s="103" t="s">
        <v>4854</v>
      </c>
      <c r="AP1135" s="95">
        <v>0.54220000000000002</v>
      </c>
      <c r="AQ1135" s="103" t="s">
        <v>4854</v>
      </c>
      <c r="AR1135" s="103" t="s">
        <v>4854</v>
      </c>
      <c r="AS1135" s="95">
        <v>1.0699999999999999E-2</v>
      </c>
      <c r="AT1135" s="95">
        <v>-0.33100000000000002</v>
      </c>
      <c r="AU1135" s="103" t="s">
        <v>4854</v>
      </c>
      <c r="AV1135" s="103" t="s">
        <v>4854</v>
      </c>
      <c r="AW1135" s="103" t="s">
        <v>4854</v>
      </c>
      <c r="AX1135" s="95">
        <v>0.46899999999999997</v>
      </c>
      <c r="AY1135" s="103" t="s">
        <v>4854</v>
      </c>
      <c r="AZ1135" s="103" t="s">
        <v>4854</v>
      </c>
      <c r="BA1135" s="95">
        <v>0.38600000000000001</v>
      </c>
      <c r="BB1135" s="95">
        <v>0.29399999999999998</v>
      </c>
      <c r="BC1135" s="4" t="s">
        <v>4854</v>
      </c>
      <c r="BD1135" s="4" t="s">
        <v>4854</v>
      </c>
      <c r="BE1135" s="4" t="s">
        <v>4854</v>
      </c>
      <c r="BF1135" s="10">
        <v>1</v>
      </c>
      <c r="BG1135" s="4" t="s">
        <v>4854</v>
      </c>
      <c r="BH1135" s="4" t="s">
        <v>4854</v>
      </c>
      <c r="BI1135" s="10">
        <v>1</v>
      </c>
      <c r="BJ1135" s="10">
        <v>1</v>
      </c>
      <c r="BK1135" s="100" t="s">
        <v>4854</v>
      </c>
      <c r="BL1135" s="100" t="s">
        <v>4854</v>
      </c>
      <c r="BM1135" s="100" t="s">
        <v>4854</v>
      </c>
      <c r="BN1135" s="91">
        <v>1</v>
      </c>
      <c r="BO1135" s="100" t="s">
        <v>4854</v>
      </c>
      <c r="BP1135" s="100" t="s">
        <v>4854</v>
      </c>
      <c r="BQ1135" s="91">
        <v>1</v>
      </c>
      <c r="BR1135" s="91">
        <v>1</v>
      </c>
      <c r="BS1135" s="10" t="s">
        <v>4857</v>
      </c>
    </row>
    <row r="1136" spans="1:71" s="30" customFormat="1" ht="17.100000000000001" customHeight="1">
      <c r="A1136" s="10">
        <v>1125</v>
      </c>
      <c r="B1136" s="10" t="s">
        <v>443</v>
      </c>
      <c r="C1136" s="4" t="s">
        <v>470</v>
      </c>
      <c r="D1136" s="4" t="s">
        <v>439</v>
      </c>
      <c r="E1136" s="4" t="s">
        <v>439</v>
      </c>
      <c r="F1136" s="10" t="s">
        <v>4270</v>
      </c>
      <c r="G1136" s="4" t="s">
        <v>433</v>
      </c>
      <c r="H1136" s="7" t="s">
        <v>440</v>
      </c>
      <c r="I1136" s="4" t="s">
        <v>435</v>
      </c>
      <c r="J1136" s="10" t="s">
        <v>4849</v>
      </c>
      <c r="K1136" s="4" t="s">
        <v>6048</v>
      </c>
      <c r="L1136" s="4" t="s">
        <v>441</v>
      </c>
      <c r="M1136" s="10">
        <v>3</v>
      </c>
      <c r="N1136" s="95">
        <v>483.60509999999999</v>
      </c>
      <c r="O1136" s="38" t="s">
        <v>4854</v>
      </c>
      <c r="P1136" s="38" t="s">
        <v>4854</v>
      </c>
      <c r="Q1136" s="37" t="str">
        <f>HYPERLINK("http://ms.phosphosite.org:5080/cgi-bin/plot-msms.cgi?MassType=1&amp;NumAxis=1&amp;Mod12=170&amp;Pep=VVAGVAAALAHKYH&amp;Dta=/var/www/html/dta/S01/10560.7592.3.dta&amp;Global_Mod=CS57.0215", "7592")</f>
        <v>7592</v>
      </c>
      <c r="R1136" s="37" t="str">
        <f>HYPERLINK("http://ms.phosphosite.org:5080/cgi-bin/plot-msms.cgi?MassType=1&amp;NumAxis=1&amp;Mod12=170&amp;Pep=VVAGVAAALAHKYH&amp;Dta=/var/www/html/dta/S01/10561.7725.3.dta&amp;Global_Mod=CS57.0215", "7725")</f>
        <v>7725</v>
      </c>
      <c r="S1136" s="38" t="s">
        <v>4854</v>
      </c>
      <c r="T1136" s="38" t="s">
        <v>4854</v>
      </c>
      <c r="U1136" s="37" t="str">
        <f>HYPERLINK("http://ms.phosphosite.org:5080/cgi-bin/plot-msms.cgi?MassType=1&amp;NumAxis=1&amp;Mod12=170&amp;Pep=VVAGVAAALAHKYH&amp;Dta=/var/www/html/dta/S01/10564.8104.3.dta&amp;Global_Mod=CS57.0215", "8104")</f>
        <v>8104</v>
      </c>
      <c r="V1136" s="37" t="str">
        <f>HYPERLINK("http://ms.phosphosite.org:5080/cgi-bin/plot-msms.cgi?MassType=1&amp;NumAxis=1&amp;Mod12=170&amp;Pep=VVAGVAAALAHKYH&amp;Dta=/var/www/html/dta/S01/10565.8188.3.dta&amp;Global_Mod=CS57.0215", "8188")</f>
        <v>8188</v>
      </c>
      <c r="W1136" s="4" t="s">
        <v>4854</v>
      </c>
      <c r="X1136" s="4" t="s">
        <v>4854</v>
      </c>
      <c r="Y1136" s="4" t="s">
        <v>4854</v>
      </c>
      <c r="Z1136" s="10">
        <v>7669</v>
      </c>
      <c r="AA1136" s="4" t="s">
        <v>4854</v>
      </c>
      <c r="AB1136" s="4" t="s">
        <v>4854</v>
      </c>
      <c r="AC1136" s="10">
        <v>8146</v>
      </c>
      <c r="AD1136" s="10">
        <v>8198</v>
      </c>
      <c r="AE1136" s="100" t="s">
        <v>4854</v>
      </c>
      <c r="AF1136" s="100" t="s">
        <v>4854</v>
      </c>
      <c r="AG1136" s="91">
        <v>1.696</v>
      </c>
      <c r="AH1136" s="91">
        <v>1.8919999999999999</v>
      </c>
      <c r="AI1136" s="100" t="s">
        <v>4854</v>
      </c>
      <c r="AJ1136" s="100" t="s">
        <v>4854</v>
      </c>
      <c r="AK1136" s="91">
        <v>1.8740000000000001</v>
      </c>
      <c r="AL1136" s="91">
        <v>1.94</v>
      </c>
      <c r="AM1136" s="103" t="s">
        <v>4854</v>
      </c>
      <c r="AN1136" s="103" t="s">
        <v>4854</v>
      </c>
      <c r="AO1136" s="95">
        <v>0.60570000000000002</v>
      </c>
      <c r="AP1136" s="95">
        <v>0.68159999999999998</v>
      </c>
      <c r="AQ1136" s="103" t="s">
        <v>4854</v>
      </c>
      <c r="AR1136" s="103" t="s">
        <v>4854</v>
      </c>
      <c r="AS1136" s="95">
        <v>0.59460000000000002</v>
      </c>
      <c r="AT1136" s="95">
        <v>0.1273</v>
      </c>
      <c r="AU1136" s="103" t="s">
        <v>4854</v>
      </c>
      <c r="AV1136" s="103" t="s">
        <v>4854</v>
      </c>
      <c r="AW1136" s="95">
        <v>5.7000000000000002E-2</v>
      </c>
      <c r="AX1136" s="95">
        <v>6.8000000000000005E-2</v>
      </c>
      <c r="AY1136" s="103" t="s">
        <v>4854</v>
      </c>
      <c r="AZ1136" s="103" t="s">
        <v>4854</v>
      </c>
      <c r="BA1136" s="95">
        <v>0.22600000000000001</v>
      </c>
      <c r="BB1136" s="95">
        <v>0.14599999999999999</v>
      </c>
      <c r="BC1136" s="4" t="s">
        <v>4854</v>
      </c>
      <c r="BD1136" s="4" t="s">
        <v>4854</v>
      </c>
      <c r="BE1136" s="10">
        <v>6</v>
      </c>
      <c r="BF1136" s="10">
        <v>1</v>
      </c>
      <c r="BG1136" s="4" t="s">
        <v>4854</v>
      </c>
      <c r="BH1136" s="4" t="s">
        <v>4854</v>
      </c>
      <c r="BI1136" s="10">
        <v>1</v>
      </c>
      <c r="BJ1136" s="10">
        <v>1</v>
      </c>
      <c r="BK1136" s="100" t="s">
        <v>4854</v>
      </c>
      <c r="BL1136" s="100" t="s">
        <v>4854</v>
      </c>
      <c r="BM1136" s="91">
        <v>0.88500000000000001</v>
      </c>
      <c r="BN1136" s="91">
        <v>0.95299999999999996</v>
      </c>
      <c r="BO1136" s="100" t="s">
        <v>4854</v>
      </c>
      <c r="BP1136" s="100" t="s">
        <v>4854</v>
      </c>
      <c r="BQ1136" s="91">
        <v>0.995</v>
      </c>
      <c r="BR1136" s="91">
        <v>0.98599999999999999</v>
      </c>
      <c r="BS1136" s="10" t="s">
        <v>4857</v>
      </c>
    </row>
    <row r="1137" spans="1:71" s="30" customFormat="1" ht="17.100000000000001" customHeight="1">
      <c r="A1137" s="10">
        <v>1126</v>
      </c>
      <c r="B1137" s="10" t="s">
        <v>444</v>
      </c>
      <c r="C1137" s="4" t="s">
        <v>470</v>
      </c>
      <c r="D1137" s="4" t="s">
        <v>439</v>
      </c>
      <c r="E1137" s="4" t="s">
        <v>439</v>
      </c>
      <c r="F1137" s="10" t="s">
        <v>4270</v>
      </c>
      <c r="G1137" s="4" t="s">
        <v>433</v>
      </c>
      <c r="H1137" s="7" t="s">
        <v>440</v>
      </c>
      <c r="I1137" s="4" t="s">
        <v>435</v>
      </c>
      <c r="J1137" s="10" t="s">
        <v>4849</v>
      </c>
      <c r="K1137" s="4" t="s">
        <v>6048</v>
      </c>
      <c r="L1137" s="4" t="s">
        <v>441</v>
      </c>
      <c r="M1137" s="10">
        <v>3</v>
      </c>
      <c r="N1137" s="95">
        <v>483.60509999999999</v>
      </c>
      <c r="O1137" s="38" t="s">
        <v>4854</v>
      </c>
      <c r="P1137" s="38" t="s">
        <v>4854</v>
      </c>
      <c r="Q1137" s="38" t="s">
        <v>4854</v>
      </c>
      <c r="R1137" s="38" t="s">
        <v>4854</v>
      </c>
      <c r="S1137" s="38" t="s">
        <v>4854</v>
      </c>
      <c r="T1137" s="38" t="s">
        <v>4854</v>
      </c>
      <c r="U1137" s="37" t="str">
        <f>HYPERLINK("http://ms.phosphosite.org:5080/cgi-bin/plot-msms.cgi?MassType=1&amp;NumAxis=1&amp;Mod12=170&amp;Pep=VVAGVAAALAHKYH&amp;Dta=/var/www/html/dta/S01/10564.8202.3.dta&amp;Global_Mod=CS57.0215", "8202")</f>
        <v>8202</v>
      </c>
      <c r="V1137" s="38" t="s">
        <v>4854</v>
      </c>
      <c r="W1137" s="4" t="s">
        <v>4854</v>
      </c>
      <c r="X1137" s="4" t="s">
        <v>4854</v>
      </c>
      <c r="Y1137" s="4" t="s">
        <v>4854</v>
      </c>
      <c r="Z1137" s="4" t="s">
        <v>4854</v>
      </c>
      <c r="AA1137" s="4" t="s">
        <v>4854</v>
      </c>
      <c r="AB1137" s="4" t="s">
        <v>4854</v>
      </c>
      <c r="AC1137" s="10">
        <v>8146</v>
      </c>
      <c r="AD1137" s="4" t="s">
        <v>4854</v>
      </c>
      <c r="AE1137" s="100" t="s">
        <v>4854</v>
      </c>
      <c r="AF1137" s="100" t="s">
        <v>4854</v>
      </c>
      <c r="AG1137" s="100" t="s">
        <v>4854</v>
      </c>
      <c r="AH1137" s="100" t="s">
        <v>4854</v>
      </c>
      <c r="AI1137" s="100" t="s">
        <v>4854</v>
      </c>
      <c r="AJ1137" s="100" t="s">
        <v>4854</v>
      </c>
      <c r="AK1137" s="91">
        <v>1.8620000000000001</v>
      </c>
      <c r="AL1137" s="100" t="s">
        <v>4854</v>
      </c>
      <c r="AM1137" s="103" t="s">
        <v>4854</v>
      </c>
      <c r="AN1137" s="103" t="s">
        <v>4854</v>
      </c>
      <c r="AO1137" s="103" t="s">
        <v>4854</v>
      </c>
      <c r="AP1137" s="103" t="s">
        <v>4854</v>
      </c>
      <c r="AQ1137" s="103" t="s">
        <v>4854</v>
      </c>
      <c r="AR1137" s="103" t="s">
        <v>4854</v>
      </c>
      <c r="AS1137" s="95">
        <v>0.59260000000000002</v>
      </c>
      <c r="AT1137" s="103" t="s">
        <v>4854</v>
      </c>
      <c r="AU1137" s="103" t="s">
        <v>4854</v>
      </c>
      <c r="AV1137" s="103" t="s">
        <v>4854</v>
      </c>
      <c r="AW1137" s="103" t="s">
        <v>4854</v>
      </c>
      <c r="AX1137" s="103" t="s">
        <v>4854</v>
      </c>
      <c r="AY1137" s="103" t="s">
        <v>4854</v>
      </c>
      <c r="AZ1137" s="103" t="s">
        <v>4854</v>
      </c>
      <c r="BA1137" s="95">
        <v>0.129</v>
      </c>
      <c r="BB1137" s="103" t="s">
        <v>4854</v>
      </c>
      <c r="BC1137" s="4" t="s">
        <v>4854</v>
      </c>
      <c r="BD1137" s="4" t="s">
        <v>4854</v>
      </c>
      <c r="BE1137" s="4" t="s">
        <v>4854</v>
      </c>
      <c r="BF1137" s="4" t="s">
        <v>4854</v>
      </c>
      <c r="BG1137" s="4" t="s">
        <v>4854</v>
      </c>
      <c r="BH1137" s="4" t="s">
        <v>4854</v>
      </c>
      <c r="BI1137" s="10">
        <v>1</v>
      </c>
      <c r="BJ1137" s="4" t="s">
        <v>4854</v>
      </c>
      <c r="BK1137" s="100" t="s">
        <v>4854</v>
      </c>
      <c r="BL1137" s="100" t="s">
        <v>4854</v>
      </c>
      <c r="BM1137" s="100" t="s">
        <v>4854</v>
      </c>
      <c r="BN1137" s="100" t="s">
        <v>4854</v>
      </c>
      <c r="BO1137" s="100" t="s">
        <v>4854</v>
      </c>
      <c r="BP1137" s="100" t="s">
        <v>4854</v>
      </c>
      <c r="BQ1137" s="91">
        <v>0.97899999999999998</v>
      </c>
      <c r="BR1137" s="100" t="s">
        <v>4854</v>
      </c>
      <c r="BS1137" s="10" t="s">
        <v>4857</v>
      </c>
    </row>
    <row r="1138" spans="1:71" s="30" customFormat="1" ht="17.100000000000001" customHeight="1">
      <c r="A1138" s="14">
        <v>1127</v>
      </c>
      <c r="B1138" s="5" t="s">
        <v>445</v>
      </c>
      <c r="C1138" s="3" t="s">
        <v>470</v>
      </c>
      <c r="D1138" s="3" t="s">
        <v>431</v>
      </c>
      <c r="E1138" s="3" t="s">
        <v>432</v>
      </c>
      <c r="F1138" s="5" t="s">
        <v>5119</v>
      </c>
      <c r="G1138" s="3" t="s">
        <v>433</v>
      </c>
      <c r="H1138" s="6" t="s">
        <v>434</v>
      </c>
      <c r="I1138" s="3" t="s">
        <v>435</v>
      </c>
      <c r="J1138" s="5" t="s">
        <v>436</v>
      </c>
      <c r="K1138" s="3" t="s">
        <v>6049</v>
      </c>
      <c r="L1138" s="3" t="s">
        <v>446</v>
      </c>
      <c r="M1138" s="5">
        <v>3</v>
      </c>
      <c r="N1138" s="21">
        <v>872.08330000000001</v>
      </c>
      <c r="O1138" s="35" t="s">
        <v>4854</v>
      </c>
      <c r="P1138" s="35" t="s">
        <v>4854</v>
      </c>
      <c r="Q1138" s="36" t="str">
        <f>HYPERLINK("http://ms.phosphosite.org:5080/cgi-bin/plot-msms.cgi?MassType=1&amp;NumAxis=1&amp;Mod11=160&amp;Mod13=170&amp;Pep=GTFASLSELHCDKLHVDPENFR&amp;Dta=/var/www/html/dta/S01/10560.9872.3.dta&amp;Global_Mod=CS57.0215", "9872")</f>
        <v>9872</v>
      </c>
      <c r="R1138" s="35" t="s">
        <v>4854</v>
      </c>
      <c r="S1138" s="35" t="s">
        <v>4854</v>
      </c>
      <c r="T1138" s="35" t="s">
        <v>4854</v>
      </c>
      <c r="U1138" s="35" t="s">
        <v>4854</v>
      </c>
      <c r="V1138" s="36" t="str">
        <f>HYPERLINK("http://ms.phosphosite.org:5080/cgi-bin/plot-msms.cgi?MassType=1&amp;NumAxis=1&amp;Mod11=160&amp;Mod13=170&amp;Pep=GTFASLSELHCDKLHVDPENFR&amp;Dta=/var/www/html/dta/S01/10565.10384.3.dta&amp;Global_Mod=CS57.0215", "10384")</f>
        <v>10384</v>
      </c>
      <c r="W1138" s="3" t="s">
        <v>4854</v>
      </c>
      <c r="X1138" s="3" t="s">
        <v>4854</v>
      </c>
      <c r="Y1138" s="5">
        <v>9886</v>
      </c>
      <c r="Z1138" s="3" t="s">
        <v>4854</v>
      </c>
      <c r="AA1138" s="3" t="s">
        <v>4854</v>
      </c>
      <c r="AB1138" s="3" t="s">
        <v>4854</v>
      </c>
      <c r="AC1138" s="3" t="s">
        <v>4854</v>
      </c>
      <c r="AD1138" s="5">
        <v>10376</v>
      </c>
      <c r="AE1138" s="99" t="s">
        <v>4854</v>
      </c>
      <c r="AF1138" s="99" t="s">
        <v>4854</v>
      </c>
      <c r="AG1138" s="90">
        <v>3.448</v>
      </c>
      <c r="AH1138" s="99" t="s">
        <v>4854</v>
      </c>
      <c r="AI1138" s="99" t="s">
        <v>4854</v>
      </c>
      <c r="AJ1138" s="99" t="s">
        <v>4854</v>
      </c>
      <c r="AK1138" s="99" t="s">
        <v>4854</v>
      </c>
      <c r="AL1138" s="90">
        <v>4.16</v>
      </c>
      <c r="AM1138" s="102" t="s">
        <v>4854</v>
      </c>
      <c r="AN1138" s="102" t="s">
        <v>4854</v>
      </c>
      <c r="AO1138" s="21">
        <v>1.635</v>
      </c>
      <c r="AP1138" s="102" t="s">
        <v>4854</v>
      </c>
      <c r="AQ1138" s="102" t="s">
        <v>4854</v>
      </c>
      <c r="AR1138" s="102" t="s">
        <v>4854</v>
      </c>
      <c r="AS1138" s="102" t="s">
        <v>4854</v>
      </c>
      <c r="AT1138" s="21">
        <v>0.90049999999999997</v>
      </c>
      <c r="AU1138" s="102" t="s">
        <v>4854</v>
      </c>
      <c r="AV1138" s="102" t="s">
        <v>4854</v>
      </c>
      <c r="AW1138" s="21">
        <v>0.10100000000000001</v>
      </c>
      <c r="AX1138" s="102" t="s">
        <v>4854</v>
      </c>
      <c r="AY1138" s="102" t="s">
        <v>4854</v>
      </c>
      <c r="AZ1138" s="102" t="s">
        <v>4854</v>
      </c>
      <c r="BA1138" s="102" t="s">
        <v>4854</v>
      </c>
      <c r="BB1138" s="21">
        <v>0.39800000000000002</v>
      </c>
      <c r="BC1138" s="3" t="s">
        <v>4854</v>
      </c>
      <c r="BD1138" s="3" t="s">
        <v>4854</v>
      </c>
      <c r="BE1138" s="5">
        <v>1</v>
      </c>
      <c r="BF1138" s="3" t="s">
        <v>4854</v>
      </c>
      <c r="BG1138" s="3" t="s">
        <v>4854</v>
      </c>
      <c r="BH1138" s="3" t="s">
        <v>4854</v>
      </c>
      <c r="BI1138" s="3" t="s">
        <v>4854</v>
      </c>
      <c r="BJ1138" s="5">
        <v>1</v>
      </c>
      <c r="BK1138" s="99" t="s">
        <v>4854</v>
      </c>
      <c r="BL1138" s="99" t="s">
        <v>4854</v>
      </c>
      <c r="BM1138" s="90">
        <v>0.99299999999999999</v>
      </c>
      <c r="BN1138" s="99" t="s">
        <v>4854</v>
      </c>
      <c r="BO1138" s="99" t="s">
        <v>4854</v>
      </c>
      <c r="BP1138" s="99" t="s">
        <v>4854</v>
      </c>
      <c r="BQ1138" s="99" t="s">
        <v>4854</v>
      </c>
      <c r="BR1138" s="90">
        <v>1</v>
      </c>
      <c r="BS1138" s="5" t="s">
        <v>4857</v>
      </c>
    </row>
    <row r="1139" spans="1:71" s="30" customFormat="1" ht="17.100000000000001" customHeight="1">
      <c r="A1139" s="10">
        <v>1128</v>
      </c>
      <c r="B1139" s="10" t="s">
        <v>447</v>
      </c>
      <c r="C1139" s="4" t="s">
        <v>470</v>
      </c>
      <c r="D1139" s="4" t="s">
        <v>448</v>
      </c>
      <c r="E1139" s="4" t="s">
        <v>449</v>
      </c>
      <c r="F1139" s="10" t="s">
        <v>3131</v>
      </c>
      <c r="G1139" s="4" t="s">
        <v>450</v>
      </c>
      <c r="H1139" s="7" t="s">
        <v>451</v>
      </c>
      <c r="I1139" s="4" t="s">
        <v>452</v>
      </c>
      <c r="J1139" s="10" t="s">
        <v>4351</v>
      </c>
      <c r="K1139" s="4" t="s">
        <v>6050</v>
      </c>
      <c r="L1139" s="4" t="s">
        <v>453</v>
      </c>
      <c r="M1139" s="10">
        <v>2</v>
      </c>
      <c r="N1139" s="95">
        <v>599.82489999999996</v>
      </c>
      <c r="O1139" s="37" t="str">
        <f>HYPERLINK("http://ms.phosphosite.org:5080/cgi-bin/plot-msms.cgi?MassType=1&amp;NumAxis=1&amp;Mod2=170&amp;Pep=IKKEPEEAGR&amp;Dta=/var/www/html/dta/S01/10558.1541.2.dta&amp;Global_Mod=CS57.0215", "1541")</f>
        <v>1541</v>
      </c>
      <c r="P1139" s="37" t="str">
        <f>HYPERLINK("http://ms.phosphosite.org:5080/cgi-bin/plot-msms.cgi?MassType=1&amp;NumAxis=1&amp;Mod2=170&amp;Pep=IKKEPEEAGR&amp;Dta=/var/www/html/dta/S01/10559.1516.2.dta&amp;Global_Mod=CS57.0215", "1516")</f>
        <v>1516</v>
      </c>
      <c r="Q1139" s="37" t="str">
        <f>HYPERLINK("http://ms.phosphosite.org:5080/cgi-bin/plot-msms.cgi?MassType=1&amp;NumAxis=1&amp;Mod2=170&amp;Pep=IKKEPEEAGR&amp;Dta=/var/www/html/dta/S01/10560.1488.2.dta&amp;Global_Mod=CS57.0215", "1488")</f>
        <v>1488</v>
      </c>
      <c r="R1139" s="38" t="s">
        <v>4854</v>
      </c>
      <c r="S1139" s="37" t="str">
        <f>HYPERLINK("http://ms.phosphosite.org:5080/cgi-bin/plot-msms.cgi?MassType=1&amp;NumAxis=1&amp;Mod2=170&amp;Pep=IKKEPEEAGR&amp;Dta=/var/www/html/dta/S01/10562.1575.2.dta&amp;Global_Mod=CS57.0215", "1575")</f>
        <v>1575</v>
      </c>
      <c r="T1139" s="38" t="s">
        <v>4854</v>
      </c>
      <c r="U1139" s="37" t="str">
        <f>HYPERLINK("http://ms.phosphosite.org:5080/cgi-bin/plot-msms.cgi?MassType=1&amp;NumAxis=1&amp;Mod2=170&amp;Pep=IKKEPEEAGR&amp;Dta=/var/www/html/dta/S01/10564.1710.2.dta&amp;Global_Mod=CS57.0215", "1710")</f>
        <v>1710</v>
      </c>
      <c r="V1139" s="37" t="str">
        <f>HYPERLINK("http://ms.phosphosite.org:5080/cgi-bin/plot-msms.cgi?MassType=1&amp;NumAxis=1&amp;Mod2=170&amp;Pep=IKKEPEEAGR&amp;Dta=/var/www/html/dta/S01/10565.1758.2.dta&amp;Global_Mod=CS57.0215", "1758")</f>
        <v>1758</v>
      </c>
      <c r="W1139" s="10">
        <v>1534</v>
      </c>
      <c r="X1139" s="10">
        <v>1513</v>
      </c>
      <c r="Y1139" s="10">
        <v>1495</v>
      </c>
      <c r="Z1139" s="4" t="s">
        <v>4854</v>
      </c>
      <c r="AA1139" s="10">
        <v>1567</v>
      </c>
      <c r="AB1139" s="4" t="s">
        <v>4854</v>
      </c>
      <c r="AC1139" s="10">
        <v>1705</v>
      </c>
      <c r="AD1139" s="10">
        <v>1753</v>
      </c>
      <c r="AE1139" s="91">
        <v>2.5659999999999998</v>
      </c>
      <c r="AF1139" s="91">
        <v>2.9620000000000002</v>
      </c>
      <c r="AG1139" s="91">
        <v>2.48</v>
      </c>
      <c r="AH1139" s="100" t="s">
        <v>4854</v>
      </c>
      <c r="AI1139" s="91">
        <v>2.4</v>
      </c>
      <c r="AJ1139" s="100" t="s">
        <v>4854</v>
      </c>
      <c r="AK1139" s="91">
        <v>2.5110000000000001</v>
      </c>
      <c r="AL1139" s="91">
        <v>2.8410000000000002</v>
      </c>
      <c r="AM1139" s="95">
        <v>-0.52690000000000003</v>
      </c>
      <c r="AN1139" s="95">
        <v>0.23899999999999999</v>
      </c>
      <c r="AO1139" s="95">
        <v>7.22E-2</v>
      </c>
      <c r="AP1139" s="103" t="s">
        <v>4854</v>
      </c>
      <c r="AQ1139" s="95">
        <v>-0.32829999999999998</v>
      </c>
      <c r="AR1139" s="103" t="s">
        <v>4854</v>
      </c>
      <c r="AS1139" s="95">
        <v>-0.249</v>
      </c>
      <c r="AT1139" s="95">
        <v>-0.1898</v>
      </c>
      <c r="AU1139" s="95">
        <v>8.5000000000000006E-2</v>
      </c>
      <c r="AV1139" s="95">
        <v>0.115</v>
      </c>
      <c r="AW1139" s="95">
        <v>0.127</v>
      </c>
      <c r="AX1139" s="103" t="s">
        <v>4854</v>
      </c>
      <c r="AY1139" s="95">
        <v>0.17199999999999999</v>
      </c>
      <c r="AZ1139" s="103" t="s">
        <v>4854</v>
      </c>
      <c r="BA1139" s="95">
        <v>0.214</v>
      </c>
      <c r="BB1139" s="95">
        <v>0.11799999999999999</v>
      </c>
      <c r="BC1139" s="10">
        <v>4</v>
      </c>
      <c r="BD1139" s="10">
        <v>1</v>
      </c>
      <c r="BE1139" s="10">
        <v>8</v>
      </c>
      <c r="BF1139" s="4" t="s">
        <v>4854</v>
      </c>
      <c r="BG1139" s="10">
        <v>3</v>
      </c>
      <c r="BH1139" s="4" t="s">
        <v>4854</v>
      </c>
      <c r="BI1139" s="10">
        <v>6</v>
      </c>
      <c r="BJ1139" s="10">
        <v>3</v>
      </c>
      <c r="BK1139" s="91">
        <v>0.97799999999999998</v>
      </c>
      <c r="BL1139" s="91">
        <v>0.998</v>
      </c>
      <c r="BM1139" s="91">
        <v>0.99099999999999999</v>
      </c>
      <c r="BN1139" s="100" t="s">
        <v>4854</v>
      </c>
      <c r="BO1139" s="91">
        <v>0.995</v>
      </c>
      <c r="BP1139" s="100" t="s">
        <v>4854</v>
      </c>
      <c r="BQ1139" s="91">
        <v>0.997</v>
      </c>
      <c r="BR1139" s="91">
        <v>0.996</v>
      </c>
      <c r="BS1139" s="10" t="s">
        <v>4857</v>
      </c>
    </row>
    <row r="1140" spans="1:71" s="30" customFormat="1" ht="17.100000000000001" customHeight="1">
      <c r="A1140" s="10">
        <v>1129</v>
      </c>
      <c r="B1140" s="10" t="s">
        <v>454</v>
      </c>
      <c r="C1140" s="4" t="s">
        <v>470</v>
      </c>
      <c r="D1140" s="4" t="s">
        <v>448</v>
      </c>
      <c r="E1140" s="4" t="s">
        <v>449</v>
      </c>
      <c r="F1140" s="10" t="s">
        <v>3131</v>
      </c>
      <c r="G1140" s="4" t="s">
        <v>450</v>
      </c>
      <c r="H1140" s="7" t="s">
        <v>451</v>
      </c>
      <c r="I1140" s="4" t="s">
        <v>452</v>
      </c>
      <c r="J1140" s="10" t="s">
        <v>4351</v>
      </c>
      <c r="K1140" s="4" t="s">
        <v>6050</v>
      </c>
      <c r="L1140" s="4" t="s">
        <v>453</v>
      </c>
      <c r="M1140" s="10">
        <v>3</v>
      </c>
      <c r="N1140" s="95">
        <v>400.21910000000003</v>
      </c>
      <c r="O1140" s="38" t="s">
        <v>4854</v>
      </c>
      <c r="P1140" s="37" t="str">
        <f>HYPERLINK("http://ms.phosphosite.org:5080/cgi-bin/plot-msms.cgi?MassType=1&amp;NumAxis=1&amp;Mod2=170&amp;Pep=IKKEPEEAGR&amp;Dta=/var/www/html/dta/S01/10559.1514.3.dta&amp;Global_Mod=CS57.0215", "1514")</f>
        <v>1514</v>
      </c>
      <c r="Q1140" s="38" t="s">
        <v>4854</v>
      </c>
      <c r="R1140" s="38" t="s">
        <v>4854</v>
      </c>
      <c r="S1140" s="38" t="s">
        <v>4854</v>
      </c>
      <c r="T1140" s="38" t="s">
        <v>4854</v>
      </c>
      <c r="U1140" s="38" t="s">
        <v>4854</v>
      </c>
      <c r="V1140" s="38" t="s">
        <v>4854</v>
      </c>
      <c r="W1140" s="4" t="s">
        <v>4854</v>
      </c>
      <c r="X1140" s="10">
        <v>1513</v>
      </c>
      <c r="Y1140" s="4" t="s">
        <v>4854</v>
      </c>
      <c r="Z1140" s="4" t="s">
        <v>4854</v>
      </c>
      <c r="AA1140" s="4" t="s">
        <v>4854</v>
      </c>
      <c r="AB1140" s="4" t="s">
        <v>4854</v>
      </c>
      <c r="AC1140" s="4" t="s">
        <v>4854</v>
      </c>
      <c r="AD1140" s="4" t="s">
        <v>4854</v>
      </c>
      <c r="AE1140" s="100" t="s">
        <v>4854</v>
      </c>
      <c r="AF1140" s="91">
        <v>2.8929999999999998</v>
      </c>
      <c r="AG1140" s="100" t="s">
        <v>4854</v>
      </c>
      <c r="AH1140" s="100" t="s">
        <v>4854</v>
      </c>
      <c r="AI1140" s="100" t="s">
        <v>4854</v>
      </c>
      <c r="AJ1140" s="100" t="s">
        <v>4854</v>
      </c>
      <c r="AK1140" s="100" t="s">
        <v>4854</v>
      </c>
      <c r="AL1140" s="100" t="s">
        <v>4854</v>
      </c>
      <c r="AM1140" s="103" t="s">
        <v>4854</v>
      </c>
      <c r="AN1140" s="95">
        <v>-0.15060000000000001</v>
      </c>
      <c r="AO1140" s="103" t="s">
        <v>4854</v>
      </c>
      <c r="AP1140" s="103" t="s">
        <v>4854</v>
      </c>
      <c r="AQ1140" s="103" t="s">
        <v>4854</v>
      </c>
      <c r="AR1140" s="103" t="s">
        <v>4854</v>
      </c>
      <c r="AS1140" s="103" t="s">
        <v>4854</v>
      </c>
      <c r="AT1140" s="103" t="s">
        <v>4854</v>
      </c>
      <c r="AU1140" s="103" t="s">
        <v>4854</v>
      </c>
      <c r="AV1140" s="95">
        <v>0.153</v>
      </c>
      <c r="AW1140" s="103" t="s">
        <v>4854</v>
      </c>
      <c r="AX1140" s="103" t="s">
        <v>4854</v>
      </c>
      <c r="AY1140" s="103" t="s">
        <v>4854</v>
      </c>
      <c r="AZ1140" s="103" t="s">
        <v>4854</v>
      </c>
      <c r="BA1140" s="103" t="s">
        <v>4854</v>
      </c>
      <c r="BB1140" s="103" t="s">
        <v>4854</v>
      </c>
      <c r="BC1140" s="4" t="s">
        <v>4854</v>
      </c>
      <c r="BD1140" s="10">
        <v>9</v>
      </c>
      <c r="BE1140" s="4" t="s">
        <v>4854</v>
      </c>
      <c r="BF1140" s="4" t="s">
        <v>4854</v>
      </c>
      <c r="BG1140" s="4" t="s">
        <v>4854</v>
      </c>
      <c r="BH1140" s="4" t="s">
        <v>4854</v>
      </c>
      <c r="BI1140" s="4" t="s">
        <v>4854</v>
      </c>
      <c r="BJ1140" s="4" t="s">
        <v>4854</v>
      </c>
      <c r="BK1140" s="100" t="s">
        <v>4854</v>
      </c>
      <c r="BL1140" s="91">
        <v>0.996</v>
      </c>
      <c r="BM1140" s="100" t="s">
        <v>4854</v>
      </c>
      <c r="BN1140" s="100" t="s">
        <v>4854</v>
      </c>
      <c r="BO1140" s="100" t="s">
        <v>4854</v>
      </c>
      <c r="BP1140" s="100" t="s">
        <v>4854</v>
      </c>
      <c r="BQ1140" s="100" t="s">
        <v>4854</v>
      </c>
      <c r="BR1140" s="100" t="s">
        <v>4854</v>
      </c>
      <c r="BS1140" s="10" t="s">
        <v>4857</v>
      </c>
    </row>
    <row r="1141" spans="1:71" s="30" customFormat="1" ht="17.100000000000001" customHeight="1">
      <c r="A1141" s="14">
        <v>1130</v>
      </c>
      <c r="B1141" s="5" t="s">
        <v>455</v>
      </c>
      <c r="C1141" s="3" t="s">
        <v>470</v>
      </c>
      <c r="D1141" s="3" t="s">
        <v>456</v>
      </c>
      <c r="E1141" s="3" t="s">
        <v>457</v>
      </c>
      <c r="F1141" s="5" t="s">
        <v>4456</v>
      </c>
      <c r="G1141" s="3" t="s">
        <v>458</v>
      </c>
      <c r="H1141" s="6" t="s">
        <v>459</v>
      </c>
      <c r="I1141" s="3" t="s">
        <v>460</v>
      </c>
      <c r="J1141" s="5" t="s">
        <v>4756</v>
      </c>
      <c r="K1141" s="3" t="s">
        <v>6051</v>
      </c>
      <c r="L1141" s="3" t="s">
        <v>345</v>
      </c>
      <c r="M1141" s="5">
        <v>2</v>
      </c>
      <c r="N1141" s="21">
        <v>401.24509999999998</v>
      </c>
      <c r="O1141" s="36" t="str">
        <f>HYPERLINK("http://ms.phosphosite.org:5080/cgi-bin/plot-msms.cgi?MassType=1&amp;NumAxis=1&amp;Mod6=170&amp;Pep=TLAQAKK&amp;Dta=/var/www/html/dta/S01/10558.6180.2.dta&amp;Global_Mod=CS57.0215", "6180")</f>
        <v>6180</v>
      </c>
      <c r="P1141" s="35" t="s">
        <v>4854</v>
      </c>
      <c r="Q1141" s="36" t="str">
        <f>HYPERLINK("http://ms.phosphosite.org:5080/cgi-bin/plot-msms.cgi?MassType=1&amp;NumAxis=1&amp;Mod6=170&amp;Pep=TLAQAKK&amp;Dta=/var/www/html/dta/S01/10560.6214.2.dta&amp;Global_Mod=CS57.0215", "6214")</f>
        <v>6214</v>
      </c>
      <c r="R1141" s="35" t="s">
        <v>4854</v>
      </c>
      <c r="S1141" s="35" t="s">
        <v>4854</v>
      </c>
      <c r="T1141" s="35" t="s">
        <v>4854</v>
      </c>
      <c r="U1141" s="35" t="s">
        <v>4854</v>
      </c>
      <c r="V1141" s="35" t="s">
        <v>4854</v>
      </c>
      <c r="W1141" s="3" t="s">
        <v>4854</v>
      </c>
      <c r="X1141" s="3" t="s">
        <v>4854</v>
      </c>
      <c r="Y1141" s="5">
        <v>6168</v>
      </c>
      <c r="Z1141" s="3" t="s">
        <v>4854</v>
      </c>
      <c r="AA1141" s="3" t="s">
        <v>4854</v>
      </c>
      <c r="AB1141" s="3" t="s">
        <v>4854</v>
      </c>
      <c r="AC1141" s="3" t="s">
        <v>4854</v>
      </c>
      <c r="AD1141" s="3" t="s">
        <v>4854</v>
      </c>
      <c r="AE1141" s="90">
        <v>1.6060000000000001</v>
      </c>
      <c r="AF1141" s="99" t="s">
        <v>4854</v>
      </c>
      <c r="AG1141" s="90">
        <v>1.5109999999999999</v>
      </c>
      <c r="AH1141" s="99" t="s">
        <v>4854</v>
      </c>
      <c r="AI1141" s="99" t="s">
        <v>4854</v>
      </c>
      <c r="AJ1141" s="99" t="s">
        <v>4854</v>
      </c>
      <c r="AK1141" s="99" t="s">
        <v>4854</v>
      </c>
      <c r="AL1141" s="99" t="s">
        <v>4854</v>
      </c>
      <c r="AM1141" s="21">
        <v>-0.17019999999999999</v>
      </c>
      <c r="AN1141" s="102" t="s">
        <v>4854</v>
      </c>
      <c r="AO1141" s="21">
        <v>0.50860000000000005</v>
      </c>
      <c r="AP1141" s="102" t="s">
        <v>4854</v>
      </c>
      <c r="AQ1141" s="102" t="s">
        <v>4854</v>
      </c>
      <c r="AR1141" s="102" t="s">
        <v>4854</v>
      </c>
      <c r="AS1141" s="102" t="s">
        <v>4854</v>
      </c>
      <c r="AT1141" s="102" t="s">
        <v>4854</v>
      </c>
      <c r="AU1141" s="21">
        <v>1.9E-2</v>
      </c>
      <c r="AV1141" s="102" t="s">
        <v>4854</v>
      </c>
      <c r="AW1141" s="21">
        <v>8.2000000000000003E-2</v>
      </c>
      <c r="AX1141" s="102" t="s">
        <v>4854</v>
      </c>
      <c r="AY1141" s="102" t="s">
        <v>4854</v>
      </c>
      <c r="AZ1141" s="102" t="s">
        <v>4854</v>
      </c>
      <c r="BA1141" s="102" t="s">
        <v>4854</v>
      </c>
      <c r="BB1141" s="102" t="s">
        <v>4854</v>
      </c>
      <c r="BC1141" s="5">
        <v>324</v>
      </c>
      <c r="BD1141" s="3" t="s">
        <v>4854</v>
      </c>
      <c r="BE1141" s="5">
        <v>35</v>
      </c>
      <c r="BF1141" s="3" t="s">
        <v>4854</v>
      </c>
      <c r="BG1141" s="3" t="s">
        <v>4854</v>
      </c>
      <c r="BH1141" s="3" t="s">
        <v>4854</v>
      </c>
      <c r="BI1141" s="3" t="s">
        <v>4854</v>
      </c>
      <c r="BJ1141" s="3" t="s">
        <v>4854</v>
      </c>
      <c r="BK1141" s="90">
        <v>0.89500000000000002</v>
      </c>
      <c r="BL1141" s="99" t="s">
        <v>4854</v>
      </c>
      <c r="BM1141" s="90">
        <v>0.95899999999999996</v>
      </c>
      <c r="BN1141" s="99" t="s">
        <v>4854</v>
      </c>
      <c r="BO1141" s="99" t="s">
        <v>4854</v>
      </c>
      <c r="BP1141" s="99" t="s">
        <v>4854</v>
      </c>
      <c r="BQ1141" s="99" t="s">
        <v>4854</v>
      </c>
      <c r="BR1141" s="99" t="s">
        <v>4854</v>
      </c>
      <c r="BS1141" s="5" t="s">
        <v>4857</v>
      </c>
    </row>
    <row r="1142" spans="1:71" s="30" customFormat="1" ht="17.100000000000001" customHeight="1">
      <c r="A1142" s="10">
        <v>1131</v>
      </c>
      <c r="B1142" s="10" t="s">
        <v>346</v>
      </c>
      <c r="C1142" s="4" t="s">
        <v>470</v>
      </c>
      <c r="D1142" s="4" t="s">
        <v>347</v>
      </c>
      <c r="E1142" s="4" t="s">
        <v>348</v>
      </c>
      <c r="F1142" s="10" t="s">
        <v>1229</v>
      </c>
      <c r="G1142" s="4" t="s">
        <v>349</v>
      </c>
      <c r="H1142" s="7" t="s">
        <v>350</v>
      </c>
      <c r="I1142" s="4" t="s">
        <v>351</v>
      </c>
      <c r="J1142" s="10" t="s">
        <v>352</v>
      </c>
      <c r="K1142" s="4" t="s">
        <v>6052</v>
      </c>
      <c r="L1142" s="4" t="s">
        <v>353</v>
      </c>
      <c r="M1142" s="10">
        <v>2</v>
      </c>
      <c r="N1142" s="95">
        <v>527.7441</v>
      </c>
      <c r="O1142" s="37" t="str">
        <f>HYPERLINK("http://ms.phosphosite.org:5080/cgi-bin/plot-msms.cgi?MassType=1&amp;NumAxis=1&amp;Mod2=160&amp;Mod4=170&amp;Mod5=160&amp;Pep=FCLKCER&amp;Dta=/var/www/html/dta/S01/10558.4923.2.dta&amp;Global_Mod=CS57.0215", "4923")</f>
        <v>4923</v>
      </c>
      <c r="P1142" s="37" t="str">
        <f>HYPERLINK("http://ms.phosphosite.org:5080/cgi-bin/plot-msms.cgi?MassType=1&amp;NumAxis=1&amp;Mod2=160&amp;Mod4=170&amp;Mod5=160&amp;Pep=FCLKCER&amp;Dta=/var/www/html/dta/S01/10559.4847.2.dta&amp;Global_Mod=CS57.0215", "4847")</f>
        <v>4847</v>
      </c>
      <c r="Q1142" s="37" t="str">
        <f>HYPERLINK("http://ms.phosphosite.org:5080/cgi-bin/plot-msms.cgi?MassType=1&amp;NumAxis=1&amp;Mod2=160&amp;Mod4=170&amp;Mod5=160&amp;Pep=FCLKCER&amp;Dta=/var/www/html/dta/S01/10560.4820.2.dta&amp;Global_Mod=CS57.0215", "4820")</f>
        <v>4820</v>
      </c>
      <c r="R1142" s="38" t="s">
        <v>4854</v>
      </c>
      <c r="S1142" s="37" t="str">
        <f>HYPERLINK("http://ms.phosphosite.org:5080/cgi-bin/plot-msms.cgi?MassType=1&amp;NumAxis=1&amp;Mod2=160&amp;Mod4=170&amp;Mod5=160&amp;Pep=FCLKCER&amp;Dta=/var/www/html/dta/S01/10562.4965.2.dta&amp;Global_Mod=CS57.0215", "4965")</f>
        <v>4965</v>
      </c>
      <c r="T1142" s="37" t="str">
        <f>HYPERLINK("http://ms.phosphosite.org:5080/cgi-bin/plot-msms.cgi?MassType=1&amp;NumAxis=1&amp;Mod2=160&amp;Mod4=170&amp;Mod5=160&amp;Pep=FCLKCER&amp;Dta=/var/www/html/dta/S01/10563.4898.2.dta&amp;Global_Mod=CS57.0215", "4898")</f>
        <v>4898</v>
      </c>
      <c r="U1142" s="37" t="str">
        <f>HYPERLINK("http://ms.phosphosite.org:5080/cgi-bin/plot-msms.cgi?MassType=1&amp;NumAxis=1&amp;Mod2=160&amp;Mod4=170&amp;Mod5=160&amp;Pep=FCLKCER&amp;Dta=/var/www/html/dta/S01/10564.5255.2.dta&amp;Global_Mod=CS57.0215", "5255")</f>
        <v>5255</v>
      </c>
      <c r="V1142" s="37" t="str">
        <f>HYPERLINK("http://ms.phosphosite.org:5080/cgi-bin/plot-msms.cgi?MassType=1&amp;NumAxis=1&amp;Mod2=160&amp;Mod4=170&amp;Mod5=160&amp;Pep=FCLKCER&amp;Dta=/var/www/html/dta/S01/10565.5377.2.dta&amp;Global_Mod=CS57.0215", "5377")</f>
        <v>5377</v>
      </c>
      <c r="W1142" s="10">
        <v>4922</v>
      </c>
      <c r="X1142" s="10">
        <v>4811</v>
      </c>
      <c r="Y1142" s="10">
        <v>4815</v>
      </c>
      <c r="Z1142" s="4" t="s">
        <v>4854</v>
      </c>
      <c r="AA1142" s="10">
        <v>4944</v>
      </c>
      <c r="AB1142" s="10">
        <v>4892</v>
      </c>
      <c r="AC1142" s="10">
        <v>5264</v>
      </c>
      <c r="AD1142" s="10">
        <v>5383</v>
      </c>
      <c r="AE1142" s="91">
        <v>2.1920000000000002</v>
      </c>
      <c r="AF1142" s="91">
        <v>2.0870000000000002</v>
      </c>
      <c r="AG1142" s="91">
        <v>2.36</v>
      </c>
      <c r="AH1142" s="100" t="s">
        <v>4854</v>
      </c>
      <c r="AI1142" s="91">
        <v>1.8720000000000001</v>
      </c>
      <c r="AJ1142" s="91">
        <v>2.149</v>
      </c>
      <c r="AK1142" s="91">
        <v>2.173</v>
      </c>
      <c r="AL1142" s="91">
        <v>2.0099999999999998</v>
      </c>
      <c r="AM1142" s="95">
        <v>8.1299999999999997E-2</v>
      </c>
      <c r="AN1142" s="95">
        <v>6.8000000000000005E-2</v>
      </c>
      <c r="AO1142" s="95">
        <v>-0.31230000000000002</v>
      </c>
      <c r="AP1142" s="103" t="s">
        <v>4854</v>
      </c>
      <c r="AQ1142" s="95">
        <v>-0.27529999999999999</v>
      </c>
      <c r="AR1142" s="95">
        <v>-0.13400000000000001</v>
      </c>
      <c r="AS1142" s="95">
        <v>-0.1074</v>
      </c>
      <c r="AT1142" s="95">
        <v>-0.56740000000000002</v>
      </c>
      <c r="AU1142" s="95">
        <v>0.14000000000000001</v>
      </c>
      <c r="AV1142" s="95">
        <v>8.8999999999999996E-2</v>
      </c>
      <c r="AW1142" s="95">
        <v>0.17299999999999999</v>
      </c>
      <c r="AX1142" s="103" t="s">
        <v>4854</v>
      </c>
      <c r="AY1142" s="95">
        <v>8.3000000000000004E-2</v>
      </c>
      <c r="AZ1142" s="95">
        <v>6.0999999999999999E-2</v>
      </c>
      <c r="BA1142" s="95">
        <v>0.187</v>
      </c>
      <c r="BB1142" s="95">
        <v>0.185</v>
      </c>
      <c r="BC1142" s="10">
        <v>1</v>
      </c>
      <c r="BD1142" s="10">
        <v>1</v>
      </c>
      <c r="BE1142" s="10">
        <v>1</v>
      </c>
      <c r="BF1142" s="4" t="s">
        <v>4854</v>
      </c>
      <c r="BG1142" s="10">
        <v>1</v>
      </c>
      <c r="BH1142" s="10">
        <v>1</v>
      </c>
      <c r="BI1142" s="10">
        <v>1</v>
      </c>
      <c r="BJ1142" s="10">
        <v>1</v>
      </c>
      <c r="BK1142" s="91">
        <v>0.996</v>
      </c>
      <c r="BL1142" s="91">
        <v>0.98899999999999999</v>
      </c>
      <c r="BM1142" s="91">
        <v>0.998</v>
      </c>
      <c r="BN1142" s="100" t="s">
        <v>4854</v>
      </c>
      <c r="BO1142" s="91">
        <v>0.97899999999999998</v>
      </c>
      <c r="BP1142" s="91">
        <v>0.98799999999999999</v>
      </c>
      <c r="BQ1142" s="91">
        <v>0.997</v>
      </c>
      <c r="BR1142" s="91">
        <v>0.99099999999999999</v>
      </c>
      <c r="BS1142" s="10" t="s">
        <v>4857</v>
      </c>
    </row>
    <row r="1143" spans="1:71" s="30" customFormat="1" ht="17.100000000000001" customHeight="1">
      <c r="A1143" s="14">
        <v>1132</v>
      </c>
      <c r="B1143" s="5" t="s">
        <v>354</v>
      </c>
      <c r="C1143" s="3" t="s">
        <v>470</v>
      </c>
      <c r="D1143" s="3" t="s">
        <v>355</v>
      </c>
      <c r="E1143" s="3" t="s">
        <v>356</v>
      </c>
      <c r="F1143" s="5" t="s">
        <v>357</v>
      </c>
      <c r="G1143" s="3" t="s">
        <v>358</v>
      </c>
      <c r="H1143" s="6" t="s">
        <v>359</v>
      </c>
      <c r="I1143" s="3" t="s">
        <v>360</v>
      </c>
      <c r="J1143" s="5" t="s">
        <v>361</v>
      </c>
      <c r="K1143" s="3" t="s">
        <v>6053</v>
      </c>
      <c r="L1143" s="3" t="s">
        <v>362</v>
      </c>
      <c r="M1143" s="5">
        <v>3</v>
      </c>
      <c r="N1143" s="21">
        <v>502.90879999999999</v>
      </c>
      <c r="O1143" s="35" t="s">
        <v>4854</v>
      </c>
      <c r="P1143" s="35" t="s">
        <v>4854</v>
      </c>
      <c r="Q1143" s="35" t="s">
        <v>4854</v>
      </c>
      <c r="R1143" s="35" t="s">
        <v>4854</v>
      </c>
      <c r="S1143" s="35" t="s">
        <v>4854</v>
      </c>
      <c r="T1143" s="35" t="s">
        <v>4854</v>
      </c>
      <c r="U1143" s="36" t="str">
        <f>HYPERLINK("http://ms.phosphosite.org:5080/cgi-bin/plot-msms.cgi?MassType=1&amp;NumAxis=1&amp;Mod1=160&amp;Mod4=170&amp;Pep=CSVKNDHSAYKR&amp;Dta=/var/www/html/dta/S01/10564.1645.3.dta&amp;Global_Mod=CS57.0215", "1645")</f>
        <v>1645</v>
      </c>
      <c r="V1143" s="36" t="str">
        <f>HYPERLINK("http://ms.phosphosite.org:5080/cgi-bin/plot-msms.cgi?MassType=1&amp;NumAxis=1&amp;Mod1=160&amp;Mod4=170&amp;Pep=CSVKNDHSAYKR&amp;Dta=/var/www/html/dta/S01/10565.1673.3.dta&amp;Global_Mod=CS57.0215", "1673")</f>
        <v>1673</v>
      </c>
      <c r="W1143" s="3" t="s">
        <v>4854</v>
      </c>
      <c r="X1143" s="3" t="s">
        <v>4854</v>
      </c>
      <c r="Y1143" s="3" t="s">
        <v>4854</v>
      </c>
      <c r="Z1143" s="3" t="s">
        <v>4854</v>
      </c>
      <c r="AA1143" s="3" t="s">
        <v>4854</v>
      </c>
      <c r="AB1143" s="3" t="s">
        <v>4854</v>
      </c>
      <c r="AC1143" s="3" t="s">
        <v>4854</v>
      </c>
      <c r="AD1143" s="3" t="s">
        <v>4854</v>
      </c>
      <c r="AE1143" s="99" t="s">
        <v>4854</v>
      </c>
      <c r="AF1143" s="99" t="s">
        <v>4854</v>
      </c>
      <c r="AG1143" s="99" t="s">
        <v>4854</v>
      </c>
      <c r="AH1143" s="99" t="s">
        <v>4854</v>
      </c>
      <c r="AI1143" s="99" t="s">
        <v>4854</v>
      </c>
      <c r="AJ1143" s="99" t="s">
        <v>4854</v>
      </c>
      <c r="AK1143" s="90">
        <v>1.75</v>
      </c>
      <c r="AL1143" s="90">
        <v>1.9410000000000001</v>
      </c>
      <c r="AM1143" s="102" t="s">
        <v>4854</v>
      </c>
      <c r="AN1143" s="102" t="s">
        <v>4854</v>
      </c>
      <c r="AO1143" s="102" t="s">
        <v>4854</v>
      </c>
      <c r="AP1143" s="102" t="s">
        <v>4854</v>
      </c>
      <c r="AQ1143" s="102" t="s">
        <v>4854</v>
      </c>
      <c r="AR1143" s="102" t="s">
        <v>4854</v>
      </c>
      <c r="AS1143" s="21">
        <v>0.98</v>
      </c>
      <c r="AT1143" s="21">
        <v>0.13239999999999999</v>
      </c>
      <c r="AU1143" s="102" t="s">
        <v>4854</v>
      </c>
      <c r="AV1143" s="102" t="s">
        <v>4854</v>
      </c>
      <c r="AW1143" s="102" t="s">
        <v>4854</v>
      </c>
      <c r="AX1143" s="102" t="s">
        <v>4854</v>
      </c>
      <c r="AY1143" s="102" t="s">
        <v>4854</v>
      </c>
      <c r="AZ1143" s="102" t="s">
        <v>4854</v>
      </c>
      <c r="BA1143" s="21">
        <v>5.0000000000000001E-3</v>
      </c>
      <c r="BB1143" s="21">
        <v>3.3000000000000002E-2</v>
      </c>
      <c r="BC1143" s="3" t="s">
        <v>4854</v>
      </c>
      <c r="BD1143" s="3" t="s">
        <v>4854</v>
      </c>
      <c r="BE1143" s="3" t="s">
        <v>4854</v>
      </c>
      <c r="BF1143" s="3" t="s">
        <v>4854</v>
      </c>
      <c r="BG1143" s="3" t="s">
        <v>4854</v>
      </c>
      <c r="BH1143" s="3" t="s">
        <v>4854</v>
      </c>
      <c r="BI1143" s="5">
        <v>2</v>
      </c>
      <c r="BJ1143" s="5">
        <v>1</v>
      </c>
      <c r="BK1143" s="99" t="s">
        <v>4854</v>
      </c>
      <c r="BL1143" s="99" t="s">
        <v>4854</v>
      </c>
      <c r="BM1143" s="99" t="s">
        <v>4854</v>
      </c>
      <c r="BN1143" s="99" t="s">
        <v>4854</v>
      </c>
      <c r="BO1143" s="99" t="s">
        <v>4854</v>
      </c>
      <c r="BP1143" s="99" t="s">
        <v>4854</v>
      </c>
      <c r="BQ1143" s="90">
        <v>0.86</v>
      </c>
      <c r="BR1143" s="90">
        <v>0.93799999999999994</v>
      </c>
      <c r="BS1143" s="5" t="s">
        <v>4857</v>
      </c>
    </row>
    <row r="1144" spans="1:71" s="30" customFormat="1" ht="17.100000000000001" customHeight="1">
      <c r="A1144" s="10">
        <v>1133</v>
      </c>
      <c r="B1144" s="10" t="s">
        <v>363</v>
      </c>
      <c r="C1144" s="4" t="s">
        <v>470</v>
      </c>
      <c r="D1144" s="4" t="s">
        <v>364</v>
      </c>
      <c r="E1144" s="4" t="s">
        <v>365</v>
      </c>
      <c r="F1144" s="10" t="s">
        <v>4444</v>
      </c>
      <c r="G1144" s="4" t="s">
        <v>366</v>
      </c>
      <c r="H1144" s="7" t="s">
        <v>367</v>
      </c>
      <c r="I1144" s="4" t="s">
        <v>368</v>
      </c>
      <c r="J1144" s="10" t="s">
        <v>4608</v>
      </c>
      <c r="K1144" s="4" t="s">
        <v>6054</v>
      </c>
      <c r="L1144" s="4" t="s">
        <v>369</v>
      </c>
      <c r="M1144" s="10">
        <v>3</v>
      </c>
      <c r="N1144" s="95">
        <v>497.30360000000002</v>
      </c>
      <c r="O1144" s="38" t="s">
        <v>4854</v>
      </c>
      <c r="P1144" s="38" t="s">
        <v>4854</v>
      </c>
      <c r="Q1144" s="38" t="s">
        <v>4854</v>
      </c>
      <c r="R1144" s="38" t="s">
        <v>4854</v>
      </c>
      <c r="S1144" s="38" t="s">
        <v>4854</v>
      </c>
      <c r="T1144" s="38" t="s">
        <v>4854</v>
      </c>
      <c r="U1144" s="38" t="s">
        <v>4854</v>
      </c>
      <c r="V1144" s="37" t="str">
        <f>HYPERLINK("http://ms.phosphosite.org:5080/cgi-bin/plot-msms.cgi?MassType=1&amp;NumAxis=1&amp;Mod2=170&amp;Pep=QKDAVVRLIHLR&amp;Dta=/var/www/html/dta/S01/10565.1179.3.dta&amp;Global_Mod=CS57.0215", "1179")</f>
        <v>1179</v>
      </c>
      <c r="W1144" s="4" t="s">
        <v>4854</v>
      </c>
      <c r="X1144" s="4" t="s">
        <v>4854</v>
      </c>
      <c r="Y1144" s="4" t="s">
        <v>4854</v>
      </c>
      <c r="Z1144" s="4" t="s">
        <v>4854</v>
      </c>
      <c r="AA1144" s="4" t="s">
        <v>4854</v>
      </c>
      <c r="AB1144" s="4" t="s">
        <v>4854</v>
      </c>
      <c r="AC1144" s="4" t="s">
        <v>4854</v>
      </c>
      <c r="AD1144" s="4" t="s">
        <v>4854</v>
      </c>
      <c r="AE1144" s="100" t="s">
        <v>4854</v>
      </c>
      <c r="AF1144" s="100" t="s">
        <v>4854</v>
      </c>
      <c r="AG1144" s="100" t="s">
        <v>4854</v>
      </c>
      <c r="AH1144" s="100" t="s">
        <v>4854</v>
      </c>
      <c r="AI1144" s="100" t="s">
        <v>4854</v>
      </c>
      <c r="AJ1144" s="100" t="s">
        <v>4854</v>
      </c>
      <c r="AK1144" s="100" t="s">
        <v>4854</v>
      </c>
      <c r="AL1144" s="91">
        <v>1.7869999999999999</v>
      </c>
      <c r="AM1144" s="103" t="s">
        <v>4854</v>
      </c>
      <c r="AN1144" s="103" t="s">
        <v>4854</v>
      </c>
      <c r="AO1144" s="103" t="s">
        <v>4854</v>
      </c>
      <c r="AP1144" s="103" t="s">
        <v>4854</v>
      </c>
      <c r="AQ1144" s="103" t="s">
        <v>4854</v>
      </c>
      <c r="AR1144" s="103" t="s">
        <v>4854</v>
      </c>
      <c r="AS1144" s="103" t="s">
        <v>4854</v>
      </c>
      <c r="AT1144" s="95">
        <v>-0.92410000000000003</v>
      </c>
      <c r="AU1144" s="103" t="s">
        <v>4854</v>
      </c>
      <c r="AV1144" s="103" t="s">
        <v>4854</v>
      </c>
      <c r="AW1144" s="103" t="s">
        <v>4854</v>
      </c>
      <c r="AX1144" s="103" t="s">
        <v>4854</v>
      </c>
      <c r="AY1144" s="103" t="s">
        <v>4854</v>
      </c>
      <c r="AZ1144" s="103" t="s">
        <v>4854</v>
      </c>
      <c r="BA1144" s="103" t="s">
        <v>4854</v>
      </c>
      <c r="BB1144" s="95">
        <v>1E-3</v>
      </c>
      <c r="BC1144" s="4" t="s">
        <v>4854</v>
      </c>
      <c r="BD1144" s="4" t="s">
        <v>4854</v>
      </c>
      <c r="BE1144" s="4" t="s">
        <v>4854</v>
      </c>
      <c r="BF1144" s="4" t="s">
        <v>4854</v>
      </c>
      <c r="BG1144" s="4" t="s">
        <v>4854</v>
      </c>
      <c r="BH1144" s="4" t="s">
        <v>4854</v>
      </c>
      <c r="BI1144" s="4" t="s">
        <v>4854</v>
      </c>
      <c r="BJ1144" s="10">
        <v>140</v>
      </c>
      <c r="BK1144" s="100" t="s">
        <v>4854</v>
      </c>
      <c r="BL1144" s="100" t="s">
        <v>4854</v>
      </c>
      <c r="BM1144" s="100" t="s">
        <v>4854</v>
      </c>
      <c r="BN1144" s="100" t="s">
        <v>4854</v>
      </c>
      <c r="BO1144" s="100" t="s">
        <v>4854</v>
      </c>
      <c r="BP1144" s="100" t="s">
        <v>4854</v>
      </c>
      <c r="BQ1144" s="100" t="s">
        <v>4854</v>
      </c>
      <c r="BR1144" s="91">
        <v>0.54900000000000004</v>
      </c>
      <c r="BS1144" s="10" t="s">
        <v>4857</v>
      </c>
    </row>
    <row r="1145" spans="1:71" s="30" customFormat="1" ht="17.100000000000001" customHeight="1">
      <c r="A1145" s="14">
        <v>1134</v>
      </c>
      <c r="B1145" s="5" t="s">
        <v>370</v>
      </c>
      <c r="C1145" s="3" t="s">
        <v>470</v>
      </c>
      <c r="D1145" s="3" t="s">
        <v>371</v>
      </c>
      <c r="E1145" s="3" t="s">
        <v>372</v>
      </c>
      <c r="F1145" s="5" t="s">
        <v>4301</v>
      </c>
      <c r="G1145" s="3" t="s">
        <v>373</v>
      </c>
      <c r="H1145" s="6" t="s">
        <v>374</v>
      </c>
      <c r="I1145" s="3" t="s">
        <v>375</v>
      </c>
      <c r="J1145" s="5" t="s">
        <v>4701</v>
      </c>
      <c r="K1145" s="3" t="s">
        <v>6055</v>
      </c>
      <c r="L1145" s="3" t="s">
        <v>376</v>
      </c>
      <c r="M1145" s="5">
        <v>3</v>
      </c>
      <c r="N1145" s="21">
        <v>472.5856</v>
      </c>
      <c r="O1145" s="35" t="s">
        <v>4854</v>
      </c>
      <c r="P1145" s="35" t="s">
        <v>4854</v>
      </c>
      <c r="Q1145" s="35" t="s">
        <v>4854</v>
      </c>
      <c r="R1145" s="36" t="str">
        <f>HYPERLINK("http://ms.phosphosite.org:5080/cgi-bin/plot-msms.cgi?MassType=1&amp;NumAxis=1&amp;Mod7=170&amp;Pep=NKVNMLKQENR&amp;Dta=/var/www/html/dta/S01/10561.11011.3.dta&amp;Global_Mod=CS57.0215", "11011")</f>
        <v>11011</v>
      </c>
      <c r="S1145" s="35" t="s">
        <v>4854</v>
      </c>
      <c r="T1145" s="35" t="s">
        <v>4854</v>
      </c>
      <c r="U1145" s="35" t="s">
        <v>4854</v>
      </c>
      <c r="V1145" s="35" t="s">
        <v>4854</v>
      </c>
      <c r="W1145" s="3" t="s">
        <v>4854</v>
      </c>
      <c r="X1145" s="3" t="s">
        <v>4854</v>
      </c>
      <c r="Y1145" s="3" t="s">
        <v>4854</v>
      </c>
      <c r="Z1145" s="3" t="s">
        <v>4854</v>
      </c>
      <c r="AA1145" s="3" t="s">
        <v>4854</v>
      </c>
      <c r="AB1145" s="3" t="s">
        <v>4854</v>
      </c>
      <c r="AC1145" s="3" t="s">
        <v>4854</v>
      </c>
      <c r="AD1145" s="3" t="s">
        <v>4854</v>
      </c>
      <c r="AE1145" s="99" t="s">
        <v>4854</v>
      </c>
      <c r="AF1145" s="99" t="s">
        <v>4854</v>
      </c>
      <c r="AG1145" s="99" t="s">
        <v>4854</v>
      </c>
      <c r="AH1145" s="90">
        <v>1.583</v>
      </c>
      <c r="AI1145" s="99" t="s">
        <v>4854</v>
      </c>
      <c r="AJ1145" s="99" t="s">
        <v>4854</v>
      </c>
      <c r="AK1145" s="99" t="s">
        <v>4854</v>
      </c>
      <c r="AL1145" s="99" t="s">
        <v>4854</v>
      </c>
      <c r="AM1145" s="102" t="s">
        <v>4854</v>
      </c>
      <c r="AN1145" s="102" t="s">
        <v>4854</v>
      </c>
      <c r="AO1145" s="102" t="s">
        <v>4854</v>
      </c>
      <c r="AP1145" s="21">
        <v>1.0261</v>
      </c>
      <c r="AQ1145" s="102" t="s">
        <v>4854</v>
      </c>
      <c r="AR1145" s="102" t="s">
        <v>4854</v>
      </c>
      <c r="AS1145" s="102" t="s">
        <v>4854</v>
      </c>
      <c r="AT1145" s="102" t="s">
        <v>4854</v>
      </c>
      <c r="AU1145" s="102" t="s">
        <v>4854</v>
      </c>
      <c r="AV1145" s="102" t="s">
        <v>4854</v>
      </c>
      <c r="AW1145" s="102" t="s">
        <v>4854</v>
      </c>
      <c r="AX1145" s="21">
        <v>3.0000000000000001E-3</v>
      </c>
      <c r="AY1145" s="102" t="s">
        <v>4854</v>
      </c>
      <c r="AZ1145" s="102" t="s">
        <v>4854</v>
      </c>
      <c r="BA1145" s="102" t="s">
        <v>4854</v>
      </c>
      <c r="BB1145" s="102" t="s">
        <v>4854</v>
      </c>
      <c r="BC1145" s="3" t="s">
        <v>4854</v>
      </c>
      <c r="BD1145" s="3" t="s">
        <v>4854</v>
      </c>
      <c r="BE1145" s="3" t="s">
        <v>4854</v>
      </c>
      <c r="BF1145" s="5">
        <v>217</v>
      </c>
      <c r="BG1145" s="3" t="s">
        <v>4854</v>
      </c>
      <c r="BH1145" s="3" t="s">
        <v>4854</v>
      </c>
      <c r="BI1145" s="3" t="s">
        <v>4854</v>
      </c>
      <c r="BJ1145" s="3" t="s">
        <v>4854</v>
      </c>
      <c r="BK1145" s="99" t="s">
        <v>4854</v>
      </c>
      <c r="BL1145" s="99" t="s">
        <v>4854</v>
      </c>
      <c r="BM1145" s="99" t="s">
        <v>4854</v>
      </c>
      <c r="BN1145" s="90">
        <v>0.66400000000000003</v>
      </c>
      <c r="BO1145" s="99" t="s">
        <v>4854</v>
      </c>
      <c r="BP1145" s="99" t="s">
        <v>4854</v>
      </c>
      <c r="BQ1145" s="99" t="s">
        <v>4854</v>
      </c>
      <c r="BR1145" s="99" t="s">
        <v>4854</v>
      </c>
      <c r="BS1145" s="5" t="s">
        <v>4857</v>
      </c>
    </row>
    <row r="1146" spans="1:71" s="30" customFormat="1" ht="17.100000000000001" customHeight="1">
      <c r="A1146" s="10">
        <v>1135</v>
      </c>
      <c r="B1146" s="10" t="s">
        <v>377</v>
      </c>
      <c r="C1146" s="4" t="s">
        <v>470</v>
      </c>
      <c r="D1146" s="4" t="s">
        <v>378</v>
      </c>
      <c r="E1146" s="4" t="s">
        <v>379</v>
      </c>
      <c r="F1146" s="10" t="s">
        <v>3986</v>
      </c>
      <c r="G1146" s="4" t="s">
        <v>380</v>
      </c>
      <c r="H1146" s="7" t="s">
        <v>381</v>
      </c>
      <c r="I1146" s="4" t="s">
        <v>382</v>
      </c>
      <c r="J1146" s="10" t="s">
        <v>4601</v>
      </c>
      <c r="K1146" s="4" t="s">
        <v>6056</v>
      </c>
      <c r="L1146" s="4" t="s">
        <v>383</v>
      </c>
      <c r="M1146" s="10">
        <v>3</v>
      </c>
      <c r="N1146" s="95">
        <v>665.35950000000003</v>
      </c>
      <c r="O1146" s="38" t="s">
        <v>4854</v>
      </c>
      <c r="P1146" s="38" t="s">
        <v>4854</v>
      </c>
      <c r="Q1146" s="38" t="s">
        <v>4854</v>
      </c>
      <c r="R1146" s="38" t="s">
        <v>4854</v>
      </c>
      <c r="S1146" s="38" t="s">
        <v>4854</v>
      </c>
      <c r="T1146" s="38" t="s">
        <v>4854</v>
      </c>
      <c r="U1146" s="38" t="s">
        <v>4854</v>
      </c>
      <c r="V1146" s="37" t="str">
        <f>HYPERLINK("http://ms.phosphosite.org:5080/cgi-bin/plot-msms.cgi?MassType=1&amp;NumAxis=1&amp;Mod6=170&amp;Pep=FPGSRKYSMLQEKKPR&amp;Dta=/var/www/html/dta/S01/10565.7864.3.dta&amp;Global_Mod=CS57.0215", "7864")</f>
        <v>7864</v>
      </c>
      <c r="W1146" s="4" t="s">
        <v>4854</v>
      </c>
      <c r="X1146" s="4" t="s">
        <v>4854</v>
      </c>
      <c r="Y1146" s="4" t="s">
        <v>4854</v>
      </c>
      <c r="Z1146" s="4" t="s">
        <v>4854</v>
      </c>
      <c r="AA1146" s="4" t="s">
        <v>4854</v>
      </c>
      <c r="AB1146" s="4" t="s">
        <v>4854</v>
      </c>
      <c r="AC1146" s="4" t="s">
        <v>4854</v>
      </c>
      <c r="AD1146" s="4" t="s">
        <v>4854</v>
      </c>
      <c r="AE1146" s="100" t="s">
        <v>4854</v>
      </c>
      <c r="AF1146" s="100" t="s">
        <v>4854</v>
      </c>
      <c r="AG1146" s="100" t="s">
        <v>4854</v>
      </c>
      <c r="AH1146" s="100" t="s">
        <v>4854</v>
      </c>
      <c r="AI1146" s="100" t="s">
        <v>4854</v>
      </c>
      <c r="AJ1146" s="100" t="s">
        <v>4854</v>
      </c>
      <c r="AK1146" s="100" t="s">
        <v>4854</v>
      </c>
      <c r="AL1146" s="91">
        <v>1.8979999999999999</v>
      </c>
      <c r="AM1146" s="103" t="s">
        <v>4854</v>
      </c>
      <c r="AN1146" s="103" t="s">
        <v>4854</v>
      </c>
      <c r="AO1146" s="103" t="s">
        <v>4854</v>
      </c>
      <c r="AP1146" s="103" t="s">
        <v>4854</v>
      </c>
      <c r="AQ1146" s="103" t="s">
        <v>4854</v>
      </c>
      <c r="AR1146" s="103" t="s">
        <v>4854</v>
      </c>
      <c r="AS1146" s="103" t="s">
        <v>4854</v>
      </c>
      <c r="AT1146" s="95">
        <v>-0.29680000000000001</v>
      </c>
      <c r="AU1146" s="103" t="s">
        <v>4854</v>
      </c>
      <c r="AV1146" s="103" t="s">
        <v>4854</v>
      </c>
      <c r="AW1146" s="103" t="s">
        <v>4854</v>
      </c>
      <c r="AX1146" s="103" t="s">
        <v>4854</v>
      </c>
      <c r="AY1146" s="103" t="s">
        <v>4854</v>
      </c>
      <c r="AZ1146" s="103" t="s">
        <v>4854</v>
      </c>
      <c r="BA1146" s="103" t="s">
        <v>4854</v>
      </c>
      <c r="BB1146" s="95">
        <v>8.7999999999999995E-2</v>
      </c>
      <c r="BC1146" s="4" t="s">
        <v>4854</v>
      </c>
      <c r="BD1146" s="4" t="s">
        <v>4854</v>
      </c>
      <c r="BE1146" s="4" t="s">
        <v>4854</v>
      </c>
      <c r="BF1146" s="4" t="s">
        <v>4854</v>
      </c>
      <c r="BG1146" s="4" t="s">
        <v>4854</v>
      </c>
      <c r="BH1146" s="4" t="s">
        <v>4854</v>
      </c>
      <c r="BI1146" s="4" t="s">
        <v>4854</v>
      </c>
      <c r="BJ1146" s="10">
        <v>1436</v>
      </c>
      <c r="BK1146" s="100" t="s">
        <v>4854</v>
      </c>
      <c r="BL1146" s="100" t="s">
        <v>4854</v>
      </c>
      <c r="BM1146" s="100" t="s">
        <v>4854</v>
      </c>
      <c r="BN1146" s="100" t="s">
        <v>4854</v>
      </c>
      <c r="BO1146" s="100" t="s">
        <v>4854</v>
      </c>
      <c r="BP1146" s="100" t="s">
        <v>4854</v>
      </c>
      <c r="BQ1146" s="100" t="s">
        <v>4854</v>
      </c>
      <c r="BR1146" s="91">
        <v>0.66700000000000004</v>
      </c>
      <c r="BS1146" s="10" t="s">
        <v>4857</v>
      </c>
    </row>
    <row r="1147" spans="1:71" s="30" customFormat="1" ht="17.100000000000001" customHeight="1">
      <c r="A1147" s="14">
        <v>1136</v>
      </c>
      <c r="B1147" s="5" t="s">
        <v>384</v>
      </c>
      <c r="C1147" s="3" t="s">
        <v>470</v>
      </c>
      <c r="D1147" s="3" t="s">
        <v>385</v>
      </c>
      <c r="E1147" s="3" t="s">
        <v>386</v>
      </c>
      <c r="F1147" s="5" t="s">
        <v>4377</v>
      </c>
      <c r="G1147" s="3" t="s">
        <v>387</v>
      </c>
      <c r="H1147" s="6" t="s">
        <v>388</v>
      </c>
      <c r="I1147" s="3" t="s">
        <v>389</v>
      </c>
      <c r="J1147" s="5" t="s">
        <v>4675</v>
      </c>
      <c r="K1147" s="3" t="s">
        <v>6057</v>
      </c>
      <c r="L1147" s="3" t="s">
        <v>390</v>
      </c>
      <c r="M1147" s="5">
        <v>3</v>
      </c>
      <c r="N1147" s="21">
        <v>470.92950000000002</v>
      </c>
      <c r="O1147" s="35" t="s">
        <v>4854</v>
      </c>
      <c r="P1147" s="35" t="s">
        <v>4854</v>
      </c>
      <c r="Q1147" s="35" t="s">
        <v>4854</v>
      </c>
      <c r="R1147" s="35" t="s">
        <v>4854</v>
      </c>
      <c r="S1147" s="35" t="s">
        <v>4854</v>
      </c>
      <c r="T1147" s="35" t="s">
        <v>4854</v>
      </c>
      <c r="U1147" s="36" t="str">
        <f>HYPERLINK("http://ms.phosphosite.org:5080/cgi-bin/plot-msms.cgi?MassType=1&amp;NumAxis=1&amp;Mod8=170&amp;Pep=PGTWAIVKPGNTK&amp;Dta=/var/www/html/dta/S01/10564.8174.3.dta&amp;Global_Mod=CS57.0215", "8174")</f>
        <v>8174</v>
      </c>
      <c r="V1147" s="35" t="s">
        <v>4854</v>
      </c>
      <c r="W1147" s="3" t="s">
        <v>4854</v>
      </c>
      <c r="X1147" s="3" t="s">
        <v>4854</v>
      </c>
      <c r="Y1147" s="3" t="s">
        <v>4854</v>
      </c>
      <c r="Z1147" s="3" t="s">
        <v>4854</v>
      </c>
      <c r="AA1147" s="3" t="s">
        <v>4854</v>
      </c>
      <c r="AB1147" s="3" t="s">
        <v>4854</v>
      </c>
      <c r="AC1147" s="3" t="s">
        <v>4854</v>
      </c>
      <c r="AD1147" s="3" t="s">
        <v>4854</v>
      </c>
      <c r="AE1147" s="99" t="s">
        <v>4854</v>
      </c>
      <c r="AF1147" s="99" t="s">
        <v>4854</v>
      </c>
      <c r="AG1147" s="99" t="s">
        <v>4854</v>
      </c>
      <c r="AH1147" s="99" t="s">
        <v>4854</v>
      </c>
      <c r="AI1147" s="99" t="s">
        <v>4854</v>
      </c>
      <c r="AJ1147" s="99" t="s">
        <v>4854</v>
      </c>
      <c r="AK1147" s="90">
        <v>1.3859999999999999</v>
      </c>
      <c r="AL1147" s="99" t="s">
        <v>4854</v>
      </c>
      <c r="AM1147" s="102" t="s">
        <v>4854</v>
      </c>
      <c r="AN1147" s="102" t="s">
        <v>4854</v>
      </c>
      <c r="AO1147" s="102" t="s">
        <v>4854</v>
      </c>
      <c r="AP1147" s="102" t="s">
        <v>4854</v>
      </c>
      <c r="AQ1147" s="102" t="s">
        <v>4854</v>
      </c>
      <c r="AR1147" s="102" t="s">
        <v>4854</v>
      </c>
      <c r="AS1147" s="21">
        <v>0.16300000000000001</v>
      </c>
      <c r="AT1147" s="102" t="s">
        <v>4854</v>
      </c>
      <c r="AU1147" s="102" t="s">
        <v>4854</v>
      </c>
      <c r="AV1147" s="102" t="s">
        <v>4854</v>
      </c>
      <c r="AW1147" s="102" t="s">
        <v>4854</v>
      </c>
      <c r="AX1147" s="102" t="s">
        <v>4854</v>
      </c>
      <c r="AY1147" s="102" t="s">
        <v>4854</v>
      </c>
      <c r="AZ1147" s="102" t="s">
        <v>4854</v>
      </c>
      <c r="BA1147" s="21">
        <v>2.5999999999999999E-2</v>
      </c>
      <c r="BB1147" s="102" t="s">
        <v>4854</v>
      </c>
      <c r="BC1147" s="3" t="s">
        <v>4854</v>
      </c>
      <c r="BD1147" s="3" t="s">
        <v>4854</v>
      </c>
      <c r="BE1147" s="3" t="s">
        <v>4854</v>
      </c>
      <c r="BF1147" s="3" t="s">
        <v>4854</v>
      </c>
      <c r="BG1147" s="3" t="s">
        <v>4854</v>
      </c>
      <c r="BH1147" s="3" t="s">
        <v>4854</v>
      </c>
      <c r="BI1147" s="5">
        <v>9</v>
      </c>
      <c r="BJ1147" s="3" t="s">
        <v>4854</v>
      </c>
      <c r="BK1147" s="99" t="s">
        <v>4854</v>
      </c>
      <c r="BL1147" s="99" t="s">
        <v>4854</v>
      </c>
      <c r="BM1147" s="99" t="s">
        <v>4854</v>
      </c>
      <c r="BN1147" s="99" t="s">
        <v>4854</v>
      </c>
      <c r="BO1147" s="99" t="s">
        <v>4854</v>
      </c>
      <c r="BP1147" s="99" t="s">
        <v>4854</v>
      </c>
      <c r="BQ1147" s="90">
        <v>6.5000000000000002E-2</v>
      </c>
      <c r="BR1147" s="99" t="s">
        <v>4854</v>
      </c>
      <c r="BS1147" s="5" t="s">
        <v>4857</v>
      </c>
    </row>
    <row r="1148" spans="1:71" s="30" customFormat="1" ht="17.100000000000001" customHeight="1">
      <c r="A1148" s="10">
        <v>1137</v>
      </c>
      <c r="B1148" s="10" t="s">
        <v>391</v>
      </c>
      <c r="C1148" s="4" t="s">
        <v>470</v>
      </c>
      <c r="D1148" s="4" t="s">
        <v>392</v>
      </c>
      <c r="E1148" s="7" t="s">
        <v>393</v>
      </c>
      <c r="F1148" s="9" t="s">
        <v>4956</v>
      </c>
      <c r="G1148" s="4" t="s">
        <v>394</v>
      </c>
      <c r="H1148" s="7" t="s">
        <v>395</v>
      </c>
      <c r="I1148" s="4" t="s">
        <v>396</v>
      </c>
      <c r="J1148" s="10" t="s">
        <v>397</v>
      </c>
      <c r="K1148" s="4" t="s">
        <v>6058</v>
      </c>
      <c r="L1148" s="4" t="s">
        <v>327</v>
      </c>
      <c r="M1148" s="10">
        <v>2</v>
      </c>
      <c r="N1148" s="95">
        <v>493.2749</v>
      </c>
      <c r="O1148" s="38" t="s">
        <v>4854</v>
      </c>
      <c r="P1148" s="38" t="s">
        <v>4854</v>
      </c>
      <c r="Q1148" s="37" t="str">
        <f>HYPERLINK("http://ms.phosphosite.org:5080/cgi-bin/plot-msms.cgi?MassType=1&amp;NumAxis=1&amp;Mod1=170&amp;Mod6=170&amp;Pep=KSTGGKAPR&amp;Dta=/var/www/html/dta/S01/10560.1452.2.dta&amp;Global_Mod=CS57.0215", "1452")</f>
        <v>1452</v>
      </c>
      <c r="R1148" s="37" t="str">
        <f>HYPERLINK("http://ms.phosphosite.org:5080/cgi-bin/plot-msms.cgi?MassType=1&amp;NumAxis=1&amp;Mod1=170&amp;Mod6=170&amp;Pep=KSTGGKAPR&amp;Dta=/var/www/html/dta/S01/10561.1472.2.dta&amp;Global_Mod=CS57.0215", "1472")</f>
        <v>1472</v>
      </c>
      <c r="S1148" s="37" t="str">
        <f>HYPERLINK("http://ms.phosphosite.org:5080/cgi-bin/plot-msms.cgi?MassType=1&amp;NumAxis=1&amp;Mod1=170&amp;Mod6=170&amp;Pep=KSTGGKAPR&amp;Dta=/var/www/html/dta/S01/10562.1531.2.dta&amp;Global_Mod=CS57.0215", "1531")</f>
        <v>1531</v>
      </c>
      <c r="T1148" s="37" t="str">
        <f>HYPERLINK("http://ms.phosphosite.org:5080/cgi-bin/plot-msms.cgi?MassType=1&amp;NumAxis=1&amp;Mod1=170&amp;Mod6=170&amp;Pep=KSTGGKAPR&amp;Dta=/var/www/html/dta/S01/10563.1461.2.dta&amp;Global_Mod=CS57.0215", "1461")</f>
        <v>1461</v>
      </c>
      <c r="U1148" s="38" t="s">
        <v>4854</v>
      </c>
      <c r="V1148" s="37" t="str">
        <f>HYPERLINK("http://ms.phosphosite.org:5080/cgi-bin/plot-msms.cgi?MassType=1&amp;NumAxis=1&amp;Mod1=170&amp;Mod6=170&amp;Pep=KSTGGKAPR&amp;Dta=/var/www/html/dta/S01/10565.1702.2.dta&amp;Global_Mod=CS57.0215", "1702")</f>
        <v>1702</v>
      </c>
      <c r="W1148" s="4" t="s">
        <v>4854</v>
      </c>
      <c r="X1148" s="4" t="s">
        <v>4854</v>
      </c>
      <c r="Y1148" s="10">
        <v>1462</v>
      </c>
      <c r="Z1148" s="10">
        <v>1478</v>
      </c>
      <c r="AA1148" s="10">
        <v>1534</v>
      </c>
      <c r="AB1148" s="4" t="s">
        <v>4854</v>
      </c>
      <c r="AC1148" s="4" t="s">
        <v>4854</v>
      </c>
      <c r="AD1148" s="10">
        <v>1720</v>
      </c>
      <c r="AE1148" s="100" t="s">
        <v>4854</v>
      </c>
      <c r="AF1148" s="100" t="s">
        <v>4854</v>
      </c>
      <c r="AG1148" s="91">
        <v>2.8959999999999999</v>
      </c>
      <c r="AH1148" s="91">
        <v>3.032</v>
      </c>
      <c r="AI1148" s="91">
        <v>2.3250000000000002</v>
      </c>
      <c r="AJ1148" s="91">
        <v>3.0539999999999998</v>
      </c>
      <c r="AK1148" s="100" t="s">
        <v>4854</v>
      </c>
      <c r="AL1148" s="91">
        <v>2.9289999999999998</v>
      </c>
      <c r="AM1148" s="103" t="s">
        <v>4854</v>
      </c>
      <c r="AN1148" s="103" t="s">
        <v>4854</v>
      </c>
      <c r="AO1148" s="95">
        <v>-0.22070000000000001</v>
      </c>
      <c r="AP1148" s="95">
        <v>-0.2258</v>
      </c>
      <c r="AQ1148" s="95">
        <v>-0.39019999999999999</v>
      </c>
      <c r="AR1148" s="95">
        <v>-0.38919999999999999</v>
      </c>
      <c r="AS1148" s="103" t="s">
        <v>4854</v>
      </c>
      <c r="AT1148" s="95">
        <v>-0.83460000000000001</v>
      </c>
      <c r="AU1148" s="103" t="s">
        <v>4854</v>
      </c>
      <c r="AV1148" s="103" t="s">
        <v>4854</v>
      </c>
      <c r="AW1148" s="95">
        <v>0.21299999999999999</v>
      </c>
      <c r="AX1148" s="95">
        <v>0.221</v>
      </c>
      <c r="AY1148" s="95">
        <v>6.3E-2</v>
      </c>
      <c r="AZ1148" s="95">
        <v>0.20200000000000001</v>
      </c>
      <c r="BA1148" s="103" t="s">
        <v>4854</v>
      </c>
      <c r="BB1148" s="95">
        <v>0.20799999999999999</v>
      </c>
      <c r="BC1148" s="4" t="s">
        <v>4854</v>
      </c>
      <c r="BD1148" s="4" t="s">
        <v>4854</v>
      </c>
      <c r="BE1148" s="10">
        <v>1</v>
      </c>
      <c r="BF1148" s="10">
        <v>1</v>
      </c>
      <c r="BG1148" s="10">
        <v>2</v>
      </c>
      <c r="BH1148" s="10">
        <v>1</v>
      </c>
      <c r="BI1148" s="4" t="s">
        <v>4854</v>
      </c>
      <c r="BJ1148" s="10">
        <v>1</v>
      </c>
      <c r="BK1148" s="100" t="s">
        <v>4854</v>
      </c>
      <c r="BL1148" s="100" t="s">
        <v>4854</v>
      </c>
      <c r="BM1148" s="91">
        <v>0.999</v>
      </c>
      <c r="BN1148" s="91">
        <v>1</v>
      </c>
      <c r="BO1148" s="91">
        <v>0.98499999999999999</v>
      </c>
      <c r="BP1148" s="91">
        <v>0.999</v>
      </c>
      <c r="BQ1148" s="100" t="s">
        <v>4854</v>
      </c>
      <c r="BR1148" s="91">
        <v>0.999</v>
      </c>
      <c r="BS1148" s="10" t="s">
        <v>4857</v>
      </c>
    </row>
    <row r="1149" spans="1:71" s="30" customFormat="1" ht="17.100000000000001" customHeight="1">
      <c r="A1149" s="14">
        <v>1138</v>
      </c>
      <c r="B1149" s="5" t="s">
        <v>328</v>
      </c>
      <c r="C1149" s="3" t="s">
        <v>470</v>
      </c>
      <c r="D1149" s="3" t="s">
        <v>392</v>
      </c>
      <c r="E1149" s="6" t="s">
        <v>393</v>
      </c>
      <c r="F1149" s="8" t="s">
        <v>5309</v>
      </c>
      <c r="G1149" s="3" t="s">
        <v>394</v>
      </c>
      <c r="H1149" s="6" t="s">
        <v>395</v>
      </c>
      <c r="I1149" s="3" t="s">
        <v>396</v>
      </c>
      <c r="J1149" s="5" t="s">
        <v>397</v>
      </c>
      <c r="K1149" s="3" t="s">
        <v>6059</v>
      </c>
      <c r="L1149" s="3" t="s">
        <v>329</v>
      </c>
      <c r="M1149" s="5">
        <v>2</v>
      </c>
      <c r="N1149" s="21">
        <v>472.26960000000003</v>
      </c>
      <c r="O1149" s="35" t="s">
        <v>4854</v>
      </c>
      <c r="P1149" s="35" t="s">
        <v>4854</v>
      </c>
      <c r="Q1149" s="35" t="s">
        <v>4854</v>
      </c>
      <c r="R1149" s="36" t="str">
        <f>HYPERLINK("http://ms.phosphosite.org:5080/cgi-bin/plot-msms.cgi?MassType=1&amp;NumAxis=1&amp;Mod6=170&amp;Pep=KSTGGKAPR&amp;Dta=/var/www/html/dta/S01/10561.606.2.dta&amp;Global_Mod=CS57.0215", "606")</f>
        <v>606</v>
      </c>
      <c r="S1149" s="36" t="str">
        <f>HYPERLINK("http://ms.phosphosite.org:5080/cgi-bin/plot-msms.cgi?MassType=1&amp;NumAxis=1&amp;Mod6=170&amp;Pep=KSTGGKAPR&amp;Dta=/var/www/html/dta/S01/10562.641.2.dta&amp;Global_Mod=CS57.0215", "641")</f>
        <v>641</v>
      </c>
      <c r="T1149" s="36" t="str">
        <f>HYPERLINK("http://ms.phosphosite.org:5080/cgi-bin/plot-msms.cgi?MassType=1&amp;NumAxis=1&amp;Mod6=170&amp;Pep=KSTGGKAPR&amp;Dta=/var/www/html/dta/S01/10563.621.2.dta&amp;Global_Mod=CS57.0215", "621")</f>
        <v>621</v>
      </c>
      <c r="U1149" s="35" t="s">
        <v>4854</v>
      </c>
      <c r="V1149" s="35" t="s">
        <v>4854</v>
      </c>
      <c r="W1149" s="3" t="s">
        <v>4854</v>
      </c>
      <c r="X1149" s="3" t="s">
        <v>4854</v>
      </c>
      <c r="Y1149" s="3" t="s">
        <v>4854</v>
      </c>
      <c r="Z1149" s="3" t="s">
        <v>4854</v>
      </c>
      <c r="AA1149" s="3" t="s">
        <v>4854</v>
      </c>
      <c r="AB1149" s="3" t="s">
        <v>4854</v>
      </c>
      <c r="AC1149" s="3" t="s">
        <v>4854</v>
      </c>
      <c r="AD1149" s="3" t="s">
        <v>4854</v>
      </c>
      <c r="AE1149" s="99" t="s">
        <v>4854</v>
      </c>
      <c r="AF1149" s="99" t="s">
        <v>4854</v>
      </c>
      <c r="AG1149" s="99" t="s">
        <v>4854</v>
      </c>
      <c r="AH1149" s="90">
        <v>1.6719999999999999</v>
      </c>
      <c r="AI1149" s="90">
        <v>1.9730000000000001</v>
      </c>
      <c r="AJ1149" s="90">
        <v>1.5509999999999999</v>
      </c>
      <c r="AK1149" s="99" t="s">
        <v>4854</v>
      </c>
      <c r="AL1149" s="99" t="s">
        <v>4854</v>
      </c>
      <c r="AM1149" s="102" t="s">
        <v>4854</v>
      </c>
      <c r="AN1149" s="102" t="s">
        <v>4854</v>
      </c>
      <c r="AO1149" s="102" t="s">
        <v>4854</v>
      </c>
      <c r="AP1149" s="21">
        <v>8.4900000000000003E-2</v>
      </c>
      <c r="AQ1149" s="21">
        <v>0.2301</v>
      </c>
      <c r="AR1149" s="21">
        <v>0.37319999999999998</v>
      </c>
      <c r="AS1149" s="102" t="s">
        <v>4854</v>
      </c>
      <c r="AT1149" s="102" t="s">
        <v>4854</v>
      </c>
      <c r="AU1149" s="102" t="s">
        <v>4854</v>
      </c>
      <c r="AV1149" s="102" t="s">
        <v>4854</v>
      </c>
      <c r="AW1149" s="102" t="s">
        <v>4854</v>
      </c>
      <c r="AX1149" s="21">
        <v>0.105</v>
      </c>
      <c r="AY1149" s="21">
        <v>8.2000000000000003E-2</v>
      </c>
      <c r="AZ1149" s="21">
        <v>0.13300000000000001</v>
      </c>
      <c r="BA1149" s="102" t="s">
        <v>4854</v>
      </c>
      <c r="BB1149" s="102" t="s">
        <v>4854</v>
      </c>
      <c r="BC1149" s="3" t="s">
        <v>4854</v>
      </c>
      <c r="BD1149" s="3" t="s">
        <v>4854</v>
      </c>
      <c r="BE1149" s="3" t="s">
        <v>4854</v>
      </c>
      <c r="BF1149" s="5">
        <v>2</v>
      </c>
      <c r="BG1149" s="5">
        <v>28</v>
      </c>
      <c r="BH1149" s="5">
        <v>17</v>
      </c>
      <c r="BI1149" s="3" t="s">
        <v>4854</v>
      </c>
      <c r="BJ1149" s="3" t="s">
        <v>4854</v>
      </c>
      <c r="BK1149" s="99" t="s">
        <v>4854</v>
      </c>
      <c r="BL1149" s="99" t="s">
        <v>4854</v>
      </c>
      <c r="BM1149" s="99" t="s">
        <v>4854</v>
      </c>
      <c r="BN1149" s="90">
        <v>0.95</v>
      </c>
      <c r="BO1149" s="90">
        <v>0.93600000000000005</v>
      </c>
      <c r="BP1149" s="90">
        <v>0.89900000000000002</v>
      </c>
      <c r="BQ1149" s="99" t="s">
        <v>4854</v>
      </c>
      <c r="BR1149" s="99" t="s">
        <v>4854</v>
      </c>
      <c r="BS1149" s="5" t="s">
        <v>4857</v>
      </c>
    </row>
    <row r="1150" spans="1:71" s="30" customFormat="1" ht="17.100000000000001" customHeight="1">
      <c r="A1150" s="10">
        <v>1139</v>
      </c>
      <c r="B1150" s="10" t="s">
        <v>330</v>
      </c>
      <c r="C1150" s="4" t="s">
        <v>470</v>
      </c>
      <c r="D1150" s="4" t="s">
        <v>331</v>
      </c>
      <c r="E1150" s="7" t="s">
        <v>332</v>
      </c>
      <c r="F1150" s="9" t="s">
        <v>5140</v>
      </c>
      <c r="G1150" s="4" t="s">
        <v>394</v>
      </c>
      <c r="H1150" s="7" t="s">
        <v>333</v>
      </c>
      <c r="I1150" s="4" t="s">
        <v>396</v>
      </c>
      <c r="J1150" s="10" t="s">
        <v>334</v>
      </c>
      <c r="K1150" s="4" t="s">
        <v>6060</v>
      </c>
      <c r="L1150" s="4" t="s">
        <v>335</v>
      </c>
      <c r="M1150" s="10">
        <v>2</v>
      </c>
      <c r="N1150" s="95">
        <v>535.81949999999995</v>
      </c>
      <c r="O1150" s="37" t="str">
        <f>HYPERLINK("http://ms.phosphosite.org:5080/cgi-bin/plot-msms.cgi?MassType=1&amp;NumAxis=1&amp;Mod1=170&amp;Mod6=170&amp;Pep=KQLATKAAR&amp;Dta=/var/www/html/dta/S01/10558.2709.2.dta&amp;Global_Mod=CS57.0215", "2709")</f>
        <v>2709</v>
      </c>
      <c r="P1150" s="37" t="str">
        <f>HYPERLINK("http://ms.phosphosite.org:5080/cgi-bin/plot-msms.cgi?MassType=1&amp;NumAxis=1&amp;Mod1=170&amp;Mod6=170&amp;Pep=KQLATKAAR&amp;Dta=/var/www/html/dta/S01/10559.2672.2.dta&amp;Global_Mod=CS57.0215", "2672")</f>
        <v>2672</v>
      </c>
      <c r="Q1150" s="37" t="str">
        <f>HYPERLINK("http://ms.phosphosite.org:5080/cgi-bin/plot-msms.cgi?MassType=1&amp;NumAxis=1&amp;Mod1=170&amp;Mod6=170&amp;Pep=KQLATKAAR&amp;Dta=/var/www/html/dta/S01/10560.2637.2.dta&amp;Global_Mod=CS57.0215", "2637")</f>
        <v>2637</v>
      </c>
      <c r="R1150" s="37" t="str">
        <f>HYPERLINK("http://ms.phosphosite.org:5080/cgi-bin/plot-msms.cgi?MassType=1&amp;NumAxis=1&amp;Mod1=170&amp;Mod6=170&amp;Pep=KQLATKAAR&amp;Dta=/var/www/html/dta/S01/10561.2686.2.dta&amp;Global_Mod=CS57.0215", "2686")</f>
        <v>2686</v>
      </c>
      <c r="S1150" s="37" t="str">
        <f>HYPERLINK("http://ms.phosphosite.org:5080/cgi-bin/plot-msms.cgi?MassType=1&amp;NumAxis=1&amp;Mod1=170&amp;Mod6=170&amp;Pep=KQLATKAAR&amp;Dta=/var/www/html/dta/S01/10562.2757.2.dta&amp;Global_Mod=CS57.0215", "2757")</f>
        <v>2757</v>
      </c>
      <c r="T1150" s="37" t="str">
        <f>HYPERLINK("http://ms.phosphosite.org:5080/cgi-bin/plot-msms.cgi?MassType=1&amp;NumAxis=1&amp;Mod1=170&amp;Mod6=170&amp;Pep=KQLATKAAR&amp;Dta=/var/www/html/dta/S01/10563.2677.2.dta&amp;Global_Mod=CS57.0215", "2677")</f>
        <v>2677</v>
      </c>
      <c r="U1150" s="37" t="str">
        <f>HYPERLINK("http://ms.phosphosite.org:5080/cgi-bin/plot-msms.cgi?MassType=1&amp;NumAxis=1&amp;Mod1=170&amp;Mod6=170&amp;Pep=KQLATKAAR&amp;Dta=/var/www/html/dta/S01/10564.2996.2.dta&amp;Global_Mod=CS57.0215", "2996")</f>
        <v>2996</v>
      </c>
      <c r="V1150" s="37" t="str">
        <f>HYPERLINK("http://ms.phosphosite.org:5080/cgi-bin/plot-msms.cgi?MassType=1&amp;NumAxis=1&amp;Mod1=170&amp;Mod6=170&amp;Pep=KQLATKAAR&amp;Dta=/var/www/html/dta/S01/10565.2993.2.dta&amp;Global_Mod=CS57.0215", "2993")</f>
        <v>2993</v>
      </c>
      <c r="W1150" s="10">
        <v>2686</v>
      </c>
      <c r="X1150" s="10">
        <v>2649</v>
      </c>
      <c r="Y1150" s="10">
        <v>2625</v>
      </c>
      <c r="Z1150" s="10">
        <v>2663</v>
      </c>
      <c r="AA1150" s="10">
        <v>2734</v>
      </c>
      <c r="AB1150" s="10">
        <v>2654</v>
      </c>
      <c r="AC1150" s="10">
        <v>2973</v>
      </c>
      <c r="AD1150" s="10">
        <v>3034</v>
      </c>
      <c r="AE1150" s="91">
        <v>3.141</v>
      </c>
      <c r="AF1150" s="91">
        <v>2.992</v>
      </c>
      <c r="AG1150" s="91">
        <v>3.29</v>
      </c>
      <c r="AH1150" s="91">
        <v>3.5539999999999998</v>
      </c>
      <c r="AI1150" s="91">
        <v>3.024</v>
      </c>
      <c r="AJ1150" s="91">
        <v>3.2040000000000002</v>
      </c>
      <c r="AK1150" s="91">
        <v>3.4830000000000001</v>
      </c>
      <c r="AL1150" s="91">
        <v>3.052</v>
      </c>
      <c r="AM1150" s="95">
        <v>0.17849999999999999</v>
      </c>
      <c r="AN1150" s="95">
        <v>0.28399999999999997</v>
      </c>
      <c r="AO1150" s="95">
        <v>0.48110000000000003</v>
      </c>
      <c r="AP1150" s="95">
        <v>0.6502</v>
      </c>
      <c r="AQ1150" s="95">
        <v>0.3382</v>
      </c>
      <c r="AR1150" s="95">
        <v>0.54930000000000001</v>
      </c>
      <c r="AS1150" s="95">
        <v>0.20180000000000001</v>
      </c>
      <c r="AT1150" s="95">
        <v>-0.12509999999999999</v>
      </c>
      <c r="AU1150" s="95">
        <v>0.217</v>
      </c>
      <c r="AV1150" s="95">
        <v>0.23</v>
      </c>
      <c r="AW1150" s="95">
        <v>0.27500000000000002</v>
      </c>
      <c r="AX1150" s="95">
        <v>0.23699999999999999</v>
      </c>
      <c r="AY1150" s="95">
        <v>0.20799999999999999</v>
      </c>
      <c r="AZ1150" s="95">
        <v>0.23</v>
      </c>
      <c r="BA1150" s="95">
        <v>0.24299999999999999</v>
      </c>
      <c r="BB1150" s="95">
        <v>0.19600000000000001</v>
      </c>
      <c r="BC1150" s="10">
        <v>1</v>
      </c>
      <c r="BD1150" s="10">
        <v>1</v>
      </c>
      <c r="BE1150" s="10">
        <v>1</v>
      </c>
      <c r="BF1150" s="10">
        <v>1</v>
      </c>
      <c r="BG1150" s="10">
        <v>1</v>
      </c>
      <c r="BH1150" s="10">
        <v>1</v>
      </c>
      <c r="BI1150" s="10">
        <v>1</v>
      </c>
      <c r="BJ1150" s="10">
        <v>1</v>
      </c>
      <c r="BK1150" s="91">
        <v>1</v>
      </c>
      <c r="BL1150" s="91">
        <v>1</v>
      </c>
      <c r="BM1150" s="91">
        <v>1</v>
      </c>
      <c r="BN1150" s="91">
        <v>1</v>
      </c>
      <c r="BO1150" s="91">
        <v>0.999</v>
      </c>
      <c r="BP1150" s="91">
        <v>1</v>
      </c>
      <c r="BQ1150" s="91">
        <v>1</v>
      </c>
      <c r="BR1150" s="91">
        <v>0.999</v>
      </c>
      <c r="BS1150" s="10" t="s">
        <v>4857</v>
      </c>
    </row>
    <row r="1151" spans="1:71" s="30" customFormat="1" ht="17.100000000000001" customHeight="1">
      <c r="A1151" s="14">
        <v>1140</v>
      </c>
      <c r="B1151" s="5" t="s">
        <v>336</v>
      </c>
      <c r="C1151" s="3" t="s">
        <v>470</v>
      </c>
      <c r="D1151" s="3" t="s">
        <v>331</v>
      </c>
      <c r="E1151" s="6" t="s">
        <v>332</v>
      </c>
      <c r="F1151" s="8" t="s">
        <v>4972</v>
      </c>
      <c r="G1151" s="3" t="s">
        <v>394</v>
      </c>
      <c r="H1151" s="6" t="s">
        <v>333</v>
      </c>
      <c r="I1151" s="3" t="s">
        <v>396</v>
      </c>
      <c r="J1151" s="5" t="s">
        <v>334</v>
      </c>
      <c r="K1151" s="3" t="s">
        <v>6061</v>
      </c>
      <c r="L1151" s="3" t="s">
        <v>337</v>
      </c>
      <c r="M1151" s="5">
        <v>2</v>
      </c>
      <c r="N1151" s="21">
        <v>514.81420000000003</v>
      </c>
      <c r="O1151" s="35" t="s">
        <v>4854</v>
      </c>
      <c r="P1151" s="36" t="str">
        <f>HYPERLINK("http://ms.phosphosite.org:5080/cgi-bin/plot-msms.cgi?MassType=1&amp;NumAxis=1&amp;Mod6=170&amp;Pep=KQLATKAAR&amp;Dta=/var/www/html/dta/S01/10559.1470.2.dta&amp;Global_Mod=CS57.0215", "1470")</f>
        <v>1470</v>
      </c>
      <c r="Q1151" s="35" t="s">
        <v>4854</v>
      </c>
      <c r="R1151" s="36" t="str">
        <f>HYPERLINK("http://ms.phosphosite.org:5080/cgi-bin/plot-msms.cgi?MassType=1&amp;NumAxis=1&amp;Mod6=170&amp;Pep=KQLATKAAR&amp;Dta=/var/www/html/dta/S01/10561.1457.2.dta&amp;Global_Mod=CS57.0215", "1457")</f>
        <v>1457</v>
      </c>
      <c r="S1151" s="35" t="s">
        <v>4854</v>
      </c>
      <c r="T1151" s="35" t="s">
        <v>4854</v>
      </c>
      <c r="U1151" s="36" t="str">
        <f>HYPERLINK("http://ms.phosphosite.org:5080/cgi-bin/plot-msms.cgi?MassType=1&amp;NumAxis=1&amp;Mod6=170&amp;Pep=KQLATKAAR&amp;Dta=/var/www/html/dta/S01/10564.1640.2.dta&amp;Global_Mod=CS57.0215", "1640")</f>
        <v>1640</v>
      </c>
      <c r="V1151" s="36" t="str">
        <f>HYPERLINK("http://ms.phosphosite.org:5080/cgi-bin/plot-msms.cgi?MassType=1&amp;NumAxis=1&amp;Mod6=170&amp;Pep=KQLATKAAR&amp;Dta=/var/www/html/dta/S01/10565.1662.2.dta&amp;Global_Mod=CS57.0215", "1662")</f>
        <v>1662</v>
      </c>
      <c r="W1151" s="3" t="s">
        <v>4854</v>
      </c>
      <c r="X1151" s="5">
        <v>1458</v>
      </c>
      <c r="Y1151" s="3" t="s">
        <v>4854</v>
      </c>
      <c r="Z1151" s="5">
        <v>1445</v>
      </c>
      <c r="AA1151" s="3" t="s">
        <v>4854</v>
      </c>
      <c r="AB1151" s="3" t="s">
        <v>4854</v>
      </c>
      <c r="AC1151" s="5">
        <v>1650</v>
      </c>
      <c r="AD1151" s="5">
        <v>1679</v>
      </c>
      <c r="AE1151" s="99" t="s">
        <v>4854</v>
      </c>
      <c r="AF1151" s="90">
        <v>2.5219999999999998</v>
      </c>
      <c r="AG1151" s="99" t="s">
        <v>4854</v>
      </c>
      <c r="AH1151" s="90">
        <v>2.7050000000000001</v>
      </c>
      <c r="AI1151" s="99" t="s">
        <v>4854</v>
      </c>
      <c r="AJ1151" s="99" t="s">
        <v>4854</v>
      </c>
      <c r="AK1151" s="90">
        <v>2.5249999999999999</v>
      </c>
      <c r="AL1151" s="90">
        <v>2.5329999999999999</v>
      </c>
      <c r="AM1151" s="102" t="s">
        <v>4854</v>
      </c>
      <c r="AN1151" s="21">
        <v>-0.1305</v>
      </c>
      <c r="AO1151" s="102" t="s">
        <v>4854</v>
      </c>
      <c r="AP1151" s="21">
        <v>0.15629999999999999</v>
      </c>
      <c r="AQ1151" s="102" t="s">
        <v>4854</v>
      </c>
      <c r="AR1151" s="102" t="s">
        <v>4854</v>
      </c>
      <c r="AS1151" s="21">
        <v>-0.15670000000000001</v>
      </c>
      <c r="AT1151" s="21">
        <v>-0.53</v>
      </c>
      <c r="AU1151" s="102" t="s">
        <v>4854</v>
      </c>
      <c r="AV1151" s="21">
        <v>0.17699999999999999</v>
      </c>
      <c r="AW1151" s="102" t="s">
        <v>4854</v>
      </c>
      <c r="AX1151" s="21">
        <v>0.20399999999999999</v>
      </c>
      <c r="AY1151" s="102" t="s">
        <v>4854</v>
      </c>
      <c r="AZ1151" s="102" t="s">
        <v>4854</v>
      </c>
      <c r="BA1151" s="21">
        <v>0.16700000000000001</v>
      </c>
      <c r="BB1151" s="21">
        <v>0.21</v>
      </c>
      <c r="BC1151" s="3" t="s">
        <v>4854</v>
      </c>
      <c r="BD1151" s="5">
        <v>1</v>
      </c>
      <c r="BE1151" s="3" t="s">
        <v>4854</v>
      </c>
      <c r="BF1151" s="5">
        <v>1</v>
      </c>
      <c r="BG1151" s="3" t="s">
        <v>4854</v>
      </c>
      <c r="BH1151" s="3" t="s">
        <v>4854</v>
      </c>
      <c r="BI1151" s="5">
        <v>1</v>
      </c>
      <c r="BJ1151" s="5">
        <v>1</v>
      </c>
      <c r="BK1151" s="99" t="s">
        <v>4854</v>
      </c>
      <c r="BL1151" s="90">
        <v>0.998</v>
      </c>
      <c r="BM1151" s="99" t="s">
        <v>4854</v>
      </c>
      <c r="BN1151" s="90">
        <v>0.999</v>
      </c>
      <c r="BO1151" s="99" t="s">
        <v>4854</v>
      </c>
      <c r="BP1151" s="99" t="s">
        <v>4854</v>
      </c>
      <c r="BQ1151" s="90">
        <v>0.998</v>
      </c>
      <c r="BR1151" s="90">
        <v>0.997</v>
      </c>
      <c r="BS1151" s="5" t="s">
        <v>4857</v>
      </c>
    </row>
    <row r="1152" spans="1:71" s="30" customFormat="1" ht="17.100000000000001" customHeight="1">
      <c r="A1152" s="14">
        <v>1141</v>
      </c>
      <c r="B1152" s="5" t="s">
        <v>338</v>
      </c>
      <c r="C1152" s="3" t="s">
        <v>470</v>
      </c>
      <c r="D1152" s="3" t="s">
        <v>331</v>
      </c>
      <c r="E1152" s="6" t="s">
        <v>332</v>
      </c>
      <c r="F1152" s="8" t="s">
        <v>4972</v>
      </c>
      <c r="G1152" s="3" t="s">
        <v>394</v>
      </c>
      <c r="H1152" s="6" t="s">
        <v>333</v>
      </c>
      <c r="I1152" s="3" t="s">
        <v>396</v>
      </c>
      <c r="J1152" s="5" t="s">
        <v>334</v>
      </c>
      <c r="K1152" s="3" t="s">
        <v>6061</v>
      </c>
      <c r="L1152" s="3" t="s">
        <v>339</v>
      </c>
      <c r="M1152" s="5">
        <v>2</v>
      </c>
      <c r="N1152" s="21">
        <v>450.76670000000001</v>
      </c>
      <c r="O1152" s="35" t="s">
        <v>4854</v>
      </c>
      <c r="P1152" s="35" t="s">
        <v>4854</v>
      </c>
      <c r="Q1152" s="35" t="s">
        <v>4854</v>
      </c>
      <c r="R1152" s="35" t="s">
        <v>4854</v>
      </c>
      <c r="S1152" s="36" t="str">
        <f>HYPERLINK("http://ms.phosphosite.org:5080/cgi-bin/plot-msms.cgi?MassType=1&amp;NumAxis=1&amp;Mod5=170&amp;Pep=QLATKAAR&amp;Dta=/var/www/html/dta/S01/10562.1898.2.dta&amp;Global_Mod=CS57.0215", "1898")</f>
        <v>1898</v>
      </c>
      <c r="T1152" s="35" t="s">
        <v>4854</v>
      </c>
      <c r="U1152" s="35" t="s">
        <v>4854</v>
      </c>
      <c r="V1152" s="35" t="s">
        <v>4854</v>
      </c>
      <c r="W1152" s="3" t="s">
        <v>4854</v>
      </c>
      <c r="X1152" s="3" t="s">
        <v>4854</v>
      </c>
      <c r="Y1152" s="3" t="s">
        <v>4854</v>
      </c>
      <c r="Z1152" s="3" t="s">
        <v>4854</v>
      </c>
      <c r="AA1152" s="3" t="s">
        <v>4854</v>
      </c>
      <c r="AB1152" s="3" t="s">
        <v>4854</v>
      </c>
      <c r="AC1152" s="3" t="s">
        <v>4854</v>
      </c>
      <c r="AD1152" s="3" t="s">
        <v>4854</v>
      </c>
      <c r="AE1152" s="99" t="s">
        <v>4854</v>
      </c>
      <c r="AF1152" s="99" t="s">
        <v>4854</v>
      </c>
      <c r="AG1152" s="99" t="s">
        <v>4854</v>
      </c>
      <c r="AH1152" s="99" t="s">
        <v>4854</v>
      </c>
      <c r="AI1152" s="90">
        <v>1.667</v>
      </c>
      <c r="AJ1152" s="99" t="s">
        <v>4854</v>
      </c>
      <c r="AK1152" s="99" t="s">
        <v>4854</v>
      </c>
      <c r="AL1152" s="99" t="s">
        <v>4854</v>
      </c>
      <c r="AM1152" s="102" t="s">
        <v>4854</v>
      </c>
      <c r="AN1152" s="102" t="s">
        <v>4854</v>
      </c>
      <c r="AO1152" s="102" t="s">
        <v>4854</v>
      </c>
      <c r="AP1152" s="102" t="s">
        <v>4854</v>
      </c>
      <c r="AQ1152" s="21">
        <v>0.1042</v>
      </c>
      <c r="AR1152" s="102" t="s">
        <v>4854</v>
      </c>
      <c r="AS1152" s="102" t="s">
        <v>4854</v>
      </c>
      <c r="AT1152" s="102" t="s">
        <v>4854</v>
      </c>
      <c r="AU1152" s="102" t="s">
        <v>4854</v>
      </c>
      <c r="AV1152" s="102" t="s">
        <v>4854</v>
      </c>
      <c r="AW1152" s="102" t="s">
        <v>4854</v>
      </c>
      <c r="AX1152" s="102" t="s">
        <v>4854</v>
      </c>
      <c r="AY1152" s="21">
        <v>1E-3</v>
      </c>
      <c r="AZ1152" s="102" t="s">
        <v>4854</v>
      </c>
      <c r="BA1152" s="102" t="s">
        <v>4854</v>
      </c>
      <c r="BB1152" s="102" t="s">
        <v>4854</v>
      </c>
      <c r="BC1152" s="3" t="s">
        <v>4854</v>
      </c>
      <c r="BD1152" s="3" t="s">
        <v>4854</v>
      </c>
      <c r="BE1152" s="3" t="s">
        <v>4854</v>
      </c>
      <c r="BF1152" s="3" t="s">
        <v>4854</v>
      </c>
      <c r="BG1152" s="5">
        <v>4</v>
      </c>
      <c r="BH1152" s="3" t="s">
        <v>4854</v>
      </c>
      <c r="BI1152" s="3" t="s">
        <v>4854</v>
      </c>
      <c r="BJ1152" s="3" t="s">
        <v>4854</v>
      </c>
      <c r="BK1152" s="99" t="s">
        <v>4854</v>
      </c>
      <c r="BL1152" s="99" t="s">
        <v>4854</v>
      </c>
      <c r="BM1152" s="99" t="s">
        <v>4854</v>
      </c>
      <c r="BN1152" s="99" t="s">
        <v>4854</v>
      </c>
      <c r="BO1152" s="90">
        <v>0.82899999999999996</v>
      </c>
      <c r="BP1152" s="99" t="s">
        <v>4854</v>
      </c>
      <c r="BQ1152" s="99" t="s">
        <v>4854</v>
      </c>
      <c r="BR1152" s="99" t="s">
        <v>4854</v>
      </c>
      <c r="BS1152" s="5" t="s">
        <v>4857</v>
      </c>
    </row>
    <row r="1153" spans="1:71" s="30" customFormat="1" ht="17.100000000000001" customHeight="1">
      <c r="A1153" s="10">
        <v>1142</v>
      </c>
      <c r="B1153" s="10" t="s">
        <v>340</v>
      </c>
      <c r="C1153" s="4" t="s">
        <v>470</v>
      </c>
      <c r="D1153" s="4" t="s">
        <v>341</v>
      </c>
      <c r="E1153" s="7" t="s">
        <v>342</v>
      </c>
      <c r="F1153" s="10" t="s">
        <v>5083</v>
      </c>
      <c r="G1153" s="4" t="s">
        <v>394</v>
      </c>
      <c r="H1153" s="7" t="s">
        <v>343</v>
      </c>
      <c r="I1153" s="4" t="s">
        <v>396</v>
      </c>
      <c r="J1153" s="10" t="s">
        <v>344</v>
      </c>
      <c r="K1153" s="4" t="s">
        <v>6062</v>
      </c>
      <c r="L1153" s="4" t="s">
        <v>274</v>
      </c>
      <c r="M1153" s="10">
        <v>2</v>
      </c>
      <c r="N1153" s="95">
        <v>689.35410000000002</v>
      </c>
      <c r="O1153" s="37" t="str">
        <f>HYPERLINK("http://ms.phosphosite.org:5080/cgi-bin/plot-msms.cgi?MassType=1&amp;NumAxis=1&amp;Mod7=170&amp;Pep=EIAQDFKTDLR&amp;Dta=/var/www/html/dta/S01/10558.7997.2.dta&amp;Global_Mod=CS57.0215", "7997")</f>
        <v>7997</v>
      </c>
      <c r="P1153" s="37" t="str">
        <f>HYPERLINK("http://ms.phosphosite.org:5080/cgi-bin/plot-msms.cgi?MassType=1&amp;NumAxis=1&amp;Mod7=170&amp;Pep=EIAQDFKTDLR&amp;Dta=/var/www/html/dta/S01/10559.7956.2.dta&amp;Global_Mod=CS57.0215", "7956")</f>
        <v>7956</v>
      </c>
      <c r="Q1153" s="37" t="str">
        <f>HYPERLINK("http://ms.phosphosite.org:5080/cgi-bin/plot-msms.cgi?MassType=1&amp;NumAxis=1&amp;Mod7=170&amp;Pep=EIAQDFKTDLR&amp;Dta=/var/www/html/dta/S01/10560.7940.2.dta&amp;Global_Mod=CS57.0215", "7940")</f>
        <v>7940</v>
      </c>
      <c r="R1153" s="37" t="str">
        <f>HYPERLINK("http://ms.phosphosite.org:5080/cgi-bin/plot-msms.cgi?MassType=1&amp;NumAxis=1&amp;Mod7=170&amp;Pep=EIAQDFKTDLR&amp;Dta=/var/www/html/dta/S01/10561.8000.2.dta&amp;Global_Mod=CS57.0215", "8000")</f>
        <v>8000</v>
      </c>
      <c r="S1153" s="37" t="str">
        <f>HYPERLINK("http://ms.phosphosite.org:5080/cgi-bin/plot-msms.cgi?MassType=1&amp;NumAxis=1&amp;Mod7=170&amp;Pep=EIAQDFKTDLR&amp;Dta=/var/www/html/dta/S01/10562.8117.2.dta&amp;Global_Mod=CS57.0215", "8117")</f>
        <v>8117</v>
      </c>
      <c r="T1153" s="37" t="str">
        <f>HYPERLINK("http://ms.phosphosite.org:5080/cgi-bin/plot-msms.cgi?MassType=1&amp;NumAxis=1&amp;Mod7=170&amp;Pep=EIAQDFKTDLR&amp;Dta=/var/www/html/dta/S01/10563.8071.2.dta&amp;Global_Mod=CS57.0215", "8071")</f>
        <v>8071</v>
      </c>
      <c r="U1153" s="37" t="str">
        <f>HYPERLINK("http://ms.phosphosite.org:5080/cgi-bin/plot-msms.cgi?MassType=1&amp;NumAxis=1&amp;Mod7=170&amp;Pep=EIAQDFKTDLR&amp;Dta=/var/www/html/dta/S01/10564.8468.2.dta&amp;Global_Mod=CS57.0215", "8468")</f>
        <v>8468</v>
      </c>
      <c r="V1153" s="37" t="str">
        <f>HYPERLINK("http://ms.phosphosite.org:5080/cgi-bin/plot-msms.cgi?MassType=1&amp;NumAxis=1&amp;Mod7=170&amp;Pep=EIAQDFKTDLR&amp;Dta=/var/www/html/dta/S01/10565.8497.2.dta&amp;Global_Mod=CS57.0215", "8497")</f>
        <v>8497</v>
      </c>
      <c r="W1153" s="10">
        <v>7974</v>
      </c>
      <c r="X1153" s="10">
        <v>7944</v>
      </c>
      <c r="Y1153" s="10">
        <v>7928</v>
      </c>
      <c r="Z1153" s="10">
        <v>7966</v>
      </c>
      <c r="AA1153" s="10">
        <v>8094</v>
      </c>
      <c r="AB1153" s="10">
        <v>8070</v>
      </c>
      <c r="AC1153" s="10">
        <v>8509</v>
      </c>
      <c r="AD1153" s="10">
        <v>8539</v>
      </c>
      <c r="AE1153" s="91">
        <v>3.351</v>
      </c>
      <c r="AF1153" s="91">
        <v>3.0259999999999998</v>
      </c>
      <c r="AG1153" s="91">
        <v>3.2570000000000001</v>
      </c>
      <c r="AH1153" s="91">
        <v>3.1960000000000002</v>
      </c>
      <c r="AI1153" s="91">
        <v>3.456</v>
      </c>
      <c r="AJ1153" s="91">
        <v>3.242</v>
      </c>
      <c r="AK1153" s="91">
        <v>3.4350000000000001</v>
      </c>
      <c r="AL1153" s="91">
        <v>3.0640000000000001</v>
      </c>
      <c r="AM1153" s="95">
        <v>0.4793</v>
      </c>
      <c r="AN1153" s="95">
        <v>0.51270000000000004</v>
      </c>
      <c r="AO1153" s="95">
        <v>0.61650000000000005</v>
      </c>
      <c r="AP1153" s="95">
        <v>0.70209999999999995</v>
      </c>
      <c r="AQ1153" s="95">
        <v>0.36099999999999999</v>
      </c>
      <c r="AR1153" s="95">
        <v>0.51919999999999999</v>
      </c>
      <c r="AS1153" s="95">
        <v>0.32979999999999998</v>
      </c>
      <c r="AT1153" s="95">
        <v>9.3899999999999997E-2</v>
      </c>
      <c r="AU1153" s="95">
        <v>0.438</v>
      </c>
      <c r="AV1153" s="95">
        <v>0.38400000000000001</v>
      </c>
      <c r="AW1153" s="95">
        <v>0.45800000000000002</v>
      </c>
      <c r="AX1153" s="95">
        <v>0.42099999999999999</v>
      </c>
      <c r="AY1153" s="95">
        <v>0.39400000000000002</v>
      </c>
      <c r="AZ1153" s="95">
        <v>0.41699999999999998</v>
      </c>
      <c r="BA1153" s="95">
        <v>0.32800000000000001</v>
      </c>
      <c r="BB1153" s="95">
        <v>0.26600000000000001</v>
      </c>
      <c r="BC1153" s="10">
        <v>1</v>
      </c>
      <c r="BD1153" s="10">
        <v>1</v>
      </c>
      <c r="BE1153" s="10">
        <v>1</v>
      </c>
      <c r="BF1153" s="10">
        <v>1</v>
      </c>
      <c r="BG1153" s="10">
        <v>1</v>
      </c>
      <c r="BH1153" s="10">
        <v>1</v>
      </c>
      <c r="BI1153" s="10">
        <v>1</v>
      </c>
      <c r="BJ1153" s="10">
        <v>1</v>
      </c>
      <c r="BK1153" s="91">
        <v>1</v>
      </c>
      <c r="BL1153" s="91">
        <v>1</v>
      </c>
      <c r="BM1153" s="91">
        <v>1</v>
      </c>
      <c r="BN1153" s="91">
        <v>1</v>
      </c>
      <c r="BO1153" s="91">
        <v>1</v>
      </c>
      <c r="BP1153" s="91">
        <v>1</v>
      </c>
      <c r="BQ1153" s="91">
        <v>1</v>
      </c>
      <c r="BR1153" s="91">
        <v>1</v>
      </c>
      <c r="BS1153" s="10" t="s">
        <v>4857</v>
      </c>
    </row>
    <row r="1154" spans="1:71" s="30" customFormat="1" ht="17.100000000000001" customHeight="1">
      <c r="A1154" s="10">
        <v>1143</v>
      </c>
      <c r="B1154" s="10" t="s">
        <v>275</v>
      </c>
      <c r="C1154" s="4" t="s">
        <v>470</v>
      </c>
      <c r="D1154" s="4" t="s">
        <v>341</v>
      </c>
      <c r="E1154" s="7" t="s">
        <v>342</v>
      </c>
      <c r="F1154" s="10" t="s">
        <v>5083</v>
      </c>
      <c r="G1154" s="4" t="s">
        <v>394</v>
      </c>
      <c r="H1154" s="7" t="s">
        <v>343</v>
      </c>
      <c r="I1154" s="4" t="s">
        <v>396</v>
      </c>
      <c r="J1154" s="10" t="s">
        <v>344</v>
      </c>
      <c r="K1154" s="4" t="s">
        <v>6062</v>
      </c>
      <c r="L1154" s="4" t="s">
        <v>274</v>
      </c>
      <c r="M1154" s="10">
        <v>2</v>
      </c>
      <c r="N1154" s="95">
        <v>689.35410000000002</v>
      </c>
      <c r="O1154" s="38" t="s">
        <v>4854</v>
      </c>
      <c r="P1154" s="38" t="s">
        <v>4854</v>
      </c>
      <c r="Q1154" s="38" t="s">
        <v>4854</v>
      </c>
      <c r="R1154" s="37" t="str">
        <f>HYPERLINK("http://ms.phosphosite.org:5080/cgi-bin/plot-msms.cgi?MassType=1&amp;NumAxis=1&amp;Mod7=170&amp;Pep=EIAQDFKTDLR&amp;Dta=/var/www/html/dta/S01/10561.7936.2.dta&amp;Global_Mod=CS57.0215", "7936")</f>
        <v>7936</v>
      </c>
      <c r="S1154" s="38" t="s">
        <v>4854</v>
      </c>
      <c r="T1154" s="38" t="s">
        <v>4854</v>
      </c>
      <c r="U1154" s="37" t="str">
        <f>HYPERLINK("http://ms.phosphosite.org:5080/cgi-bin/plot-msms.cgi?MassType=1&amp;NumAxis=1&amp;Mod7=170&amp;Pep=EIAQDFKTDLR&amp;Dta=/var/www/html/dta/S01/10564.8510.2.dta&amp;Global_Mod=CS57.0215", "8510")</f>
        <v>8510</v>
      </c>
      <c r="V1154" s="37" t="str">
        <f>HYPERLINK("http://ms.phosphosite.org:5080/cgi-bin/plot-msms.cgi?MassType=1&amp;NumAxis=1&amp;Mod7=170&amp;Pep=EIAQDFKTDLR&amp;Dta=/var/www/html/dta/S01/10565.8540.2.dta&amp;Global_Mod=CS57.0215", "8540")</f>
        <v>8540</v>
      </c>
      <c r="W1154" s="4" t="s">
        <v>4854</v>
      </c>
      <c r="X1154" s="4" t="s">
        <v>4854</v>
      </c>
      <c r="Y1154" s="4" t="s">
        <v>4854</v>
      </c>
      <c r="Z1154" s="10">
        <v>7966</v>
      </c>
      <c r="AA1154" s="4" t="s">
        <v>4854</v>
      </c>
      <c r="AB1154" s="4" t="s">
        <v>4854</v>
      </c>
      <c r="AC1154" s="10">
        <v>8509</v>
      </c>
      <c r="AD1154" s="10">
        <v>8539</v>
      </c>
      <c r="AE1154" s="100" t="s">
        <v>4854</v>
      </c>
      <c r="AF1154" s="100" t="s">
        <v>4854</v>
      </c>
      <c r="AG1154" s="100" t="s">
        <v>4854</v>
      </c>
      <c r="AH1154" s="91">
        <v>2.3170000000000002</v>
      </c>
      <c r="AI1154" s="100" t="s">
        <v>4854</v>
      </c>
      <c r="AJ1154" s="100" t="s">
        <v>4854</v>
      </c>
      <c r="AK1154" s="91">
        <v>3.218</v>
      </c>
      <c r="AL1154" s="91">
        <v>2.9580000000000002</v>
      </c>
      <c r="AM1154" s="103" t="s">
        <v>4854</v>
      </c>
      <c r="AN1154" s="103" t="s">
        <v>4854</v>
      </c>
      <c r="AO1154" s="103" t="s">
        <v>4854</v>
      </c>
      <c r="AP1154" s="95">
        <v>0.70940000000000003</v>
      </c>
      <c r="AQ1154" s="103" t="s">
        <v>4854</v>
      </c>
      <c r="AR1154" s="103" t="s">
        <v>4854</v>
      </c>
      <c r="AS1154" s="95">
        <v>0.32979999999999998</v>
      </c>
      <c r="AT1154" s="95">
        <v>9.3899999999999997E-2</v>
      </c>
      <c r="AU1154" s="103" t="s">
        <v>4854</v>
      </c>
      <c r="AV1154" s="103" t="s">
        <v>4854</v>
      </c>
      <c r="AW1154" s="103" t="s">
        <v>4854</v>
      </c>
      <c r="AX1154" s="95">
        <v>1.2E-2</v>
      </c>
      <c r="AY1154" s="103" t="s">
        <v>4854</v>
      </c>
      <c r="AZ1154" s="103" t="s">
        <v>4854</v>
      </c>
      <c r="BA1154" s="95">
        <v>0.44700000000000001</v>
      </c>
      <c r="BB1154" s="95">
        <v>0.39400000000000002</v>
      </c>
      <c r="BC1154" s="4" t="s">
        <v>4854</v>
      </c>
      <c r="BD1154" s="4" t="s">
        <v>4854</v>
      </c>
      <c r="BE1154" s="4" t="s">
        <v>4854</v>
      </c>
      <c r="BF1154" s="10">
        <v>2</v>
      </c>
      <c r="BG1154" s="4" t="s">
        <v>4854</v>
      </c>
      <c r="BH1154" s="4" t="s">
        <v>4854</v>
      </c>
      <c r="BI1154" s="10">
        <v>1</v>
      </c>
      <c r="BJ1154" s="10">
        <v>1</v>
      </c>
      <c r="BK1154" s="100" t="s">
        <v>4854</v>
      </c>
      <c r="BL1154" s="100" t="s">
        <v>4854</v>
      </c>
      <c r="BM1154" s="100" t="s">
        <v>4854</v>
      </c>
      <c r="BN1154" s="91">
        <v>0.96299999999999997</v>
      </c>
      <c r="BO1154" s="100" t="s">
        <v>4854</v>
      </c>
      <c r="BP1154" s="100" t="s">
        <v>4854</v>
      </c>
      <c r="BQ1154" s="91">
        <v>1</v>
      </c>
      <c r="BR1154" s="91">
        <v>1</v>
      </c>
      <c r="BS1154" s="10" t="s">
        <v>4857</v>
      </c>
    </row>
    <row r="1155" spans="1:71" s="30" customFormat="1" ht="17.100000000000001" customHeight="1">
      <c r="A1155" s="14">
        <v>1144</v>
      </c>
      <c r="B1155" s="5" t="s">
        <v>276</v>
      </c>
      <c r="C1155" s="3" t="s">
        <v>470</v>
      </c>
      <c r="D1155" s="3" t="s">
        <v>277</v>
      </c>
      <c r="E1155" s="3" t="s">
        <v>278</v>
      </c>
      <c r="F1155" s="5" t="s">
        <v>3540</v>
      </c>
      <c r="G1155" s="3" t="s">
        <v>279</v>
      </c>
      <c r="H1155" s="6" t="s">
        <v>280</v>
      </c>
      <c r="I1155" s="3" t="s">
        <v>281</v>
      </c>
      <c r="J1155" s="5" t="s">
        <v>4533</v>
      </c>
      <c r="K1155" s="3" t="s">
        <v>6063</v>
      </c>
      <c r="L1155" s="3" t="s">
        <v>282</v>
      </c>
      <c r="M1155" s="5">
        <v>2</v>
      </c>
      <c r="N1155" s="21">
        <v>408.74489999999997</v>
      </c>
      <c r="O1155" s="35" t="s">
        <v>4854</v>
      </c>
      <c r="P1155" s="36" t="str">
        <f>HYPERLINK("http://ms.phosphosite.org:5080/cgi-bin/plot-msms.cgi?MassType=1&amp;NumAxis=1&amp;Mod1=170&amp;Pep=KTVGLEK&amp;Dta=/var/www/html/dta/S01/10559.1575.2.dta&amp;Global_Mod=CS57.0215", "1575")</f>
        <v>1575</v>
      </c>
      <c r="Q1155" s="35" t="s">
        <v>4854</v>
      </c>
      <c r="R1155" s="35" t="s">
        <v>4854</v>
      </c>
      <c r="S1155" s="35" t="s">
        <v>4854</v>
      </c>
      <c r="T1155" s="35" t="s">
        <v>4854</v>
      </c>
      <c r="U1155" s="35" t="s">
        <v>4854</v>
      </c>
      <c r="V1155" s="35" t="s">
        <v>4854</v>
      </c>
      <c r="W1155" s="3" t="s">
        <v>4854</v>
      </c>
      <c r="X1155" s="3" t="s">
        <v>4854</v>
      </c>
      <c r="Y1155" s="3" t="s">
        <v>4854</v>
      </c>
      <c r="Z1155" s="3" t="s">
        <v>4854</v>
      </c>
      <c r="AA1155" s="3" t="s">
        <v>4854</v>
      </c>
      <c r="AB1155" s="3" t="s">
        <v>4854</v>
      </c>
      <c r="AC1155" s="3" t="s">
        <v>4854</v>
      </c>
      <c r="AD1155" s="3" t="s">
        <v>4854</v>
      </c>
      <c r="AE1155" s="99" t="s">
        <v>4854</v>
      </c>
      <c r="AF1155" s="90">
        <v>1.772</v>
      </c>
      <c r="AG1155" s="99" t="s">
        <v>4854</v>
      </c>
      <c r="AH1155" s="99" t="s">
        <v>4854</v>
      </c>
      <c r="AI1155" s="99" t="s">
        <v>4854</v>
      </c>
      <c r="AJ1155" s="99" t="s">
        <v>4854</v>
      </c>
      <c r="AK1155" s="99" t="s">
        <v>4854</v>
      </c>
      <c r="AL1155" s="99" t="s">
        <v>4854</v>
      </c>
      <c r="AM1155" s="102" t="s">
        <v>4854</v>
      </c>
      <c r="AN1155" s="21">
        <v>0.31230000000000002</v>
      </c>
      <c r="AO1155" s="102" t="s">
        <v>4854</v>
      </c>
      <c r="AP1155" s="102" t="s">
        <v>4854</v>
      </c>
      <c r="AQ1155" s="102" t="s">
        <v>4854</v>
      </c>
      <c r="AR1155" s="102" t="s">
        <v>4854</v>
      </c>
      <c r="AS1155" s="102" t="s">
        <v>4854</v>
      </c>
      <c r="AT1155" s="102" t="s">
        <v>4854</v>
      </c>
      <c r="AU1155" s="102" t="s">
        <v>4854</v>
      </c>
      <c r="AV1155" s="21">
        <v>4.0000000000000001E-3</v>
      </c>
      <c r="AW1155" s="102" t="s">
        <v>4854</v>
      </c>
      <c r="AX1155" s="102" t="s">
        <v>4854</v>
      </c>
      <c r="AY1155" s="102" t="s">
        <v>4854</v>
      </c>
      <c r="AZ1155" s="102" t="s">
        <v>4854</v>
      </c>
      <c r="BA1155" s="102" t="s">
        <v>4854</v>
      </c>
      <c r="BB1155" s="102" t="s">
        <v>4854</v>
      </c>
      <c r="BC1155" s="3" t="s">
        <v>4854</v>
      </c>
      <c r="BD1155" s="5">
        <v>5</v>
      </c>
      <c r="BE1155" s="3" t="s">
        <v>4854</v>
      </c>
      <c r="BF1155" s="3" t="s">
        <v>4854</v>
      </c>
      <c r="BG1155" s="3" t="s">
        <v>4854</v>
      </c>
      <c r="BH1155" s="3" t="s">
        <v>4854</v>
      </c>
      <c r="BI1155" s="3" t="s">
        <v>4854</v>
      </c>
      <c r="BJ1155" s="3" t="s">
        <v>4854</v>
      </c>
      <c r="BK1155" s="99" t="s">
        <v>4854</v>
      </c>
      <c r="BL1155" s="90">
        <v>5.8000000000000003E-2</v>
      </c>
      <c r="BM1155" s="99" t="s">
        <v>4854</v>
      </c>
      <c r="BN1155" s="99" t="s">
        <v>4854</v>
      </c>
      <c r="BO1155" s="99" t="s">
        <v>4854</v>
      </c>
      <c r="BP1155" s="99" t="s">
        <v>4854</v>
      </c>
      <c r="BQ1155" s="99" t="s">
        <v>4854</v>
      </c>
      <c r="BR1155" s="99" t="s">
        <v>4854</v>
      </c>
      <c r="BS1155" s="5" t="s">
        <v>4857</v>
      </c>
    </row>
    <row r="1156" spans="1:71" s="30" customFormat="1" ht="17.100000000000001" customHeight="1">
      <c r="A1156" s="10">
        <v>1145</v>
      </c>
      <c r="B1156" s="10" t="s">
        <v>283</v>
      </c>
      <c r="C1156" s="4" t="s">
        <v>470</v>
      </c>
      <c r="D1156" s="4" t="s">
        <v>284</v>
      </c>
      <c r="E1156" s="4" t="s">
        <v>284</v>
      </c>
      <c r="F1156" s="10" t="s">
        <v>5288</v>
      </c>
      <c r="G1156" s="4" t="s">
        <v>285</v>
      </c>
      <c r="H1156" s="7" t="s">
        <v>286</v>
      </c>
      <c r="I1156" s="4" t="s">
        <v>287</v>
      </c>
      <c r="J1156" s="10" t="s">
        <v>288</v>
      </c>
      <c r="K1156" s="4" t="s">
        <v>6064</v>
      </c>
      <c r="L1156" s="4" t="s">
        <v>289</v>
      </c>
      <c r="M1156" s="10">
        <v>2</v>
      </c>
      <c r="N1156" s="95">
        <v>409.7604</v>
      </c>
      <c r="O1156" s="37" t="str">
        <f>HYPERLINK("http://ms.phosphosite.org:5080/cgi-bin/plot-msms.cgi?MassType=1&amp;NumAxis=1&amp;Mod4=170&amp;Pep=GFVKVVK&amp;Dta=/var/www/html/dta/S01/10558.4655.2.dta&amp;Global_Mod=CS57.0215", "4655")</f>
        <v>4655</v>
      </c>
      <c r="P1156" s="37" t="str">
        <f>HYPERLINK("http://ms.phosphosite.org:5080/cgi-bin/plot-msms.cgi?MassType=1&amp;NumAxis=1&amp;Mod4=170&amp;Pep=GFVKVVK&amp;Dta=/var/www/html/dta/S01/10559.4625.2.dta&amp;Global_Mod=CS57.0215", "4625")</f>
        <v>4625</v>
      </c>
      <c r="Q1156" s="37" t="str">
        <f>HYPERLINK("http://ms.phosphosite.org:5080/cgi-bin/plot-msms.cgi?MassType=1&amp;NumAxis=1&amp;Mod4=170&amp;Pep=GFVKVVK&amp;Dta=/var/www/html/dta/S01/10560.4608.2.dta&amp;Global_Mod=CS57.0215", "4608")</f>
        <v>4608</v>
      </c>
      <c r="R1156" s="37" t="str">
        <f>HYPERLINK("http://ms.phosphosite.org:5080/cgi-bin/plot-msms.cgi?MassType=1&amp;NumAxis=1&amp;Mod4=170&amp;Pep=GFVKVVK&amp;Dta=/var/www/html/dta/S01/10561.4656.2.dta&amp;Global_Mod=CS57.0215", "4656")</f>
        <v>4656</v>
      </c>
      <c r="S1156" s="37" t="str">
        <f>HYPERLINK("http://ms.phosphosite.org:5080/cgi-bin/plot-msms.cgi?MassType=1&amp;NumAxis=1&amp;Mod4=170&amp;Pep=GFVKVVK&amp;Dta=/var/www/html/dta/S01/10562.4751.2.dta&amp;Global_Mod=CS57.0215", "4751")</f>
        <v>4751</v>
      </c>
      <c r="T1156" s="38" t="s">
        <v>4854</v>
      </c>
      <c r="U1156" s="37" t="str">
        <f>HYPERLINK("http://ms.phosphosite.org:5080/cgi-bin/plot-msms.cgi?MassType=1&amp;NumAxis=1&amp;Mod4=170&amp;Pep=GFVKVVK&amp;Dta=/var/www/html/dta/S01/10564.5002.2.dta&amp;Global_Mod=CS57.0215", "5002")</f>
        <v>5002</v>
      </c>
      <c r="V1156" s="37" t="str">
        <f>HYPERLINK("http://ms.phosphosite.org:5080/cgi-bin/plot-msms.cgi?MassType=1&amp;NumAxis=1&amp;Mod4=170&amp;Pep=GFVKVVK&amp;Dta=/var/www/html/dta/S01/10565.5131.2.dta&amp;Global_Mod=CS57.0215", "5131")</f>
        <v>5131</v>
      </c>
      <c r="W1156" s="4" t="s">
        <v>4854</v>
      </c>
      <c r="X1156" s="4" t="s">
        <v>4854</v>
      </c>
      <c r="Y1156" s="4" t="s">
        <v>4854</v>
      </c>
      <c r="Z1156" s="4" t="s">
        <v>4854</v>
      </c>
      <c r="AA1156" s="4" t="s">
        <v>4854</v>
      </c>
      <c r="AB1156" s="4" t="s">
        <v>4854</v>
      </c>
      <c r="AC1156" s="4" t="s">
        <v>4854</v>
      </c>
      <c r="AD1156" s="4" t="s">
        <v>4854</v>
      </c>
      <c r="AE1156" s="91">
        <v>1.9390000000000001</v>
      </c>
      <c r="AF1156" s="91">
        <v>1.8480000000000001</v>
      </c>
      <c r="AG1156" s="91">
        <v>2.06</v>
      </c>
      <c r="AH1156" s="91">
        <v>2.077</v>
      </c>
      <c r="AI1156" s="91">
        <v>1.9390000000000001</v>
      </c>
      <c r="AJ1156" s="100" t="s">
        <v>4854</v>
      </c>
      <c r="AK1156" s="91">
        <v>2.0710000000000002</v>
      </c>
      <c r="AL1156" s="91">
        <v>2.206</v>
      </c>
      <c r="AM1156" s="95">
        <v>6.08E-2</v>
      </c>
      <c r="AN1156" s="95">
        <v>7.2999999999999995E-2</v>
      </c>
      <c r="AO1156" s="95">
        <v>0.21959999999999999</v>
      </c>
      <c r="AP1156" s="95">
        <v>0.20979999999999999</v>
      </c>
      <c r="AQ1156" s="95">
        <v>0.26729999999999998</v>
      </c>
      <c r="AR1156" s="103" t="s">
        <v>4854</v>
      </c>
      <c r="AS1156" s="95">
        <v>8.5199999999999998E-2</v>
      </c>
      <c r="AT1156" s="95">
        <v>-0.1469</v>
      </c>
      <c r="AU1156" s="95">
        <v>0.13800000000000001</v>
      </c>
      <c r="AV1156" s="95">
        <v>8.4000000000000005E-2</v>
      </c>
      <c r="AW1156" s="95">
        <v>0.113</v>
      </c>
      <c r="AX1156" s="95">
        <v>0.17100000000000001</v>
      </c>
      <c r="AY1156" s="95">
        <v>4.9000000000000002E-2</v>
      </c>
      <c r="AZ1156" s="103" t="s">
        <v>4854</v>
      </c>
      <c r="BA1156" s="95">
        <v>0.114</v>
      </c>
      <c r="BB1156" s="95">
        <v>0.14499999999999999</v>
      </c>
      <c r="BC1156" s="10">
        <v>7</v>
      </c>
      <c r="BD1156" s="10">
        <v>89</v>
      </c>
      <c r="BE1156" s="10">
        <v>16</v>
      </c>
      <c r="BF1156" s="10">
        <v>11</v>
      </c>
      <c r="BG1156" s="10">
        <v>11</v>
      </c>
      <c r="BH1156" s="4" t="s">
        <v>4854</v>
      </c>
      <c r="BI1156" s="10">
        <v>16</v>
      </c>
      <c r="BJ1156" s="10">
        <v>9</v>
      </c>
      <c r="BK1156" s="91">
        <v>0.32</v>
      </c>
      <c r="BL1156" s="91">
        <v>7.3999999999999996E-2</v>
      </c>
      <c r="BM1156" s="91">
        <v>0.27400000000000002</v>
      </c>
      <c r="BN1156" s="91">
        <v>0.47399999999999998</v>
      </c>
      <c r="BO1156" s="91">
        <v>0.121</v>
      </c>
      <c r="BP1156" s="100" t="s">
        <v>4854</v>
      </c>
      <c r="BQ1156" s="91">
        <v>0.28199999999999997</v>
      </c>
      <c r="BR1156" s="91">
        <v>0.499</v>
      </c>
      <c r="BS1156" s="10" t="s">
        <v>4857</v>
      </c>
    </row>
    <row r="1157" spans="1:71" s="30" customFormat="1" ht="17.100000000000001" customHeight="1">
      <c r="A1157" s="14">
        <v>1146</v>
      </c>
      <c r="B1157" s="5" t="s">
        <v>290</v>
      </c>
      <c r="C1157" s="3" t="s">
        <v>470</v>
      </c>
      <c r="D1157" s="3" t="s">
        <v>291</v>
      </c>
      <c r="E1157" s="3" t="s">
        <v>291</v>
      </c>
      <c r="F1157" s="5" t="s">
        <v>4299</v>
      </c>
      <c r="G1157" s="3" t="s">
        <v>292</v>
      </c>
      <c r="H1157" s="6" t="s">
        <v>293</v>
      </c>
      <c r="I1157" s="3" t="s">
        <v>294</v>
      </c>
      <c r="J1157" s="5" t="s">
        <v>4669</v>
      </c>
      <c r="K1157" s="3" t="s">
        <v>6065</v>
      </c>
      <c r="L1157" s="3" t="s">
        <v>295</v>
      </c>
      <c r="M1157" s="5">
        <v>3</v>
      </c>
      <c r="N1157" s="21">
        <v>398.21910000000003</v>
      </c>
      <c r="O1157" s="35" t="s">
        <v>4854</v>
      </c>
      <c r="P1157" s="35" t="s">
        <v>4854</v>
      </c>
      <c r="Q1157" s="35" t="s">
        <v>4854</v>
      </c>
      <c r="R1157" s="35" t="s">
        <v>4854</v>
      </c>
      <c r="S1157" s="35" t="s">
        <v>4854</v>
      </c>
      <c r="T1157" s="35" t="s">
        <v>4854</v>
      </c>
      <c r="U1157" s="35" t="s">
        <v>4854</v>
      </c>
      <c r="V1157" s="36" t="str">
        <f>HYPERLINK("http://ms.phosphosite.org:5080/cgi-bin/plot-msms.cgi?MassType=1&amp;NumAxis=1&amp;Mod5=170&amp;Mod8=160&amp;Pep=VMAIKISCTK&amp;Dta=/var/www/html/dta/S01/10565.4681.3.dta&amp;Global_Mod=CS57.0215", "4681")</f>
        <v>4681</v>
      </c>
      <c r="W1157" s="3" t="s">
        <v>4854</v>
      </c>
      <c r="X1157" s="3" t="s">
        <v>4854</v>
      </c>
      <c r="Y1157" s="3" t="s">
        <v>4854</v>
      </c>
      <c r="Z1157" s="3" t="s">
        <v>4854</v>
      </c>
      <c r="AA1157" s="3" t="s">
        <v>4854</v>
      </c>
      <c r="AB1157" s="3" t="s">
        <v>4854</v>
      </c>
      <c r="AC1157" s="3" t="s">
        <v>4854</v>
      </c>
      <c r="AD1157" s="3" t="s">
        <v>4854</v>
      </c>
      <c r="AE1157" s="99" t="s">
        <v>4854</v>
      </c>
      <c r="AF1157" s="99" t="s">
        <v>4854</v>
      </c>
      <c r="AG1157" s="99" t="s">
        <v>4854</v>
      </c>
      <c r="AH1157" s="99" t="s">
        <v>4854</v>
      </c>
      <c r="AI1157" s="99" t="s">
        <v>4854</v>
      </c>
      <c r="AJ1157" s="99" t="s">
        <v>4854</v>
      </c>
      <c r="AK1157" s="99" t="s">
        <v>4854</v>
      </c>
      <c r="AL1157" s="90">
        <v>1.659</v>
      </c>
      <c r="AM1157" s="102" t="s">
        <v>4854</v>
      </c>
      <c r="AN1157" s="102" t="s">
        <v>4854</v>
      </c>
      <c r="AO1157" s="102" t="s">
        <v>4854</v>
      </c>
      <c r="AP1157" s="102" t="s">
        <v>4854</v>
      </c>
      <c r="AQ1157" s="102" t="s">
        <v>4854</v>
      </c>
      <c r="AR1157" s="102" t="s">
        <v>4854</v>
      </c>
      <c r="AS1157" s="102" t="s">
        <v>4854</v>
      </c>
      <c r="AT1157" s="21">
        <v>0.59850000000000003</v>
      </c>
      <c r="AU1157" s="102" t="s">
        <v>4854</v>
      </c>
      <c r="AV1157" s="102" t="s">
        <v>4854</v>
      </c>
      <c r="AW1157" s="102" t="s">
        <v>4854</v>
      </c>
      <c r="AX1157" s="102" t="s">
        <v>4854</v>
      </c>
      <c r="AY1157" s="102" t="s">
        <v>4854</v>
      </c>
      <c r="AZ1157" s="102" t="s">
        <v>4854</v>
      </c>
      <c r="BA1157" s="102" t="s">
        <v>4854</v>
      </c>
      <c r="BB1157" s="21">
        <v>0.193</v>
      </c>
      <c r="BC1157" s="3" t="s">
        <v>4854</v>
      </c>
      <c r="BD1157" s="3" t="s">
        <v>4854</v>
      </c>
      <c r="BE1157" s="3" t="s">
        <v>4854</v>
      </c>
      <c r="BF1157" s="3" t="s">
        <v>4854</v>
      </c>
      <c r="BG1157" s="3" t="s">
        <v>4854</v>
      </c>
      <c r="BH1157" s="3" t="s">
        <v>4854</v>
      </c>
      <c r="BI1157" s="3" t="s">
        <v>4854</v>
      </c>
      <c r="BJ1157" s="5">
        <v>1</v>
      </c>
      <c r="BK1157" s="99" t="s">
        <v>4854</v>
      </c>
      <c r="BL1157" s="99" t="s">
        <v>4854</v>
      </c>
      <c r="BM1157" s="99" t="s">
        <v>4854</v>
      </c>
      <c r="BN1157" s="99" t="s">
        <v>4854</v>
      </c>
      <c r="BO1157" s="99" t="s">
        <v>4854</v>
      </c>
      <c r="BP1157" s="99" t="s">
        <v>4854</v>
      </c>
      <c r="BQ1157" s="99" t="s">
        <v>4854</v>
      </c>
      <c r="BR1157" s="90">
        <v>0.29399999999999998</v>
      </c>
      <c r="BS1157" s="5" t="s">
        <v>4857</v>
      </c>
    </row>
    <row r="1158" spans="1:71" s="30" customFormat="1" ht="17.100000000000001" customHeight="1">
      <c r="A1158" s="10">
        <v>1147</v>
      </c>
      <c r="B1158" s="10" t="s">
        <v>296</v>
      </c>
      <c r="C1158" s="4" t="s">
        <v>470</v>
      </c>
      <c r="D1158" s="4" t="s">
        <v>297</v>
      </c>
      <c r="E1158" s="4" t="s">
        <v>298</v>
      </c>
      <c r="F1158" s="10" t="s">
        <v>5297</v>
      </c>
      <c r="G1158" s="4" t="s">
        <v>299</v>
      </c>
      <c r="H1158" s="7" t="s">
        <v>300</v>
      </c>
      <c r="I1158" s="4" t="s">
        <v>301</v>
      </c>
      <c r="J1158" s="10" t="s">
        <v>302</v>
      </c>
      <c r="K1158" s="4" t="s">
        <v>6066</v>
      </c>
      <c r="L1158" s="4" t="s">
        <v>303</v>
      </c>
      <c r="M1158" s="10">
        <v>2</v>
      </c>
      <c r="N1158" s="95">
        <v>666.83240000000001</v>
      </c>
      <c r="O1158" s="38" t="s">
        <v>4854</v>
      </c>
      <c r="P1158" s="38" t="s">
        <v>4854</v>
      </c>
      <c r="Q1158" s="38" t="s">
        <v>4854</v>
      </c>
      <c r="R1158" s="37" t="str">
        <f>HYPERLINK("http://ms.phosphosite.org:5080/cgi-bin/plot-msms.cgi?MassType=1&amp;NumAxis=1&amp;Mod7=170&amp;Pep=TAQQIAKDMER&amp;Dta=/var/www/html/dta/S01/10561.4807.2.dta&amp;Global_Mod=CS57.0215", "4807")</f>
        <v>4807</v>
      </c>
      <c r="S1158" s="38" t="s">
        <v>4854</v>
      </c>
      <c r="T1158" s="38" t="s">
        <v>4854</v>
      </c>
      <c r="U1158" s="37" t="str">
        <f>HYPERLINK("http://ms.phosphosite.org:5080/cgi-bin/plot-msms.cgi?MassType=1&amp;NumAxis=1&amp;Mod7=170&amp;Pep=TAQQIAKDMER&amp;Dta=/var/www/html/dta/S01/10564.5230.2.dta&amp;Global_Mod=CS57.0215", "5230")</f>
        <v>5230</v>
      </c>
      <c r="V1158" s="38" t="s">
        <v>4854</v>
      </c>
      <c r="W1158" s="4" t="s">
        <v>4854</v>
      </c>
      <c r="X1158" s="4" t="s">
        <v>4854</v>
      </c>
      <c r="Y1158" s="4" t="s">
        <v>4854</v>
      </c>
      <c r="Z1158" s="10">
        <v>4798</v>
      </c>
      <c r="AA1158" s="4" t="s">
        <v>4854</v>
      </c>
      <c r="AB1158" s="4" t="s">
        <v>4854</v>
      </c>
      <c r="AC1158" s="10">
        <v>5220</v>
      </c>
      <c r="AD1158" s="4" t="s">
        <v>4854</v>
      </c>
      <c r="AE1158" s="100" t="s">
        <v>4854</v>
      </c>
      <c r="AF1158" s="100" t="s">
        <v>4854</v>
      </c>
      <c r="AG1158" s="100" t="s">
        <v>4854</v>
      </c>
      <c r="AH1158" s="91">
        <v>2.6480000000000001</v>
      </c>
      <c r="AI1158" s="100" t="s">
        <v>4854</v>
      </c>
      <c r="AJ1158" s="100" t="s">
        <v>4854</v>
      </c>
      <c r="AK1158" s="91">
        <v>2.516</v>
      </c>
      <c r="AL1158" s="100" t="s">
        <v>4854</v>
      </c>
      <c r="AM1158" s="103" t="s">
        <v>4854</v>
      </c>
      <c r="AN1158" s="103" t="s">
        <v>4854</v>
      </c>
      <c r="AO1158" s="103" t="s">
        <v>4854</v>
      </c>
      <c r="AP1158" s="95">
        <v>0.44600000000000001</v>
      </c>
      <c r="AQ1158" s="103" t="s">
        <v>4854</v>
      </c>
      <c r="AR1158" s="103" t="s">
        <v>4854</v>
      </c>
      <c r="AS1158" s="95">
        <v>0.55100000000000005</v>
      </c>
      <c r="AT1158" s="103" t="s">
        <v>4854</v>
      </c>
      <c r="AU1158" s="103" t="s">
        <v>4854</v>
      </c>
      <c r="AV1158" s="103" t="s">
        <v>4854</v>
      </c>
      <c r="AW1158" s="103" t="s">
        <v>4854</v>
      </c>
      <c r="AX1158" s="95">
        <v>0.12</v>
      </c>
      <c r="AY1158" s="103" t="s">
        <v>4854</v>
      </c>
      <c r="AZ1158" s="103" t="s">
        <v>4854</v>
      </c>
      <c r="BA1158" s="95">
        <v>0.14399999999999999</v>
      </c>
      <c r="BB1158" s="103" t="s">
        <v>4854</v>
      </c>
      <c r="BC1158" s="4" t="s">
        <v>4854</v>
      </c>
      <c r="BD1158" s="4" t="s">
        <v>4854</v>
      </c>
      <c r="BE1158" s="4" t="s">
        <v>4854</v>
      </c>
      <c r="BF1158" s="10">
        <v>1</v>
      </c>
      <c r="BG1158" s="4" t="s">
        <v>4854</v>
      </c>
      <c r="BH1158" s="4" t="s">
        <v>4854</v>
      </c>
      <c r="BI1158" s="10">
        <v>1</v>
      </c>
      <c r="BJ1158" s="4" t="s">
        <v>4854</v>
      </c>
      <c r="BK1158" s="100" t="s">
        <v>4854</v>
      </c>
      <c r="BL1158" s="100" t="s">
        <v>4854</v>
      </c>
      <c r="BM1158" s="100" t="s">
        <v>4854</v>
      </c>
      <c r="BN1158" s="91">
        <v>0.996</v>
      </c>
      <c r="BO1158" s="100" t="s">
        <v>4854</v>
      </c>
      <c r="BP1158" s="100" t="s">
        <v>4854</v>
      </c>
      <c r="BQ1158" s="91">
        <v>0.996</v>
      </c>
      <c r="BR1158" s="100" t="s">
        <v>4854</v>
      </c>
      <c r="BS1158" s="10" t="s">
        <v>4857</v>
      </c>
    </row>
    <row r="1159" spans="1:71" s="30" customFormat="1" ht="17.100000000000001" customHeight="1">
      <c r="A1159" s="14">
        <v>1148</v>
      </c>
      <c r="B1159" s="5" t="s">
        <v>304</v>
      </c>
      <c r="C1159" s="3" t="s">
        <v>470</v>
      </c>
      <c r="D1159" s="3" t="s">
        <v>305</v>
      </c>
      <c r="E1159" s="3" t="s">
        <v>305</v>
      </c>
      <c r="F1159" s="5" t="s">
        <v>3411</v>
      </c>
      <c r="G1159" s="3" t="s">
        <v>306</v>
      </c>
      <c r="H1159" s="6" t="s">
        <v>307</v>
      </c>
      <c r="I1159" s="3" t="s">
        <v>308</v>
      </c>
      <c r="J1159" s="5" t="s">
        <v>4716</v>
      </c>
      <c r="K1159" s="3" t="s">
        <v>6067</v>
      </c>
      <c r="L1159" s="3" t="s">
        <v>309</v>
      </c>
      <c r="M1159" s="5">
        <v>2</v>
      </c>
      <c r="N1159" s="21">
        <v>505.27859999999998</v>
      </c>
      <c r="O1159" s="35" t="s">
        <v>4854</v>
      </c>
      <c r="P1159" s="35" t="s">
        <v>4854</v>
      </c>
      <c r="Q1159" s="35" t="s">
        <v>4854</v>
      </c>
      <c r="R1159" s="35" t="s">
        <v>4854</v>
      </c>
      <c r="S1159" s="35" t="s">
        <v>4854</v>
      </c>
      <c r="T1159" s="35" t="s">
        <v>4854</v>
      </c>
      <c r="U1159" s="36" t="str">
        <f>HYPERLINK("http://ms.phosphosite.org:5080/cgi-bin/plot-msms.cgi?MassType=1&amp;NumAxis=1&amp;Mod1=170&amp;Mod6=147&amp;Pep=KSLLFMGR&amp;Dta=/var/www/html/dta/S01/10564.8611.2.dta&amp;Global_Mod=CS57.0215", "8611")</f>
        <v>8611</v>
      </c>
      <c r="V1159" s="35" t="s">
        <v>4854</v>
      </c>
      <c r="W1159" s="3" t="s">
        <v>4854</v>
      </c>
      <c r="X1159" s="3" t="s">
        <v>4854</v>
      </c>
      <c r="Y1159" s="3" t="s">
        <v>4854</v>
      </c>
      <c r="Z1159" s="3" t="s">
        <v>4854</v>
      </c>
      <c r="AA1159" s="3" t="s">
        <v>4854</v>
      </c>
      <c r="AB1159" s="3" t="s">
        <v>4854</v>
      </c>
      <c r="AC1159" s="3" t="s">
        <v>4854</v>
      </c>
      <c r="AD1159" s="3" t="s">
        <v>4854</v>
      </c>
      <c r="AE1159" s="99" t="s">
        <v>4854</v>
      </c>
      <c r="AF1159" s="99" t="s">
        <v>4854</v>
      </c>
      <c r="AG1159" s="99" t="s">
        <v>4854</v>
      </c>
      <c r="AH1159" s="99" t="s">
        <v>4854</v>
      </c>
      <c r="AI1159" s="99" t="s">
        <v>4854</v>
      </c>
      <c r="AJ1159" s="99" t="s">
        <v>4854</v>
      </c>
      <c r="AK1159" s="90">
        <v>1.903</v>
      </c>
      <c r="AL1159" s="99" t="s">
        <v>4854</v>
      </c>
      <c r="AM1159" s="102" t="s">
        <v>4854</v>
      </c>
      <c r="AN1159" s="102" t="s">
        <v>4854</v>
      </c>
      <c r="AO1159" s="102" t="s">
        <v>4854</v>
      </c>
      <c r="AP1159" s="102" t="s">
        <v>4854</v>
      </c>
      <c r="AQ1159" s="102" t="s">
        <v>4854</v>
      </c>
      <c r="AR1159" s="102" t="s">
        <v>4854</v>
      </c>
      <c r="AS1159" s="21">
        <v>6.2300000000000001E-2</v>
      </c>
      <c r="AT1159" s="102" t="s">
        <v>4854</v>
      </c>
      <c r="AU1159" s="102" t="s">
        <v>4854</v>
      </c>
      <c r="AV1159" s="102" t="s">
        <v>4854</v>
      </c>
      <c r="AW1159" s="102" t="s">
        <v>4854</v>
      </c>
      <c r="AX1159" s="102" t="s">
        <v>4854</v>
      </c>
      <c r="AY1159" s="102" t="s">
        <v>4854</v>
      </c>
      <c r="AZ1159" s="102" t="s">
        <v>4854</v>
      </c>
      <c r="BA1159" s="21">
        <v>5.1999999999999998E-2</v>
      </c>
      <c r="BB1159" s="102" t="s">
        <v>4854</v>
      </c>
      <c r="BC1159" s="3" t="s">
        <v>4854</v>
      </c>
      <c r="BD1159" s="3" t="s">
        <v>4854</v>
      </c>
      <c r="BE1159" s="3" t="s">
        <v>4854</v>
      </c>
      <c r="BF1159" s="3" t="s">
        <v>4854</v>
      </c>
      <c r="BG1159" s="3" t="s">
        <v>4854</v>
      </c>
      <c r="BH1159" s="3" t="s">
        <v>4854</v>
      </c>
      <c r="BI1159" s="5">
        <v>1</v>
      </c>
      <c r="BJ1159" s="3" t="s">
        <v>4854</v>
      </c>
      <c r="BK1159" s="99" t="s">
        <v>4854</v>
      </c>
      <c r="BL1159" s="99" t="s">
        <v>4854</v>
      </c>
      <c r="BM1159" s="99" t="s">
        <v>4854</v>
      </c>
      <c r="BN1159" s="99" t="s">
        <v>4854</v>
      </c>
      <c r="BO1159" s="99" t="s">
        <v>4854</v>
      </c>
      <c r="BP1159" s="99" t="s">
        <v>4854</v>
      </c>
      <c r="BQ1159" s="90">
        <v>0.19</v>
      </c>
      <c r="BR1159" s="99" t="s">
        <v>4854</v>
      </c>
      <c r="BS1159" s="5" t="s">
        <v>4857</v>
      </c>
    </row>
    <row r="1160" spans="1:71" s="30" customFormat="1" ht="17.100000000000001" customHeight="1">
      <c r="A1160" s="10">
        <v>1149</v>
      </c>
      <c r="B1160" s="10" t="s">
        <v>310</v>
      </c>
      <c r="C1160" s="4" t="s">
        <v>470</v>
      </c>
      <c r="D1160" s="4" t="s">
        <v>311</v>
      </c>
      <c r="E1160" s="4" t="s">
        <v>311</v>
      </c>
      <c r="F1160" s="10" t="s">
        <v>312</v>
      </c>
      <c r="G1160" s="4" t="s">
        <v>313</v>
      </c>
      <c r="H1160" s="7" t="s">
        <v>314</v>
      </c>
      <c r="I1160" s="4" t="s">
        <v>315</v>
      </c>
      <c r="J1160" s="10" t="s">
        <v>4834</v>
      </c>
      <c r="K1160" s="4" t="s">
        <v>6068</v>
      </c>
      <c r="L1160" s="4" t="s">
        <v>316</v>
      </c>
      <c r="M1160" s="10">
        <v>4</v>
      </c>
      <c r="N1160" s="95">
        <v>860.91859999999997</v>
      </c>
      <c r="O1160" s="38" t="s">
        <v>4854</v>
      </c>
      <c r="P1160" s="38" t="s">
        <v>4854</v>
      </c>
      <c r="Q1160" s="38" t="s">
        <v>4854</v>
      </c>
      <c r="R1160" s="37" t="str">
        <f>HYPERLINK("http://ms.phosphosite.org:5080/cgi-bin/plot-msms.cgi?MassType=1&amp;NumAxis=1&amp;Mod25=170&amp;Mod31=170&amp;Pep=AVLMLDGFQQTEDVGLGLSDHGEDKTELNPK&amp;Dta=/var/www/html/dta/S01/10561.14165.4.dta&amp;Global_Mod=CS57.0215", "14165")</f>
        <v>14165</v>
      </c>
      <c r="S1160" s="38" t="s">
        <v>4854</v>
      </c>
      <c r="T1160" s="38" t="s">
        <v>4854</v>
      </c>
      <c r="U1160" s="38" t="s">
        <v>4854</v>
      </c>
      <c r="V1160" s="38" t="s">
        <v>4854</v>
      </c>
      <c r="W1160" s="4" t="s">
        <v>4854</v>
      </c>
      <c r="X1160" s="4" t="s">
        <v>4854</v>
      </c>
      <c r="Y1160" s="4" t="s">
        <v>4854</v>
      </c>
      <c r="Z1160" s="4" t="s">
        <v>4854</v>
      </c>
      <c r="AA1160" s="4" t="s">
        <v>4854</v>
      </c>
      <c r="AB1160" s="4" t="s">
        <v>4854</v>
      </c>
      <c r="AC1160" s="4" t="s">
        <v>4854</v>
      </c>
      <c r="AD1160" s="4" t="s">
        <v>4854</v>
      </c>
      <c r="AE1160" s="100" t="s">
        <v>4854</v>
      </c>
      <c r="AF1160" s="100" t="s">
        <v>4854</v>
      </c>
      <c r="AG1160" s="100" t="s">
        <v>4854</v>
      </c>
      <c r="AH1160" s="91">
        <v>2.153</v>
      </c>
      <c r="AI1160" s="100" t="s">
        <v>4854</v>
      </c>
      <c r="AJ1160" s="100" t="s">
        <v>4854</v>
      </c>
      <c r="AK1160" s="100" t="s">
        <v>4854</v>
      </c>
      <c r="AL1160" s="100" t="s">
        <v>4854</v>
      </c>
      <c r="AM1160" s="103" t="s">
        <v>4854</v>
      </c>
      <c r="AN1160" s="103" t="s">
        <v>4854</v>
      </c>
      <c r="AO1160" s="103" t="s">
        <v>4854</v>
      </c>
      <c r="AP1160" s="95">
        <v>0.2248</v>
      </c>
      <c r="AQ1160" s="103" t="s">
        <v>4854</v>
      </c>
      <c r="AR1160" s="103" t="s">
        <v>4854</v>
      </c>
      <c r="AS1160" s="103" t="s">
        <v>4854</v>
      </c>
      <c r="AT1160" s="103" t="s">
        <v>4854</v>
      </c>
      <c r="AU1160" s="103" t="s">
        <v>4854</v>
      </c>
      <c r="AV1160" s="103" t="s">
        <v>4854</v>
      </c>
      <c r="AW1160" s="103" t="s">
        <v>4854</v>
      </c>
      <c r="AX1160" s="95">
        <v>0.06</v>
      </c>
      <c r="AY1160" s="103" t="s">
        <v>4854</v>
      </c>
      <c r="AZ1160" s="103" t="s">
        <v>4854</v>
      </c>
      <c r="BA1160" s="103" t="s">
        <v>4854</v>
      </c>
      <c r="BB1160" s="103" t="s">
        <v>4854</v>
      </c>
      <c r="BC1160" s="4" t="s">
        <v>4854</v>
      </c>
      <c r="BD1160" s="4" t="s">
        <v>4854</v>
      </c>
      <c r="BE1160" s="4" t="s">
        <v>4854</v>
      </c>
      <c r="BF1160" s="10">
        <v>743</v>
      </c>
      <c r="BG1160" s="4" t="s">
        <v>4854</v>
      </c>
      <c r="BH1160" s="4" t="s">
        <v>4854</v>
      </c>
      <c r="BI1160" s="4" t="s">
        <v>4854</v>
      </c>
      <c r="BJ1160" s="4" t="s">
        <v>4854</v>
      </c>
      <c r="BK1160" s="100" t="s">
        <v>4854</v>
      </c>
      <c r="BL1160" s="100" t="s">
        <v>4854</v>
      </c>
      <c r="BM1160" s="100" t="s">
        <v>4854</v>
      </c>
      <c r="BN1160" s="91">
        <v>0.69599999999999995</v>
      </c>
      <c r="BO1160" s="100" t="s">
        <v>4854</v>
      </c>
      <c r="BP1160" s="100" t="s">
        <v>4854</v>
      </c>
      <c r="BQ1160" s="100" t="s">
        <v>4854</v>
      </c>
      <c r="BR1160" s="100" t="s">
        <v>4854</v>
      </c>
      <c r="BS1160" s="10" t="s">
        <v>4857</v>
      </c>
    </row>
    <row r="1161" spans="1:71" s="30" customFormat="1" ht="17.100000000000001" customHeight="1">
      <c r="A1161" s="14">
        <v>1150</v>
      </c>
      <c r="B1161" s="5" t="s">
        <v>317</v>
      </c>
      <c r="C1161" s="3" t="s">
        <v>470</v>
      </c>
      <c r="D1161" s="3" t="s">
        <v>318</v>
      </c>
      <c r="E1161" s="3" t="s">
        <v>319</v>
      </c>
      <c r="F1161" s="5" t="s">
        <v>5124</v>
      </c>
      <c r="G1161" s="3" t="s">
        <v>320</v>
      </c>
      <c r="H1161" s="6" t="s">
        <v>321</v>
      </c>
      <c r="I1161" s="3" t="s">
        <v>322</v>
      </c>
      <c r="J1161" s="5" t="s">
        <v>323</v>
      </c>
      <c r="K1161" s="3" t="s">
        <v>6069</v>
      </c>
      <c r="L1161" s="3" t="s">
        <v>324</v>
      </c>
      <c r="M1161" s="5">
        <v>2</v>
      </c>
      <c r="N1161" s="21">
        <v>655.31389999999999</v>
      </c>
      <c r="O1161" s="36" t="str">
        <f>HYPERLINK("http://ms.phosphosite.org:5080/cgi-bin/plot-msms.cgi?MassType=1&amp;NumAxis=1&amp;Mod5=170&amp;Mod8=160&amp;Pep=QLAQKYNCDK&amp;Dta=/var/www/html/dta/S01/10558.2811.2.dta&amp;Global_Mod=CS57.0215", "2811")</f>
        <v>2811</v>
      </c>
      <c r="P1161" s="36" t="str">
        <f>HYPERLINK("http://ms.phosphosite.org:5080/cgi-bin/plot-msms.cgi?MassType=1&amp;NumAxis=1&amp;Mod5=170&amp;Mod8=160&amp;Pep=QLAQKYNCDK&amp;Dta=/var/www/html/dta/S01/10559.2751.2.dta&amp;Global_Mod=CS57.0215", "2751")</f>
        <v>2751</v>
      </c>
      <c r="Q1161" s="36" t="str">
        <f>HYPERLINK("http://ms.phosphosite.org:5080/cgi-bin/plot-msms.cgi?MassType=1&amp;NumAxis=1&amp;Mod5=170&amp;Mod8=160&amp;Pep=QLAQKYNCDK&amp;Dta=/var/www/html/dta/S01/10560.2709.2.dta&amp;Global_Mod=CS57.0215", "2709")</f>
        <v>2709</v>
      </c>
      <c r="R1161" s="36" t="str">
        <f>HYPERLINK("http://ms.phosphosite.org:5080/cgi-bin/plot-msms.cgi?MassType=1&amp;NumAxis=1&amp;Mod5=170&amp;Mod8=160&amp;Pep=QLAQKYNCDK&amp;Dta=/var/www/html/dta/S01/10561.2737.2.dta&amp;Global_Mod=CS57.0215", "2737")</f>
        <v>2737</v>
      </c>
      <c r="S1161" s="36" t="str">
        <f>HYPERLINK("http://ms.phosphosite.org:5080/cgi-bin/plot-msms.cgi?MassType=1&amp;NumAxis=1&amp;Mod5=170&amp;Mod8=160&amp;Pep=QLAQKYNCDK&amp;Dta=/var/www/html/dta/S01/10562.2834.2.dta&amp;Global_Mod=CS57.0215", "2834")</f>
        <v>2834</v>
      </c>
      <c r="T1161" s="36" t="str">
        <f>HYPERLINK("http://ms.phosphosite.org:5080/cgi-bin/plot-msms.cgi?MassType=1&amp;NumAxis=1&amp;Mod5=170&amp;Mod8=160&amp;Pep=QLAQKYNCDK&amp;Dta=/var/www/html/dta/S01/10563.2759.2.dta&amp;Global_Mod=CS57.0215", "2759")</f>
        <v>2759</v>
      </c>
      <c r="U1161" s="36" t="str">
        <f>HYPERLINK("http://ms.phosphosite.org:5080/cgi-bin/plot-msms.cgi?MassType=1&amp;NumAxis=1&amp;Mod5=170&amp;Mod8=160&amp;Pep=QLAQKYNCDK&amp;Dta=/var/www/html/dta/S01/10564.3076.2.dta&amp;Global_Mod=CS57.0215", "3076")</f>
        <v>3076</v>
      </c>
      <c r="V1161" s="36" t="str">
        <f>HYPERLINK("http://ms.phosphosite.org:5080/cgi-bin/plot-msms.cgi?MassType=1&amp;NumAxis=1&amp;Mod5=170&amp;Mod8=160&amp;Pep=QLAQKYNCDK&amp;Dta=/var/www/html/dta/S01/10565.3162.2.dta&amp;Global_Mod=CS57.0215", "3162")</f>
        <v>3162</v>
      </c>
      <c r="W1161" s="5">
        <v>2829</v>
      </c>
      <c r="X1161" s="5">
        <v>2759</v>
      </c>
      <c r="Y1161" s="5">
        <v>2746</v>
      </c>
      <c r="Z1161" s="5">
        <v>2762</v>
      </c>
      <c r="AA1161" s="5">
        <v>2844</v>
      </c>
      <c r="AB1161" s="5">
        <v>2785</v>
      </c>
      <c r="AC1161" s="5">
        <v>3094</v>
      </c>
      <c r="AD1161" s="5">
        <v>3176</v>
      </c>
      <c r="AE1161" s="90">
        <v>2.7610000000000001</v>
      </c>
      <c r="AF1161" s="90">
        <v>2.8239999999999998</v>
      </c>
      <c r="AG1161" s="90">
        <v>2.8410000000000002</v>
      </c>
      <c r="AH1161" s="90">
        <v>2.625</v>
      </c>
      <c r="AI1161" s="90">
        <v>2.569</v>
      </c>
      <c r="AJ1161" s="90">
        <v>2.5529999999999999</v>
      </c>
      <c r="AK1161" s="90">
        <v>2.9470000000000001</v>
      </c>
      <c r="AL1161" s="90">
        <v>2.665</v>
      </c>
      <c r="AM1161" s="21">
        <v>6.4199999999999993E-2</v>
      </c>
      <c r="AN1161" s="21">
        <v>0.55669999999999997</v>
      </c>
      <c r="AO1161" s="21">
        <v>0.36130000000000001</v>
      </c>
      <c r="AP1161" s="21">
        <v>0.62319999999999998</v>
      </c>
      <c r="AQ1161" s="21">
        <v>0.26729999999999998</v>
      </c>
      <c r="AR1161" s="21">
        <v>0.65680000000000005</v>
      </c>
      <c r="AS1161" s="21">
        <v>0.20469999999999999</v>
      </c>
      <c r="AT1161" s="21">
        <v>-0.1037</v>
      </c>
      <c r="AU1161" s="21">
        <v>0.29799999999999999</v>
      </c>
      <c r="AV1161" s="21">
        <v>0.40300000000000002</v>
      </c>
      <c r="AW1161" s="21">
        <v>0.32600000000000001</v>
      </c>
      <c r="AX1161" s="21">
        <v>0.313</v>
      </c>
      <c r="AY1161" s="21">
        <v>0.32600000000000001</v>
      </c>
      <c r="AZ1161" s="21">
        <v>0.34699999999999998</v>
      </c>
      <c r="BA1161" s="21">
        <v>0.40500000000000003</v>
      </c>
      <c r="BB1161" s="21">
        <v>0.33</v>
      </c>
      <c r="BC1161" s="5">
        <v>2</v>
      </c>
      <c r="BD1161" s="5">
        <v>1</v>
      </c>
      <c r="BE1161" s="5">
        <v>1</v>
      </c>
      <c r="BF1161" s="5">
        <v>1</v>
      </c>
      <c r="BG1161" s="5">
        <v>1</v>
      </c>
      <c r="BH1161" s="5">
        <v>2</v>
      </c>
      <c r="BI1161" s="5">
        <v>1</v>
      </c>
      <c r="BJ1161" s="5">
        <v>1</v>
      </c>
      <c r="BK1161" s="90">
        <v>1</v>
      </c>
      <c r="BL1161" s="90">
        <v>1</v>
      </c>
      <c r="BM1161" s="90">
        <v>1</v>
      </c>
      <c r="BN1161" s="90">
        <v>1</v>
      </c>
      <c r="BO1161" s="90">
        <v>1</v>
      </c>
      <c r="BP1161" s="90">
        <v>1</v>
      </c>
      <c r="BQ1161" s="90">
        <v>1</v>
      </c>
      <c r="BR1161" s="90">
        <v>1</v>
      </c>
      <c r="BS1161" s="5" t="s">
        <v>4857</v>
      </c>
    </row>
    <row r="1162" spans="1:71" s="30" customFormat="1" ht="17.100000000000001" customHeight="1">
      <c r="A1162" s="10">
        <v>1151</v>
      </c>
      <c r="B1162" s="10" t="s">
        <v>325</v>
      </c>
      <c r="C1162" s="4" t="s">
        <v>470</v>
      </c>
      <c r="D1162" s="4" t="s">
        <v>326</v>
      </c>
      <c r="E1162" s="7" t="s">
        <v>214</v>
      </c>
      <c r="F1162" s="10" t="s">
        <v>215</v>
      </c>
      <c r="G1162" s="4" t="s">
        <v>4854</v>
      </c>
      <c r="H1162" s="7" t="s">
        <v>216</v>
      </c>
      <c r="I1162" s="4" t="s">
        <v>217</v>
      </c>
      <c r="J1162" s="10" t="s">
        <v>218</v>
      </c>
      <c r="K1162" s="4" t="s">
        <v>6070</v>
      </c>
      <c r="L1162" s="4" t="s">
        <v>219</v>
      </c>
      <c r="M1162" s="10">
        <v>2</v>
      </c>
      <c r="N1162" s="95">
        <v>459.72140000000002</v>
      </c>
      <c r="O1162" s="38" t="s">
        <v>4854</v>
      </c>
      <c r="P1162" s="38" t="s">
        <v>4854</v>
      </c>
      <c r="Q1162" s="37" t="str">
        <f>HYPERLINK("http://ms.phosphosite.org:5080/cgi-bin/plot-msms.cgi?MassType=1&amp;NumAxis=1&amp;Mod5=170&amp;Pep=QYSGKFF&amp;Dta=/var/www/html/dta/S01/10560.9683.2.dta&amp;Global_Mod=CS57.0215", "9683")</f>
        <v>9683</v>
      </c>
      <c r="R1162" s="38" t="s">
        <v>4854</v>
      </c>
      <c r="S1162" s="38" t="s">
        <v>4854</v>
      </c>
      <c r="T1162" s="38" t="s">
        <v>4854</v>
      </c>
      <c r="U1162" s="38" t="s">
        <v>4854</v>
      </c>
      <c r="V1162" s="38" t="s">
        <v>4854</v>
      </c>
      <c r="W1162" s="4" t="s">
        <v>4854</v>
      </c>
      <c r="X1162" s="4" t="s">
        <v>4854</v>
      </c>
      <c r="Y1162" s="4" t="s">
        <v>4854</v>
      </c>
      <c r="Z1162" s="4" t="s">
        <v>4854</v>
      </c>
      <c r="AA1162" s="4" t="s">
        <v>4854</v>
      </c>
      <c r="AB1162" s="4" t="s">
        <v>4854</v>
      </c>
      <c r="AC1162" s="4" t="s">
        <v>4854</v>
      </c>
      <c r="AD1162" s="4" t="s">
        <v>4854</v>
      </c>
      <c r="AE1162" s="100" t="s">
        <v>4854</v>
      </c>
      <c r="AF1162" s="100" t="s">
        <v>4854</v>
      </c>
      <c r="AG1162" s="91">
        <v>1.252</v>
      </c>
      <c r="AH1162" s="100" t="s">
        <v>4854</v>
      </c>
      <c r="AI1162" s="100" t="s">
        <v>4854</v>
      </c>
      <c r="AJ1162" s="100" t="s">
        <v>4854</v>
      </c>
      <c r="AK1162" s="100" t="s">
        <v>4854</v>
      </c>
      <c r="AL1162" s="100" t="s">
        <v>4854</v>
      </c>
      <c r="AM1162" s="103" t="s">
        <v>4854</v>
      </c>
      <c r="AN1162" s="103" t="s">
        <v>4854</v>
      </c>
      <c r="AO1162" s="95">
        <v>0.41060000000000002</v>
      </c>
      <c r="AP1162" s="103" t="s">
        <v>4854</v>
      </c>
      <c r="AQ1162" s="103" t="s">
        <v>4854</v>
      </c>
      <c r="AR1162" s="103" t="s">
        <v>4854</v>
      </c>
      <c r="AS1162" s="103" t="s">
        <v>4854</v>
      </c>
      <c r="AT1162" s="103" t="s">
        <v>4854</v>
      </c>
      <c r="AU1162" s="103" t="s">
        <v>4854</v>
      </c>
      <c r="AV1162" s="103" t="s">
        <v>4854</v>
      </c>
      <c r="AW1162" s="95">
        <v>4.7E-2</v>
      </c>
      <c r="AX1162" s="103" t="s">
        <v>4854</v>
      </c>
      <c r="AY1162" s="103" t="s">
        <v>4854</v>
      </c>
      <c r="AZ1162" s="103" t="s">
        <v>4854</v>
      </c>
      <c r="BA1162" s="103" t="s">
        <v>4854</v>
      </c>
      <c r="BB1162" s="103" t="s">
        <v>4854</v>
      </c>
      <c r="BC1162" s="4" t="s">
        <v>4854</v>
      </c>
      <c r="BD1162" s="4" t="s">
        <v>4854</v>
      </c>
      <c r="BE1162" s="10">
        <v>2</v>
      </c>
      <c r="BF1162" s="4" t="s">
        <v>4854</v>
      </c>
      <c r="BG1162" s="4" t="s">
        <v>4854</v>
      </c>
      <c r="BH1162" s="4" t="s">
        <v>4854</v>
      </c>
      <c r="BI1162" s="4" t="s">
        <v>4854</v>
      </c>
      <c r="BJ1162" s="4" t="s">
        <v>4854</v>
      </c>
      <c r="BK1162" s="100" t="s">
        <v>4854</v>
      </c>
      <c r="BL1162" s="100" t="s">
        <v>4854</v>
      </c>
      <c r="BM1162" s="91">
        <v>0.70899999999999996</v>
      </c>
      <c r="BN1162" s="100" t="s">
        <v>4854</v>
      </c>
      <c r="BO1162" s="100" t="s">
        <v>4854</v>
      </c>
      <c r="BP1162" s="100" t="s">
        <v>4854</v>
      </c>
      <c r="BQ1162" s="100" t="s">
        <v>4854</v>
      </c>
      <c r="BR1162" s="100" t="s">
        <v>4854</v>
      </c>
      <c r="BS1162" s="10" t="s">
        <v>4857</v>
      </c>
    </row>
    <row r="1163" spans="1:71" s="30" customFormat="1" ht="17.100000000000001" customHeight="1">
      <c r="A1163" s="14">
        <v>1152</v>
      </c>
      <c r="B1163" s="5" t="s">
        <v>220</v>
      </c>
      <c r="C1163" s="3" t="s">
        <v>470</v>
      </c>
      <c r="D1163" s="3" t="s">
        <v>221</v>
      </c>
      <c r="E1163" s="6" t="s">
        <v>222</v>
      </c>
      <c r="F1163" s="5" t="s">
        <v>5218</v>
      </c>
      <c r="G1163" s="3" t="s">
        <v>223</v>
      </c>
      <c r="H1163" s="6" t="s">
        <v>224</v>
      </c>
      <c r="I1163" s="3" t="s">
        <v>225</v>
      </c>
      <c r="J1163" s="5" t="s">
        <v>226</v>
      </c>
      <c r="K1163" s="3" t="s">
        <v>6071</v>
      </c>
      <c r="L1163" s="3" t="s">
        <v>227</v>
      </c>
      <c r="M1163" s="5">
        <v>2</v>
      </c>
      <c r="N1163" s="21">
        <v>937.46460000000002</v>
      </c>
      <c r="O1163" s="36" t="str">
        <f>HYPERLINK("http://ms.phosphosite.org:5080/cgi-bin/plot-msms.cgi?MassType=1&amp;NumAxis=1&amp;Mod6=170&amp;Pep=SIYGEKFEDENFILK&amp;Dta=/var/www/html/dta/S01/10558.11267.2.dta&amp;Global_Mod=CS57.0215", "11267")</f>
        <v>11267</v>
      </c>
      <c r="P1163" s="36" t="str">
        <f>HYPERLINK("http://ms.phosphosite.org:5080/cgi-bin/plot-msms.cgi?MassType=1&amp;NumAxis=1&amp;Mod6=170&amp;Pep=SIYGEKFEDENFILK&amp;Dta=/var/www/html/dta/S01/10559.11271.2.dta&amp;Global_Mod=CS57.0215", "11271")</f>
        <v>11271</v>
      </c>
      <c r="Q1163" s="36" t="str">
        <f>HYPERLINK("http://ms.phosphosite.org:5080/cgi-bin/plot-msms.cgi?MassType=1&amp;NumAxis=1&amp;Mod6=170&amp;Pep=SIYGEKFEDENFILK&amp;Dta=/var/www/html/dta/S01/10560.11300.2.dta&amp;Global_Mod=CS57.0215", "11300")</f>
        <v>11300</v>
      </c>
      <c r="R1163" s="36" t="str">
        <f>HYPERLINK("http://ms.phosphosite.org:5080/cgi-bin/plot-msms.cgi?MassType=1&amp;NumAxis=1&amp;Mod6=170&amp;Pep=SIYGEKFEDENFILK&amp;Dta=/var/www/html/dta/S01/10561.11332.2.dta&amp;Global_Mod=CS57.0215", "11332")</f>
        <v>11332</v>
      </c>
      <c r="S1163" s="36" t="str">
        <f>HYPERLINK("http://ms.phosphosite.org:5080/cgi-bin/plot-msms.cgi?MassType=1&amp;NumAxis=1&amp;Mod6=170&amp;Pep=SIYGEKFEDENFILK&amp;Dta=/var/www/html/dta/S01/10562.11515.2.dta&amp;Global_Mod=CS57.0215", "11515")</f>
        <v>11515</v>
      </c>
      <c r="T1163" s="36" t="str">
        <f>HYPERLINK("http://ms.phosphosite.org:5080/cgi-bin/plot-msms.cgi?MassType=1&amp;NumAxis=1&amp;Mod6=170&amp;Pep=SIYGEKFEDENFILK&amp;Dta=/var/www/html/dta/S01/10563.11433.2.dta&amp;Global_Mod=CS57.0215", "11433")</f>
        <v>11433</v>
      </c>
      <c r="U1163" s="36" t="str">
        <f>HYPERLINK("http://ms.phosphosite.org:5080/cgi-bin/plot-msms.cgi?MassType=1&amp;NumAxis=1&amp;Mod6=170&amp;Pep=SIYGEKFEDENFILK&amp;Dta=/var/www/html/dta/S01/10564.12005.2.dta&amp;Global_Mod=CS57.0215", "12005")</f>
        <v>12005</v>
      </c>
      <c r="V1163" s="36" t="str">
        <f>HYPERLINK("http://ms.phosphosite.org:5080/cgi-bin/plot-msms.cgi?MassType=1&amp;NumAxis=1&amp;Mod6=170&amp;Pep=SIYGEKFEDENFILK&amp;Dta=/var/www/html/dta/S01/10565.11913.2.dta&amp;Global_Mod=CS57.0215", "11913")</f>
        <v>11913</v>
      </c>
      <c r="W1163" s="5">
        <v>11295</v>
      </c>
      <c r="X1163" s="5">
        <v>11295</v>
      </c>
      <c r="Y1163" s="5">
        <v>11329</v>
      </c>
      <c r="Z1163" s="5">
        <v>11368</v>
      </c>
      <c r="AA1163" s="5">
        <v>11522</v>
      </c>
      <c r="AB1163" s="5">
        <v>11454</v>
      </c>
      <c r="AC1163" s="5">
        <v>12032</v>
      </c>
      <c r="AD1163" s="5">
        <v>11920</v>
      </c>
      <c r="AE1163" s="90">
        <v>3.48</v>
      </c>
      <c r="AF1163" s="90">
        <v>3.4990000000000001</v>
      </c>
      <c r="AG1163" s="90">
        <v>4.5190000000000001</v>
      </c>
      <c r="AH1163" s="90">
        <v>4.524</v>
      </c>
      <c r="AI1163" s="90">
        <v>4.6059999999999999</v>
      </c>
      <c r="AJ1163" s="90">
        <v>4.6040000000000001</v>
      </c>
      <c r="AK1163" s="90">
        <v>4.6310000000000002</v>
      </c>
      <c r="AL1163" s="90">
        <v>4.75</v>
      </c>
      <c r="AM1163" s="21">
        <v>0.95840000000000003</v>
      </c>
      <c r="AN1163" s="21">
        <v>0.79779999999999995</v>
      </c>
      <c r="AO1163" s="21">
        <v>0.98450000000000004</v>
      </c>
      <c r="AP1163" s="21">
        <v>0.89539999999999997</v>
      </c>
      <c r="AQ1163" s="21">
        <v>0.42949999999999999</v>
      </c>
      <c r="AR1163" s="21">
        <v>0.57040000000000002</v>
      </c>
      <c r="AS1163" s="21">
        <v>0.99409999999999998</v>
      </c>
      <c r="AT1163" s="21">
        <v>0.71340000000000003</v>
      </c>
      <c r="AU1163" s="21">
        <v>0.46899999999999997</v>
      </c>
      <c r="AV1163" s="21">
        <v>0.435</v>
      </c>
      <c r="AW1163" s="21">
        <v>0.48399999999999999</v>
      </c>
      <c r="AX1163" s="21">
        <v>0.42599999999999999</v>
      </c>
      <c r="AY1163" s="21">
        <v>0.42099999999999999</v>
      </c>
      <c r="AZ1163" s="21">
        <v>0.436</v>
      </c>
      <c r="BA1163" s="21">
        <v>0.40699999999999997</v>
      </c>
      <c r="BB1163" s="21">
        <v>0.42699999999999999</v>
      </c>
      <c r="BC1163" s="5">
        <v>1</v>
      </c>
      <c r="BD1163" s="5">
        <v>1</v>
      </c>
      <c r="BE1163" s="5">
        <v>1</v>
      </c>
      <c r="BF1163" s="5">
        <v>1</v>
      </c>
      <c r="BG1163" s="5">
        <v>1</v>
      </c>
      <c r="BH1163" s="5">
        <v>1</v>
      </c>
      <c r="BI1163" s="5">
        <v>1</v>
      </c>
      <c r="BJ1163" s="5">
        <v>1</v>
      </c>
      <c r="BK1163" s="90">
        <v>1</v>
      </c>
      <c r="BL1163" s="90">
        <v>1</v>
      </c>
      <c r="BM1163" s="90">
        <v>1</v>
      </c>
      <c r="BN1163" s="90">
        <v>1</v>
      </c>
      <c r="BO1163" s="90">
        <v>1</v>
      </c>
      <c r="BP1163" s="90">
        <v>1</v>
      </c>
      <c r="BQ1163" s="90">
        <v>1</v>
      </c>
      <c r="BR1163" s="90">
        <v>1</v>
      </c>
      <c r="BS1163" s="5" t="s">
        <v>4857</v>
      </c>
    </row>
    <row r="1164" spans="1:71" s="30" customFormat="1" ht="17.100000000000001" customHeight="1">
      <c r="A1164" s="14">
        <v>1153</v>
      </c>
      <c r="B1164" s="5" t="s">
        <v>228</v>
      </c>
      <c r="C1164" s="3" t="s">
        <v>470</v>
      </c>
      <c r="D1164" s="3" t="s">
        <v>221</v>
      </c>
      <c r="E1164" s="6" t="s">
        <v>222</v>
      </c>
      <c r="F1164" s="5" t="s">
        <v>5218</v>
      </c>
      <c r="G1164" s="3" t="s">
        <v>223</v>
      </c>
      <c r="H1164" s="6" t="s">
        <v>224</v>
      </c>
      <c r="I1164" s="3" t="s">
        <v>225</v>
      </c>
      <c r="J1164" s="5" t="s">
        <v>226</v>
      </c>
      <c r="K1164" s="3" t="s">
        <v>6071</v>
      </c>
      <c r="L1164" s="3" t="s">
        <v>227</v>
      </c>
      <c r="M1164" s="5">
        <v>3</v>
      </c>
      <c r="N1164" s="21">
        <v>625.31209999999999</v>
      </c>
      <c r="O1164" s="36" t="str">
        <f>HYPERLINK("http://ms.phosphosite.org:5080/cgi-bin/plot-msms.cgi?MassType=1&amp;NumAxis=1&amp;Mod6=170&amp;Pep=SIYGEKFEDENFILK&amp;Dta=/var/www/html/dta/S01/10558.11266.3.dta&amp;Global_Mod=CS57.0215", "11266")</f>
        <v>11266</v>
      </c>
      <c r="P1164" s="35" t="s">
        <v>4854</v>
      </c>
      <c r="Q1164" s="35" t="s">
        <v>4854</v>
      </c>
      <c r="R1164" s="35" t="s">
        <v>4854</v>
      </c>
      <c r="S1164" s="35" t="s">
        <v>4854</v>
      </c>
      <c r="T1164" s="35" t="s">
        <v>4854</v>
      </c>
      <c r="U1164" s="35" t="s">
        <v>4854</v>
      </c>
      <c r="V1164" s="35" t="s">
        <v>4854</v>
      </c>
      <c r="W1164" s="5">
        <v>11306</v>
      </c>
      <c r="X1164" s="3" t="s">
        <v>4854</v>
      </c>
      <c r="Y1164" s="3" t="s">
        <v>4854</v>
      </c>
      <c r="Z1164" s="3" t="s">
        <v>4854</v>
      </c>
      <c r="AA1164" s="3" t="s">
        <v>4854</v>
      </c>
      <c r="AB1164" s="3" t="s">
        <v>4854</v>
      </c>
      <c r="AC1164" s="3" t="s">
        <v>4854</v>
      </c>
      <c r="AD1164" s="3" t="s">
        <v>4854</v>
      </c>
      <c r="AE1164" s="90">
        <v>2.1539999999999999</v>
      </c>
      <c r="AF1164" s="99" t="s">
        <v>4854</v>
      </c>
      <c r="AG1164" s="99" t="s">
        <v>4854</v>
      </c>
      <c r="AH1164" s="99" t="s">
        <v>4854</v>
      </c>
      <c r="AI1164" s="99" t="s">
        <v>4854</v>
      </c>
      <c r="AJ1164" s="99" t="s">
        <v>4854</v>
      </c>
      <c r="AK1164" s="99" t="s">
        <v>4854</v>
      </c>
      <c r="AL1164" s="99" t="s">
        <v>4854</v>
      </c>
      <c r="AM1164" s="21">
        <v>2.0240999999999998</v>
      </c>
      <c r="AN1164" s="102" t="s">
        <v>4854</v>
      </c>
      <c r="AO1164" s="102" t="s">
        <v>4854</v>
      </c>
      <c r="AP1164" s="102" t="s">
        <v>4854</v>
      </c>
      <c r="AQ1164" s="102" t="s">
        <v>4854</v>
      </c>
      <c r="AR1164" s="102" t="s">
        <v>4854</v>
      </c>
      <c r="AS1164" s="102" t="s">
        <v>4854</v>
      </c>
      <c r="AT1164" s="102" t="s">
        <v>4854</v>
      </c>
      <c r="AU1164" s="21">
        <v>0.10199999999999999</v>
      </c>
      <c r="AV1164" s="102" t="s">
        <v>4854</v>
      </c>
      <c r="AW1164" s="102" t="s">
        <v>4854</v>
      </c>
      <c r="AX1164" s="102" t="s">
        <v>4854</v>
      </c>
      <c r="AY1164" s="102" t="s">
        <v>4854</v>
      </c>
      <c r="AZ1164" s="102" t="s">
        <v>4854</v>
      </c>
      <c r="BA1164" s="102" t="s">
        <v>4854</v>
      </c>
      <c r="BB1164" s="102" t="s">
        <v>4854</v>
      </c>
      <c r="BC1164" s="5">
        <v>1</v>
      </c>
      <c r="BD1164" s="3" t="s">
        <v>4854</v>
      </c>
      <c r="BE1164" s="3" t="s">
        <v>4854</v>
      </c>
      <c r="BF1164" s="3" t="s">
        <v>4854</v>
      </c>
      <c r="BG1164" s="3" t="s">
        <v>4854</v>
      </c>
      <c r="BH1164" s="3" t="s">
        <v>4854</v>
      </c>
      <c r="BI1164" s="3" t="s">
        <v>4854</v>
      </c>
      <c r="BJ1164" s="3" t="s">
        <v>4854</v>
      </c>
      <c r="BK1164" s="90">
        <v>0.97499999999999998</v>
      </c>
      <c r="BL1164" s="99" t="s">
        <v>4854</v>
      </c>
      <c r="BM1164" s="99" t="s">
        <v>4854</v>
      </c>
      <c r="BN1164" s="99" t="s">
        <v>4854</v>
      </c>
      <c r="BO1164" s="99" t="s">
        <v>4854</v>
      </c>
      <c r="BP1164" s="99" t="s">
        <v>4854</v>
      </c>
      <c r="BQ1164" s="99" t="s">
        <v>4854</v>
      </c>
      <c r="BR1164" s="99" t="s">
        <v>4854</v>
      </c>
      <c r="BS1164" s="5" t="s">
        <v>4857</v>
      </c>
    </row>
    <row r="1165" spans="1:71" s="30" customFormat="1" ht="17.100000000000001" customHeight="1">
      <c r="A1165" s="10">
        <v>1154</v>
      </c>
      <c r="B1165" s="10" t="s">
        <v>229</v>
      </c>
      <c r="C1165" s="4" t="s">
        <v>470</v>
      </c>
      <c r="D1165" s="4" t="s">
        <v>221</v>
      </c>
      <c r="E1165" s="7" t="s">
        <v>222</v>
      </c>
      <c r="F1165" s="10" t="s">
        <v>4987</v>
      </c>
      <c r="G1165" s="4" t="s">
        <v>223</v>
      </c>
      <c r="H1165" s="7" t="s">
        <v>224</v>
      </c>
      <c r="I1165" s="4" t="s">
        <v>225</v>
      </c>
      <c r="J1165" s="10" t="s">
        <v>226</v>
      </c>
      <c r="K1165" s="4" t="s">
        <v>6072</v>
      </c>
      <c r="L1165" s="4" t="s">
        <v>230</v>
      </c>
      <c r="M1165" s="10">
        <v>2</v>
      </c>
      <c r="N1165" s="95">
        <v>711.38739999999996</v>
      </c>
      <c r="O1165" s="37" t="str">
        <f>HYPERLINK("http://ms.phosphosite.org:5080/cgi-bin/plot-msms.cgi?MassType=1&amp;NumAxis=1&amp;Mod9=170&amp;Pep=VSFELFADKVPK&amp;Dta=/var/www/html/dta/S01/10558.11454.2.dta&amp;Global_Mod=CS57.0215", "11454")</f>
        <v>11454</v>
      </c>
      <c r="P1165" s="37" t="str">
        <f>HYPERLINK("http://ms.phosphosite.org:5080/cgi-bin/plot-msms.cgi?MassType=1&amp;NumAxis=1&amp;Mod9=170&amp;Pep=VSFELFADKVPK&amp;Dta=/var/www/html/dta/S01/10559.11455.2.dta&amp;Global_Mod=CS57.0215", "11455")</f>
        <v>11455</v>
      </c>
      <c r="Q1165" s="37" t="str">
        <f>HYPERLINK("http://ms.phosphosite.org:5080/cgi-bin/plot-msms.cgi?MassType=1&amp;NumAxis=1&amp;Mod9=170&amp;Pep=VSFELFADKVPK&amp;Dta=/var/www/html/dta/S01/10560.11497.2.dta&amp;Global_Mod=CS57.0215", "11497")</f>
        <v>11497</v>
      </c>
      <c r="R1165" s="38" t="s">
        <v>4854</v>
      </c>
      <c r="S1165" s="38" t="s">
        <v>4854</v>
      </c>
      <c r="T1165" s="37" t="str">
        <f>HYPERLINK("http://ms.phosphosite.org:5080/cgi-bin/plot-msms.cgi?MassType=1&amp;NumAxis=1&amp;Mod9=170&amp;Pep=VSFELFADKVPK&amp;Dta=/var/www/html/dta/S01/10563.11640.2.dta&amp;Global_Mod=CS57.0215", "11640")</f>
        <v>11640</v>
      </c>
      <c r="U1165" s="38" t="s">
        <v>4854</v>
      </c>
      <c r="V1165" s="38" t="s">
        <v>4854</v>
      </c>
      <c r="W1165" s="10">
        <v>11482</v>
      </c>
      <c r="X1165" s="4" t="s">
        <v>4854</v>
      </c>
      <c r="Y1165" s="10">
        <v>11516</v>
      </c>
      <c r="Z1165" s="4" t="s">
        <v>4854</v>
      </c>
      <c r="AA1165" s="4" t="s">
        <v>4854</v>
      </c>
      <c r="AB1165" s="4" t="s">
        <v>4854</v>
      </c>
      <c r="AC1165" s="4" t="s">
        <v>4854</v>
      </c>
      <c r="AD1165" s="4" t="s">
        <v>4854</v>
      </c>
      <c r="AE1165" s="91">
        <v>2.508</v>
      </c>
      <c r="AF1165" s="91">
        <v>1.7589999999999999</v>
      </c>
      <c r="AG1165" s="91">
        <v>2.1349999999999998</v>
      </c>
      <c r="AH1165" s="100" t="s">
        <v>4854</v>
      </c>
      <c r="AI1165" s="100" t="s">
        <v>4854</v>
      </c>
      <c r="AJ1165" s="91">
        <v>2.1640000000000001</v>
      </c>
      <c r="AK1165" s="100" t="s">
        <v>4854</v>
      </c>
      <c r="AL1165" s="100" t="s">
        <v>4854</v>
      </c>
      <c r="AM1165" s="95">
        <v>0.47920000000000001</v>
      </c>
      <c r="AN1165" s="95">
        <v>0.57350000000000001</v>
      </c>
      <c r="AO1165" s="95">
        <v>0.84989999999999999</v>
      </c>
      <c r="AP1165" s="103" t="s">
        <v>4854</v>
      </c>
      <c r="AQ1165" s="103" t="s">
        <v>4854</v>
      </c>
      <c r="AR1165" s="95">
        <v>0.4032</v>
      </c>
      <c r="AS1165" s="103" t="s">
        <v>4854</v>
      </c>
      <c r="AT1165" s="103" t="s">
        <v>4854</v>
      </c>
      <c r="AU1165" s="95">
        <v>0.26</v>
      </c>
      <c r="AV1165" s="95">
        <v>7.0000000000000001E-3</v>
      </c>
      <c r="AW1165" s="95">
        <v>0.16700000000000001</v>
      </c>
      <c r="AX1165" s="103" t="s">
        <v>4854</v>
      </c>
      <c r="AY1165" s="103" t="s">
        <v>4854</v>
      </c>
      <c r="AZ1165" s="95">
        <v>2.1000000000000001E-2</v>
      </c>
      <c r="BA1165" s="103" t="s">
        <v>4854</v>
      </c>
      <c r="BB1165" s="103" t="s">
        <v>4854</v>
      </c>
      <c r="BC1165" s="10">
        <v>1</v>
      </c>
      <c r="BD1165" s="10">
        <v>3</v>
      </c>
      <c r="BE1165" s="10">
        <v>1</v>
      </c>
      <c r="BF1165" s="4" t="s">
        <v>4854</v>
      </c>
      <c r="BG1165" s="4" t="s">
        <v>4854</v>
      </c>
      <c r="BH1165" s="10">
        <v>3</v>
      </c>
      <c r="BI1165" s="4" t="s">
        <v>4854</v>
      </c>
      <c r="BJ1165" s="4" t="s">
        <v>4854</v>
      </c>
      <c r="BK1165" s="91">
        <v>0.999</v>
      </c>
      <c r="BL1165" s="91">
        <v>0.83799999999999997</v>
      </c>
      <c r="BM1165" s="91">
        <v>0.99199999999999999</v>
      </c>
      <c r="BN1165" s="100" t="s">
        <v>4854</v>
      </c>
      <c r="BO1165" s="100" t="s">
        <v>4854</v>
      </c>
      <c r="BP1165" s="91">
        <v>0.94199999999999995</v>
      </c>
      <c r="BQ1165" s="100" t="s">
        <v>4854</v>
      </c>
      <c r="BR1165" s="100" t="s">
        <v>4854</v>
      </c>
      <c r="BS1165" s="10" t="s">
        <v>4857</v>
      </c>
    </row>
    <row r="1166" spans="1:71" s="30" customFormat="1" ht="17.100000000000001" customHeight="1">
      <c r="A1166" s="14">
        <v>1155</v>
      </c>
      <c r="B1166" s="5" t="s">
        <v>231</v>
      </c>
      <c r="C1166" s="3" t="s">
        <v>470</v>
      </c>
      <c r="D1166" s="3" t="s">
        <v>232</v>
      </c>
      <c r="E1166" s="3" t="s">
        <v>233</v>
      </c>
      <c r="F1166" s="5" t="s">
        <v>2473</v>
      </c>
      <c r="G1166" s="3" t="s">
        <v>234</v>
      </c>
      <c r="H1166" s="6" t="s">
        <v>235</v>
      </c>
      <c r="I1166" s="3" t="s">
        <v>236</v>
      </c>
      <c r="J1166" s="5" t="s">
        <v>4592</v>
      </c>
      <c r="K1166" s="3" t="s">
        <v>6073</v>
      </c>
      <c r="L1166" s="3" t="s">
        <v>237</v>
      </c>
      <c r="M1166" s="5">
        <v>3</v>
      </c>
      <c r="N1166" s="21">
        <v>758.71600000000001</v>
      </c>
      <c r="O1166" s="35" t="s">
        <v>4854</v>
      </c>
      <c r="P1166" s="35" t="s">
        <v>4854</v>
      </c>
      <c r="Q1166" s="35" t="s">
        <v>4854</v>
      </c>
      <c r="R1166" s="35" t="s">
        <v>4854</v>
      </c>
      <c r="S1166" s="35" t="s">
        <v>4854</v>
      </c>
      <c r="T1166" s="36" t="str">
        <f>HYPERLINK("http://ms.phosphosite.org:5080/cgi-bin/plot-msms.cgi?MassType=1&amp;NumAxis=1&amp;Mod5=170&amp;Mod7=160&amp;Pep=RYLQKGCTTLLFQEGDFR&amp;Dta=/var/www/html/dta/S01/10563.14824.3.dta&amp;Global_Mod=CS57.0215", "14824")</f>
        <v>14824</v>
      </c>
      <c r="U1166" s="35" t="s">
        <v>4854</v>
      </c>
      <c r="V1166" s="35" t="s">
        <v>4854</v>
      </c>
      <c r="W1166" s="3" t="s">
        <v>4854</v>
      </c>
      <c r="X1166" s="3" t="s">
        <v>4854</v>
      </c>
      <c r="Y1166" s="3" t="s">
        <v>4854</v>
      </c>
      <c r="Z1166" s="3" t="s">
        <v>4854</v>
      </c>
      <c r="AA1166" s="3" t="s">
        <v>4854</v>
      </c>
      <c r="AB1166" s="3" t="s">
        <v>4854</v>
      </c>
      <c r="AC1166" s="3" t="s">
        <v>4854</v>
      </c>
      <c r="AD1166" s="3" t="s">
        <v>4854</v>
      </c>
      <c r="AE1166" s="99" t="s">
        <v>4854</v>
      </c>
      <c r="AF1166" s="99" t="s">
        <v>4854</v>
      </c>
      <c r="AG1166" s="99" t="s">
        <v>4854</v>
      </c>
      <c r="AH1166" s="99" t="s">
        <v>4854</v>
      </c>
      <c r="AI1166" s="99" t="s">
        <v>4854</v>
      </c>
      <c r="AJ1166" s="90">
        <v>1.641</v>
      </c>
      <c r="AK1166" s="99" t="s">
        <v>4854</v>
      </c>
      <c r="AL1166" s="99" t="s">
        <v>4854</v>
      </c>
      <c r="AM1166" s="102" t="s">
        <v>4854</v>
      </c>
      <c r="AN1166" s="102" t="s">
        <v>4854</v>
      </c>
      <c r="AO1166" s="102" t="s">
        <v>4854</v>
      </c>
      <c r="AP1166" s="102" t="s">
        <v>4854</v>
      </c>
      <c r="AQ1166" s="102" t="s">
        <v>4854</v>
      </c>
      <c r="AR1166" s="21">
        <v>1.0963000000000001</v>
      </c>
      <c r="AS1166" s="102" t="s">
        <v>4854</v>
      </c>
      <c r="AT1166" s="102" t="s">
        <v>4854</v>
      </c>
      <c r="AU1166" s="102" t="s">
        <v>4854</v>
      </c>
      <c r="AV1166" s="102" t="s">
        <v>4854</v>
      </c>
      <c r="AW1166" s="102" t="s">
        <v>4854</v>
      </c>
      <c r="AX1166" s="102" t="s">
        <v>4854</v>
      </c>
      <c r="AY1166" s="102" t="s">
        <v>4854</v>
      </c>
      <c r="AZ1166" s="21">
        <v>4.5999999999999999E-2</v>
      </c>
      <c r="BA1166" s="102" t="s">
        <v>4854</v>
      </c>
      <c r="BB1166" s="102" t="s">
        <v>4854</v>
      </c>
      <c r="BC1166" s="3" t="s">
        <v>4854</v>
      </c>
      <c r="BD1166" s="3" t="s">
        <v>4854</v>
      </c>
      <c r="BE1166" s="3" t="s">
        <v>4854</v>
      </c>
      <c r="BF1166" s="3" t="s">
        <v>4854</v>
      </c>
      <c r="BG1166" s="3" t="s">
        <v>4854</v>
      </c>
      <c r="BH1166" s="5">
        <v>164</v>
      </c>
      <c r="BI1166" s="3" t="s">
        <v>4854</v>
      </c>
      <c r="BJ1166" s="3" t="s">
        <v>4854</v>
      </c>
      <c r="BK1166" s="99" t="s">
        <v>4854</v>
      </c>
      <c r="BL1166" s="99" t="s">
        <v>4854</v>
      </c>
      <c r="BM1166" s="99" t="s">
        <v>4854</v>
      </c>
      <c r="BN1166" s="99" t="s">
        <v>4854</v>
      </c>
      <c r="BO1166" s="99" t="s">
        <v>4854</v>
      </c>
      <c r="BP1166" s="90">
        <v>0.73699999999999999</v>
      </c>
      <c r="BQ1166" s="99" t="s">
        <v>4854</v>
      </c>
      <c r="BR1166" s="99" t="s">
        <v>4854</v>
      </c>
      <c r="BS1166" s="5" t="s">
        <v>4857</v>
      </c>
    </row>
    <row r="1167" spans="1:71" s="30" customFormat="1" ht="17.100000000000001" customHeight="1">
      <c r="A1167" s="10">
        <v>1156</v>
      </c>
      <c r="B1167" s="10" t="s">
        <v>1608</v>
      </c>
      <c r="C1167" s="4" t="s">
        <v>470</v>
      </c>
      <c r="D1167" s="4" t="s">
        <v>238</v>
      </c>
      <c r="E1167" s="4" t="s">
        <v>239</v>
      </c>
      <c r="F1167" s="10" t="s">
        <v>2851</v>
      </c>
      <c r="G1167" s="4" t="s">
        <v>240</v>
      </c>
      <c r="H1167" s="7" t="s">
        <v>241</v>
      </c>
      <c r="I1167" s="4" t="s">
        <v>242</v>
      </c>
      <c r="J1167" s="10" t="s">
        <v>4571</v>
      </c>
      <c r="K1167" s="4" t="s">
        <v>6074</v>
      </c>
      <c r="L1167" s="4" t="s">
        <v>243</v>
      </c>
      <c r="M1167" s="10">
        <v>2</v>
      </c>
      <c r="N1167" s="95">
        <v>867.92200000000003</v>
      </c>
      <c r="O1167" s="38" t="s">
        <v>4854</v>
      </c>
      <c r="P1167" s="38" t="s">
        <v>4854</v>
      </c>
      <c r="Q1167" s="37" t="str">
        <f>HYPERLINK("http://ms.phosphosite.org:5080/cgi-bin/plot-msms.cgi?MassType=1&amp;NumAxis=1&amp;Mod8=170&amp;Mod10=147&amp;Pep=DLAEESDKWMAIIR&amp;Dta=/var/www/html/dta/S01/10560.12040.2.dta&amp;Global_Mod=CS57.0215", "12040")</f>
        <v>12040</v>
      </c>
      <c r="R1167" s="37" t="str">
        <f>HYPERLINK("http://ms.phosphosite.org:5080/cgi-bin/plot-msms.cgi?MassType=1&amp;NumAxis=1&amp;Mod8=170&amp;Mod10=147&amp;Pep=DLAEESDKWMAIIR&amp;Dta=/var/www/html/dta/S01/10561.12092.2.dta&amp;Global_Mod=CS57.0215", "12092")</f>
        <v>12092</v>
      </c>
      <c r="S1167" s="37" t="str">
        <f>HYPERLINK("http://ms.phosphosite.org:5080/cgi-bin/plot-msms.cgi?MassType=1&amp;NumAxis=1&amp;Mod8=170&amp;Mod10=147&amp;Pep=DLAEESDKWMAIIR&amp;Dta=/var/www/html/dta/S01/10562.12255.2.dta&amp;Global_Mod=CS57.0215", "12255")</f>
        <v>12255</v>
      </c>
      <c r="T1167" s="37" t="str">
        <f>HYPERLINK("http://ms.phosphosite.org:5080/cgi-bin/plot-msms.cgi?MassType=1&amp;NumAxis=1&amp;Mod8=170&amp;Mod10=147&amp;Pep=DLAEESDKWMAIIR&amp;Dta=/var/www/html/dta/S01/10563.12168.2.dta&amp;Global_Mod=CS57.0215", "12168")</f>
        <v>12168</v>
      </c>
      <c r="U1167" s="37" t="str">
        <f>HYPERLINK("http://ms.phosphosite.org:5080/cgi-bin/plot-msms.cgi?MassType=1&amp;NumAxis=1&amp;Mod8=170&amp;Mod10=147&amp;Pep=DLAEESDKWMAIIR&amp;Dta=/var/www/html/dta/S01/10564.12795.2.dta&amp;Global_Mod=CS57.0215", "12795")</f>
        <v>12795</v>
      </c>
      <c r="V1167" s="37" t="str">
        <f>HYPERLINK("http://ms.phosphosite.org:5080/cgi-bin/plot-msms.cgi?MassType=1&amp;NumAxis=1&amp;Mod8=170&amp;Mod10=147&amp;Pep=DLAEESDKWMAIIR&amp;Dta=/var/www/html/dta/S01/10565.12676.2.dta&amp;Global_Mod=CS57.0215", "12676")</f>
        <v>12676</v>
      </c>
      <c r="W1167" s="4" t="s">
        <v>4854</v>
      </c>
      <c r="X1167" s="4" t="s">
        <v>4854</v>
      </c>
      <c r="Y1167" s="10">
        <v>12044</v>
      </c>
      <c r="Z1167" s="10">
        <v>12083</v>
      </c>
      <c r="AA1167" s="10">
        <v>12248</v>
      </c>
      <c r="AB1167" s="10">
        <v>12169</v>
      </c>
      <c r="AC1167" s="10">
        <v>12780</v>
      </c>
      <c r="AD1167" s="10">
        <v>12701</v>
      </c>
      <c r="AE1167" s="100" t="s">
        <v>4854</v>
      </c>
      <c r="AF1167" s="100" t="s">
        <v>4854</v>
      </c>
      <c r="AG1167" s="91">
        <v>3.895</v>
      </c>
      <c r="AH1167" s="91">
        <v>3.827</v>
      </c>
      <c r="AI1167" s="91">
        <v>4.008</v>
      </c>
      <c r="AJ1167" s="91">
        <v>3.7879999999999998</v>
      </c>
      <c r="AK1167" s="91">
        <v>4.1740000000000004</v>
      </c>
      <c r="AL1167" s="91">
        <v>4.0060000000000002</v>
      </c>
      <c r="AM1167" s="103" t="s">
        <v>4854</v>
      </c>
      <c r="AN1167" s="103" t="s">
        <v>4854</v>
      </c>
      <c r="AO1167" s="95">
        <v>1.0027999999999999</v>
      </c>
      <c r="AP1167" s="95">
        <v>1.3181</v>
      </c>
      <c r="AQ1167" s="95">
        <v>0.94750000000000001</v>
      </c>
      <c r="AR1167" s="95">
        <v>0.72729999999999995</v>
      </c>
      <c r="AS1167" s="95">
        <v>1.0968</v>
      </c>
      <c r="AT1167" s="95">
        <v>0.53879999999999995</v>
      </c>
      <c r="AU1167" s="103" t="s">
        <v>4854</v>
      </c>
      <c r="AV1167" s="103" t="s">
        <v>4854</v>
      </c>
      <c r="AW1167" s="95">
        <v>0.33700000000000002</v>
      </c>
      <c r="AX1167" s="95">
        <v>0.34399999999999997</v>
      </c>
      <c r="AY1167" s="95">
        <v>0.33500000000000002</v>
      </c>
      <c r="AZ1167" s="95">
        <v>0.23300000000000001</v>
      </c>
      <c r="BA1167" s="95">
        <v>0.38900000000000001</v>
      </c>
      <c r="BB1167" s="95">
        <v>0.35499999999999998</v>
      </c>
      <c r="BC1167" s="4" t="s">
        <v>4854</v>
      </c>
      <c r="BD1167" s="4" t="s">
        <v>4854</v>
      </c>
      <c r="BE1167" s="10">
        <v>1</v>
      </c>
      <c r="BF1167" s="10">
        <v>1</v>
      </c>
      <c r="BG1167" s="10">
        <v>1</v>
      </c>
      <c r="BH1167" s="10">
        <v>1</v>
      </c>
      <c r="BI1167" s="10">
        <v>1</v>
      </c>
      <c r="BJ1167" s="10">
        <v>1</v>
      </c>
      <c r="BK1167" s="100" t="s">
        <v>4854</v>
      </c>
      <c r="BL1167" s="100" t="s">
        <v>4854</v>
      </c>
      <c r="BM1167" s="91">
        <v>1</v>
      </c>
      <c r="BN1167" s="91">
        <v>1</v>
      </c>
      <c r="BO1167" s="91">
        <v>1</v>
      </c>
      <c r="BP1167" s="91">
        <v>1</v>
      </c>
      <c r="BQ1167" s="91">
        <v>1</v>
      </c>
      <c r="BR1167" s="91">
        <v>1</v>
      </c>
      <c r="BS1167" s="10" t="s">
        <v>4857</v>
      </c>
    </row>
    <row r="1168" spans="1:71" s="30" customFormat="1" ht="17.100000000000001" customHeight="1">
      <c r="A1168" s="10">
        <v>1157</v>
      </c>
      <c r="B1168" s="10" t="s">
        <v>244</v>
      </c>
      <c r="C1168" s="4" t="s">
        <v>470</v>
      </c>
      <c r="D1168" s="4" t="s">
        <v>238</v>
      </c>
      <c r="E1168" s="4" t="s">
        <v>239</v>
      </c>
      <c r="F1168" s="10" t="s">
        <v>2851</v>
      </c>
      <c r="G1168" s="4" t="s">
        <v>240</v>
      </c>
      <c r="H1168" s="7" t="s">
        <v>241</v>
      </c>
      <c r="I1168" s="4" t="s">
        <v>242</v>
      </c>
      <c r="J1168" s="10" t="s">
        <v>4571</v>
      </c>
      <c r="K1168" s="4" t="s">
        <v>6074</v>
      </c>
      <c r="L1168" s="4" t="s">
        <v>243</v>
      </c>
      <c r="M1168" s="10">
        <v>2</v>
      </c>
      <c r="N1168" s="95">
        <v>867.92200000000003</v>
      </c>
      <c r="O1168" s="38" t="s">
        <v>4854</v>
      </c>
      <c r="P1168" s="38" t="s">
        <v>4854</v>
      </c>
      <c r="Q1168" s="38" t="s">
        <v>4854</v>
      </c>
      <c r="R1168" s="38" t="s">
        <v>4854</v>
      </c>
      <c r="S1168" s="38" t="s">
        <v>4854</v>
      </c>
      <c r="T1168" s="38" t="s">
        <v>4854</v>
      </c>
      <c r="U1168" s="38" t="s">
        <v>4854</v>
      </c>
      <c r="V1168" s="37" t="str">
        <f>HYPERLINK("http://ms.phosphosite.org:5080/cgi-bin/plot-msms.cgi?MassType=1&amp;NumAxis=1&amp;Mod8=170&amp;Mod10=147&amp;Pep=DLAEESDKWMAIIR&amp;Dta=/var/www/html/dta/S01/10565.12698.2.dta&amp;Global_Mod=CS57.0215", "12698")</f>
        <v>12698</v>
      </c>
      <c r="W1168" s="4" t="s">
        <v>4854</v>
      </c>
      <c r="X1168" s="4" t="s">
        <v>4854</v>
      </c>
      <c r="Y1168" s="4" t="s">
        <v>4854</v>
      </c>
      <c r="Z1168" s="4" t="s">
        <v>4854</v>
      </c>
      <c r="AA1168" s="4" t="s">
        <v>4854</v>
      </c>
      <c r="AB1168" s="4" t="s">
        <v>4854</v>
      </c>
      <c r="AC1168" s="4" t="s">
        <v>4854</v>
      </c>
      <c r="AD1168" s="10">
        <v>12701</v>
      </c>
      <c r="AE1168" s="100" t="s">
        <v>4854</v>
      </c>
      <c r="AF1168" s="100" t="s">
        <v>4854</v>
      </c>
      <c r="AG1168" s="100" t="s">
        <v>4854</v>
      </c>
      <c r="AH1168" s="100" t="s">
        <v>4854</v>
      </c>
      <c r="AI1168" s="100" t="s">
        <v>4854</v>
      </c>
      <c r="AJ1168" s="100" t="s">
        <v>4854</v>
      </c>
      <c r="AK1168" s="100" t="s">
        <v>4854</v>
      </c>
      <c r="AL1168" s="91">
        <v>2.5430000000000001</v>
      </c>
      <c r="AM1168" s="103" t="s">
        <v>4854</v>
      </c>
      <c r="AN1168" s="103" t="s">
        <v>4854</v>
      </c>
      <c r="AO1168" s="103" t="s">
        <v>4854</v>
      </c>
      <c r="AP1168" s="103" t="s">
        <v>4854</v>
      </c>
      <c r="AQ1168" s="103" t="s">
        <v>4854</v>
      </c>
      <c r="AR1168" s="103" t="s">
        <v>4854</v>
      </c>
      <c r="AS1168" s="103" t="s">
        <v>4854</v>
      </c>
      <c r="AT1168" s="95">
        <v>0.53879999999999995</v>
      </c>
      <c r="AU1168" s="103" t="s">
        <v>4854</v>
      </c>
      <c r="AV1168" s="103" t="s">
        <v>4854</v>
      </c>
      <c r="AW1168" s="103" t="s">
        <v>4854</v>
      </c>
      <c r="AX1168" s="103" t="s">
        <v>4854</v>
      </c>
      <c r="AY1168" s="103" t="s">
        <v>4854</v>
      </c>
      <c r="AZ1168" s="103" t="s">
        <v>4854</v>
      </c>
      <c r="BA1168" s="103" t="s">
        <v>4854</v>
      </c>
      <c r="BB1168" s="95">
        <v>0.35</v>
      </c>
      <c r="BC1168" s="4" t="s">
        <v>4854</v>
      </c>
      <c r="BD1168" s="4" t="s">
        <v>4854</v>
      </c>
      <c r="BE1168" s="4" t="s">
        <v>4854</v>
      </c>
      <c r="BF1168" s="4" t="s">
        <v>4854</v>
      </c>
      <c r="BG1168" s="4" t="s">
        <v>4854</v>
      </c>
      <c r="BH1168" s="4" t="s">
        <v>4854</v>
      </c>
      <c r="BI1168" s="4" t="s">
        <v>4854</v>
      </c>
      <c r="BJ1168" s="10">
        <v>21</v>
      </c>
      <c r="BK1168" s="100" t="s">
        <v>4854</v>
      </c>
      <c r="BL1168" s="100" t="s">
        <v>4854</v>
      </c>
      <c r="BM1168" s="100" t="s">
        <v>4854</v>
      </c>
      <c r="BN1168" s="100" t="s">
        <v>4854</v>
      </c>
      <c r="BO1168" s="100" t="s">
        <v>4854</v>
      </c>
      <c r="BP1168" s="100" t="s">
        <v>4854</v>
      </c>
      <c r="BQ1168" s="100" t="s">
        <v>4854</v>
      </c>
      <c r="BR1168" s="91">
        <v>0.999</v>
      </c>
      <c r="BS1168" s="10" t="s">
        <v>4857</v>
      </c>
    </row>
    <row r="1169" spans="1:71" s="30" customFormat="1" ht="17.100000000000001" customHeight="1">
      <c r="A1169" s="10">
        <v>1158</v>
      </c>
      <c r="B1169" s="10" t="s">
        <v>245</v>
      </c>
      <c r="C1169" s="4" t="s">
        <v>470</v>
      </c>
      <c r="D1169" s="4" t="s">
        <v>238</v>
      </c>
      <c r="E1169" s="4" t="s">
        <v>239</v>
      </c>
      <c r="F1169" s="10" t="s">
        <v>2851</v>
      </c>
      <c r="G1169" s="4" t="s">
        <v>240</v>
      </c>
      <c r="H1169" s="7" t="s">
        <v>241</v>
      </c>
      <c r="I1169" s="4" t="s">
        <v>242</v>
      </c>
      <c r="J1169" s="10" t="s">
        <v>4571</v>
      </c>
      <c r="K1169" s="4" t="s">
        <v>6074</v>
      </c>
      <c r="L1169" s="4" t="s">
        <v>243</v>
      </c>
      <c r="M1169" s="10">
        <v>3</v>
      </c>
      <c r="N1169" s="95">
        <v>578.95039999999995</v>
      </c>
      <c r="O1169" s="38" t="s">
        <v>4854</v>
      </c>
      <c r="P1169" s="37" t="str">
        <f>HYPERLINK("http://ms.phosphosite.org:5080/cgi-bin/plot-msms.cgi?MassType=1&amp;NumAxis=1&amp;Mod8=170&amp;Mod10=147&amp;Pep=DLAEESDKWMAIIR&amp;Dta=/var/www/html/dta/S01/10559.12005.3.dta&amp;Global_Mod=CS57.0215", "12005")</f>
        <v>12005</v>
      </c>
      <c r="Q1169" s="37" t="str">
        <f>HYPERLINK("http://ms.phosphosite.org:5080/cgi-bin/plot-msms.cgi?MassType=1&amp;NumAxis=1&amp;Mod8=170&amp;Mod10=147&amp;Pep=DLAEESDKWMAIIR&amp;Dta=/var/www/html/dta/S01/10560.12035.3.dta&amp;Global_Mod=CS57.0215", "12035")</f>
        <v>12035</v>
      </c>
      <c r="R1169" s="37" t="str">
        <f>HYPERLINK("http://ms.phosphosite.org:5080/cgi-bin/plot-msms.cgi?MassType=1&amp;NumAxis=1&amp;Mod8=170&amp;Mod10=147&amp;Pep=DLAEESDKWMAIIR&amp;Dta=/var/www/html/dta/S01/10561.12063.3.dta&amp;Global_Mod=CS57.0215", "12063")</f>
        <v>12063</v>
      </c>
      <c r="S1169" s="37" t="str">
        <f>HYPERLINK("http://ms.phosphosite.org:5080/cgi-bin/plot-msms.cgi?MassType=1&amp;NumAxis=1&amp;Mod8=170&amp;Mod10=147&amp;Pep=DLAEESDKWMAIIR&amp;Dta=/var/www/html/dta/S01/10562.12240.3.dta&amp;Global_Mod=CS57.0215", "12240")</f>
        <v>12240</v>
      </c>
      <c r="T1169" s="37" t="str">
        <f>HYPERLINK("http://ms.phosphosite.org:5080/cgi-bin/plot-msms.cgi?MassType=1&amp;NumAxis=1&amp;Mod8=170&amp;Mod10=147&amp;Pep=DLAEESDKWMAIIR&amp;Dta=/var/www/html/dta/S01/10563.12163.3.dta&amp;Global_Mod=CS57.0215", "12163")</f>
        <v>12163</v>
      </c>
      <c r="U1169" s="37" t="str">
        <f>HYPERLINK("http://ms.phosphosite.org:5080/cgi-bin/plot-msms.cgi?MassType=1&amp;NumAxis=1&amp;Mod8=170&amp;Mod10=147&amp;Pep=DLAEESDKWMAIIR&amp;Dta=/var/www/html/dta/S01/10564.12778.3.dta&amp;Global_Mod=CS57.0215", "12778")</f>
        <v>12778</v>
      </c>
      <c r="V1169" s="37" t="str">
        <f>HYPERLINK("http://ms.phosphosite.org:5080/cgi-bin/plot-msms.cgi?MassType=1&amp;NumAxis=1&amp;Mod8=170&amp;Mod10=147&amp;Pep=DLAEESDKWMAIIR&amp;Dta=/var/www/html/dta/S01/10565.12695.3.dta&amp;Global_Mod=CS57.0215", "12695")</f>
        <v>12695</v>
      </c>
      <c r="W1169" s="4" t="s">
        <v>4854</v>
      </c>
      <c r="X1169" s="10">
        <v>11999</v>
      </c>
      <c r="Y1169" s="10">
        <v>12044</v>
      </c>
      <c r="Z1169" s="10">
        <v>12072</v>
      </c>
      <c r="AA1169" s="10">
        <v>12237</v>
      </c>
      <c r="AB1169" s="10">
        <v>12180</v>
      </c>
      <c r="AC1169" s="10">
        <v>12780</v>
      </c>
      <c r="AD1169" s="10">
        <v>12712</v>
      </c>
      <c r="AE1169" s="100" t="s">
        <v>4854</v>
      </c>
      <c r="AF1169" s="91">
        <v>3.536</v>
      </c>
      <c r="AG1169" s="91">
        <v>4.9420000000000002</v>
      </c>
      <c r="AH1169" s="91">
        <v>4.0289999999999999</v>
      </c>
      <c r="AI1169" s="91">
        <v>4.0650000000000004</v>
      </c>
      <c r="AJ1169" s="91">
        <v>4.242</v>
      </c>
      <c r="AK1169" s="91">
        <v>2.5139999999999998</v>
      </c>
      <c r="AL1169" s="91">
        <v>4.4619999999999997</v>
      </c>
      <c r="AM1169" s="103" t="s">
        <v>4854</v>
      </c>
      <c r="AN1169" s="95">
        <v>0.75900000000000001</v>
      </c>
      <c r="AO1169" s="95">
        <v>1.1112</v>
      </c>
      <c r="AP1169" s="95">
        <v>1.3792</v>
      </c>
      <c r="AQ1169" s="95">
        <v>0.60799999999999998</v>
      </c>
      <c r="AR1169" s="95">
        <v>1.2444</v>
      </c>
      <c r="AS1169" s="95">
        <v>1.5112000000000001</v>
      </c>
      <c r="AT1169" s="95">
        <v>0.60450000000000004</v>
      </c>
      <c r="AU1169" s="103" t="s">
        <v>4854</v>
      </c>
      <c r="AV1169" s="95">
        <v>0.39</v>
      </c>
      <c r="AW1169" s="95">
        <v>0.27900000000000003</v>
      </c>
      <c r="AX1169" s="95">
        <v>0.312</v>
      </c>
      <c r="AY1169" s="95">
        <v>0.35199999999999998</v>
      </c>
      <c r="AZ1169" s="95">
        <v>0.249</v>
      </c>
      <c r="BA1169" s="95">
        <v>0.23599999999999999</v>
      </c>
      <c r="BB1169" s="95">
        <v>0.34499999999999997</v>
      </c>
      <c r="BC1169" s="4" t="s">
        <v>4854</v>
      </c>
      <c r="BD1169" s="10">
        <v>1</v>
      </c>
      <c r="BE1169" s="10">
        <v>1</v>
      </c>
      <c r="BF1169" s="10">
        <v>1</v>
      </c>
      <c r="BG1169" s="10">
        <v>1</v>
      </c>
      <c r="BH1169" s="10">
        <v>1</v>
      </c>
      <c r="BI1169" s="10">
        <v>1</v>
      </c>
      <c r="BJ1169" s="10">
        <v>1</v>
      </c>
      <c r="BK1169" s="100" t="s">
        <v>4854</v>
      </c>
      <c r="BL1169" s="91">
        <v>1</v>
      </c>
      <c r="BM1169" s="91">
        <v>1</v>
      </c>
      <c r="BN1169" s="91">
        <v>1</v>
      </c>
      <c r="BO1169" s="91">
        <v>1</v>
      </c>
      <c r="BP1169" s="91">
        <v>1</v>
      </c>
      <c r="BQ1169" s="91">
        <v>0.999</v>
      </c>
      <c r="BR1169" s="91">
        <v>1</v>
      </c>
      <c r="BS1169" s="10" t="s">
        <v>4857</v>
      </c>
    </row>
    <row r="1170" spans="1:71" s="30" customFormat="1" ht="17.100000000000001" customHeight="1">
      <c r="A1170" s="14">
        <v>1159</v>
      </c>
      <c r="B1170" s="5" t="s">
        <v>246</v>
      </c>
      <c r="C1170" s="3" t="s">
        <v>470</v>
      </c>
      <c r="D1170" s="3" t="s">
        <v>247</v>
      </c>
      <c r="E1170" s="3" t="s">
        <v>248</v>
      </c>
      <c r="F1170" s="5" t="s">
        <v>249</v>
      </c>
      <c r="G1170" s="3" t="s">
        <v>250</v>
      </c>
      <c r="H1170" s="6" t="s">
        <v>251</v>
      </c>
      <c r="I1170" s="3" t="s">
        <v>252</v>
      </c>
      <c r="J1170" s="5" t="s">
        <v>4559</v>
      </c>
      <c r="K1170" s="3" t="s">
        <v>6075</v>
      </c>
      <c r="L1170" s="3" t="s">
        <v>253</v>
      </c>
      <c r="M1170" s="5">
        <v>2</v>
      </c>
      <c r="N1170" s="21">
        <v>976.47550000000001</v>
      </c>
      <c r="O1170" s="35" t="s">
        <v>4854</v>
      </c>
      <c r="P1170" s="36" t="str">
        <f>HYPERLINK("http://ms.phosphosite.org:5080/cgi-bin/plot-msms.cgi?MassType=1&amp;NumAxis=1&amp;Mod15=170&amp;Mod16=170&amp;Pep=YDPATNSWDYVAPLKK&amp;Dta=/var/www/html/dta/S01/10559.13282.2.dta&amp;Global_Mod=CS57.0215", "13282")</f>
        <v>13282</v>
      </c>
      <c r="Q1170" s="35" t="s">
        <v>4854</v>
      </c>
      <c r="R1170" s="35" t="s">
        <v>4854</v>
      </c>
      <c r="S1170" s="35" t="s">
        <v>4854</v>
      </c>
      <c r="T1170" s="35" t="s">
        <v>4854</v>
      </c>
      <c r="U1170" s="35" t="s">
        <v>4854</v>
      </c>
      <c r="V1170" s="35" t="s">
        <v>4854</v>
      </c>
      <c r="W1170" s="3" t="s">
        <v>4854</v>
      </c>
      <c r="X1170" s="3" t="s">
        <v>4854</v>
      </c>
      <c r="Y1170" s="3" t="s">
        <v>4854</v>
      </c>
      <c r="Z1170" s="3" t="s">
        <v>4854</v>
      </c>
      <c r="AA1170" s="3" t="s">
        <v>4854</v>
      </c>
      <c r="AB1170" s="3" t="s">
        <v>4854</v>
      </c>
      <c r="AC1170" s="3" t="s">
        <v>4854</v>
      </c>
      <c r="AD1170" s="3" t="s">
        <v>4854</v>
      </c>
      <c r="AE1170" s="99" t="s">
        <v>4854</v>
      </c>
      <c r="AF1170" s="90">
        <v>1.7509999999999999</v>
      </c>
      <c r="AG1170" s="99" t="s">
        <v>4854</v>
      </c>
      <c r="AH1170" s="99" t="s">
        <v>4854</v>
      </c>
      <c r="AI1170" s="99" t="s">
        <v>4854</v>
      </c>
      <c r="AJ1170" s="99" t="s">
        <v>4854</v>
      </c>
      <c r="AK1170" s="99" t="s">
        <v>4854</v>
      </c>
      <c r="AL1170" s="99" t="s">
        <v>4854</v>
      </c>
      <c r="AM1170" s="102" t="s">
        <v>4854</v>
      </c>
      <c r="AN1170" s="21">
        <v>1.0942000000000001</v>
      </c>
      <c r="AO1170" s="102" t="s">
        <v>4854</v>
      </c>
      <c r="AP1170" s="102" t="s">
        <v>4854</v>
      </c>
      <c r="AQ1170" s="102" t="s">
        <v>4854</v>
      </c>
      <c r="AR1170" s="102" t="s">
        <v>4854</v>
      </c>
      <c r="AS1170" s="102" t="s">
        <v>4854</v>
      </c>
      <c r="AT1170" s="102" t="s">
        <v>4854</v>
      </c>
      <c r="AU1170" s="102" t="s">
        <v>4854</v>
      </c>
      <c r="AV1170" s="21">
        <v>0.02</v>
      </c>
      <c r="AW1170" s="102" t="s">
        <v>4854</v>
      </c>
      <c r="AX1170" s="102" t="s">
        <v>4854</v>
      </c>
      <c r="AY1170" s="102" t="s">
        <v>4854</v>
      </c>
      <c r="AZ1170" s="102" t="s">
        <v>4854</v>
      </c>
      <c r="BA1170" s="102" t="s">
        <v>4854</v>
      </c>
      <c r="BB1170" s="102" t="s">
        <v>4854</v>
      </c>
      <c r="BC1170" s="3" t="s">
        <v>4854</v>
      </c>
      <c r="BD1170" s="5">
        <v>816</v>
      </c>
      <c r="BE1170" s="3" t="s">
        <v>4854</v>
      </c>
      <c r="BF1170" s="3" t="s">
        <v>4854</v>
      </c>
      <c r="BG1170" s="3" t="s">
        <v>4854</v>
      </c>
      <c r="BH1170" s="3" t="s">
        <v>4854</v>
      </c>
      <c r="BI1170" s="3" t="s">
        <v>4854</v>
      </c>
      <c r="BJ1170" s="3" t="s">
        <v>4854</v>
      </c>
      <c r="BK1170" s="99" t="s">
        <v>4854</v>
      </c>
      <c r="BL1170" s="90">
        <v>0.85</v>
      </c>
      <c r="BM1170" s="99" t="s">
        <v>4854</v>
      </c>
      <c r="BN1170" s="99" t="s">
        <v>4854</v>
      </c>
      <c r="BO1170" s="99" t="s">
        <v>4854</v>
      </c>
      <c r="BP1170" s="99" t="s">
        <v>4854</v>
      </c>
      <c r="BQ1170" s="99" t="s">
        <v>4854</v>
      </c>
      <c r="BR1170" s="99" t="s">
        <v>4854</v>
      </c>
      <c r="BS1170" s="5" t="s">
        <v>4857</v>
      </c>
    </row>
    <row r="1171" spans="1:71" s="30" customFormat="1" ht="17.100000000000001" customHeight="1">
      <c r="A1171" s="10">
        <v>1160</v>
      </c>
      <c r="B1171" s="10" t="s">
        <v>254</v>
      </c>
      <c r="C1171" s="4" t="s">
        <v>470</v>
      </c>
      <c r="D1171" s="4" t="s">
        <v>255</v>
      </c>
      <c r="E1171" s="4" t="s">
        <v>256</v>
      </c>
      <c r="F1171" s="10" t="s">
        <v>3988</v>
      </c>
      <c r="G1171" s="4" t="s">
        <v>257</v>
      </c>
      <c r="H1171" s="7" t="s">
        <v>258</v>
      </c>
      <c r="I1171" s="4" t="s">
        <v>259</v>
      </c>
      <c r="J1171" s="10" t="s">
        <v>4700</v>
      </c>
      <c r="K1171" s="4" t="s">
        <v>6076</v>
      </c>
      <c r="L1171" s="4" t="s">
        <v>260</v>
      </c>
      <c r="M1171" s="10">
        <v>3</v>
      </c>
      <c r="N1171" s="95">
        <v>474.2647</v>
      </c>
      <c r="O1171" s="37" t="str">
        <f>HYPERLINK("http://ms.phosphosite.org:5080/cgi-bin/plot-msms.cgi?MassType=1&amp;NumAxis=1&amp;Mod15=170&amp;Pep=GVGEVALPGQGGLPK&amp;Dta=/var/www/html/dta/S01/10558.3945.3.dta&amp;Global_Mod=CS57.0215", "3945")</f>
        <v>3945</v>
      </c>
      <c r="P1171" s="38" t="s">
        <v>4854</v>
      </c>
      <c r="Q1171" s="38" t="s">
        <v>4854</v>
      </c>
      <c r="R1171" s="38" t="s">
        <v>4854</v>
      </c>
      <c r="S1171" s="38" t="s">
        <v>4854</v>
      </c>
      <c r="T1171" s="38" t="s">
        <v>4854</v>
      </c>
      <c r="U1171" s="38" t="s">
        <v>4854</v>
      </c>
      <c r="V1171" s="38" t="s">
        <v>4854</v>
      </c>
      <c r="W1171" s="4" t="s">
        <v>4854</v>
      </c>
      <c r="X1171" s="4" t="s">
        <v>4854</v>
      </c>
      <c r="Y1171" s="4" t="s">
        <v>4854</v>
      </c>
      <c r="Z1171" s="4" t="s">
        <v>4854</v>
      </c>
      <c r="AA1171" s="4" t="s">
        <v>4854</v>
      </c>
      <c r="AB1171" s="4" t="s">
        <v>4854</v>
      </c>
      <c r="AC1171" s="4" t="s">
        <v>4854</v>
      </c>
      <c r="AD1171" s="4" t="s">
        <v>4854</v>
      </c>
      <c r="AE1171" s="91">
        <v>2.1890000000000001</v>
      </c>
      <c r="AF1171" s="100" t="s">
        <v>4854</v>
      </c>
      <c r="AG1171" s="100" t="s">
        <v>4854</v>
      </c>
      <c r="AH1171" s="100" t="s">
        <v>4854</v>
      </c>
      <c r="AI1171" s="100" t="s">
        <v>4854</v>
      </c>
      <c r="AJ1171" s="100" t="s">
        <v>4854</v>
      </c>
      <c r="AK1171" s="100" t="s">
        <v>4854</v>
      </c>
      <c r="AL1171" s="100" t="s">
        <v>4854</v>
      </c>
      <c r="AM1171" s="95">
        <v>-3.4000000000000002E-2</v>
      </c>
      <c r="AN1171" s="103" t="s">
        <v>4854</v>
      </c>
      <c r="AO1171" s="103" t="s">
        <v>4854</v>
      </c>
      <c r="AP1171" s="103" t="s">
        <v>4854</v>
      </c>
      <c r="AQ1171" s="103" t="s">
        <v>4854</v>
      </c>
      <c r="AR1171" s="103" t="s">
        <v>4854</v>
      </c>
      <c r="AS1171" s="103" t="s">
        <v>4854</v>
      </c>
      <c r="AT1171" s="103" t="s">
        <v>4854</v>
      </c>
      <c r="AU1171" s="95">
        <v>5.5E-2</v>
      </c>
      <c r="AV1171" s="103" t="s">
        <v>4854</v>
      </c>
      <c r="AW1171" s="103" t="s">
        <v>4854</v>
      </c>
      <c r="AX1171" s="103" t="s">
        <v>4854</v>
      </c>
      <c r="AY1171" s="103" t="s">
        <v>4854</v>
      </c>
      <c r="AZ1171" s="103" t="s">
        <v>4854</v>
      </c>
      <c r="BA1171" s="103" t="s">
        <v>4854</v>
      </c>
      <c r="BB1171" s="103" t="s">
        <v>4854</v>
      </c>
      <c r="BC1171" s="10">
        <v>20</v>
      </c>
      <c r="BD1171" s="4" t="s">
        <v>4854</v>
      </c>
      <c r="BE1171" s="4" t="s">
        <v>4854</v>
      </c>
      <c r="BF1171" s="4" t="s">
        <v>4854</v>
      </c>
      <c r="BG1171" s="4" t="s">
        <v>4854</v>
      </c>
      <c r="BH1171" s="4" t="s">
        <v>4854</v>
      </c>
      <c r="BI1171" s="4" t="s">
        <v>4854</v>
      </c>
      <c r="BJ1171" s="4" t="s">
        <v>4854</v>
      </c>
      <c r="BK1171" s="91">
        <v>0.23799999999999999</v>
      </c>
      <c r="BL1171" s="100" t="s">
        <v>4854</v>
      </c>
      <c r="BM1171" s="100" t="s">
        <v>4854</v>
      </c>
      <c r="BN1171" s="100" t="s">
        <v>4854</v>
      </c>
      <c r="BO1171" s="100" t="s">
        <v>4854</v>
      </c>
      <c r="BP1171" s="100" t="s">
        <v>4854</v>
      </c>
      <c r="BQ1171" s="100" t="s">
        <v>4854</v>
      </c>
      <c r="BR1171" s="100" t="s">
        <v>4854</v>
      </c>
      <c r="BS1171" s="10" t="s">
        <v>4857</v>
      </c>
    </row>
    <row r="1172" spans="1:71" s="30" customFormat="1" ht="17.100000000000001" customHeight="1">
      <c r="A1172" s="14">
        <v>1161</v>
      </c>
      <c r="B1172" s="5" t="s">
        <v>261</v>
      </c>
      <c r="C1172" s="3" t="s">
        <v>470</v>
      </c>
      <c r="D1172" s="3" t="s">
        <v>262</v>
      </c>
      <c r="E1172" s="3" t="s">
        <v>262</v>
      </c>
      <c r="F1172" s="5" t="s">
        <v>263</v>
      </c>
      <c r="G1172" s="3" t="s">
        <v>4854</v>
      </c>
      <c r="H1172" s="6" t="s">
        <v>264</v>
      </c>
      <c r="I1172" s="3" t="s">
        <v>265</v>
      </c>
      <c r="J1172" s="5" t="s">
        <v>4219</v>
      </c>
      <c r="K1172" s="3" t="s">
        <v>6077</v>
      </c>
      <c r="L1172" s="3" t="s">
        <v>266</v>
      </c>
      <c r="M1172" s="5">
        <v>2</v>
      </c>
      <c r="N1172" s="21">
        <v>652.36149999999998</v>
      </c>
      <c r="O1172" s="35" t="s">
        <v>4854</v>
      </c>
      <c r="P1172" s="35" t="s">
        <v>4854</v>
      </c>
      <c r="Q1172" s="35" t="s">
        <v>4854</v>
      </c>
      <c r="R1172" s="35" t="s">
        <v>4854</v>
      </c>
      <c r="S1172" s="36" t="str">
        <f>HYPERLINK("http://ms.phosphosite.org:5080/cgi-bin/plot-msms.cgi?MassType=1&amp;NumAxis=1&amp;Mod8=170&amp;Pep=GLTSWPGKFIR&amp;Dta=/var/www/html/dta/S01/10562.10693.2.dta&amp;Global_Mod=CS57.0215", "10693")</f>
        <v>10693</v>
      </c>
      <c r="T1172" s="35" t="s">
        <v>4854</v>
      </c>
      <c r="U1172" s="35" t="s">
        <v>4854</v>
      </c>
      <c r="V1172" s="35" t="s">
        <v>4854</v>
      </c>
      <c r="W1172" s="3" t="s">
        <v>4854</v>
      </c>
      <c r="X1172" s="3" t="s">
        <v>4854</v>
      </c>
      <c r="Y1172" s="3" t="s">
        <v>4854</v>
      </c>
      <c r="Z1172" s="3" t="s">
        <v>4854</v>
      </c>
      <c r="AA1172" s="5">
        <v>10686</v>
      </c>
      <c r="AB1172" s="3" t="s">
        <v>4854</v>
      </c>
      <c r="AC1172" s="3" t="s">
        <v>4854</v>
      </c>
      <c r="AD1172" s="3" t="s">
        <v>4854</v>
      </c>
      <c r="AE1172" s="99" t="s">
        <v>4854</v>
      </c>
      <c r="AF1172" s="99" t="s">
        <v>4854</v>
      </c>
      <c r="AG1172" s="99" t="s">
        <v>4854</v>
      </c>
      <c r="AH1172" s="99" t="s">
        <v>4854</v>
      </c>
      <c r="AI1172" s="90">
        <v>2.4929999999999999</v>
      </c>
      <c r="AJ1172" s="99" t="s">
        <v>4854</v>
      </c>
      <c r="AK1172" s="99" t="s">
        <v>4854</v>
      </c>
      <c r="AL1172" s="99" t="s">
        <v>4854</v>
      </c>
      <c r="AM1172" s="102" t="s">
        <v>4854</v>
      </c>
      <c r="AN1172" s="102" t="s">
        <v>4854</v>
      </c>
      <c r="AO1172" s="102" t="s">
        <v>4854</v>
      </c>
      <c r="AP1172" s="102" t="s">
        <v>4854</v>
      </c>
      <c r="AQ1172" s="21">
        <v>0.2064</v>
      </c>
      <c r="AR1172" s="102" t="s">
        <v>4854</v>
      </c>
      <c r="AS1172" s="102" t="s">
        <v>4854</v>
      </c>
      <c r="AT1172" s="102" t="s">
        <v>4854</v>
      </c>
      <c r="AU1172" s="102" t="s">
        <v>4854</v>
      </c>
      <c r="AV1172" s="102" t="s">
        <v>4854</v>
      </c>
      <c r="AW1172" s="102" t="s">
        <v>4854</v>
      </c>
      <c r="AX1172" s="102" t="s">
        <v>4854</v>
      </c>
      <c r="AY1172" s="21">
        <v>0.26400000000000001</v>
      </c>
      <c r="AZ1172" s="102" t="s">
        <v>4854</v>
      </c>
      <c r="BA1172" s="102" t="s">
        <v>4854</v>
      </c>
      <c r="BB1172" s="102" t="s">
        <v>4854</v>
      </c>
      <c r="BC1172" s="3" t="s">
        <v>4854</v>
      </c>
      <c r="BD1172" s="3" t="s">
        <v>4854</v>
      </c>
      <c r="BE1172" s="3" t="s">
        <v>4854</v>
      </c>
      <c r="BF1172" s="3" t="s">
        <v>4854</v>
      </c>
      <c r="BG1172" s="5">
        <v>1</v>
      </c>
      <c r="BH1172" s="3" t="s">
        <v>4854</v>
      </c>
      <c r="BI1172" s="3" t="s">
        <v>4854</v>
      </c>
      <c r="BJ1172" s="3" t="s">
        <v>4854</v>
      </c>
      <c r="BK1172" s="99" t="s">
        <v>4854</v>
      </c>
      <c r="BL1172" s="99" t="s">
        <v>4854</v>
      </c>
      <c r="BM1172" s="99" t="s">
        <v>4854</v>
      </c>
      <c r="BN1172" s="99" t="s">
        <v>4854</v>
      </c>
      <c r="BO1172" s="90">
        <v>0.999</v>
      </c>
      <c r="BP1172" s="99" t="s">
        <v>4854</v>
      </c>
      <c r="BQ1172" s="99" t="s">
        <v>4854</v>
      </c>
      <c r="BR1172" s="99" t="s">
        <v>4854</v>
      </c>
      <c r="BS1172" s="5" t="s">
        <v>4857</v>
      </c>
    </row>
    <row r="1173" spans="1:71" s="30" customFormat="1" ht="17.100000000000001" customHeight="1">
      <c r="A1173" s="10">
        <v>1162</v>
      </c>
      <c r="B1173" s="10" t="s">
        <v>267</v>
      </c>
      <c r="C1173" s="4" t="s">
        <v>470</v>
      </c>
      <c r="D1173" s="4" t="s">
        <v>268</v>
      </c>
      <c r="E1173" s="4" t="s">
        <v>269</v>
      </c>
      <c r="F1173" s="10" t="s">
        <v>5162</v>
      </c>
      <c r="G1173" s="4" t="s">
        <v>270</v>
      </c>
      <c r="H1173" s="7" t="s">
        <v>271</v>
      </c>
      <c r="I1173" s="4" t="s">
        <v>272</v>
      </c>
      <c r="J1173" s="10" t="s">
        <v>273</v>
      </c>
      <c r="K1173" s="4" t="s">
        <v>6078</v>
      </c>
      <c r="L1173" s="4" t="s">
        <v>145</v>
      </c>
      <c r="M1173" s="10">
        <v>3</v>
      </c>
      <c r="N1173" s="95">
        <v>641.32069999999999</v>
      </c>
      <c r="O1173" s="38" t="s">
        <v>4854</v>
      </c>
      <c r="P1173" s="38" t="s">
        <v>4854</v>
      </c>
      <c r="Q1173" s="38" t="s">
        <v>4854</v>
      </c>
      <c r="R1173" s="37" t="str">
        <f>HYPERLINK("http://ms.phosphosite.org:5080/cgi-bin/plot-msms.cgi?MassType=1&amp;NumAxis=1&amp;Mod6=170&amp;Mod11=170&amp;Pep=YLTNQKNSNSKNDRR&amp;Dta=/var/www/html/dta/S01/10561.1924.3.dta&amp;Global_Mod=CS57.0215", "1924")</f>
        <v>1924</v>
      </c>
      <c r="S1173" s="38" t="s">
        <v>4854</v>
      </c>
      <c r="T1173" s="38" t="s">
        <v>4854</v>
      </c>
      <c r="U1173" s="38" t="s">
        <v>4854</v>
      </c>
      <c r="V1173" s="38" t="s">
        <v>4854</v>
      </c>
      <c r="W1173" s="4" t="s">
        <v>4854</v>
      </c>
      <c r="X1173" s="4" t="s">
        <v>4854</v>
      </c>
      <c r="Y1173" s="4" t="s">
        <v>4854</v>
      </c>
      <c r="Z1173" s="4" t="s">
        <v>4854</v>
      </c>
      <c r="AA1173" s="4" t="s">
        <v>4854</v>
      </c>
      <c r="AB1173" s="4" t="s">
        <v>4854</v>
      </c>
      <c r="AC1173" s="4" t="s">
        <v>4854</v>
      </c>
      <c r="AD1173" s="4" t="s">
        <v>4854</v>
      </c>
      <c r="AE1173" s="100" t="s">
        <v>4854</v>
      </c>
      <c r="AF1173" s="100" t="s">
        <v>4854</v>
      </c>
      <c r="AG1173" s="100" t="s">
        <v>4854</v>
      </c>
      <c r="AH1173" s="91">
        <v>1.653</v>
      </c>
      <c r="AI1173" s="100" t="s">
        <v>4854</v>
      </c>
      <c r="AJ1173" s="100" t="s">
        <v>4854</v>
      </c>
      <c r="AK1173" s="100" t="s">
        <v>4854</v>
      </c>
      <c r="AL1173" s="100" t="s">
        <v>4854</v>
      </c>
      <c r="AM1173" s="103" t="s">
        <v>4854</v>
      </c>
      <c r="AN1173" s="103" t="s">
        <v>4854</v>
      </c>
      <c r="AO1173" s="103" t="s">
        <v>4854</v>
      </c>
      <c r="AP1173" s="95">
        <v>0.83420000000000005</v>
      </c>
      <c r="AQ1173" s="103" t="s">
        <v>4854</v>
      </c>
      <c r="AR1173" s="103" t="s">
        <v>4854</v>
      </c>
      <c r="AS1173" s="103" t="s">
        <v>4854</v>
      </c>
      <c r="AT1173" s="103" t="s">
        <v>4854</v>
      </c>
      <c r="AU1173" s="103" t="s">
        <v>4854</v>
      </c>
      <c r="AV1173" s="103" t="s">
        <v>4854</v>
      </c>
      <c r="AW1173" s="103" t="s">
        <v>4854</v>
      </c>
      <c r="AX1173" s="95">
        <v>3.3000000000000002E-2</v>
      </c>
      <c r="AY1173" s="103" t="s">
        <v>4854</v>
      </c>
      <c r="AZ1173" s="103" t="s">
        <v>4854</v>
      </c>
      <c r="BA1173" s="103" t="s">
        <v>4854</v>
      </c>
      <c r="BB1173" s="103" t="s">
        <v>4854</v>
      </c>
      <c r="BC1173" s="4" t="s">
        <v>4854</v>
      </c>
      <c r="BD1173" s="4" t="s">
        <v>4854</v>
      </c>
      <c r="BE1173" s="4" t="s">
        <v>4854</v>
      </c>
      <c r="BF1173" s="10">
        <v>66</v>
      </c>
      <c r="BG1173" s="4" t="s">
        <v>4854</v>
      </c>
      <c r="BH1173" s="4" t="s">
        <v>4854</v>
      </c>
      <c r="BI1173" s="4" t="s">
        <v>4854</v>
      </c>
      <c r="BJ1173" s="4" t="s">
        <v>4854</v>
      </c>
      <c r="BK1173" s="100" t="s">
        <v>4854</v>
      </c>
      <c r="BL1173" s="100" t="s">
        <v>4854</v>
      </c>
      <c r="BM1173" s="100" t="s">
        <v>4854</v>
      </c>
      <c r="BN1173" s="91">
        <v>0.75800000000000001</v>
      </c>
      <c r="BO1173" s="100" t="s">
        <v>4854</v>
      </c>
      <c r="BP1173" s="100" t="s">
        <v>4854</v>
      </c>
      <c r="BQ1173" s="100" t="s">
        <v>4854</v>
      </c>
      <c r="BR1173" s="100" t="s">
        <v>4854</v>
      </c>
      <c r="BS1173" s="10" t="s">
        <v>4857</v>
      </c>
    </row>
    <row r="1174" spans="1:71" s="30" customFormat="1" ht="17.100000000000001" customHeight="1">
      <c r="A1174" s="14">
        <v>1163</v>
      </c>
      <c r="B1174" s="5" t="s">
        <v>146</v>
      </c>
      <c r="C1174" s="3" t="s">
        <v>470</v>
      </c>
      <c r="D1174" s="3" t="s">
        <v>147</v>
      </c>
      <c r="E1174" s="3" t="s">
        <v>148</v>
      </c>
      <c r="F1174" s="5" t="s">
        <v>1949</v>
      </c>
      <c r="G1174" s="3" t="s">
        <v>149</v>
      </c>
      <c r="H1174" s="6" t="s">
        <v>150</v>
      </c>
      <c r="I1174" s="3" t="s">
        <v>151</v>
      </c>
      <c r="J1174" s="5" t="s">
        <v>4389</v>
      </c>
      <c r="K1174" s="3" t="s">
        <v>6079</v>
      </c>
      <c r="L1174" s="3" t="s">
        <v>152</v>
      </c>
      <c r="M1174" s="5">
        <v>3</v>
      </c>
      <c r="N1174" s="21">
        <v>638.97659999999996</v>
      </c>
      <c r="O1174" s="36" t="str">
        <f>HYPERLINK("http://ms.phosphosite.org:5080/cgi-bin/plot-msms.cgi?MassType=1&amp;NumAxis=1&amp;Mod14=170&amp;Pep=PEVSDEIEDEDRRKR&amp;Dta=/var/www/html/dta/S01/10558.11378.3.dta&amp;Global_Mod=CS57.0215", "11378")</f>
        <v>11378</v>
      </c>
      <c r="P1174" s="35" t="s">
        <v>4854</v>
      </c>
      <c r="Q1174" s="35" t="s">
        <v>4854</v>
      </c>
      <c r="R1174" s="35" t="s">
        <v>4854</v>
      </c>
      <c r="S1174" s="35" t="s">
        <v>4854</v>
      </c>
      <c r="T1174" s="35" t="s">
        <v>4854</v>
      </c>
      <c r="U1174" s="35" t="s">
        <v>4854</v>
      </c>
      <c r="V1174" s="35" t="s">
        <v>4854</v>
      </c>
      <c r="W1174" s="3" t="s">
        <v>4854</v>
      </c>
      <c r="X1174" s="3" t="s">
        <v>4854</v>
      </c>
      <c r="Y1174" s="3" t="s">
        <v>4854</v>
      </c>
      <c r="Z1174" s="3" t="s">
        <v>4854</v>
      </c>
      <c r="AA1174" s="3" t="s">
        <v>4854</v>
      </c>
      <c r="AB1174" s="3" t="s">
        <v>4854</v>
      </c>
      <c r="AC1174" s="3" t="s">
        <v>4854</v>
      </c>
      <c r="AD1174" s="3" t="s">
        <v>4854</v>
      </c>
      <c r="AE1174" s="90">
        <v>1.925</v>
      </c>
      <c r="AF1174" s="99" t="s">
        <v>4854</v>
      </c>
      <c r="AG1174" s="99" t="s">
        <v>4854</v>
      </c>
      <c r="AH1174" s="99" t="s">
        <v>4854</v>
      </c>
      <c r="AI1174" s="99" t="s">
        <v>4854</v>
      </c>
      <c r="AJ1174" s="99" t="s">
        <v>4854</v>
      </c>
      <c r="AK1174" s="99" t="s">
        <v>4854</v>
      </c>
      <c r="AL1174" s="99" t="s">
        <v>4854</v>
      </c>
      <c r="AM1174" s="21">
        <v>1.51</v>
      </c>
      <c r="AN1174" s="102" t="s">
        <v>4854</v>
      </c>
      <c r="AO1174" s="102" t="s">
        <v>4854</v>
      </c>
      <c r="AP1174" s="102" t="s">
        <v>4854</v>
      </c>
      <c r="AQ1174" s="102" t="s">
        <v>4854</v>
      </c>
      <c r="AR1174" s="102" t="s">
        <v>4854</v>
      </c>
      <c r="AS1174" s="102" t="s">
        <v>4854</v>
      </c>
      <c r="AT1174" s="102" t="s">
        <v>4854</v>
      </c>
      <c r="AU1174" s="21">
        <v>0.06</v>
      </c>
      <c r="AV1174" s="102" t="s">
        <v>4854</v>
      </c>
      <c r="AW1174" s="102" t="s">
        <v>4854</v>
      </c>
      <c r="AX1174" s="102" t="s">
        <v>4854</v>
      </c>
      <c r="AY1174" s="102" t="s">
        <v>4854</v>
      </c>
      <c r="AZ1174" s="102" t="s">
        <v>4854</v>
      </c>
      <c r="BA1174" s="102" t="s">
        <v>4854</v>
      </c>
      <c r="BB1174" s="102" t="s">
        <v>4854</v>
      </c>
      <c r="BC1174" s="5">
        <v>3</v>
      </c>
      <c r="BD1174" s="3" t="s">
        <v>4854</v>
      </c>
      <c r="BE1174" s="3" t="s">
        <v>4854</v>
      </c>
      <c r="BF1174" s="3" t="s">
        <v>4854</v>
      </c>
      <c r="BG1174" s="3" t="s">
        <v>4854</v>
      </c>
      <c r="BH1174" s="3" t="s">
        <v>4854</v>
      </c>
      <c r="BI1174" s="3" t="s">
        <v>4854</v>
      </c>
      <c r="BJ1174" s="3" t="s">
        <v>4854</v>
      </c>
      <c r="BK1174" s="90">
        <v>5.8999999999999997E-2</v>
      </c>
      <c r="BL1174" s="99" t="s">
        <v>4854</v>
      </c>
      <c r="BM1174" s="99" t="s">
        <v>4854</v>
      </c>
      <c r="BN1174" s="99" t="s">
        <v>4854</v>
      </c>
      <c r="BO1174" s="99" t="s">
        <v>4854</v>
      </c>
      <c r="BP1174" s="99" t="s">
        <v>4854</v>
      </c>
      <c r="BQ1174" s="99" t="s">
        <v>4854</v>
      </c>
      <c r="BR1174" s="99" t="s">
        <v>4854</v>
      </c>
      <c r="BS1174" s="5" t="s">
        <v>4857</v>
      </c>
    </row>
    <row r="1175" spans="1:71" s="30" customFormat="1" ht="17.100000000000001" customHeight="1">
      <c r="A1175" s="10">
        <v>1164</v>
      </c>
      <c r="B1175" s="10" t="s">
        <v>153</v>
      </c>
      <c r="C1175" s="4" t="s">
        <v>470</v>
      </c>
      <c r="D1175" s="4" t="s">
        <v>154</v>
      </c>
      <c r="E1175" s="4" t="s">
        <v>155</v>
      </c>
      <c r="F1175" s="10" t="s">
        <v>3252</v>
      </c>
      <c r="G1175" s="4" t="s">
        <v>156</v>
      </c>
      <c r="H1175" s="7" t="s">
        <v>157</v>
      </c>
      <c r="I1175" s="4" t="s">
        <v>158</v>
      </c>
      <c r="J1175" s="10" t="s">
        <v>4535</v>
      </c>
      <c r="K1175" s="4" t="s">
        <v>6080</v>
      </c>
      <c r="L1175" s="4" t="s">
        <v>159</v>
      </c>
      <c r="M1175" s="10">
        <v>3</v>
      </c>
      <c r="N1175" s="95">
        <v>468.2439</v>
      </c>
      <c r="O1175" s="38" t="s">
        <v>4854</v>
      </c>
      <c r="P1175" s="37" t="str">
        <f>HYPERLINK("http://ms.phosphosite.org:5080/cgi-bin/plot-msms.cgi?MassType=1&amp;NumAxis=1&amp;Mod5=170&amp;Pep=ESSPKKEETVAR&amp;Dta=/var/www/html/dta/S01/10559.1608.3.dta&amp;Global_Mod=CS57.0215", "1608")</f>
        <v>1608</v>
      </c>
      <c r="Q1175" s="38" t="s">
        <v>4854</v>
      </c>
      <c r="R1175" s="38" t="s">
        <v>4854</v>
      </c>
      <c r="S1175" s="38" t="s">
        <v>4854</v>
      </c>
      <c r="T1175" s="38" t="s">
        <v>4854</v>
      </c>
      <c r="U1175" s="38" t="s">
        <v>4854</v>
      </c>
      <c r="V1175" s="38" t="s">
        <v>4854</v>
      </c>
      <c r="W1175" s="4" t="s">
        <v>4854</v>
      </c>
      <c r="X1175" s="4" t="s">
        <v>4854</v>
      </c>
      <c r="Y1175" s="4" t="s">
        <v>4854</v>
      </c>
      <c r="Z1175" s="4" t="s">
        <v>4854</v>
      </c>
      <c r="AA1175" s="4" t="s">
        <v>4854</v>
      </c>
      <c r="AB1175" s="4" t="s">
        <v>4854</v>
      </c>
      <c r="AC1175" s="4" t="s">
        <v>4854</v>
      </c>
      <c r="AD1175" s="4" t="s">
        <v>4854</v>
      </c>
      <c r="AE1175" s="100" t="s">
        <v>4854</v>
      </c>
      <c r="AF1175" s="91">
        <v>1.7929999999999999</v>
      </c>
      <c r="AG1175" s="100" t="s">
        <v>4854</v>
      </c>
      <c r="AH1175" s="100" t="s">
        <v>4854</v>
      </c>
      <c r="AI1175" s="100" t="s">
        <v>4854</v>
      </c>
      <c r="AJ1175" s="100" t="s">
        <v>4854</v>
      </c>
      <c r="AK1175" s="100" t="s">
        <v>4854</v>
      </c>
      <c r="AL1175" s="100" t="s">
        <v>4854</v>
      </c>
      <c r="AM1175" s="103" t="s">
        <v>4854</v>
      </c>
      <c r="AN1175" s="95">
        <v>0.45619999999999999</v>
      </c>
      <c r="AO1175" s="103" t="s">
        <v>4854</v>
      </c>
      <c r="AP1175" s="103" t="s">
        <v>4854</v>
      </c>
      <c r="AQ1175" s="103" t="s">
        <v>4854</v>
      </c>
      <c r="AR1175" s="103" t="s">
        <v>4854</v>
      </c>
      <c r="AS1175" s="103" t="s">
        <v>4854</v>
      </c>
      <c r="AT1175" s="103" t="s">
        <v>4854</v>
      </c>
      <c r="AU1175" s="103" t="s">
        <v>4854</v>
      </c>
      <c r="AV1175" s="95">
        <v>0.05</v>
      </c>
      <c r="AW1175" s="103" t="s">
        <v>4854</v>
      </c>
      <c r="AX1175" s="103" t="s">
        <v>4854</v>
      </c>
      <c r="AY1175" s="103" t="s">
        <v>4854</v>
      </c>
      <c r="AZ1175" s="103" t="s">
        <v>4854</v>
      </c>
      <c r="BA1175" s="103" t="s">
        <v>4854</v>
      </c>
      <c r="BB1175" s="103" t="s">
        <v>4854</v>
      </c>
      <c r="BC1175" s="4" t="s">
        <v>4854</v>
      </c>
      <c r="BD1175" s="10">
        <v>196</v>
      </c>
      <c r="BE1175" s="4" t="s">
        <v>4854</v>
      </c>
      <c r="BF1175" s="4" t="s">
        <v>4854</v>
      </c>
      <c r="BG1175" s="4" t="s">
        <v>4854</v>
      </c>
      <c r="BH1175" s="4" t="s">
        <v>4854</v>
      </c>
      <c r="BI1175" s="4" t="s">
        <v>4854</v>
      </c>
      <c r="BJ1175" s="4" t="s">
        <v>4854</v>
      </c>
      <c r="BK1175" s="100" t="s">
        <v>4854</v>
      </c>
      <c r="BL1175" s="91">
        <v>0.80600000000000005</v>
      </c>
      <c r="BM1175" s="100" t="s">
        <v>4854</v>
      </c>
      <c r="BN1175" s="100" t="s">
        <v>4854</v>
      </c>
      <c r="BO1175" s="100" t="s">
        <v>4854</v>
      </c>
      <c r="BP1175" s="100" t="s">
        <v>4854</v>
      </c>
      <c r="BQ1175" s="100" t="s">
        <v>4854</v>
      </c>
      <c r="BR1175" s="100" t="s">
        <v>4854</v>
      </c>
      <c r="BS1175" s="10" t="s">
        <v>4857</v>
      </c>
    </row>
    <row r="1176" spans="1:71" s="30" customFormat="1" ht="17.100000000000001" customHeight="1">
      <c r="A1176" s="14">
        <v>1165</v>
      </c>
      <c r="B1176" s="5" t="s">
        <v>160</v>
      </c>
      <c r="C1176" s="3" t="s">
        <v>470</v>
      </c>
      <c r="D1176" s="3" t="s">
        <v>161</v>
      </c>
      <c r="E1176" s="3" t="s">
        <v>162</v>
      </c>
      <c r="F1176" s="5" t="s">
        <v>5058</v>
      </c>
      <c r="G1176" s="3" t="s">
        <v>163</v>
      </c>
      <c r="H1176" s="6" t="s">
        <v>164</v>
      </c>
      <c r="I1176" s="3" t="s">
        <v>165</v>
      </c>
      <c r="J1176" s="5" t="s">
        <v>4837</v>
      </c>
      <c r="K1176" s="3" t="s">
        <v>6081</v>
      </c>
      <c r="L1176" s="3" t="s">
        <v>166</v>
      </c>
      <c r="M1176" s="5">
        <v>3</v>
      </c>
      <c r="N1176" s="21">
        <v>726.68179999999995</v>
      </c>
      <c r="O1176" s="36" t="str">
        <f>HYPERLINK("http://ms.phosphosite.org:5080/cgi-bin/plot-msms.cgi?MassType=1&amp;NumAxis=1&amp;Mod13=170&amp;Pep=NGDLDEVKDYVAKGEDVNR&amp;Dta=/var/www/html/dta/S01/10558.8556.3.dta&amp;Global_Mod=CS57.0215", "8556")</f>
        <v>8556</v>
      </c>
      <c r="P1176" s="36" t="str">
        <f>HYPERLINK("http://ms.phosphosite.org:5080/cgi-bin/plot-msms.cgi?MassType=1&amp;NumAxis=1&amp;Mod13=170&amp;Pep=NGDLDEVKDYVAKGEDVNR&amp;Dta=/var/www/html/dta/S01/10559.8520.3.dta&amp;Global_Mod=CS57.0215", "8520")</f>
        <v>8520</v>
      </c>
      <c r="Q1176" s="36" t="str">
        <f>HYPERLINK("http://ms.phosphosite.org:5080/cgi-bin/plot-msms.cgi?MassType=1&amp;NumAxis=1&amp;Mod13=170&amp;Pep=NGDLDEVKDYVAKGEDVNR&amp;Dta=/var/www/html/dta/S01/10560.8503.3.dta&amp;Global_Mod=CS57.0215", "8503")</f>
        <v>8503</v>
      </c>
      <c r="R1176" s="36" t="str">
        <f>HYPERLINK("http://ms.phosphosite.org:5080/cgi-bin/plot-msms.cgi?MassType=1&amp;NumAxis=1&amp;Mod13=170&amp;Pep=NGDLDEVKDYVAKGEDVNR&amp;Dta=/var/www/html/dta/S01/10561.8553.3.dta&amp;Global_Mod=CS57.0215", "8553")</f>
        <v>8553</v>
      </c>
      <c r="S1176" s="36" t="str">
        <f>HYPERLINK("http://ms.phosphosite.org:5080/cgi-bin/plot-msms.cgi?MassType=1&amp;NumAxis=1&amp;Mod13=170&amp;Pep=NGDLDEVKDYVAKGEDVNR&amp;Dta=/var/www/html/dta/S01/10562.8671.3.dta&amp;Global_Mod=CS57.0215", "8671")</f>
        <v>8671</v>
      </c>
      <c r="T1176" s="36" t="str">
        <f>HYPERLINK("http://ms.phosphosite.org:5080/cgi-bin/plot-msms.cgi?MassType=1&amp;NumAxis=1&amp;Mod13=170&amp;Pep=NGDLDEVKDYVAKGEDVNR&amp;Dta=/var/www/html/dta/S01/10563.8630.3.dta&amp;Global_Mod=CS57.0215", "8630")</f>
        <v>8630</v>
      </c>
      <c r="U1176" s="36" t="str">
        <f>HYPERLINK("http://ms.phosphosite.org:5080/cgi-bin/plot-msms.cgi?MassType=1&amp;NumAxis=1&amp;Mod13=170&amp;Pep=NGDLDEVKDYVAKGEDVNR&amp;Dta=/var/www/html/dta/S01/10564.9087.3.dta&amp;Global_Mod=CS57.0215", "9087")</f>
        <v>9087</v>
      </c>
      <c r="V1176" s="36" t="str">
        <f>HYPERLINK("http://ms.phosphosite.org:5080/cgi-bin/plot-msms.cgi?MassType=1&amp;NumAxis=1&amp;Mod13=170&amp;Pep=NGDLDEVKDYVAKGEDVNR&amp;Dta=/var/www/html/dta/S01/10565.9062.3.dta&amp;Global_Mod=CS57.0215", "9062")</f>
        <v>9062</v>
      </c>
      <c r="W1176" s="5">
        <v>8568</v>
      </c>
      <c r="X1176" s="5">
        <v>8549</v>
      </c>
      <c r="Y1176" s="5">
        <v>8533</v>
      </c>
      <c r="Z1176" s="5">
        <v>8571</v>
      </c>
      <c r="AA1176" s="5">
        <v>8688</v>
      </c>
      <c r="AB1176" s="5">
        <v>8653</v>
      </c>
      <c r="AC1176" s="5">
        <v>9114</v>
      </c>
      <c r="AD1176" s="5">
        <v>9078</v>
      </c>
      <c r="AE1176" s="90">
        <v>5.3239999999999998</v>
      </c>
      <c r="AF1176" s="90">
        <v>3.3050000000000002</v>
      </c>
      <c r="AG1176" s="90">
        <v>4.5179999999999998</v>
      </c>
      <c r="AH1176" s="90">
        <v>3.2229999999999999</v>
      </c>
      <c r="AI1176" s="90">
        <v>3.9430000000000001</v>
      </c>
      <c r="AJ1176" s="90">
        <v>3.871</v>
      </c>
      <c r="AK1176" s="90">
        <v>4.1479999999999997</v>
      </c>
      <c r="AL1176" s="90">
        <v>4.008</v>
      </c>
      <c r="AM1176" s="21">
        <v>0.49330000000000002</v>
      </c>
      <c r="AN1176" s="21">
        <v>0.91839999999999999</v>
      </c>
      <c r="AO1176" s="21">
        <v>0.72419999999999995</v>
      </c>
      <c r="AP1176" s="21">
        <v>0.92900000000000005</v>
      </c>
      <c r="AQ1176" s="21">
        <v>0.93500000000000005</v>
      </c>
      <c r="AR1176" s="21">
        <v>0.60119999999999996</v>
      </c>
      <c r="AS1176" s="21">
        <v>0.76880000000000004</v>
      </c>
      <c r="AT1176" s="21">
        <v>3.5099999999999999E-2</v>
      </c>
      <c r="AU1176" s="21">
        <v>0.33900000000000002</v>
      </c>
      <c r="AV1176" s="21">
        <v>7.8E-2</v>
      </c>
      <c r="AW1176" s="21">
        <v>0.219</v>
      </c>
      <c r="AX1176" s="21">
        <v>0.17799999999999999</v>
      </c>
      <c r="AY1176" s="21">
        <v>0.19700000000000001</v>
      </c>
      <c r="AZ1176" s="21">
        <v>0.23799999999999999</v>
      </c>
      <c r="BA1176" s="21">
        <v>0.28899999999999998</v>
      </c>
      <c r="BB1176" s="21">
        <v>0.26300000000000001</v>
      </c>
      <c r="BC1176" s="5">
        <v>1</v>
      </c>
      <c r="BD1176" s="5">
        <v>1</v>
      </c>
      <c r="BE1176" s="5">
        <v>1</v>
      </c>
      <c r="BF1176" s="5">
        <v>2</v>
      </c>
      <c r="BG1176" s="5">
        <v>2</v>
      </c>
      <c r="BH1176" s="5">
        <v>1</v>
      </c>
      <c r="BI1176" s="5">
        <v>1</v>
      </c>
      <c r="BJ1176" s="5">
        <v>1</v>
      </c>
      <c r="BK1176" s="90">
        <v>1</v>
      </c>
      <c r="BL1176" s="90">
        <v>0.99299999999999999</v>
      </c>
      <c r="BM1176" s="90">
        <v>1</v>
      </c>
      <c r="BN1176" s="90">
        <v>0.998</v>
      </c>
      <c r="BO1176" s="90">
        <v>0.999</v>
      </c>
      <c r="BP1176" s="90">
        <v>1</v>
      </c>
      <c r="BQ1176" s="90">
        <v>1</v>
      </c>
      <c r="BR1176" s="90">
        <v>1</v>
      </c>
      <c r="BS1176" s="5" t="s">
        <v>4857</v>
      </c>
    </row>
    <row r="1177" spans="1:71" s="30" customFormat="1" ht="17.100000000000001" customHeight="1">
      <c r="A1177" s="10">
        <v>1166</v>
      </c>
      <c r="B1177" s="10" t="s">
        <v>167</v>
      </c>
      <c r="C1177" s="4" t="s">
        <v>470</v>
      </c>
      <c r="D1177" s="4" t="s">
        <v>168</v>
      </c>
      <c r="E1177" s="4" t="s">
        <v>168</v>
      </c>
      <c r="F1177" s="10" t="s">
        <v>4738</v>
      </c>
      <c r="G1177" s="4" t="s">
        <v>169</v>
      </c>
      <c r="H1177" s="7" t="s">
        <v>170</v>
      </c>
      <c r="I1177" s="4" t="s">
        <v>171</v>
      </c>
      <c r="J1177" s="10" t="s">
        <v>4780</v>
      </c>
      <c r="K1177" s="4" t="s">
        <v>6082</v>
      </c>
      <c r="L1177" s="4" t="s">
        <v>172</v>
      </c>
      <c r="M1177" s="10">
        <v>4</v>
      </c>
      <c r="N1177" s="95">
        <v>390.49650000000003</v>
      </c>
      <c r="O1177" s="37" t="str">
        <f>HYPERLINK("http://ms.phosphosite.org:5080/cgi-bin/plot-msms.cgi?MassType=1&amp;NumAxis=1&amp;Mod14=170&amp;Pep=VGLLGLLLLLSFMK&amp;Dta=/var/www/html/dta/S01/10558.7461.4.dta&amp;Global_Mod=CS57.0215", "7461")</f>
        <v>7461</v>
      </c>
      <c r="P1177" s="38" t="s">
        <v>4854</v>
      </c>
      <c r="Q1177" s="38" t="s">
        <v>4854</v>
      </c>
      <c r="R1177" s="38" t="s">
        <v>4854</v>
      </c>
      <c r="S1177" s="38" t="s">
        <v>4854</v>
      </c>
      <c r="T1177" s="38" t="s">
        <v>4854</v>
      </c>
      <c r="U1177" s="38" t="s">
        <v>4854</v>
      </c>
      <c r="V1177" s="38" t="s">
        <v>4854</v>
      </c>
      <c r="W1177" s="4" t="s">
        <v>4854</v>
      </c>
      <c r="X1177" s="4" t="s">
        <v>4854</v>
      </c>
      <c r="Y1177" s="4" t="s">
        <v>4854</v>
      </c>
      <c r="Z1177" s="4" t="s">
        <v>4854</v>
      </c>
      <c r="AA1177" s="4" t="s">
        <v>4854</v>
      </c>
      <c r="AB1177" s="4" t="s">
        <v>4854</v>
      </c>
      <c r="AC1177" s="4" t="s">
        <v>4854</v>
      </c>
      <c r="AD1177" s="4" t="s">
        <v>4854</v>
      </c>
      <c r="AE1177" s="91">
        <v>1.5269999999999999</v>
      </c>
      <c r="AF1177" s="100" t="s">
        <v>4854</v>
      </c>
      <c r="AG1177" s="100" t="s">
        <v>4854</v>
      </c>
      <c r="AH1177" s="100" t="s">
        <v>4854</v>
      </c>
      <c r="AI1177" s="100" t="s">
        <v>4854</v>
      </c>
      <c r="AJ1177" s="100" t="s">
        <v>4854</v>
      </c>
      <c r="AK1177" s="100" t="s">
        <v>4854</v>
      </c>
      <c r="AL1177" s="100" t="s">
        <v>4854</v>
      </c>
      <c r="AM1177" s="95">
        <v>2.7524999999999999</v>
      </c>
      <c r="AN1177" s="103" t="s">
        <v>4854</v>
      </c>
      <c r="AO1177" s="103" t="s">
        <v>4854</v>
      </c>
      <c r="AP1177" s="103" t="s">
        <v>4854</v>
      </c>
      <c r="AQ1177" s="103" t="s">
        <v>4854</v>
      </c>
      <c r="AR1177" s="103" t="s">
        <v>4854</v>
      </c>
      <c r="AS1177" s="103" t="s">
        <v>4854</v>
      </c>
      <c r="AT1177" s="103" t="s">
        <v>4854</v>
      </c>
      <c r="AU1177" s="95">
        <v>8.3000000000000004E-2</v>
      </c>
      <c r="AV1177" s="103" t="s">
        <v>4854</v>
      </c>
      <c r="AW1177" s="103" t="s">
        <v>4854</v>
      </c>
      <c r="AX1177" s="103" t="s">
        <v>4854</v>
      </c>
      <c r="AY1177" s="103" t="s">
        <v>4854</v>
      </c>
      <c r="AZ1177" s="103" t="s">
        <v>4854</v>
      </c>
      <c r="BA1177" s="103" t="s">
        <v>4854</v>
      </c>
      <c r="BB1177" s="103" t="s">
        <v>4854</v>
      </c>
      <c r="BC1177" s="10">
        <v>58</v>
      </c>
      <c r="BD1177" s="4" t="s">
        <v>4854</v>
      </c>
      <c r="BE1177" s="4" t="s">
        <v>4854</v>
      </c>
      <c r="BF1177" s="4" t="s">
        <v>4854</v>
      </c>
      <c r="BG1177" s="4" t="s">
        <v>4854</v>
      </c>
      <c r="BH1177" s="4" t="s">
        <v>4854</v>
      </c>
      <c r="BI1177" s="4" t="s">
        <v>4854</v>
      </c>
      <c r="BJ1177" s="4" t="s">
        <v>4854</v>
      </c>
      <c r="BK1177" s="91">
        <v>0.15</v>
      </c>
      <c r="BL1177" s="100" t="s">
        <v>4854</v>
      </c>
      <c r="BM1177" s="100" t="s">
        <v>4854</v>
      </c>
      <c r="BN1177" s="100" t="s">
        <v>4854</v>
      </c>
      <c r="BO1177" s="100" t="s">
        <v>4854</v>
      </c>
      <c r="BP1177" s="100" t="s">
        <v>4854</v>
      </c>
      <c r="BQ1177" s="100" t="s">
        <v>4854</v>
      </c>
      <c r="BR1177" s="100" t="s">
        <v>4854</v>
      </c>
      <c r="BS1177" s="10" t="s">
        <v>4857</v>
      </c>
    </row>
    <row r="1178" spans="1:71" s="30" customFormat="1" ht="17.100000000000001" customHeight="1">
      <c r="A1178" s="14">
        <v>1167</v>
      </c>
      <c r="B1178" s="5" t="s">
        <v>173</v>
      </c>
      <c r="C1178" s="3" t="s">
        <v>470</v>
      </c>
      <c r="D1178" s="3" t="s">
        <v>174</v>
      </c>
      <c r="E1178" s="3" t="s">
        <v>175</v>
      </c>
      <c r="F1178" s="5" t="s">
        <v>4339</v>
      </c>
      <c r="G1178" s="3" t="s">
        <v>176</v>
      </c>
      <c r="H1178" s="6" t="s">
        <v>177</v>
      </c>
      <c r="I1178" s="3" t="s">
        <v>178</v>
      </c>
      <c r="J1178" s="5" t="s">
        <v>4713</v>
      </c>
      <c r="K1178" s="3" t="s">
        <v>6083</v>
      </c>
      <c r="L1178" s="3" t="s">
        <v>179</v>
      </c>
      <c r="M1178" s="5">
        <v>2</v>
      </c>
      <c r="N1178" s="21">
        <v>524.77080000000001</v>
      </c>
      <c r="O1178" s="36" t="str">
        <f>HYPERLINK("http://ms.phosphosite.org:5080/cgi-bin/plot-msms.cgi?MassType=1&amp;NumAxis=1&amp;Mod2=170&amp;Pep=SKVGDMLEK&amp;Dta=/var/www/html/dta/S01/10558.5625.2.dta&amp;Global_Mod=CS57.0215", "5625")</f>
        <v>5625</v>
      </c>
      <c r="P1178" s="35" t="s">
        <v>4854</v>
      </c>
      <c r="Q1178" s="36" t="str">
        <f>HYPERLINK("http://ms.phosphosite.org:5080/cgi-bin/plot-msms.cgi?MassType=1&amp;NumAxis=1&amp;Mod2=170&amp;Pep=SKVGDMLEK&amp;Dta=/var/www/html/dta/S01/10560.5465.2.dta&amp;Global_Mod=CS57.0215", "5465")</f>
        <v>5465</v>
      </c>
      <c r="R1178" s="36" t="str">
        <f>HYPERLINK("http://ms.phosphosite.org:5080/cgi-bin/plot-msms.cgi?MassType=1&amp;NumAxis=1&amp;Mod2=170&amp;Pep=SKVGDMLEK&amp;Dta=/var/www/html/dta/S01/10561.5547.2.dta&amp;Global_Mod=CS57.0215", "5547")</f>
        <v>5547</v>
      </c>
      <c r="S1178" s="36" t="str">
        <f>HYPERLINK("http://ms.phosphosite.org:5080/cgi-bin/plot-msms.cgi?MassType=1&amp;NumAxis=1&amp;Mod2=170&amp;Pep=SKVGDMLEK&amp;Dta=/var/www/html/dta/S01/10562.5656.2.dta&amp;Global_Mod=CS57.0215", "5656")</f>
        <v>5656</v>
      </c>
      <c r="T1178" s="35" t="s">
        <v>4854</v>
      </c>
      <c r="U1178" s="36" t="str">
        <f>HYPERLINK("http://ms.phosphosite.org:5080/cgi-bin/plot-msms.cgi?MassType=1&amp;NumAxis=1&amp;Mod2=170&amp;Pep=SKVGDMLEK&amp;Dta=/var/www/html/dta/S01/10564.5970.2.dta&amp;Global_Mod=CS57.0215", "5970")</f>
        <v>5970</v>
      </c>
      <c r="V1178" s="36" t="str">
        <f>HYPERLINK("http://ms.phosphosite.org:5080/cgi-bin/plot-msms.cgi?MassType=1&amp;NumAxis=1&amp;Mod2=170&amp;Pep=SKVGDMLEK&amp;Dta=/var/www/html/dta/S01/10565.6087.2.dta&amp;Global_Mod=CS57.0215", "6087")</f>
        <v>6087</v>
      </c>
      <c r="W1178" s="5">
        <v>5602</v>
      </c>
      <c r="X1178" s="3" t="s">
        <v>4854</v>
      </c>
      <c r="Y1178" s="5">
        <v>5497</v>
      </c>
      <c r="Z1178" s="5">
        <v>5557</v>
      </c>
      <c r="AA1178" s="3" t="s">
        <v>4854</v>
      </c>
      <c r="AB1178" s="3" t="s">
        <v>4854</v>
      </c>
      <c r="AC1178" s="5">
        <v>5990</v>
      </c>
      <c r="AD1178" s="5">
        <v>6097</v>
      </c>
      <c r="AE1178" s="90">
        <v>2.34</v>
      </c>
      <c r="AF1178" s="99" t="s">
        <v>4854</v>
      </c>
      <c r="AG1178" s="90">
        <v>1.8109999999999999</v>
      </c>
      <c r="AH1178" s="90">
        <v>2.4</v>
      </c>
      <c r="AI1178" s="90">
        <v>1.84</v>
      </c>
      <c r="AJ1178" s="99" t="s">
        <v>4854</v>
      </c>
      <c r="AK1178" s="90">
        <v>2.1920000000000002</v>
      </c>
      <c r="AL1178" s="90">
        <v>2.1139999999999999</v>
      </c>
      <c r="AM1178" s="21">
        <v>5.6599999999999998E-2</v>
      </c>
      <c r="AN1178" s="102" t="s">
        <v>4854</v>
      </c>
      <c r="AO1178" s="21">
        <v>0.2359</v>
      </c>
      <c r="AP1178" s="21">
        <v>0.35699999999999998</v>
      </c>
      <c r="AQ1178" s="21">
        <v>0.1139</v>
      </c>
      <c r="AR1178" s="102" t="s">
        <v>4854</v>
      </c>
      <c r="AS1178" s="21">
        <v>7.0900000000000005E-2</v>
      </c>
      <c r="AT1178" s="21">
        <v>-0.2409</v>
      </c>
      <c r="AU1178" s="21">
        <v>0.21</v>
      </c>
      <c r="AV1178" s="102" t="s">
        <v>4854</v>
      </c>
      <c r="AW1178" s="21">
        <v>0.13</v>
      </c>
      <c r="AX1178" s="21">
        <v>0.16500000000000001</v>
      </c>
      <c r="AY1178" s="21">
        <v>1E-3</v>
      </c>
      <c r="AZ1178" s="102" t="s">
        <v>4854</v>
      </c>
      <c r="BA1178" s="21">
        <v>0.108</v>
      </c>
      <c r="BB1178" s="21">
        <v>0.13300000000000001</v>
      </c>
      <c r="BC1178" s="5">
        <v>2</v>
      </c>
      <c r="BD1178" s="3" t="s">
        <v>4854</v>
      </c>
      <c r="BE1178" s="5">
        <v>1</v>
      </c>
      <c r="BF1178" s="5">
        <v>3</v>
      </c>
      <c r="BG1178" s="5">
        <v>1</v>
      </c>
      <c r="BH1178" s="3" t="s">
        <v>4854</v>
      </c>
      <c r="BI1178" s="5">
        <v>1</v>
      </c>
      <c r="BJ1178" s="5">
        <v>1</v>
      </c>
      <c r="BK1178" s="90">
        <v>0.997</v>
      </c>
      <c r="BL1178" s="99" t="s">
        <v>4854</v>
      </c>
      <c r="BM1178" s="90">
        <v>0.98</v>
      </c>
      <c r="BN1178" s="90">
        <v>0.996</v>
      </c>
      <c r="BO1178" s="90">
        <v>0.91900000000000004</v>
      </c>
      <c r="BP1178" s="99" t="s">
        <v>4854</v>
      </c>
      <c r="BQ1178" s="90">
        <v>0.99099999999999999</v>
      </c>
      <c r="BR1178" s="90">
        <v>0.99199999999999999</v>
      </c>
      <c r="BS1178" s="5" t="s">
        <v>4857</v>
      </c>
    </row>
    <row r="1179" spans="1:71" s="30" customFormat="1" ht="17.100000000000001" customHeight="1">
      <c r="A1179" s="14">
        <v>1168</v>
      </c>
      <c r="B1179" s="5" t="s">
        <v>180</v>
      </c>
      <c r="C1179" s="3" t="s">
        <v>470</v>
      </c>
      <c r="D1179" s="3" t="s">
        <v>174</v>
      </c>
      <c r="E1179" s="3" t="s">
        <v>175</v>
      </c>
      <c r="F1179" s="5" t="s">
        <v>4339</v>
      </c>
      <c r="G1179" s="3" t="s">
        <v>176</v>
      </c>
      <c r="H1179" s="6" t="s">
        <v>177</v>
      </c>
      <c r="I1179" s="3" t="s">
        <v>178</v>
      </c>
      <c r="J1179" s="5" t="s">
        <v>4713</v>
      </c>
      <c r="K1179" s="3" t="s">
        <v>6083</v>
      </c>
      <c r="L1179" s="3" t="s">
        <v>179</v>
      </c>
      <c r="M1179" s="5">
        <v>2</v>
      </c>
      <c r="N1179" s="21">
        <v>524.77080000000001</v>
      </c>
      <c r="O1179" s="36" t="str">
        <f>HYPERLINK("http://ms.phosphosite.org:5080/cgi-bin/plot-msms.cgi?MassType=1&amp;NumAxis=1&amp;Mod2=170&amp;Pep=SKVGDMLEK&amp;Dta=/var/www/html/dta/S01/10558.5618.2.dta&amp;Global_Mod=CS57.0215", "5618")</f>
        <v>5618</v>
      </c>
      <c r="P1179" s="35" t="s">
        <v>4854</v>
      </c>
      <c r="Q1179" s="35" t="s">
        <v>4854</v>
      </c>
      <c r="R1179" s="35" t="s">
        <v>4854</v>
      </c>
      <c r="S1179" s="35" t="s">
        <v>4854</v>
      </c>
      <c r="T1179" s="35" t="s">
        <v>4854</v>
      </c>
      <c r="U1179" s="35" t="s">
        <v>4854</v>
      </c>
      <c r="V1179" s="35" t="s">
        <v>4854</v>
      </c>
      <c r="W1179" s="3" t="s">
        <v>4854</v>
      </c>
      <c r="X1179" s="3" t="s">
        <v>4854</v>
      </c>
      <c r="Y1179" s="3" t="s">
        <v>4854</v>
      </c>
      <c r="Z1179" s="3" t="s">
        <v>4854</v>
      </c>
      <c r="AA1179" s="3" t="s">
        <v>4854</v>
      </c>
      <c r="AB1179" s="3" t="s">
        <v>4854</v>
      </c>
      <c r="AC1179" s="3" t="s">
        <v>4854</v>
      </c>
      <c r="AD1179" s="3" t="s">
        <v>4854</v>
      </c>
      <c r="AE1179" s="90">
        <v>1.466</v>
      </c>
      <c r="AF1179" s="99" t="s">
        <v>4854</v>
      </c>
      <c r="AG1179" s="99" t="s">
        <v>4854</v>
      </c>
      <c r="AH1179" s="99" t="s">
        <v>4854</v>
      </c>
      <c r="AI1179" s="99" t="s">
        <v>4854</v>
      </c>
      <c r="AJ1179" s="99" t="s">
        <v>4854</v>
      </c>
      <c r="AK1179" s="99" t="s">
        <v>4854</v>
      </c>
      <c r="AL1179" s="99" t="s">
        <v>4854</v>
      </c>
      <c r="AM1179" s="21">
        <v>5.6599999999999998E-2</v>
      </c>
      <c r="AN1179" s="102" t="s">
        <v>4854</v>
      </c>
      <c r="AO1179" s="102" t="s">
        <v>4854</v>
      </c>
      <c r="AP1179" s="102" t="s">
        <v>4854</v>
      </c>
      <c r="AQ1179" s="102" t="s">
        <v>4854</v>
      </c>
      <c r="AR1179" s="102" t="s">
        <v>4854</v>
      </c>
      <c r="AS1179" s="102" t="s">
        <v>4854</v>
      </c>
      <c r="AT1179" s="102" t="s">
        <v>4854</v>
      </c>
      <c r="AU1179" s="21">
        <v>4.5999999999999999E-2</v>
      </c>
      <c r="AV1179" s="102" t="s">
        <v>4854</v>
      </c>
      <c r="AW1179" s="102" t="s">
        <v>4854</v>
      </c>
      <c r="AX1179" s="102" t="s">
        <v>4854</v>
      </c>
      <c r="AY1179" s="102" t="s">
        <v>4854</v>
      </c>
      <c r="AZ1179" s="102" t="s">
        <v>4854</v>
      </c>
      <c r="BA1179" s="102" t="s">
        <v>4854</v>
      </c>
      <c r="BB1179" s="102" t="s">
        <v>4854</v>
      </c>
      <c r="BC1179" s="5">
        <v>1</v>
      </c>
      <c r="BD1179" s="3" t="s">
        <v>4854</v>
      </c>
      <c r="BE1179" s="3" t="s">
        <v>4854</v>
      </c>
      <c r="BF1179" s="3" t="s">
        <v>4854</v>
      </c>
      <c r="BG1179" s="3" t="s">
        <v>4854</v>
      </c>
      <c r="BH1179" s="3" t="s">
        <v>4854</v>
      </c>
      <c r="BI1179" s="3" t="s">
        <v>4854</v>
      </c>
      <c r="BJ1179" s="3" t="s">
        <v>4854</v>
      </c>
      <c r="BK1179" s="90">
        <v>0.85499999999999998</v>
      </c>
      <c r="BL1179" s="99" t="s">
        <v>4854</v>
      </c>
      <c r="BM1179" s="99" t="s">
        <v>4854</v>
      </c>
      <c r="BN1179" s="99" t="s">
        <v>4854</v>
      </c>
      <c r="BO1179" s="99" t="s">
        <v>4854</v>
      </c>
      <c r="BP1179" s="99" t="s">
        <v>4854</v>
      </c>
      <c r="BQ1179" s="99" t="s">
        <v>4854</v>
      </c>
      <c r="BR1179" s="99" t="s">
        <v>4854</v>
      </c>
      <c r="BS1179" s="5" t="s">
        <v>4857</v>
      </c>
    </row>
    <row r="1180" spans="1:71" s="30" customFormat="1" ht="17.100000000000001" customHeight="1">
      <c r="A1180" s="14">
        <v>1169</v>
      </c>
      <c r="B1180" s="5" t="s">
        <v>181</v>
      </c>
      <c r="C1180" s="3" t="s">
        <v>470</v>
      </c>
      <c r="D1180" s="3" t="s">
        <v>174</v>
      </c>
      <c r="E1180" s="3" t="s">
        <v>175</v>
      </c>
      <c r="F1180" s="5" t="s">
        <v>4339</v>
      </c>
      <c r="G1180" s="3" t="s">
        <v>176</v>
      </c>
      <c r="H1180" s="6" t="s">
        <v>177</v>
      </c>
      <c r="I1180" s="3" t="s">
        <v>178</v>
      </c>
      <c r="J1180" s="5" t="s">
        <v>4713</v>
      </c>
      <c r="K1180" s="3" t="s">
        <v>6083</v>
      </c>
      <c r="L1180" s="3" t="s">
        <v>182</v>
      </c>
      <c r="M1180" s="5">
        <v>2</v>
      </c>
      <c r="N1180" s="21">
        <v>532.76829999999995</v>
      </c>
      <c r="O1180" s="35" t="s">
        <v>4854</v>
      </c>
      <c r="P1180" s="35" t="s">
        <v>4854</v>
      </c>
      <c r="Q1180" s="35" t="s">
        <v>4854</v>
      </c>
      <c r="R1180" s="36" t="str">
        <f>HYPERLINK("http://ms.phosphosite.org:5080/cgi-bin/plot-msms.cgi?MassType=1&amp;NumAxis=1&amp;Mod2=170&amp;Mod6=147&amp;Pep=SKVGDMLEK&amp;Dta=/var/www/html/dta/S01/10561.2880.2.dta&amp;Global_Mod=CS57.0215", "2880")</f>
        <v>2880</v>
      </c>
      <c r="S1180" s="35" t="s">
        <v>4854</v>
      </c>
      <c r="T1180" s="35" t="s">
        <v>4854</v>
      </c>
      <c r="U1180" s="36" t="str">
        <f>HYPERLINK("http://ms.phosphosite.org:5080/cgi-bin/plot-msms.cgi?MassType=1&amp;NumAxis=1&amp;Mod2=170&amp;Mod6=147&amp;Pep=SKVGDMLEK&amp;Dta=/var/www/html/dta/S01/10564.3229.2.dta&amp;Global_Mod=CS57.0215", "3229")</f>
        <v>3229</v>
      </c>
      <c r="V1180" s="35" t="s">
        <v>4854</v>
      </c>
      <c r="W1180" s="3" t="s">
        <v>4854</v>
      </c>
      <c r="X1180" s="3" t="s">
        <v>4854</v>
      </c>
      <c r="Y1180" s="3" t="s">
        <v>4854</v>
      </c>
      <c r="Z1180" s="3" t="s">
        <v>4854</v>
      </c>
      <c r="AA1180" s="3" t="s">
        <v>4854</v>
      </c>
      <c r="AB1180" s="3" t="s">
        <v>4854</v>
      </c>
      <c r="AC1180" s="5">
        <v>3239</v>
      </c>
      <c r="AD1180" s="3" t="s">
        <v>4854</v>
      </c>
      <c r="AE1180" s="99" t="s">
        <v>4854</v>
      </c>
      <c r="AF1180" s="99" t="s">
        <v>4854</v>
      </c>
      <c r="AG1180" s="99" t="s">
        <v>4854</v>
      </c>
      <c r="AH1180" s="90">
        <v>1.75</v>
      </c>
      <c r="AI1180" s="99" t="s">
        <v>4854</v>
      </c>
      <c r="AJ1180" s="99" t="s">
        <v>4854</v>
      </c>
      <c r="AK1180" s="90">
        <v>2.1560000000000001</v>
      </c>
      <c r="AL1180" s="99" t="s">
        <v>4854</v>
      </c>
      <c r="AM1180" s="102" t="s">
        <v>4854</v>
      </c>
      <c r="AN1180" s="102" t="s">
        <v>4854</v>
      </c>
      <c r="AO1180" s="102" t="s">
        <v>4854</v>
      </c>
      <c r="AP1180" s="21">
        <v>4.2999999999999997E-2</v>
      </c>
      <c r="AQ1180" s="102" t="s">
        <v>4854</v>
      </c>
      <c r="AR1180" s="102" t="s">
        <v>4854</v>
      </c>
      <c r="AS1180" s="21">
        <v>-0.27639999999999998</v>
      </c>
      <c r="AT1180" s="102" t="s">
        <v>4854</v>
      </c>
      <c r="AU1180" s="102" t="s">
        <v>4854</v>
      </c>
      <c r="AV1180" s="102" t="s">
        <v>4854</v>
      </c>
      <c r="AW1180" s="102" t="s">
        <v>4854</v>
      </c>
      <c r="AX1180" s="21">
        <v>2E-3</v>
      </c>
      <c r="AY1180" s="102" t="s">
        <v>4854</v>
      </c>
      <c r="AZ1180" s="102" t="s">
        <v>4854</v>
      </c>
      <c r="BA1180" s="21">
        <v>9.1999999999999998E-2</v>
      </c>
      <c r="BB1180" s="102" t="s">
        <v>4854</v>
      </c>
      <c r="BC1180" s="3" t="s">
        <v>4854</v>
      </c>
      <c r="BD1180" s="3" t="s">
        <v>4854</v>
      </c>
      <c r="BE1180" s="3" t="s">
        <v>4854</v>
      </c>
      <c r="BF1180" s="5">
        <v>1</v>
      </c>
      <c r="BG1180" s="3" t="s">
        <v>4854</v>
      </c>
      <c r="BH1180" s="3" t="s">
        <v>4854</v>
      </c>
      <c r="BI1180" s="5">
        <v>2</v>
      </c>
      <c r="BJ1180" s="3" t="s">
        <v>4854</v>
      </c>
      <c r="BK1180" s="99" t="s">
        <v>4854</v>
      </c>
      <c r="BL1180" s="99" t="s">
        <v>4854</v>
      </c>
      <c r="BM1180" s="99" t="s">
        <v>4854</v>
      </c>
      <c r="BN1180" s="90">
        <v>0.89800000000000002</v>
      </c>
      <c r="BO1180" s="99" t="s">
        <v>4854</v>
      </c>
      <c r="BP1180" s="99" t="s">
        <v>4854</v>
      </c>
      <c r="BQ1180" s="90">
        <v>0.98399999999999999</v>
      </c>
      <c r="BR1180" s="99" t="s">
        <v>4854</v>
      </c>
      <c r="BS1180" s="5" t="s">
        <v>4857</v>
      </c>
    </row>
    <row r="1181" spans="1:71" s="30" customFormat="1" ht="17.100000000000001" customHeight="1">
      <c r="A1181" s="10">
        <v>1170</v>
      </c>
      <c r="B1181" s="10" t="s">
        <v>183</v>
      </c>
      <c r="C1181" s="4" t="s">
        <v>470</v>
      </c>
      <c r="D1181" s="4" t="s">
        <v>184</v>
      </c>
      <c r="E1181" s="4" t="s">
        <v>185</v>
      </c>
      <c r="F1181" s="10" t="s">
        <v>5024</v>
      </c>
      <c r="G1181" s="4" t="s">
        <v>186</v>
      </c>
      <c r="H1181" s="7" t="s">
        <v>187</v>
      </c>
      <c r="I1181" s="4" t="s">
        <v>188</v>
      </c>
      <c r="J1181" s="10" t="s">
        <v>4747</v>
      </c>
      <c r="K1181" s="4" t="s">
        <v>6084</v>
      </c>
      <c r="L1181" s="4" t="s">
        <v>189</v>
      </c>
      <c r="M1181" s="10">
        <v>2</v>
      </c>
      <c r="N1181" s="95">
        <v>807.89649999999995</v>
      </c>
      <c r="O1181" s="37" t="str">
        <f>HYPERLINK("http://ms.phosphosite.org:5080/cgi-bin/plot-msms.cgi?MassType=1&amp;NumAxis=1&amp;Mod12=170&amp;Pep=SAEDEAADLPTKPTK&amp;Dta=/var/www/html/dta/S01/10558.4954.2.dta&amp;Global_Mod=CS57.0215", "4954")</f>
        <v>4954</v>
      </c>
      <c r="P1181" s="37" t="str">
        <f>HYPERLINK("http://ms.phosphosite.org:5080/cgi-bin/plot-msms.cgi?MassType=1&amp;NumAxis=1&amp;Mod12=170&amp;Pep=SAEDEAADLPTKPTK&amp;Dta=/var/www/html/dta/S01/10559.4893.2.dta&amp;Global_Mod=CS57.0215", "4893")</f>
        <v>4893</v>
      </c>
      <c r="Q1181" s="37" t="str">
        <f>HYPERLINK("http://ms.phosphosite.org:5080/cgi-bin/plot-msms.cgi?MassType=1&amp;NumAxis=1&amp;Mod12=170&amp;Pep=SAEDEAADLPTKPTK&amp;Dta=/var/www/html/dta/S01/10560.4883.2.dta&amp;Global_Mod=CS57.0215", "4883")</f>
        <v>4883</v>
      </c>
      <c r="R1181" s="37" t="str">
        <f>HYPERLINK("http://ms.phosphosite.org:5080/cgi-bin/plot-msms.cgi?MassType=1&amp;NumAxis=1&amp;Mod12=170&amp;Pep=SAEDEAADLPTKPTK&amp;Dta=/var/www/html/dta/S01/10561.4913.2.dta&amp;Global_Mod=CS57.0215", "4913")</f>
        <v>4913</v>
      </c>
      <c r="S1181" s="37" t="str">
        <f>HYPERLINK("http://ms.phosphosite.org:5080/cgi-bin/plot-msms.cgi?MassType=1&amp;NumAxis=1&amp;Mod12=170&amp;Pep=SAEDEAADLPTKPTK&amp;Dta=/var/www/html/dta/S01/10562.5017.2.dta&amp;Global_Mod=CS57.0215", "5017")</f>
        <v>5017</v>
      </c>
      <c r="T1181" s="37" t="str">
        <f>HYPERLINK("http://ms.phosphosite.org:5080/cgi-bin/plot-msms.cgi?MassType=1&amp;NumAxis=1&amp;Mod12=170&amp;Pep=SAEDEAADLPTKPTK&amp;Dta=/var/www/html/dta/S01/10563.4945.2.dta&amp;Global_Mod=CS57.0215", "4945")</f>
        <v>4945</v>
      </c>
      <c r="U1181" s="37" t="str">
        <f>HYPERLINK("http://ms.phosphosite.org:5080/cgi-bin/plot-msms.cgi?MassType=1&amp;NumAxis=1&amp;Mod12=170&amp;Pep=SAEDEAADLPTKPTK&amp;Dta=/var/www/html/dta/S01/10564.5259.2.dta&amp;Global_Mod=CS57.0215", "5259")</f>
        <v>5259</v>
      </c>
      <c r="V1181" s="37" t="str">
        <f>HYPERLINK("http://ms.phosphosite.org:5080/cgi-bin/plot-msms.cgi?MassType=1&amp;NumAxis=1&amp;Mod12=170&amp;Pep=SAEDEAADLPTKPTK&amp;Dta=/var/www/html/dta/S01/10565.5356.2.dta&amp;Global_Mod=CS57.0215", "5356")</f>
        <v>5356</v>
      </c>
      <c r="W1181" s="10">
        <v>4988</v>
      </c>
      <c r="X1181" s="10">
        <v>4921</v>
      </c>
      <c r="Y1181" s="10">
        <v>4925</v>
      </c>
      <c r="Z1181" s="10">
        <v>4963</v>
      </c>
      <c r="AA1181" s="10">
        <v>5043</v>
      </c>
      <c r="AB1181" s="10">
        <v>4980</v>
      </c>
      <c r="AC1181" s="10">
        <v>5286</v>
      </c>
      <c r="AD1181" s="10">
        <v>5383</v>
      </c>
      <c r="AE1181" s="91">
        <v>3.5059999999999998</v>
      </c>
      <c r="AF1181" s="91">
        <v>3.484</v>
      </c>
      <c r="AG1181" s="91">
        <v>3.6309999999999998</v>
      </c>
      <c r="AH1181" s="91">
        <v>2.8119999999999998</v>
      </c>
      <c r="AI1181" s="91">
        <v>3.5539999999999998</v>
      </c>
      <c r="AJ1181" s="91">
        <v>3.3</v>
      </c>
      <c r="AK1181" s="91">
        <v>3.4540000000000002</v>
      </c>
      <c r="AL1181" s="91">
        <v>4.1859999999999999</v>
      </c>
      <c r="AM1181" s="95">
        <v>0.60899999999999999</v>
      </c>
      <c r="AN1181" s="95">
        <v>0.32969999999999999</v>
      </c>
      <c r="AO1181" s="95">
        <v>0.70009999999999994</v>
      </c>
      <c r="AP1181" s="95">
        <v>0.85550000000000004</v>
      </c>
      <c r="AQ1181" s="95">
        <v>0.7248</v>
      </c>
      <c r="AR1181" s="95">
        <v>0.53469999999999995</v>
      </c>
      <c r="AS1181" s="95">
        <v>0.1353</v>
      </c>
      <c r="AT1181" s="95">
        <v>-1.6400000000000001E-2</v>
      </c>
      <c r="AU1181" s="95">
        <v>0.4</v>
      </c>
      <c r="AV1181" s="95">
        <v>0.46300000000000002</v>
      </c>
      <c r="AW1181" s="95">
        <v>0.437</v>
      </c>
      <c r="AX1181" s="95">
        <v>0.28999999999999998</v>
      </c>
      <c r="AY1181" s="95">
        <v>0.33500000000000002</v>
      </c>
      <c r="AZ1181" s="95">
        <v>0.35499999999999998</v>
      </c>
      <c r="BA1181" s="95">
        <v>0.42699999999999999</v>
      </c>
      <c r="BB1181" s="95">
        <v>0.40899999999999997</v>
      </c>
      <c r="BC1181" s="10">
        <v>1</v>
      </c>
      <c r="BD1181" s="10">
        <v>1</v>
      </c>
      <c r="BE1181" s="10">
        <v>1</v>
      </c>
      <c r="BF1181" s="10">
        <v>1</v>
      </c>
      <c r="BG1181" s="10">
        <v>1</v>
      </c>
      <c r="BH1181" s="10">
        <v>1</v>
      </c>
      <c r="BI1181" s="10">
        <v>1</v>
      </c>
      <c r="BJ1181" s="10">
        <v>1</v>
      </c>
      <c r="BK1181" s="91">
        <v>1</v>
      </c>
      <c r="BL1181" s="91">
        <v>1</v>
      </c>
      <c r="BM1181" s="91">
        <v>1</v>
      </c>
      <c r="BN1181" s="91">
        <v>1</v>
      </c>
      <c r="BO1181" s="91">
        <v>1</v>
      </c>
      <c r="BP1181" s="91">
        <v>1</v>
      </c>
      <c r="BQ1181" s="91">
        <v>1</v>
      </c>
      <c r="BR1181" s="91">
        <v>1</v>
      </c>
      <c r="BS1181" s="10" t="s">
        <v>4857</v>
      </c>
    </row>
    <row r="1182" spans="1:71" s="30" customFormat="1" ht="17.100000000000001" customHeight="1">
      <c r="A1182" s="10">
        <v>1171</v>
      </c>
      <c r="B1182" s="10" t="s">
        <v>190</v>
      </c>
      <c r="C1182" s="4" t="s">
        <v>470</v>
      </c>
      <c r="D1182" s="4" t="s">
        <v>184</v>
      </c>
      <c r="E1182" s="4" t="s">
        <v>185</v>
      </c>
      <c r="F1182" s="10" t="s">
        <v>5024</v>
      </c>
      <c r="G1182" s="4" t="s">
        <v>186</v>
      </c>
      <c r="H1182" s="7" t="s">
        <v>187</v>
      </c>
      <c r="I1182" s="4" t="s">
        <v>188</v>
      </c>
      <c r="J1182" s="10" t="s">
        <v>4747</v>
      </c>
      <c r="K1182" s="4" t="s">
        <v>6084</v>
      </c>
      <c r="L1182" s="4" t="s">
        <v>189</v>
      </c>
      <c r="M1182" s="10">
        <v>2</v>
      </c>
      <c r="N1182" s="95">
        <v>807.89649999999995</v>
      </c>
      <c r="O1182" s="37" t="str">
        <f>HYPERLINK("http://ms.phosphosite.org:5080/cgi-bin/plot-msms.cgi?MassType=1&amp;NumAxis=1&amp;Mod12=170&amp;Pep=SAEDEAADLPTKPTK&amp;Dta=/var/www/html/dta/S01/10558.5039.2.dta&amp;Global_Mod=CS57.0215", "5039")</f>
        <v>5039</v>
      </c>
      <c r="P1182" s="38" t="s">
        <v>4854</v>
      </c>
      <c r="Q1182" s="38" t="s">
        <v>4854</v>
      </c>
      <c r="R1182" s="38" t="s">
        <v>4854</v>
      </c>
      <c r="S1182" s="38" t="s">
        <v>4854</v>
      </c>
      <c r="T1182" s="38" t="s">
        <v>4854</v>
      </c>
      <c r="U1182" s="38" t="s">
        <v>4854</v>
      </c>
      <c r="V1182" s="38" t="s">
        <v>4854</v>
      </c>
      <c r="W1182" s="10">
        <v>4988</v>
      </c>
      <c r="X1182" s="4" t="s">
        <v>4854</v>
      </c>
      <c r="Y1182" s="4" t="s">
        <v>4854</v>
      </c>
      <c r="Z1182" s="4" t="s">
        <v>4854</v>
      </c>
      <c r="AA1182" s="4" t="s">
        <v>4854</v>
      </c>
      <c r="AB1182" s="4" t="s">
        <v>4854</v>
      </c>
      <c r="AC1182" s="4" t="s">
        <v>4854</v>
      </c>
      <c r="AD1182" s="4" t="s">
        <v>4854</v>
      </c>
      <c r="AE1182" s="91">
        <v>3.1110000000000002</v>
      </c>
      <c r="AF1182" s="100" t="s">
        <v>4854</v>
      </c>
      <c r="AG1182" s="100" t="s">
        <v>4854</v>
      </c>
      <c r="AH1182" s="100" t="s">
        <v>4854</v>
      </c>
      <c r="AI1182" s="100" t="s">
        <v>4854</v>
      </c>
      <c r="AJ1182" s="100" t="s">
        <v>4854</v>
      </c>
      <c r="AK1182" s="100" t="s">
        <v>4854</v>
      </c>
      <c r="AL1182" s="100" t="s">
        <v>4854</v>
      </c>
      <c r="AM1182" s="95">
        <v>0.60899999999999999</v>
      </c>
      <c r="AN1182" s="103" t="s">
        <v>4854</v>
      </c>
      <c r="AO1182" s="103" t="s">
        <v>4854</v>
      </c>
      <c r="AP1182" s="103" t="s">
        <v>4854</v>
      </c>
      <c r="AQ1182" s="103" t="s">
        <v>4854</v>
      </c>
      <c r="AR1182" s="103" t="s">
        <v>4854</v>
      </c>
      <c r="AS1182" s="103" t="s">
        <v>4854</v>
      </c>
      <c r="AT1182" s="103" t="s">
        <v>4854</v>
      </c>
      <c r="AU1182" s="95">
        <v>0.27600000000000002</v>
      </c>
      <c r="AV1182" s="103" t="s">
        <v>4854</v>
      </c>
      <c r="AW1182" s="103" t="s">
        <v>4854</v>
      </c>
      <c r="AX1182" s="103" t="s">
        <v>4854</v>
      </c>
      <c r="AY1182" s="103" t="s">
        <v>4854</v>
      </c>
      <c r="AZ1182" s="103" t="s">
        <v>4854</v>
      </c>
      <c r="BA1182" s="103" t="s">
        <v>4854</v>
      </c>
      <c r="BB1182" s="103" t="s">
        <v>4854</v>
      </c>
      <c r="BC1182" s="10">
        <v>1</v>
      </c>
      <c r="BD1182" s="4" t="s">
        <v>4854</v>
      </c>
      <c r="BE1182" s="4" t="s">
        <v>4854</v>
      </c>
      <c r="BF1182" s="4" t="s">
        <v>4854</v>
      </c>
      <c r="BG1182" s="4" t="s">
        <v>4854</v>
      </c>
      <c r="BH1182" s="4" t="s">
        <v>4854</v>
      </c>
      <c r="BI1182" s="4" t="s">
        <v>4854</v>
      </c>
      <c r="BJ1182" s="4" t="s">
        <v>4854</v>
      </c>
      <c r="BK1182" s="91">
        <v>1</v>
      </c>
      <c r="BL1182" s="100" t="s">
        <v>4854</v>
      </c>
      <c r="BM1182" s="100" t="s">
        <v>4854</v>
      </c>
      <c r="BN1182" s="100" t="s">
        <v>4854</v>
      </c>
      <c r="BO1182" s="100" t="s">
        <v>4854</v>
      </c>
      <c r="BP1182" s="100" t="s">
        <v>4854</v>
      </c>
      <c r="BQ1182" s="100" t="s">
        <v>4854</v>
      </c>
      <c r="BR1182" s="100" t="s">
        <v>4854</v>
      </c>
      <c r="BS1182" s="10" t="s">
        <v>4857</v>
      </c>
    </row>
    <row r="1183" spans="1:71" s="30" customFormat="1" ht="17.100000000000001" customHeight="1">
      <c r="A1183" s="10">
        <v>1172</v>
      </c>
      <c r="B1183" s="10" t="s">
        <v>191</v>
      </c>
      <c r="C1183" s="4" t="s">
        <v>470</v>
      </c>
      <c r="D1183" s="4" t="s">
        <v>184</v>
      </c>
      <c r="E1183" s="4" t="s">
        <v>185</v>
      </c>
      <c r="F1183" s="10" t="s">
        <v>5024</v>
      </c>
      <c r="G1183" s="4" t="s">
        <v>186</v>
      </c>
      <c r="H1183" s="7" t="s">
        <v>187</v>
      </c>
      <c r="I1183" s="4" t="s">
        <v>188</v>
      </c>
      <c r="J1183" s="10" t="s">
        <v>4747</v>
      </c>
      <c r="K1183" s="4" t="s">
        <v>6084</v>
      </c>
      <c r="L1183" s="4" t="s">
        <v>189</v>
      </c>
      <c r="M1183" s="10">
        <v>3</v>
      </c>
      <c r="N1183" s="95">
        <v>538.93340000000001</v>
      </c>
      <c r="O1183" s="38" t="s">
        <v>4854</v>
      </c>
      <c r="P1183" s="38" t="s">
        <v>4854</v>
      </c>
      <c r="Q1183" s="38" t="s">
        <v>4854</v>
      </c>
      <c r="R1183" s="37" t="str">
        <f>HYPERLINK("http://ms.phosphosite.org:5080/cgi-bin/plot-msms.cgi?MassType=1&amp;NumAxis=1&amp;Mod12=170&amp;Pep=SAEDEAADLPTKPTK&amp;Dta=/var/www/html/dta/S01/10561.4936.3.dta&amp;Global_Mod=CS57.0215", "4936")</f>
        <v>4936</v>
      </c>
      <c r="S1183" s="38" t="s">
        <v>4854</v>
      </c>
      <c r="T1183" s="38" t="s">
        <v>4854</v>
      </c>
      <c r="U1183" s="38" t="s">
        <v>4854</v>
      </c>
      <c r="V1183" s="38" t="s">
        <v>4854</v>
      </c>
      <c r="W1183" s="4" t="s">
        <v>4854</v>
      </c>
      <c r="X1183" s="4" t="s">
        <v>4854</v>
      </c>
      <c r="Y1183" s="4" t="s">
        <v>4854</v>
      </c>
      <c r="Z1183" s="10">
        <v>4963</v>
      </c>
      <c r="AA1183" s="4" t="s">
        <v>4854</v>
      </c>
      <c r="AB1183" s="4" t="s">
        <v>4854</v>
      </c>
      <c r="AC1183" s="4" t="s">
        <v>4854</v>
      </c>
      <c r="AD1183" s="4" t="s">
        <v>4854</v>
      </c>
      <c r="AE1183" s="100" t="s">
        <v>4854</v>
      </c>
      <c r="AF1183" s="100" t="s">
        <v>4854</v>
      </c>
      <c r="AG1183" s="100" t="s">
        <v>4854</v>
      </c>
      <c r="AH1183" s="91">
        <v>2.67</v>
      </c>
      <c r="AI1183" s="100" t="s">
        <v>4854</v>
      </c>
      <c r="AJ1183" s="100" t="s">
        <v>4854</v>
      </c>
      <c r="AK1183" s="100" t="s">
        <v>4854</v>
      </c>
      <c r="AL1183" s="100" t="s">
        <v>4854</v>
      </c>
      <c r="AM1183" s="103" t="s">
        <v>4854</v>
      </c>
      <c r="AN1183" s="103" t="s">
        <v>4854</v>
      </c>
      <c r="AO1183" s="103" t="s">
        <v>4854</v>
      </c>
      <c r="AP1183" s="95">
        <v>0.55889999999999995</v>
      </c>
      <c r="AQ1183" s="103" t="s">
        <v>4854</v>
      </c>
      <c r="AR1183" s="103" t="s">
        <v>4854</v>
      </c>
      <c r="AS1183" s="103" t="s">
        <v>4854</v>
      </c>
      <c r="AT1183" s="103" t="s">
        <v>4854</v>
      </c>
      <c r="AU1183" s="103" t="s">
        <v>4854</v>
      </c>
      <c r="AV1183" s="103" t="s">
        <v>4854</v>
      </c>
      <c r="AW1183" s="103" t="s">
        <v>4854</v>
      </c>
      <c r="AX1183" s="95">
        <v>0.127</v>
      </c>
      <c r="AY1183" s="103" t="s">
        <v>4854</v>
      </c>
      <c r="AZ1183" s="103" t="s">
        <v>4854</v>
      </c>
      <c r="BA1183" s="103" t="s">
        <v>4854</v>
      </c>
      <c r="BB1183" s="103" t="s">
        <v>4854</v>
      </c>
      <c r="BC1183" s="4" t="s">
        <v>4854</v>
      </c>
      <c r="BD1183" s="4" t="s">
        <v>4854</v>
      </c>
      <c r="BE1183" s="4" t="s">
        <v>4854</v>
      </c>
      <c r="BF1183" s="10">
        <v>12</v>
      </c>
      <c r="BG1183" s="4" t="s">
        <v>4854</v>
      </c>
      <c r="BH1183" s="4" t="s">
        <v>4854</v>
      </c>
      <c r="BI1183" s="4" t="s">
        <v>4854</v>
      </c>
      <c r="BJ1183" s="4" t="s">
        <v>4854</v>
      </c>
      <c r="BK1183" s="100" t="s">
        <v>4854</v>
      </c>
      <c r="BL1183" s="100" t="s">
        <v>4854</v>
      </c>
      <c r="BM1183" s="100" t="s">
        <v>4854</v>
      </c>
      <c r="BN1183" s="91">
        <v>0.998</v>
      </c>
      <c r="BO1183" s="100" t="s">
        <v>4854</v>
      </c>
      <c r="BP1183" s="100" t="s">
        <v>4854</v>
      </c>
      <c r="BQ1183" s="100" t="s">
        <v>4854</v>
      </c>
      <c r="BR1183" s="100" t="s">
        <v>4854</v>
      </c>
      <c r="BS1183" s="10" t="s">
        <v>4857</v>
      </c>
    </row>
    <row r="1184" spans="1:71" s="30" customFormat="1" ht="17.100000000000001" customHeight="1">
      <c r="A1184" s="14">
        <v>1173</v>
      </c>
      <c r="B1184" s="5" t="s">
        <v>192</v>
      </c>
      <c r="C1184" s="3" t="s">
        <v>470</v>
      </c>
      <c r="D1184" s="3" t="s">
        <v>193</v>
      </c>
      <c r="E1184" s="3" t="s">
        <v>194</v>
      </c>
      <c r="F1184" s="5" t="s">
        <v>5023</v>
      </c>
      <c r="G1184" s="3" t="s">
        <v>195</v>
      </c>
      <c r="H1184" s="6" t="s">
        <v>196</v>
      </c>
      <c r="I1184" s="3" t="s">
        <v>197</v>
      </c>
      <c r="J1184" s="5" t="s">
        <v>4865</v>
      </c>
      <c r="K1184" s="3" t="s">
        <v>6085</v>
      </c>
      <c r="L1184" s="3" t="s">
        <v>198</v>
      </c>
      <c r="M1184" s="5">
        <v>2</v>
      </c>
      <c r="N1184" s="21">
        <v>558.82979999999998</v>
      </c>
      <c r="O1184" s="36" t="str">
        <f>HYPERLINK("http://ms.phosphosite.org:5080/cgi-bin/plot-msms.cgi?MassType=1&amp;NumAxis=1&amp;Mod8=170&amp;Pep=AALAIQGKFR&amp;Dta=/var/www/html/dta/S01/10558.7296.2.dta&amp;Global_Mod=CS57.0215", "7296")</f>
        <v>7296</v>
      </c>
      <c r="P1184" s="35" t="s">
        <v>4854</v>
      </c>
      <c r="Q1184" s="36" t="str">
        <f>HYPERLINK("http://ms.phosphosite.org:5080/cgi-bin/plot-msms.cgi?MassType=1&amp;NumAxis=1&amp;Mod8=170&amp;Pep=AALAIQGKFR&amp;Dta=/var/www/html/dta/S01/10560.7212.2.dta&amp;Global_Mod=CS57.0215", "7212")</f>
        <v>7212</v>
      </c>
      <c r="R1184" s="36" t="str">
        <f>HYPERLINK("http://ms.phosphosite.org:5080/cgi-bin/plot-msms.cgi?MassType=1&amp;NumAxis=1&amp;Mod8=170&amp;Pep=AALAIQGKFR&amp;Dta=/var/www/html/dta/S01/10561.7276.2.dta&amp;Global_Mod=CS57.0215", "7276")</f>
        <v>7276</v>
      </c>
      <c r="S1184" s="35" t="s">
        <v>4854</v>
      </c>
      <c r="T1184" s="35" t="s">
        <v>4854</v>
      </c>
      <c r="U1184" s="35" t="s">
        <v>4854</v>
      </c>
      <c r="V1184" s="36" t="str">
        <f>HYPERLINK("http://ms.phosphosite.org:5080/cgi-bin/plot-msms.cgi?MassType=1&amp;NumAxis=1&amp;Mod8=170&amp;Pep=AALAIQGKFR&amp;Dta=/var/www/html/dta/S01/10565.7809.2.dta&amp;Global_Mod=CS57.0215", "7809")</f>
        <v>7809</v>
      </c>
      <c r="W1184" s="5">
        <v>7270</v>
      </c>
      <c r="X1184" s="3" t="s">
        <v>4854</v>
      </c>
      <c r="Y1184" s="3" t="s">
        <v>4854</v>
      </c>
      <c r="Z1184" s="5">
        <v>7284</v>
      </c>
      <c r="AA1184" s="3" t="s">
        <v>4854</v>
      </c>
      <c r="AB1184" s="3" t="s">
        <v>4854</v>
      </c>
      <c r="AC1184" s="3" t="s">
        <v>4854</v>
      </c>
      <c r="AD1184" s="5">
        <v>7813</v>
      </c>
      <c r="AE1184" s="90">
        <v>1.9850000000000001</v>
      </c>
      <c r="AF1184" s="99" t="s">
        <v>4854</v>
      </c>
      <c r="AG1184" s="90">
        <v>2.1520000000000001</v>
      </c>
      <c r="AH1184" s="90">
        <v>2.8759999999999999</v>
      </c>
      <c r="AI1184" s="99" t="s">
        <v>4854</v>
      </c>
      <c r="AJ1184" s="99" t="s">
        <v>4854</v>
      </c>
      <c r="AK1184" s="99" t="s">
        <v>4854</v>
      </c>
      <c r="AL1184" s="90">
        <v>3.028</v>
      </c>
      <c r="AM1184" s="21">
        <v>0.4269</v>
      </c>
      <c r="AN1184" s="102" t="s">
        <v>4854</v>
      </c>
      <c r="AO1184" s="21">
        <v>-0.93700000000000006</v>
      </c>
      <c r="AP1184" s="21">
        <v>-0.1391</v>
      </c>
      <c r="AQ1184" s="102" t="s">
        <v>4854</v>
      </c>
      <c r="AR1184" s="102" t="s">
        <v>4854</v>
      </c>
      <c r="AS1184" s="102" t="s">
        <v>4854</v>
      </c>
      <c r="AT1184" s="21">
        <v>0.39910000000000001</v>
      </c>
      <c r="AU1184" s="21">
        <v>4.3999999999999997E-2</v>
      </c>
      <c r="AV1184" s="102" t="s">
        <v>4854</v>
      </c>
      <c r="AW1184" s="21">
        <v>2.5999999999999999E-2</v>
      </c>
      <c r="AX1184" s="21">
        <v>0.127</v>
      </c>
      <c r="AY1184" s="102" t="s">
        <v>4854</v>
      </c>
      <c r="AZ1184" s="102" t="s">
        <v>4854</v>
      </c>
      <c r="BA1184" s="102" t="s">
        <v>4854</v>
      </c>
      <c r="BB1184" s="21">
        <v>0.17399999999999999</v>
      </c>
      <c r="BC1184" s="5">
        <v>2</v>
      </c>
      <c r="BD1184" s="3" t="s">
        <v>4854</v>
      </c>
      <c r="BE1184" s="5">
        <v>1</v>
      </c>
      <c r="BF1184" s="5">
        <v>1</v>
      </c>
      <c r="BG1184" s="3" t="s">
        <v>4854</v>
      </c>
      <c r="BH1184" s="3" t="s">
        <v>4854</v>
      </c>
      <c r="BI1184" s="3" t="s">
        <v>4854</v>
      </c>
      <c r="BJ1184" s="5">
        <v>1</v>
      </c>
      <c r="BK1184" s="90">
        <v>0.95199999999999996</v>
      </c>
      <c r="BL1184" s="99" t="s">
        <v>4854</v>
      </c>
      <c r="BM1184" s="90">
        <v>0.93400000000000005</v>
      </c>
      <c r="BN1184" s="90">
        <v>0.998</v>
      </c>
      <c r="BO1184" s="99" t="s">
        <v>4854</v>
      </c>
      <c r="BP1184" s="99" t="s">
        <v>4854</v>
      </c>
      <c r="BQ1184" s="99" t="s">
        <v>4854</v>
      </c>
      <c r="BR1184" s="90">
        <v>0.999</v>
      </c>
      <c r="BS1184" s="5" t="s">
        <v>4857</v>
      </c>
    </row>
    <row r="1185" spans="1:71" s="30" customFormat="1" ht="17.100000000000001" customHeight="1">
      <c r="A1185" s="10">
        <v>1174</v>
      </c>
      <c r="B1185" s="10" t="s">
        <v>199</v>
      </c>
      <c r="C1185" s="4" t="s">
        <v>470</v>
      </c>
      <c r="D1185" s="4" t="s">
        <v>200</v>
      </c>
      <c r="E1185" s="4" t="s">
        <v>201</v>
      </c>
      <c r="F1185" s="10" t="s">
        <v>5261</v>
      </c>
      <c r="G1185" s="4" t="s">
        <v>202</v>
      </c>
      <c r="H1185" s="7" t="s">
        <v>203</v>
      </c>
      <c r="I1185" s="4" t="s">
        <v>204</v>
      </c>
      <c r="J1185" s="10" t="s">
        <v>4386</v>
      </c>
      <c r="K1185" s="4" t="s">
        <v>6086</v>
      </c>
      <c r="L1185" s="4" t="s">
        <v>205</v>
      </c>
      <c r="M1185" s="10">
        <v>2</v>
      </c>
      <c r="N1185" s="95">
        <v>426.72179999999997</v>
      </c>
      <c r="O1185" s="37" t="str">
        <f>HYPERLINK("http://ms.phosphosite.org:5080/cgi-bin/plot-msms.cgi?MassType=1&amp;NumAxis=1&amp;Mod4=170&amp;Pep=WSAKYR&amp;Dta=/var/www/html/dta/S01/10558.3636.2.dta&amp;Global_Mod=CS57.0215", "3636")</f>
        <v>3636</v>
      </c>
      <c r="P1185" s="37" t="str">
        <f>HYPERLINK("http://ms.phosphosite.org:5080/cgi-bin/plot-msms.cgi?MassType=1&amp;NumAxis=1&amp;Mod4=170&amp;Pep=WSAKYR&amp;Dta=/var/www/html/dta/S01/10559.3557.2.dta&amp;Global_Mod=CS57.0215", "3557")</f>
        <v>3557</v>
      </c>
      <c r="Q1185" s="37" t="str">
        <f>HYPERLINK("http://ms.phosphosite.org:5080/cgi-bin/plot-msms.cgi?MassType=1&amp;NumAxis=1&amp;Mod4=170&amp;Pep=WSAKYR&amp;Dta=/var/www/html/dta/S01/10560.3565.2.dta&amp;Global_Mod=CS57.0215", "3565")</f>
        <v>3565</v>
      </c>
      <c r="R1185" s="38" t="s">
        <v>4854</v>
      </c>
      <c r="S1185" s="37" t="str">
        <f>HYPERLINK("http://ms.phosphosite.org:5080/cgi-bin/plot-msms.cgi?MassType=1&amp;NumAxis=1&amp;Mod4=170&amp;Pep=WSAKYR&amp;Dta=/var/www/html/dta/S01/10562.3665.2.dta&amp;Global_Mod=CS57.0215", "3665")</f>
        <v>3665</v>
      </c>
      <c r="T1185" s="38" t="s">
        <v>4854</v>
      </c>
      <c r="U1185" s="37" t="str">
        <f>HYPERLINK("http://ms.phosphosite.org:5080/cgi-bin/plot-msms.cgi?MassType=1&amp;NumAxis=1&amp;Mod4=170&amp;Pep=WSAKYR&amp;Dta=/var/www/html/dta/S01/10564.3961.2.dta&amp;Global_Mod=CS57.0215", "3961")</f>
        <v>3961</v>
      </c>
      <c r="V1185" s="37" t="str">
        <f>HYPERLINK("http://ms.phosphosite.org:5080/cgi-bin/plot-msms.cgi?MassType=1&amp;NumAxis=1&amp;Mod4=170&amp;Pep=WSAKYR&amp;Dta=/var/www/html/dta/S01/10565.4063.2.dta&amp;Global_Mod=CS57.0215", "4063")</f>
        <v>4063</v>
      </c>
      <c r="W1185" s="4" t="s">
        <v>4854</v>
      </c>
      <c r="X1185" s="10">
        <v>3574</v>
      </c>
      <c r="Y1185" s="10">
        <v>3569</v>
      </c>
      <c r="Z1185" s="4" t="s">
        <v>4854</v>
      </c>
      <c r="AA1185" s="10">
        <v>3686</v>
      </c>
      <c r="AB1185" s="4" t="s">
        <v>4854</v>
      </c>
      <c r="AC1185" s="10">
        <v>4351</v>
      </c>
      <c r="AD1185" s="10">
        <v>4081</v>
      </c>
      <c r="AE1185" s="91">
        <v>1.7430000000000001</v>
      </c>
      <c r="AF1185" s="91">
        <v>1.857</v>
      </c>
      <c r="AG1185" s="91">
        <v>2.1160000000000001</v>
      </c>
      <c r="AH1185" s="100" t="s">
        <v>4854</v>
      </c>
      <c r="AI1185" s="91">
        <v>1.847</v>
      </c>
      <c r="AJ1185" s="100" t="s">
        <v>4854</v>
      </c>
      <c r="AK1185" s="91">
        <v>1.7230000000000001</v>
      </c>
      <c r="AL1185" s="91">
        <v>1.8220000000000001</v>
      </c>
      <c r="AM1185" s="95">
        <v>-0.15670000000000001</v>
      </c>
      <c r="AN1185" s="95">
        <v>2.5100000000000001E-2</v>
      </c>
      <c r="AO1185" s="95">
        <v>0.1143</v>
      </c>
      <c r="AP1185" s="103" t="s">
        <v>4854</v>
      </c>
      <c r="AQ1185" s="95">
        <v>9.9099999999999994E-2</v>
      </c>
      <c r="AR1185" s="103" t="s">
        <v>4854</v>
      </c>
      <c r="AS1185" s="95">
        <v>-0.13089999999999999</v>
      </c>
      <c r="AT1185" s="95">
        <v>-0.47460000000000002</v>
      </c>
      <c r="AU1185" s="95">
        <v>4.5999999999999999E-2</v>
      </c>
      <c r="AV1185" s="95">
        <v>0.16900000000000001</v>
      </c>
      <c r="AW1185" s="95">
        <v>0.16700000000000001</v>
      </c>
      <c r="AX1185" s="103" t="s">
        <v>4854</v>
      </c>
      <c r="AY1185" s="95">
        <v>0.11600000000000001</v>
      </c>
      <c r="AZ1185" s="103" t="s">
        <v>4854</v>
      </c>
      <c r="BA1185" s="95">
        <v>0.121</v>
      </c>
      <c r="BB1185" s="95">
        <v>7.9000000000000001E-2</v>
      </c>
      <c r="BC1185" s="10">
        <v>34</v>
      </c>
      <c r="BD1185" s="10">
        <v>6</v>
      </c>
      <c r="BE1185" s="10">
        <v>4</v>
      </c>
      <c r="BF1185" s="4" t="s">
        <v>4854</v>
      </c>
      <c r="BG1185" s="10">
        <v>5</v>
      </c>
      <c r="BH1185" s="4" t="s">
        <v>4854</v>
      </c>
      <c r="BI1185" s="10">
        <v>4</v>
      </c>
      <c r="BJ1185" s="10">
        <v>12</v>
      </c>
      <c r="BK1185" s="91">
        <v>0.88200000000000001</v>
      </c>
      <c r="BL1185" s="91">
        <v>0.98899999999999999</v>
      </c>
      <c r="BM1185" s="91">
        <v>0.995</v>
      </c>
      <c r="BN1185" s="100" t="s">
        <v>4854</v>
      </c>
      <c r="BO1185" s="91">
        <v>0.97899999999999998</v>
      </c>
      <c r="BP1185" s="100" t="s">
        <v>4854</v>
      </c>
      <c r="BQ1185" s="91">
        <v>0.97199999999999998</v>
      </c>
      <c r="BR1185" s="91">
        <v>0.95299999999999996</v>
      </c>
      <c r="BS1185" s="10" t="s">
        <v>4857</v>
      </c>
    </row>
    <row r="1186" spans="1:71" s="30" customFormat="1" ht="17.100000000000001" customHeight="1">
      <c r="A1186" s="14">
        <v>1175</v>
      </c>
      <c r="B1186" s="5" t="s">
        <v>206</v>
      </c>
      <c r="C1186" s="3" t="s">
        <v>470</v>
      </c>
      <c r="D1186" s="3" t="s">
        <v>207</v>
      </c>
      <c r="E1186" s="3" t="s">
        <v>208</v>
      </c>
      <c r="F1186" s="5" t="s">
        <v>209</v>
      </c>
      <c r="G1186" s="3" t="s">
        <v>210</v>
      </c>
      <c r="H1186" s="6" t="s">
        <v>211</v>
      </c>
      <c r="I1186" s="3" t="s">
        <v>212</v>
      </c>
      <c r="J1186" s="5" t="s">
        <v>4387</v>
      </c>
      <c r="K1186" s="3" t="s">
        <v>6087</v>
      </c>
      <c r="L1186" s="3" t="s">
        <v>213</v>
      </c>
      <c r="M1186" s="5">
        <v>2</v>
      </c>
      <c r="N1186" s="21">
        <v>470.7824</v>
      </c>
      <c r="O1186" s="35" t="s">
        <v>4854</v>
      </c>
      <c r="P1186" s="35" t="s">
        <v>4854</v>
      </c>
      <c r="Q1186" s="35" t="s">
        <v>4854</v>
      </c>
      <c r="R1186" s="35" t="s">
        <v>4854</v>
      </c>
      <c r="S1186" s="35" t="s">
        <v>4854</v>
      </c>
      <c r="T1186" s="36" t="str">
        <f>HYPERLINK("http://ms.phosphosite.org:5080/cgi-bin/plot-msms.cgi?MassType=1&amp;NumAxis=1&amp;Mod3=170&amp;Mod4=170&amp;Pep=TLKKNPR&amp;Dta=/var/www/html/dta/S01/10563.5370.2.dta&amp;Global_Mod=CS57.0215", "5370")</f>
        <v>5370</v>
      </c>
      <c r="U1186" s="35" t="s">
        <v>4854</v>
      </c>
      <c r="V1186" s="35" t="s">
        <v>4854</v>
      </c>
      <c r="W1186" s="3" t="s">
        <v>4854</v>
      </c>
      <c r="X1186" s="3" t="s">
        <v>4854</v>
      </c>
      <c r="Y1186" s="3" t="s">
        <v>4854</v>
      </c>
      <c r="Z1186" s="3" t="s">
        <v>4854</v>
      </c>
      <c r="AA1186" s="3" t="s">
        <v>4854</v>
      </c>
      <c r="AB1186" s="3" t="s">
        <v>4854</v>
      </c>
      <c r="AC1186" s="3" t="s">
        <v>4854</v>
      </c>
      <c r="AD1186" s="3" t="s">
        <v>4854</v>
      </c>
      <c r="AE1186" s="99" t="s">
        <v>4854</v>
      </c>
      <c r="AF1186" s="99" t="s">
        <v>4854</v>
      </c>
      <c r="AG1186" s="99" t="s">
        <v>4854</v>
      </c>
      <c r="AH1186" s="99" t="s">
        <v>4854</v>
      </c>
      <c r="AI1186" s="99" t="s">
        <v>4854</v>
      </c>
      <c r="AJ1186" s="90">
        <v>1.635</v>
      </c>
      <c r="AK1186" s="99" t="s">
        <v>4854</v>
      </c>
      <c r="AL1186" s="99" t="s">
        <v>4854</v>
      </c>
      <c r="AM1186" s="102" t="s">
        <v>4854</v>
      </c>
      <c r="AN1186" s="102" t="s">
        <v>4854</v>
      </c>
      <c r="AO1186" s="102" t="s">
        <v>4854</v>
      </c>
      <c r="AP1186" s="102" t="s">
        <v>4854</v>
      </c>
      <c r="AQ1186" s="102" t="s">
        <v>4854</v>
      </c>
      <c r="AR1186" s="21">
        <v>0.1666</v>
      </c>
      <c r="AS1186" s="102" t="s">
        <v>4854</v>
      </c>
      <c r="AT1186" s="102" t="s">
        <v>4854</v>
      </c>
      <c r="AU1186" s="102" t="s">
        <v>4854</v>
      </c>
      <c r="AV1186" s="102" t="s">
        <v>4854</v>
      </c>
      <c r="AW1186" s="102" t="s">
        <v>4854</v>
      </c>
      <c r="AX1186" s="102" t="s">
        <v>4854</v>
      </c>
      <c r="AY1186" s="102" t="s">
        <v>4854</v>
      </c>
      <c r="AZ1186" s="21">
        <v>1E-3</v>
      </c>
      <c r="BA1186" s="102" t="s">
        <v>4854</v>
      </c>
      <c r="BB1186" s="102" t="s">
        <v>4854</v>
      </c>
      <c r="BC1186" s="3" t="s">
        <v>4854</v>
      </c>
      <c r="BD1186" s="3" t="s">
        <v>4854</v>
      </c>
      <c r="BE1186" s="3" t="s">
        <v>4854</v>
      </c>
      <c r="BF1186" s="3" t="s">
        <v>4854</v>
      </c>
      <c r="BG1186" s="3" t="s">
        <v>4854</v>
      </c>
      <c r="BH1186" s="5">
        <v>1</v>
      </c>
      <c r="BI1186" s="3" t="s">
        <v>4854</v>
      </c>
      <c r="BJ1186" s="3" t="s">
        <v>4854</v>
      </c>
      <c r="BK1186" s="99" t="s">
        <v>4854</v>
      </c>
      <c r="BL1186" s="99" t="s">
        <v>4854</v>
      </c>
      <c r="BM1186" s="99" t="s">
        <v>4854</v>
      </c>
      <c r="BN1186" s="99" t="s">
        <v>4854</v>
      </c>
      <c r="BO1186" s="99" t="s">
        <v>4854</v>
      </c>
      <c r="BP1186" s="90">
        <v>5.8999999999999997E-2</v>
      </c>
      <c r="BQ1186" s="99" t="s">
        <v>4854</v>
      </c>
      <c r="BR1186" s="99" t="s">
        <v>4854</v>
      </c>
      <c r="BS1186" s="5" t="s">
        <v>4857</v>
      </c>
    </row>
    <row r="1187" spans="1:71" s="30" customFormat="1" ht="17.100000000000001" customHeight="1">
      <c r="A1187" s="10">
        <v>1176</v>
      </c>
      <c r="B1187" s="10" t="s">
        <v>84</v>
      </c>
      <c r="C1187" s="4" t="s">
        <v>470</v>
      </c>
      <c r="D1187" s="4" t="s">
        <v>207</v>
      </c>
      <c r="E1187" s="4" t="s">
        <v>208</v>
      </c>
      <c r="F1187" s="10" t="s">
        <v>3791</v>
      </c>
      <c r="G1187" s="4" t="s">
        <v>210</v>
      </c>
      <c r="H1187" s="7" t="s">
        <v>211</v>
      </c>
      <c r="I1187" s="4" t="s">
        <v>212</v>
      </c>
      <c r="J1187" s="10" t="s">
        <v>4387</v>
      </c>
      <c r="K1187" s="4" t="s">
        <v>6088</v>
      </c>
      <c r="L1187" s="4" t="s">
        <v>85</v>
      </c>
      <c r="M1187" s="10">
        <v>3</v>
      </c>
      <c r="N1187" s="95">
        <v>422.20319999999998</v>
      </c>
      <c r="O1187" s="38" t="s">
        <v>4854</v>
      </c>
      <c r="P1187" s="38" t="s">
        <v>4854</v>
      </c>
      <c r="Q1187" s="37" t="str">
        <f>HYPERLINK("http://ms.phosphosite.org:5080/cgi-bin/plot-msms.cgi?MassType=1&amp;NumAxis=1&amp;Mod2=170&amp;Mod8=147&amp;Pep=LKRDDASMDR&amp;Dta=/var/www/html/dta/S01/10560.3944.3.dta&amp;Global_Mod=CS57.0215", "3944")</f>
        <v>3944</v>
      </c>
      <c r="R1187" s="38" t="s">
        <v>4854</v>
      </c>
      <c r="S1187" s="38" t="s">
        <v>4854</v>
      </c>
      <c r="T1187" s="38" t="s">
        <v>4854</v>
      </c>
      <c r="U1187" s="38" t="s">
        <v>4854</v>
      </c>
      <c r="V1187" s="38" t="s">
        <v>4854</v>
      </c>
      <c r="W1187" s="4" t="s">
        <v>4854</v>
      </c>
      <c r="X1187" s="4" t="s">
        <v>4854</v>
      </c>
      <c r="Y1187" s="4" t="s">
        <v>4854</v>
      </c>
      <c r="Z1187" s="4" t="s">
        <v>4854</v>
      </c>
      <c r="AA1187" s="4" t="s">
        <v>4854</v>
      </c>
      <c r="AB1187" s="4" t="s">
        <v>4854</v>
      </c>
      <c r="AC1187" s="4" t="s">
        <v>4854</v>
      </c>
      <c r="AD1187" s="4" t="s">
        <v>4854</v>
      </c>
      <c r="AE1187" s="100" t="s">
        <v>4854</v>
      </c>
      <c r="AF1187" s="100" t="s">
        <v>4854</v>
      </c>
      <c r="AG1187" s="91">
        <v>2.0390000000000001</v>
      </c>
      <c r="AH1187" s="100" t="s">
        <v>4854</v>
      </c>
      <c r="AI1187" s="100" t="s">
        <v>4854</v>
      </c>
      <c r="AJ1187" s="100" t="s">
        <v>4854</v>
      </c>
      <c r="AK1187" s="100" t="s">
        <v>4854</v>
      </c>
      <c r="AL1187" s="100" t="s">
        <v>4854</v>
      </c>
      <c r="AM1187" s="103" t="s">
        <v>4854</v>
      </c>
      <c r="AN1187" s="103" t="s">
        <v>4854</v>
      </c>
      <c r="AO1187" s="95">
        <v>1.2349000000000001</v>
      </c>
      <c r="AP1187" s="103" t="s">
        <v>4854</v>
      </c>
      <c r="AQ1187" s="103" t="s">
        <v>4854</v>
      </c>
      <c r="AR1187" s="103" t="s">
        <v>4854</v>
      </c>
      <c r="AS1187" s="103" t="s">
        <v>4854</v>
      </c>
      <c r="AT1187" s="103" t="s">
        <v>4854</v>
      </c>
      <c r="AU1187" s="103" t="s">
        <v>4854</v>
      </c>
      <c r="AV1187" s="103" t="s">
        <v>4854</v>
      </c>
      <c r="AW1187" s="95">
        <v>8.5999999999999993E-2</v>
      </c>
      <c r="AX1187" s="103" t="s">
        <v>4854</v>
      </c>
      <c r="AY1187" s="103" t="s">
        <v>4854</v>
      </c>
      <c r="AZ1187" s="103" t="s">
        <v>4854</v>
      </c>
      <c r="BA1187" s="103" t="s">
        <v>4854</v>
      </c>
      <c r="BB1187" s="103" t="s">
        <v>4854</v>
      </c>
      <c r="BC1187" s="4" t="s">
        <v>4854</v>
      </c>
      <c r="BD1187" s="4" t="s">
        <v>4854</v>
      </c>
      <c r="BE1187" s="10">
        <v>103</v>
      </c>
      <c r="BF1187" s="4" t="s">
        <v>4854</v>
      </c>
      <c r="BG1187" s="4" t="s">
        <v>4854</v>
      </c>
      <c r="BH1187" s="4" t="s">
        <v>4854</v>
      </c>
      <c r="BI1187" s="4" t="s">
        <v>4854</v>
      </c>
      <c r="BJ1187" s="4" t="s">
        <v>4854</v>
      </c>
      <c r="BK1187" s="100" t="s">
        <v>4854</v>
      </c>
      <c r="BL1187" s="100" t="s">
        <v>4854</v>
      </c>
      <c r="BM1187" s="91">
        <v>5.6000000000000001E-2</v>
      </c>
      <c r="BN1187" s="100" t="s">
        <v>4854</v>
      </c>
      <c r="BO1187" s="100" t="s">
        <v>4854</v>
      </c>
      <c r="BP1187" s="100" t="s">
        <v>4854</v>
      </c>
      <c r="BQ1187" s="100" t="s">
        <v>4854</v>
      </c>
      <c r="BR1187" s="100" t="s">
        <v>4854</v>
      </c>
      <c r="BS1187" s="10" t="s">
        <v>4857</v>
      </c>
    </row>
    <row r="1188" spans="1:71" s="30" customFormat="1" ht="17.100000000000001" customHeight="1">
      <c r="A1188" s="14">
        <v>1177</v>
      </c>
      <c r="B1188" s="5" t="s">
        <v>86</v>
      </c>
      <c r="C1188" s="3" t="s">
        <v>470</v>
      </c>
      <c r="D1188" s="3" t="s">
        <v>87</v>
      </c>
      <c r="E1188" s="3" t="s">
        <v>87</v>
      </c>
      <c r="F1188" s="5" t="s">
        <v>88</v>
      </c>
      <c r="G1188" s="3" t="s">
        <v>89</v>
      </c>
      <c r="H1188" s="6" t="s">
        <v>90</v>
      </c>
      <c r="I1188" s="3" t="s">
        <v>91</v>
      </c>
      <c r="J1188" s="5" t="s">
        <v>4392</v>
      </c>
      <c r="K1188" s="3" t="s">
        <v>6089</v>
      </c>
      <c r="L1188" s="3" t="s">
        <v>92</v>
      </c>
      <c r="M1188" s="5">
        <v>2</v>
      </c>
      <c r="N1188" s="21">
        <v>813.48289999999997</v>
      </c>
      <c r="O1188" s="36" t="str">
        <f>HYPERLINK("http://ms.phosphosite.org:5080/cgi-bin/plot-msms.cgi?MassType=1&amp;NumAxis=1&amp;Mod1=170&amp;Mod9=170&amp;Mod13=170&amp;Pep=KKLQEALSKAAGKK&amp;Dta=/var/www/html/dta/S01/10558.4200.2.dta&amp;Global_Mod=CS57.0215", "4200")</f>
        <v>4200</v>
      </c>
      <c r="P1188" s="35" t="s">
        <v>4854</v>
      </c>
      <c r="Q1188" s="35" t="s">
        <v>4854</v>
      </c>
      <c r="R1188" s="36" t="str">
        <f>HYPERLINK("http://ms.phosphosite.org:5080/cgi-bin/plot-msms.cgi?MassType=1&amp;NumAxis=1&amp;Mod1=170&amp;Mod9=170&amp;Mod13=170&amp;Pep=KKLQEALSKAAGKK&amp;Dta=/var/www/html/dta/S01/10561.4166.2.dta&amp;Global_Mod=CS57.0215", "4166")</f>
        <v>4166</v>
      </c>
      <c r="S1188" s="36" t="str">
        <f>HYPERLINK("http://ms.phosphosite.org:5080/cgi-bin/plot-msms.cgi?MassType=1&amp;NumAxis=1&amp;Mod1=170&amp;Mod9=170&amp;Mod13=170&amp;Pep=KKLQEALSKAAGKK&amp;Dta=/var/www/html/dta/S01/10562.4274.2.dta&amp;Global_Mod=CS57.0215", "4274")</f>
        <v>4274</v>
      </c>
      <c r="T1188" s="36" t="str">
        <f>HYPERLINK("http://ms.phosphosite.org:5080/cgi-bin/plot-msms.cgi?MassType=1&amp;NumAxis=1&amp;Mod1=170&amp;Mod9=170&amp;Mod13=170&amp;Pep=KKLQEALSKAAGKK&amp;Dta=/var/www/html/dta/S01/10563.4194.2.dta&amp;Global_Mod=CS57.0215", "4194")</f>
        <v>4194</v>
      </c>
      <c r="U1188" s="35" t="s">
        <v>4854</v>
      </c>
      <c r="V1188" s="36" t="str">
        <f>HYPERLINK("http://ms.phosphosite.org:5080/cgi-bin/plot-msms.cgi?MassType=1&amp;NumAxis=1&amp;Mod1=170&amp;Mod9=170&amp;Mod13=170&amp;Pep=KKLQEALSKAAGKK&amp;Dta=/var/www/html/dta/S01/10565.4566.2.dta&amp;Global_Mod=CS57.0215", "4566")</f>
        <v>4566</v>
      </c>
      <c r="W1188" s="3" t="s">
        <v>4854</v>
      </c>
      <c r="X1188" s="3" t="s">
        <v>4854</v>
      </c>
      <c r="Y1188" s="3" t="s">
        <v>4854</v>
      </c>
      <c r="Z1188" s="3" t="s">
        <v>4854</v>
      </c>
      <c r="AA1188" s="3" t="s">
        <v>4854</v>
      </c>
      <c r="AB1188" s="3" t="s">
        <v>4854</v>
      </c>
      <c r="AC1188" s="3" t="s">
        <v>4854</v>
      </c>
      <c r="AD1188" s="3" t="s">
        <v>4854</v>
      </c>
      <c r="AE1188" s="90">
        <v>3.1419999999999999</v>
      </c>
      <c r="AF1188" s="99" t="s">
        <v>4854</v>
      </c>
      <c r="AG1188" s="99" t="s">
        <v>4854</v>
      </c>
      <c r="AH1188" s="90">
        <v>2.9220000000000002</v>
      </c>
      <c r="AI1188" s="90">
        <v>2.8239999999999998</v>
      </c>
      <c r="AJ1188" s="90">
        <v>3.1819999999999999</v>
      </c>
      <c r="AK1188" s="99" t="s">
        <v>4854</v>
      </c>
      <c r="AL1188" s="90">
        <v>2.6640000000000001</v>
      </c>
      <c r="AM1188" s="21">
        <v>0.80920000000000003</v>
      </c>
      <c r="AN1188" s="102" t="s">
        <v>4854</v>
      </c>
      <c r="AO1188" s="102" t="s">
        <v>4854</v>
      </c>
      <c r="AP1188" s="21">
        <v>0.81100000000000005</v>
      </c>
      <c r="AQ1188" s="21">
        <v>0.47460000000000002</v>
      </c>
      <c r="AR1188" s="21">
        <v>0.49490000000000001</v>
      </c>
      <c r="AS1188" s="102" t="s">
        <v>4854</v>
      </c>
      <c r="AT1188" s="21">
        <v>0.61050000000000004</v>
      </c>
      <c r="AU1188" s="21">
        <v>0.122</v>
      </c>
      <c r="AV1188" s="102" t="s">
        <v>4854</v>
      </c>
      <c r="AW1188" s="102" t="s">
        <v>4854</v>
      </c>
      <c r="AX1188" s="21">
        <v>6.4000000000000001E-2</v>
      </c>
      <c r="AY1188" s="21">
        <v>6.3E-2</v>
      </c>
      <c r="AZ1188" s="21">
        <v>0.14599999999999999</v>
      </c>
      <c r="BA1188" s="102" t="s">
        <v>4854</v>
      </c>
      <c r="BB1188" s="21">
        <v>4.2000000000000003E-2</v>
      </c>
      <c r="BC1188" s="5">
        <v>1</v>
      </c>
      <c r="BD1188" s="3" t="s">
        <v>4854</v>
      </c>
      <c r="BE1188" s="3" t="s">
        <v>4854</v>
      </c>
      <c r="BF1188" s="5">
        <v>46</v>
      </c>
      <c r="BG1188" s="5">
        <v>39</v>
      </c>
      <c r="BH1188" s="5">
        <v>5</v>
      </c>
      <c r="BI1188" s="3" t="s">
        <v>4854</v>
      </c>
      <c r="BJ1188" s="5">
        <v>13</v>
      </c>
      <c r="BK1188" s="90">
        <v>0.746</v>
      </c>
      <c r="BL1188" s="99" t="s">
        <v>4854</v>
      </c>
      <c r="BM1188" s="99" t="s">
        <v>4854</v>
      </c>
      <c r="BN1188" s="90">
        <v>0.23499999999999999</v>
      </c>
      <c r="BO1188" s="90">
        <v>0.215</v>
      </c>
      <c r="BP1188" s="90">
        <v>0.71199999999999997</v>
      </c>
      <c r="BQ1188" s="99" t="s">
        <v>4854</v>
      </c>
      <c r="BR1188" s="90">
        <v>0.189</v>
      </c>
      <c r="BS1188" s="5" t="s">
        <v>4857</v>
      </c>
    </row>
    <row r="1189" spans="1:71" s="30" customFormat="1" ht="17.100000000000001" customHeight="1">
      <c r="A1189" s="10">
        <v>1178</v>
      </c>
      <c r="B1189" s="10" t="s">
        <v>93</v>
      </c>
      <c r="C1189" s="4" t="s">
        <v>470</v>
      </c>
      <c r="D1189" s="4" t="s">
        <v>87</v>
      </c>
      <c r="E1189" s="4" t="s">
        <v>87</v>
      </c>
      <c r="F1189" s="10" t="s">
        <v>94</v>
      </c>
      <c r="G1189" s="4" t="s">
        <v>89</v>
      </c>
      <c r="H1189" s="7" t="s">
        <v>90</v>
      </c>
      <c r="I1189" s="4" t="s">
        <v>91</v>
      </c>
      <c r="J1189" s="10" t="s">
        <v>4392</v>
      </c>
      <c r="K1189" s="4" t="s">
        <v>6090</v>
      </c>
      <c r="L1189" s="4" t="s">
        <v>95</v>
      </c>
      <c r="M1189" s="10">
        <v>2</v>
      </c>
      <c r="N1189" s="95">
        <v>813.48289999999997</v>
      </c>
      <c r="O1189" s="38" t="s">
        <v>4854</v>
      </c>
      <c r="P1189" s="38" t="s">
        <v>4854</v>
      </c>
      <c r="Q1189" s="37" t="str">
        <f>HYPERLINK("http://ms.phosphosite.org:5080/cgi-bin/plot-msms.cgi?MassType=1&amp;NumAxis=1&amp;Mod2=170&amp;Mod9=170&amp;Mod13=170&amp;Pep=KKLQEALSKAAGKK&amp;Dta=/var/www/html/dta/S01/10560.4141.2.dta&amp;Global_Mod=CS57.0215", "4141")</f>
        <v>4141</v>
      </c>
      <c r="R1189" s="38" t="s">
        <v>4854</v>
      </c>
      <c r="S1189" s="38" t="s">
        <v>4854</v>
      </c>
      <c r="T1189" s="38" t="s">
        <v>4854</v>
      </c>
      <c r="U1189" s="38" t="s">
        <v>4854</v>
      </c>
      <c r="V1189" s="37" t="str">
        <f>HYPERLINK("http://ms.phosphosite.org:5080/cgi-bin/plot-msms.cgi?MassType=1&amp;NumAxis=1&amp;Mod2=170&amp;Mod9=170&amp;Mod13=170&amp;Pep=KKLQEALSKAAGKK&amp;Dta=/var/www/html/dta/S01/10565.4835.2.dta&amp;Global_Mod=CS57.0215", "4835")</f>
        <v>4835</v>
      </c>
      <c r="W1189" s="4" t="s">
        <v>4854</v>
      </c>
      <c r="X1189" s="4" t="s">
        <v>4854</v>
      </c>
      <c r="Y1189" s="4" t="s">
        <v>4854</v>
      </c>
      <c r="Z1189" s="4" t="s">
        <v>4854</v>
      </c>
      <c r="AA1189" s="4" t="s">
        <v>4854</v>
      </c>
      <c r="AB1189" s="4" t="s">
        <v>4854</v>
      </c>
      <c r="AC1189" s="4" t="s">
        <v>4854</v>
      </c>
      <c r="AD1189" s="4" t="s">
        <v>4854</v>
      </c>
      <c r="AE1189" s="100" t="s">
        <v>4854</v>
      </c>
      <c r="AF1189" s="100" t="s">
        <v>4854</v>
      </c>
      <c r="AG1189" s="91">
        <v>3.0030000000000001</v>
      </c>
      <c r="AH1189" s="100" t="s">
        <v>4854</v>
      </c>
      <c r="AI1189" s="100" t="s">
        <v>4854</v>
      </c>
      <c r="AJ1189" s="100" t="s">
        <v>4854</v>
      </c>
      <c r="AK1189" s="100" t="s">
        <v>4854</v>
      </c>
      <c r="AL1189" s="91">
        <v>2.3069999999999999</v>
      </c>
      <c r="AM1189" s="103" t="s">
        <v>4854</v>
      </c>
      <c r="AN1189" s="103" t="s">
        <v>4854</v>
      </c>
      <c r="AO1189" s="95">
        <v>0.35399999999999998</v>
      </c>
      <c r="AP1189" s="103" t="s">
        <v>4854</v>
      </c>
      <c r="AQ1189" s="103" t="s">
        <v>4854</v>
      </c>
      <c r="AR1189" s="103" t="s">
        <v>4854</v>
      </c>
      <c r="AS1189" s="103" t="s">
        <v>4854</v>
      </c>
      <c r="AT1189" s="95">
        <v>1.8104</v>
      </c>
      <c r="AU1189" s="103" t="s">
        <v>4854</v>
      </c>
      <c r="AV1189" s="103" t="s">
        <v>4854</v>
      </c>
      <c r="AW1189" s="95">
        <v>0.17499999999999999</v>
      </c>
      <c r="AX1189" s="103" t="s">
        <v>4854</v>
      </c>
      <c r="AY1189" s="103" t="s">
        <v>4854</v>
      </c>
      <c r="AZ1189" s="103" t="s">
        <v>4854</v>
      </c>
      <c r="BA1189" s="103" t="s">
        <v>4854</v>
      </c>
      <c r="BB1189" s="95">
        <v>6.2E-2</v>
      </c>
      <c r="BC1189" s="4" t="s">
        <v>4854</v>
      </c>
      <c r="BD1189" s="4" t="s">
        <v>4854</v>
      </c>
      <c r="BE1189" s="10">
        <v>9</v>
      </c>
      <c r="BF1189" s="4" t="s">
        <v>4854</v>
      </c>
      <c r="BG1189" s="4" t="s">
        <v>4854</v>
      </c>
      <c r="BH1189" s="4" t="s">
        <v>4854</v>
      </c>
      <c r="BI1189" s="4" t="s">
        <v>4854</v>
      </c>
      <c r="BJ1189" s="10">
        <v>2</v>
      </c>
      <c r="BK1189" s="100" t="s">
        <v>4854</v>
      </c>
      <c r="BL1189" s="100" t="s">
        <v>4854</v>
      </c>
      <c r="BM1189" s="91">
        <v>0.69</v>
      </c>
      <c r="BN1189" s="100" t="s">
        <v>4854</v>
      </c>
      <c r="BO1189" s="100" t="s">
        <v>4854</v>
      </c>
      <c r="BP1189" s="100" t="s">
        <v>4854</v>
      </c>
      <c r="BQ1189" s="100" t="s">
        <v>4854</v>
      </c>
      <c r="BR1189" s="91">
        <v>8.6999999999999994E-2</v>
      </c>
      <c r="BS1189" s="10" t="s">
        <v>4857</v>
      </c>
    </row>
    <row r="1190" spans="1:71" s="30" customFormat="1" ht="17.100000000000001" customHeight="1">
      <c r="A1190" s="14">
        <v>1179</v>
      </c>
      <c r="B1190" s="5" t="s">
        <v>96</v>
      </c>
      <c r="C1190" s="3" t="s">
        <v>470</v>
      </c>
      <c r="D1190" s="3" t="s">
        <v>97</v>
      </c>
      <c r="E1190" s="3" t="s">
        <v>98</v>
      </c>
      <c r="F1190" s="5" t="s">
        <v>99</v>
      </c>
      <c r="G1190" s="3" t="s">
        <v>100</v>
      </c>
      <c r="H1190" s="6" t="s">
        <v>101</v>
      </c>
      <c r="I1190" s="3" t="s">
        <v>102</v>
      </c>
      <c r="J1190" s="5" t="s">
        <v>3866</v>
      </c>
      <c r="K1190" s="3" t="s">
        <v>6091</v>
      </c>
      <c r="L1190" s="3" t="s">
        <v>103</v>
      </c>
      <c r="M1190" s="5">
        <v>4</v>
      </c>
      <c r="N1190" s="21">
        <v>505.25290000000001</v>
      </c>
      <c r="O1190" s="35" t="s">
        <v>4854</v>
      </c>
      <c r="P1190" s="35" t="s">
        <v>4854</v>
      </c>
      <c r="Q1190" s="35" t="s">
        <v>4854</v>
      </c>
      <c r="R1190" s="36" t="str">
        <f>HYPERLINK("http://ms.phosphosite.org:5080/cgi-bin/plot-msms.cgi?MassType=1&amp;NumAxis=1&amp;Mod5=170&amp;Mod9=170&amp;Mod16=170&amp;Mod18=170&amp;Pep=GSSSKSSSKSHSARSKNK&amp;Dta=/var/www/html/dta/S01/10561.8916.4.dta&amp;Global_Mod=CS57.0215", "8916")</f>
        <v>8916</v>
      </c>
      <c r="S1190" s="35" t="s">
        <v>4854</v>
      </c>
      <c r="T1190" s="35" t="s">
        <v>4854</v>
      </c>
      <c r="U1190" s="35" t="s">
        <v>4854</v>
      </c>
      <c r="V1190" s="35" t="s">
        <v>4854</v>
      </c>
      <c r="W1190" s="3" t="s">
        <v>4854</v>
      </c>
      <c r="X1190" s="3" t="s">
        <v>4854</v>
      </c>
      <c r="Y1190" s="3" t="s">
        <v>4854</v>
      </c>
      <c r="Z1190" s="3" t="s">
        <v>4854</v>
      </c>
      <c r="AA1190" s="3" t="s">
        <v>4854</v>
      </c>
      <c r="AB1190" s="3" t="s">
        <v>4854</v>
      </c>
      <c r="AC1190" s="3" t="s">
        <v>4854</v>
      </c>
      <c r="AD1190" s="3" t="s">
        <v>4854</v>
      </c>
      <c r="AE1190" s="99" t="s">
        <v>4854</v>
      </c>
      <c r="AF1190" s="99" t="s">
        <v>4854</v>
      </c>
      <c r="AG1190" s="99" t="s">
        <v>4854</v>
      </c>
      <c r="AH1190" s="90">
        <v>2.2749999999999999</v>
      </c>
      <c r="AI1190" s="99" t="s">
        <v>4854</v>
      </c>
      <c r="AJ1190" s="99" t="s">
        <v>4854</v>
      </c>
      <c r="AK1190" s="99" t="s">
        <v>4854</v>
      </c>
      <c r="AL1190" s="99" t="s">
        <v>4854</v>
      </c>
      <c r="AM1190" s="102" t="s">
        <v>4854</v>
      </c>
      <c r="AN1190" s="102" t="s">
        <v>4854</v>
      </c>
      <c r="AO1190" s="102" t="s">
        <v>4854</v>
      </c>
      <c r="AP1190" s="21">
        <v>2.6385000000000001</v>
      </c>
      <c r="AQ1190" s="102" t="s">
        <v>4854</v>
      </c>
      <c r="AR1190" s="102" t="s">
        <v>4854</v>
      </c>
      <c r="AS1190" s="102" t="s">
        <v>4854</v>
      </c>
      <c r="AT1190" s="102" t="s">
        <v>4854</v>
      </c>
      <c r="AU1190" s="102" t="s">
        <v>4854</v>
      </c>
      <c r="AV1190" s="102" t="s">
        <v>4854</v>
      </c>
      <c r="AW1190" s="102" t="s">
        <v>4854</v>
      </c>
      <c r="AX1190" s="21">
        <v>4.2000000000000003E-2</v>
      </c>
      <c r="AY1190" s="102" t="s">
        <v>4854</v>
      </c>
      <c r="AZ1190" s="102" t="s">
        <v>4854</v>
      </c>
      <c r="BA1190" s="102" t="s">
        <v>4854</v>
      </c>
      <c r="BB1190" s="102" t="s">
        <v>4854</v>
      </c>
      <c r="BC1190" s="3" t="s">
        <v>4854</v>
      </c>
      <c r="BD1190" s="3" t="s">
        <v>4854</v>
      </c>
      <c r="BE1190" s="3" t="s">
        <v>4854</v>
      </c>
      <c r="BF1190" s="5">
        <v>87</v>
      </c>
      <c r="BG1190" s="3" t="s">
        <v>4854</v>
      </c>
      <c r="BH1190" s="3" t="s">
        <v>4854</v>
      </c>
      <c r="BI1190" s="3" t="s">
        <v>4854</v>
      </c>
      <c r="BJ1190" s="3" t="s">
        <v>4854</v>
      </c>
      <c r="BK1190" s="99" t="s">
        <v>4854</v>
      </c>
      <c r="BL1190" s="99" t="s">
        <v>4854</v>
      </c>
      <c r="BM1190" s="99" t="s">
        <v>4854</v>
      </c>
      <c r="BN1190" s="90">
        <v>0.45300000000000001</v>
      </c>
      <c r="BO1190" s="99" t="s">
        <v>4854</v>
      </c>
      <c r="BP1190" s="99" t="s">
        <v>4854</v>
      </c>
      <c r="BQ1190" s="99" t="s">
        <v>4854</v>
      </c>
      <c r="BR1190" s="99" t="s">
        <v>4854</v>
      </c>
      <c r="BS1190" s="5" t="s">
        <v>4857</v>
      </c>
    </row>
    <row r="1191" spans="1:71" s="30" customFormat="1" ht="17.100000000000001" customHeight="1">
      <c r="A1191" s="10">
        <v>1180</v>
      </c>
      <c r="B1191" s="10" t="s">
        <v>104</v>
      </c>
      <c r="C1191" s="4" t="s">
        <v>470</v>
      </c>
      <c r="D1191" s="4" t="s">
        <v>105</v>
      </c>
      <c r="E1191" s="4" t="s">
        <v>106</v>
      </c>
      <c r="F1191" s="10" t="s">
        <v>107</v>
      </c>
      <c r="G1191" s="4" t="s">
        <v>108</v>
      </c>
      <c r="H1191" s="7" t="s">
        <v>109</v>
      </c>
      <c r="I1191" s="4" t="s">
        <v>110</v>
      </c>
      <c r="J1191" s="10" t="s">
        <v>3299</v>
      </c>
      <c r="K1191" s="4" t="s">
        <v>6092</v>
      </c>
      <c r="L1191" s="4" t="s">
        <v>111</v>
      </c>
      <c r="M1191" s="10">
        <v>4</v>
      </c>
      <c r="N1191" s="95">
        <v>884.4357</v>
      </c>
      <c r="O1191" s="38" t="s">
        <v>4854</v>
      </c>
      <c r="P1191" s="38" t="s">
        <v>4854</v>
      </c>
      <c r="Q1191" s="38" t="s">
        <v>4854</v>
      </c>
      <c r="R1191" s="37" t="str">
        <f>HYPERLINK("http://ms.phosphosite.org:5080/cgi-bin/plot-msms.cgi?MassType=1&amp;NumAxis=1&amp;Mod1=170&amp;Mod7=160&amp;Mod17=170&amp;Mod21=160&amp;Pep=KHNILGCDLMDSVDQLKNMSCLYLRELGK&amp;Dta=/var/www/html/dta/S01/10561.14462.4.dta&amp;Global_Mod=CS57.0215", "14462")</f>
        <v>14462</v>
      </c>
      <c r="S1191" s="38" t="s">
        <v>4854</v>
      </c>
      <c r="T1191" s="38" t="s">
        <v>4854</v>
      </c>
      <c r="U1191" s="38" t="s">
        <v>4854</v>
      </c>
      <c r="V1191" s="38" t="s">
        <v>4854</v>
      </c>
      <c r="W1191" s="4" t="s">
        <v>4854</v>
      </c>
      <c r="X1191" s="4" t="s">
        <v>4854</v>
      </c>
      <c r="Y1191" s="4" t="s">
        <v>4854</v>
      </c>
      <c r="Z1191" s="4" t="s">
        <v>4854</v>
      </c>
      <c r="AA1191" s="4" t="s">
        <v>4854</v>
      </c>
      <c r="AB1191" s="4" t="s">
        <v>4854</v>
      </c>
      <c r="AC1191" s="4" t="s">
        <v>4854</v>
      </c>
      <c r="AD1191" s="4" t="s">
        <v>4854</v>
      </c>
      <c r="AE1191" s="100" t="s">
        <v>4854</v>
      </c>
      <c r="AF1191" s="100" t="s">
        <v>4854</v>
      </c>
      <c r="AG1191" s="100" t="s">
        <v>4854</v>
      </c>
      <c r="AH1191" s="91">
        <v>2.2679999999999998</v>
      </c>
      <c r="AI1191" s="100" t="s">
        <v>4854</v>
      </c>
      <c r="AJ1191" s="100" t="s">
        <v>4854</v>
      </c>
      <c r="AK1191" s="100" t="s">
        <v>4854</v>
      </c>
      <c r="AL1191" s="100" t="s">
        <v>4854</v>
      </c>
      <c r="AM1191" s="103" t="s">
        <v>4854</v>
      </c>
      <c r="AN1191" s="103" t="s">
        <v>4854</v>
      </c>
      <c r="AO1191" s="103" t="s">
        <v>4854</v>
      </c>
      <c r="AP1191" s="95">
        <v>-1.1013999999999999</v>
      </c>
      <c r="AQ1191" s="103" t="s">
        <v>4854</v>
      </c>
      <c r="AR1191" s="103" t="s">
        <v>4854</v>
      </c>
      <c r="AS1191" s="103" t="s">
        <v>4854</v>
      </c>
      <c r="AT1191" s="103" t="s">
        <v>4854</v>
      </c>
      <c r="AU1191" s="103" t="s">
        <v>4854</v>
      </c>
      <c r="AV1191" s="103" t="s">
        <v>4854</v>
      </c>
      <c r="AW1191" s="103" t="s">
        <v>4854</v>
      </c>
      <c r="AX1191" s="95">
        <v>0.09</v>
      </c>
      <c r="AY1191" s="103" t="s">
        <v>4854</v>
      </c>
      <c r="AZ1191" s="103" t="s">
        <v>4854</v>
      </c>
      <c r="BA1191" s="103" t="s">
        <v>4854</v>
      </c>
      <c r="BB1191" s="103" t="s">
        <v>4854</v>
      </c>
      <c r="BC1191" s="4" t="s">
        <v>4854</v>
      </c>
      <c r="BD1191" s="4" t="s">
        <v>4854</v>
      </c>
      <c r="BE1191" s="4" t="s">
        <v>4854</v>
      </c>
      <c r="BF1191" s="10">
        <v>20</v>
      </c>
      <c r="BG1191" s="4" t="s">
        <v>4854</v>
      </c>
      <c r="BH1191" s="4" t="s">
        <v>4854</v>
      </c>
      <c r="BI1191" s="4" t="s">
        <v>4854</v>
      </c>
      <c r="BJ1191" s="4" t="s">
        <v>4854</v>
      </c>
      <c r="BK1191" s="100" t="s">
        <v>4854</v>
      </c>
      <c r="BL1191" s="100" t="s">
        <v>4854</v>
      </c>
      <c r="BM1191" s="100" t="s">
        <v>4854</v>
      </c>
      <c r="BN1191" s="91">
        <v>0.55900000000000005</v>
      </c>
      <c r="BO1191" s="100" t="s">
        <v>4854</v>
      </c>
      <c r="BP1191" s="100" t="s">
        <v>4854</v>
      </c>
      <c r="BQ1191" s="100" t="s">
        <v>4854</v>
      </c>
      <c r="BR1191" s="100" t="s">
        <v>4854</v>
      </c>
      <c r="BS1191" s="10" t="s">
        <v>4857</v>
      </c>
    </row>
    <row r="1192" spans="1:71" ht="17.100000000000001" customHeight="1">
      <c r="A1192" s="31">
        <v>1181</v>
      </c>
      <c r="B1192" s="2" t="s">
        <v>112</v>
      </c>
      <c r="C1192" s="1"/>
      <c r="D1192" s="1"/>
      <c r="E1192" s="1"/>
      <c r="F1192" s="1"/>
      <c r="G1192" s="1"/>
      <c r="H1192" s="1"/>
      <c r="I1192" s="1"/>
      <c r="J1192" s="1"/>
      <c r="K1192" s="1"/>
      <c r="L1192" s="1"/>
      <c r="M1192" s="1"/>
      <c r="N1192" s="94"/>
      <c r="O1192" s="34"/>
      <c r="P1192" s="34"/>
      <c r="Q1192" s="34"/>
      <c r="R1192" s="34"/>
      <c r="S1192" s="34"/>
      <c r="T1192" s="34"/>
      <c r="U1192" s="34"/>
      <c r="V1192" s="34"/>
      <c r="W1192" s="1"/>
      <c r="X1192" s="1"/>
      <c r="Y1192" s="1"/>
      <c r="Z1192" s="1"/>
      <c r="AA1192" s="1"/>
      <c r="AB1192" s="1"/>
      <c r="AC1192" s="1"/>
      <c r="AD1192" s="1"/>
      <c r="AE1192" s="89"/>
      <c r="AF1192" s="89"/>
      <c r="AG1192" s="89"/>
      <c r="AH1192" s="89"/>
      <c r="AI1192" s="89"/>
      <c r="AJ1192" s="89"/>
      <c r="AK1192" s="89"/>
      <c r="AL1192" s="89"/>
      <c r="AM1192" s="94"/>
      <c r="AN1192" s="94"/>
      <c r="AO1192" s="94"/>
      <c r="AP1192" s="94"/>
      <c r="AQ1192" s="94"/>
      <c r="AR1192" s="94"/>
      <c r="AS1192" s="94"/>
      <c r="AT1192" s="94"/>
      <c r="AU1192" s="94"/>
      <c r="AV1192" s="94"/>
      <c r="AW1192" s="94"/>
      <c r="AX1192" s="94"/>
      <c r="AY1192" s="94"/>
      <c r="AZ1192" s="94"/>
      <c r="BA1192" s="94"/>
      <c r="BB1192" s="94"/>
      <c r="BC1192" s="1"/>
      <c r="BD1192" s="1"/>
      <c r="BE1192" s="1"/>
      <c r="BF1192" s="1"/>
      <c r="BG1192" s="1"/>
      <c r="BH1192" s="1"/>
      <c r="BI1192" s="1"/>
      <c r="BJ1192" s="1"/>
      <c r="BK1192" s="89"/>
      <c r="BL1192" s="89"/>
      <c r="BM1192" s="89"/>
      <c r="BN1192" s="89"/>
      <c r="BO1192" s="89"/>
      <c r="BP1192" s="89"/>
      <c r="BQ1192" s="89"/>
      <c r="BR1192" s="89"/>
      <c r="BS1192" s="1"/>
    </row>
    <row r="1193" spans="1:71" s="30" customFormat="1" ht="17.100000000000001" customHeight="1">
      <c r="A1193" s="14">
        <v>1182</v>
      </c>
      <c r="B1193" s="5" t="s">
        <v>113</v>
      </c>
      <c r="C1193" s="3" t="s">
        <v>112</v>
      </c>
      <c r="D1193" s="3" t="s">
        <v>114</v>
      </c>
      <c r="E1193" s="3" t="s">
        <v>115</v>
      </c>
      <c r="F1193" s="5" t="s">
        <v>5255</v>
      </c>
      <c r="G1193" s="3" t="s">
        <v>116</v>
      </c>
      <c r="H1193" s="6" t="s">
        <v>117</v>
      </c>
      <c r="I1193" s="3" t="s">
        <v>118</v>
      </c>
      <c r="J1193" s="5" t="s">
        <v>4446</v>
      </c>
      <c r="K1193" s="3" t="s">
        <v>6093</v>
      </c>
      <c r="L1193" s="3" t="s">
        <v>119</v>
      </c>
      <c r="M1193" s="5">
        <v>2</v>
      </c>
      <c r="N1193" s="21">
        <v>648.3877</v>
      </c>
      <c r="O1193" s="35" t="s">
        <v>4854</v>
      </c>
      <c r="P1193" s="35" t="s">
        <v>4854</v>
      </c>
      <c r="Q1193" s="35" t="s">
        <v>4854</v>
      </c>
      <c r="R1193" s="36" t="str">
        <f>HYPERLINK("http://ms.phosphosite.org:5080/cgi-bin/plot-msms.cgi?MassType=1&amp;NumAxis=1&amp;Mod6=170&amp;Pep=RPEILKQEIK&amp;Dta=/var/www/html/dta/S01/10561.4585.2.dta&amp;Global_Mod=CS57.0215", "4585")</f>
        <v>4585</v>
      </c>
      <c r="S1193" s="35" t="s">
        <v>4854</v>
      </c>
      <c r="T1193" s="36" t="str">
        <f>HYPERLINK("http://ms.phosphosite.org:5080/cgi-bin/plot-msms.cgi?MassType=1&amp;NumAxis=1&amp;Mod6=170&amp;Pep=RPEILKQEIK&amp;Dta=/var/www/html/dta/S01/10563.4600.2.dta&amp;Global_Mod=CS57.0215", "4600")</f>
        <v>4600</v>
      </c>
      <c r="U1193" s="36" t="str">
        <f>HYPERLINK("http://ms.phosphosite.org:5080/cgi-bin/plot-msms.cgi?MassType=1&amp;NumAxis=1&amp;Mod6=170&amp;Pep=RPEILKQEIK&amp;Dta=/var/www/html/dta/S01/10564.4944.2.dta&amp;Global_Mod=CS57.0215", "4944")</f>
        <v>4944</v>
      </c>
      <c r="V1193" s="36" t="str">
        <f>HYPERLINK("http://ms.phosphosite.org:5080/cgi-bin/plot-msms.cgi?MassType=1&amp;NumAxis=1&amp;Mod6=170&amp;Pep=RPEILKQEIK&amp;Dta=/var/www/html/dta/S01/10565.5041.2.dta&amp;Global_Mod=CS57.0215", "5041")</f>
        <v>5041</v>
      </c>
      <c r="W1193" s="3" t="s">
        <v>4854</v>
      </c>
      <c r="X1193" s="3" t="s">
        <v>4854</v>
      </c>
      <c r="Y1193" s="3" t="s">
        <v>4854</v>
      </c>
      <c r="Z1193" s="5">
        <v>4567</v>
      </c>
      <c r="AA1193" s="3" t="s">
        <v>4854</v>
      </c>
      <c r="AB1193" s="5">
        <v>4596</v>
      </c>
      <c r="AC1193" s="5">
        <v>4934</v>
      </c>
      <c r="AD1193" s="5">
        <v>5054</v>
      </c>
      <c r="AE1193" s="99" t="s">
        <v>4854</v>
      </c>
      <c r="AF1193" s="99" t="s">
        <v>4854</v>
      </c>
      <c r="AG1193" s="99" t="s">
        <v>4854</v>
      </c>
      <c r="AH1193" s="90">
        <v>2.3879999999999999</v>
      </c>
      <c r="AI1193" s="99" t="s">
        <v>4854</v>
      </c>
      <c r="AJ1193" s="90">
        <v>2.492</v>
      </c>
      <c r="AK1193" s="90">
        <v>2.6240000000000001</v>
      </c>
      <c r="AL1193" s="90">
        <v>3.2240000000000002</v>
      </c>
      <c r="AM1193" s="102" t="s">
        <v>4854</v>
      </c>
      <c r="AN1193" s="102" t="s">
        <v>4854</v>
      </c>
      <c r="AO1193" s="102" t="s">
        <v>4854</v>
      </c>
      <c r="AP1193" s="21">
        <v>-7.5899999999999995E-2</v>
      </c>
      <c r="AQ1193" s="102" t="s">
        <v>4854</v>
      </c>
      <c r="AR1193" s="21">
        <v>0.63949999999999996</v>
      </c>
      <c r="AS1193" s="21">
        <v>-0.14069999999999999</v>
      </c>
      <c r="AT1193" s="21">
        <v>0.24440000000000001</v>
      </c>
      <c r="AU1193" s="102" t="s">
        <v>4854</v>
      </c>
      <c r="AV1193" s="102" t="s">
        <v>4854</v>
      </c>
      <c r="AW1193" s="102" t="s">
        <v>4854</v>
      </c>
      <c r="AX1193" s="21">
        <v>0.11899999999999999</v>
      </c>
      <c r="AY1193" s="102" t="s">
        <v>4854</v>
      </c>
      <c r="AZ1193" s="21">
        <v>0.112</v>
      </c>
      <c r="BA1193" s="21">
        <v>0.191</v>
      </c>
      <c r="BB1193" s="21">
        <v>0.26500000000000001</v>
      </c>
      <c r="BC1193" s="3" t="s">
        <v>4854</v>
      </c>
      <c r="BD1193" s="3" t="s">
        <v>4854</v>
      </c>
      <c r="BE1193" s="3" t="s">
        <v>4854</v>
      </c>
      <c r="BF1193" s="5">
        <v>2</v>
      </c>
      <c r="BG1193" s="3" t="s">
        <v>4854</v>
      </c>
      <c r="BH1193" s="5">
        <v>3</v>
      </c>
      <c r="BI1193" s="5">
        <v>5</v>
      </c>
      <c r="BJ1193" s="5">
        <v>1</v>
      </c>
      <c r="BK1193" s="99" t="s">
        <v>4854</v>
      </c>
      <c r="BL1193" s="99" t="s">
        <v>4854</v>
      </c>
      <c r="BM1193" s="99" t="s">
        <v>4854</v>
      </c>
      <c r="BN1193" s="90">
        <v>0.99199999999999999</v>
      </c>
      <c r="BO1193" s="99" t="s">
        <v>4854</v>
      </c>
      <c r="BP1193" s="90">
        <v>0.99199999999999999</v>
      </c>
      <c r="BQ1193" s="90">
        <v>0.997</v>
      </c>
      <c r="BR1193" s="90">
        <v>1</v>
      </c>
      <c r="BS1193" s="5" t="s">
        <v>4857</v>
      </c>
    </row>
    <row r="1194" spans="1:71" s="30" customFormat="1" ht="17.100000000000001" customHeight="1">
      <c r="A1194" s="10">
        <v>1183</v>
      </c>
      <c r="B1194" s="10" t="s">
        <v>120</v>
      </c>
      <c r="C1194" s="4" t="s">
        <v>112</v>
      </c>
      <c r="D1194" s="4" t="s">
        <v>121</v>
      </c>
      <c r="E1194" s="4" t="s">
        <v>122</v>
      </c>
      <c r="F1194" s="10" t="s">
        <v>4574</v>
      </c>
      <c r="G1194" s="4" t="s">
        <v>123</v>
      </c>
      <c r="H1194" s="7" t="s">
        <v>124</v>
      </c>
      <c r="I1194" s="4" t="s">
        <v>125</v>
      </c>
      <c r="J1194" s="10" t="s">
        <v>4578</v>
      </c>
      <c r="K1194" s="4" t="s">
        <v>6094</v>
      </c>
      <c r="L1194" s="4" t="s">
        <v>126</v>
      </c>
      <c r="M1194" s="10">
        <v>2</v>
      </c>
      <c r="N1194" s="95">
        <v>567.79870000000005</v>
      </c>
      <c r="O1194" s="37" t="str">
        <f>HYPERLINK("http://ms.phosphosite.org:5080/cgi-bin/plot-msms.cgi?MassType=1&amp;NumAxis=1&amp;Mod6=170&amp;Pep=TNNPSKYIR&amp;Dta=/var/www/html/dta/S01/10558.3882.2.dta&amp;Global_Mod=CS57.0215", "3882")</f>
        <v>3882</v>
      </c>
      <c r="P1194" s="38" t="s">
        <v>4854</v>
      </c>
      <c r="Q1194" s="37" t="str">
        <f>HYPERLINK("http://ms.phosphosite.org:5080/cgi-bin/plot-msms.cgi?MassType=1&amp;NumAxis=1&amp;Mod6=170&amp;Pep=TNNPSKYIR&amp;Dta=/var/www/html/dta/S01/10560.3782.2.dta&amp;Global_Mod=CS57.0215", "3782")</f>
        <v>3782</v>
      </c>
      <c r="R1194" s="37" t="str">
        <f>HYPERLINK("http://ms.phosphosite.org:5080/cgi-bin/plot-msms.cgi?MassType=1&amp;NumAxis=1&amp;Mod6=170&amp;Pep=TNNPSKYIR&amp;Dta=/var/www/html/dta/S01/10561.3815.2.dta&amp;Global_Mod=CS57.0215", "3815")</f>
        <v>3815</v>
      </c>
      <c r="S1194" s="38" t="s">
        <v>4854</v>
      </c>
      <c r="T1194" s="37" t="str">
        <f>HYPERLINK("http://ms.phosphosite.org:5080/cgi-bin/plot-msms.cgi?MassType=1&amp;NumAxis=1&amp;Mod6=170&amp;Pep=TNNPSKYIR&amp;Dta=/var/www/html/dta/S01/10563.3834.2.dta&amp;Global_Mod=CS57.0215", "3834")</f>
        <v>3834</v>
      </c>
      <c r="U1194" s="37" t="str">
        <f>HYPERLINK("http://ms.phosphosite.org:5080/cgi-bin/plot-msms.cgi?MassType=1&amp;NumAxis=1&amp;Mod6=170&amp;Pep=TNNPSKYIR&amp;Dta=/var/www/html/dta/S01/10564.4189.2.dta&amp;Global_Mod=CS57.0215", "4189")</f>
        <v>4189</v>
      </c>
      <c r="V1194" s="37" t="str">
        <f>HYPERLINK("http://ms.phosphosite.org:5080/cgi-bin/plot-msms.cgi?MassType=1&amp;NumAxis=1&amp;Mod6=170&amp;Pep=TNNPSKYIR&amp;Dta=/var/www/html/dta/S01/10565.4303.2.dta&amp;Global_Mod=CS57.0215", "4303")</f>
        <v>4303</v>
      </c>
      <c r="W1194" s="4" t="s">
        <v>4854</v>
      </c>
      <c r="X1194" s="4" t="s">
        <v>4854</v>
      </c>
      <c r="Y1194" s="4" t="s">
        <v>4854</v>
      </c>
      <c r="Z1194" s="4" t="s">
        <v>4854</v>
      </c>
      <c r="AA1194" s="4" t="s">
        <v>4854</v>
      </c>
      <c r="AB1194" s="10">
        <v>3857</v>
      </c>
      <c r="AC1194" s="10">
        <v>4186</v>
      </c>
      <c r="AD1194" s="10">
        <v>4309</v>
      </c>
      <c r="AE1194" s="91">
        <v>1.891</v>
      </c>
      <c r="AF1194" s="100" t="s">
        <v>4854</v>
      </c>
      <c r="AG1194" s="91">
        <v>1.8120000000000001</v>
      </c>
      <c r="AH1194" s="91">
        <v>1.6180000000000001</v>
      </c>
      <c r="AI1194" s="100" t="s">
        <v>4854</v>
      </c>
      <c r="AJ1194" s="91">
        <v>1.55</v>
      </c>
      <c r="AK1194" s="91">
        <v>2.0350000000000001</v>
      </c>
      <c r="AL1194" s="91">
        <v>1.8029999999999999</v>
      </c>
      <c r="AM1194" s="95">
        <v>0.14449999999999999</v>
      </c>
      <c r="AN1194" s="103" t="s">
        <v>4854</v>
      </c>
      <c r="AO1194" s="95">
        <v>-0.32350000000000001</v>
      </c>
      <c r="AP1194" s="95">
        <v>9.9599999999999994E-2</v>
      </c>
      <c r="AQ1194" s="103" t="s">
        <v>4854</v>
      </c>
      <c r="AR1194" s="95">
        <v>0.17630000000000001</v>
      </c>
      <c r="AS1194" s="95">
        <v>0.1525</v>
      </c>
      <c r="AT1194" s="95">
        <v>8.8000000000000005E-3</v>
      </c>
      <c r="AU1194" s="95">
        <v>0.02</v>
      </c>
      <c r="AV1194" s="103" t="s">
        <v>4854</v>
      </c>
      <c r="AW1194" s="95">
        <v>3.0000000000000001E-3</v>
      </c>
      <c r="AX1194" s="95">
        <v>0.05</v>
      </c>
      <c r="AY1194" s="103" t="s">
        <v>4854</v>
      </c>
      <c r="AZ1194" s="95">
        <v>0.23</v>
      </c>
      <c r="BA1194" s="95">
        <v>0.16500000000000001</v>
      </c>
      <c r="BB1194" s="95">
        <v>0.223</v>
      </c>
      <c r="BC1194" s="10">
        <v>10</v>
      </c>
      <c r="BD1194" s="4" t="s">
        <v>4854</v>
      </c>
      <c r="BE1194" s="10">
        <v>47</v>
      </c>
      <c r="BF1194" s="10">
        <v>9</v>
      </c>
      <c r="BG1194" s="4" t="s">
        <v>4854</v>
      </c>
      <c r="BH1194" s="10">
        <v>5</v>
      </c>
      <c r="BI1194" s="10">
        <v>6</v>
      </c>
      <c r="BJ1194" s="10">
        <v>7</v>
      </c>
      <c r="BK1194" s="91">
        <v>0.88600000000000001</v>
      </c>
      <c r="BL1194" s="100" t="s">
        <v>4854</v>
      </c>
      <c r="BM1194" s="91">
        <v>0.75900000000000001</v>
      </c>
      <c r="BN1194" s="91">
        <v>0.83599999999999997</v>
      </c>
      <c r="BO1194" s="100" t="s">
        <v>4854</v>
      </c>
      <c r="BP1194" s="91">
        <v>0.97699999999999998</v>
      </c>
      <c r="BQ1194" s="91">
        <v>0.98699999999999999</v>
      </c>
      <c r="BR1194" s="91">
        <v>0.98699999999999999</v>
      </c>
      <c r="BS1194" s="10" t="s">
        <v>4857</v>
      </c>
    </row>
    <row r="1195" spans="1:71" s="30" customFormat="1" ht="17.100000000000001" customHeight="1">
      <c r="A1195" s="14">
        <v>1184</v>
      </c>
      <c r="B1195" s="5" t="s">
        <v>1283</v>
      </c>
      <c r="C1195" s="3" t="s">
        <v>112</v>
      </c>
      <c r="D1195" s="3" t="s">
        <v>127</v>
      </c>
      <c r="E1195" s="3" t="s">
        <v>128</v>
      </c>
      <c r="F1195" s="5" t="s">
        <v>5010</v>
      </c>
      <c r="G1195" s="3" t="s">
        <v>129</v>
      </c>
      <c r="H1195" s="6" t="s">
        <v>130</v>
      </c>
      <c r="I1195" s="3" t="s">
        <v>131</v>
      </c>
      <c r="J1195" s="5" t="s">
        <v>4473</v>
      </c>
      <c r="K1195" s="3" t="s">
        <v>6095</v>
      </c>
      <c r="L1195" s="3" t="s">
        <v>132</v>
      </c>
      <c r="M1195" s="5">
        <v>3</v>
      </c>
      <c r="N1195" s="21">
        <v>735.37580000000003</v>
      </c>
      <c r="O1195" s="36" t="str">
        <f>HYPERLINK("http://ms.phosphosite.org:5080/cgi-bin/plot-msms.cgi?MassType=1&amp;NumAxis=1&amp;Mod4=147&amp;Mod13=170&amp;Pep=VAGMLQRPDQLDKVEQYR&amp;Dta=/var/www/html/dta/S01/10558.6796.3.dta&amp;Global_Mod=CS57.0215", "6796")</f>
        <v>6796</v>
      </c>
      <c r="P1195" s="35" t="s">
        <v>4854</v>
      </c>
      <c r="Q1195" s="35" t="s">
        <v>4854</v>
      </c>
      <c r="R1195" s="35" t="s">
        <v>4854</v>
      </c>
      <c r="S1195" s="36" t="str">
        <f>HYPERLINK("http://ms.phosphosite.org:5080/cgi-bin/plot-msms.cgi?MassType=1&amp;NumAxis=1&amp;Mod4=147&amp;Mod13=170&amp;Pep=VAGMLQRPDQLDKVEQYR&amp;Dta=/var/www/html/dta/S01/10562.6872.3.dta&amp;Global_Mod=CS57.0215", "6872")</f>
        <v>6872</v>
      </c>
      <c r="T1195" s="35" t="s">
        <v>4854</v>
      </c>
      <c r="U1195" s="35" t="s">
        <v>4854</v>
      </c>
      <c r="V1195" s="35" t="s">
        <v>4854</v>
      </c>
      <c r="W1195" s="5">
        <v>6820</v>
      </c>
      <c r="X1195" s="3" t="s">
        <v>4854</v>
      </c>
      <c r="Y1195" s="3" t="s">
        <v>4854</v>
      </c>
      <c r="Z1195" s="3" t="s">
        <v>4854</v>
      </c>
      <c r="AA1195" s="5">
        <v>6895</v>
      </c>
      <c r="AB1195" s="3" t="s">
        <v>4854</v>
      </c>
      <c r="AC1195" s="3" t="s">
        <v>4854</v>
      </c>
      <c r="AD1195" s="3" t="s">
        <v>4854</v>
      </c>
      <c r="AE1195" s="90">
        <v>4.2370000000000001</v>
      </c>
      <c r="AF1195" s="99" t="s">
        <v>4854</v>
      </c>
      <c r="AG1195" s="99" t="s">
        <v>4854</v>
      </c>
      <c r="AH1195" s="99" t="s">
        <v>4854</v>
      </c>
      <c r="AI1195" s="90">
        <v>4.2249999999999996</v>
      </c>
      <c r="AJ1195" s="99" t="s">
        <v>4854</v>
      </c>
      <c r="AK1195" s="99" t="s">
        <v>4854</v>
      </c>
      <c r="AL1195" s="99" t="s">
        <v>4854</v>
      </c>
      <c r="AM1195" s="21">
        <v>1.4144000000000001</v>
      </c>
      <c r="AN1195" s="102" t="s">
        <v>4854</v>
      </c>
      <c r="AO1195" s="102" t="s">
        <v>4854</v>
      </c>
      <c r="AP1195" s="102" t="s">
        <v>4854</v>
      </c>
      <c r="AQ1195" s="21">
        <v>2.6897000000000002</v>
      </c>
      <c r="AR1195" s="102" t="s">
        <v>4854</v>
      </c>
      <c r="AS1195" s="102" t="s">
        <v>4854</v>
      </c>
      <c r="AT1195" s="102" t="s">
        <v>4854</v>
      </c>
      <c r="AU1195" s="21">
        <v>0.39700000000000002</v>
      </c>
      <c r="AV1195" s="102" t="s">
        <v>4854</v>
      </c>
      <c r="AW1195" s="102" t="s">
        <v>4854</v>
      </c>
      <c r="AX1195" s="102" t="s">
        <v>4854</v>
      </c>
      <c r="AY1195" s="21">
        <v>0.47699999999999998</v>
      </c>
      <c r="AZ1195" s="102" t="s">
        <v>4854</v>
      </c>
      <c r="BA1195" s="102" t="s">
        <v>4854</v>
      </c>
      <c r="BB1195" s="102" t="s">
        <v>4854</v>
      </c>
      <c r="BC1195" s="5">
        <v>1</v>
      </c>
      <c r="BD1195" s="3" t="s">
        <v>4854</v>
      </c>
      <c r="BE1195" s="3" t="s">
        <v>4854</v>
      </c>
      <c r="BF1195" s="3" t="s">
        <v>4854</v>
      </c>
      <c r="BG1195" s="5">
        <v>1</v>
      </c>
      <c r="BH1195" s="3" t="s">
        <v>4854</v>
      </c>
      <c r="BI1195" s="3" t="s">
        <v>4854</v>
      </c>
      <c r="BJ1195" s="3" t="s">
        <v>4854</v>
      </c>
      <c r="BK1195" s="90">
        <v>1</v>
      </c>
      <c r="BL1195" s="99" t="s">
        <v>4854</v>
      </c>
      <c r="BM1195" s="99" t="s">
        <v>4854</v>
      </c>
      <c r="BN1195" s="99" t="s">
        <v>4854</v>
      </c>
      <c r="BO1195" s="90">
        <v>1</v>
      </c>
      <c r="BP1195" s="99" t="s">
        <v>4854</v>
      </c>
      <c r="BQ1195" s="99" t="s">
        <v>4854</v>
      </c>
      <c r="BR1195" s="99" t="s">
        <v>4854</v>
      </c>
      <c r="BS1195" s="5" t="s">
        <v>4857</v>
      </c>
    </row>
    <row r="1196" spans="1:71" s="30" customFormat="1" ht="17.100000000000001" customHeight="1">
      <c r="A1196" s="10">
        <v>1185</v>
      </c>
      <c r="B1196" s="10" t="s">
        <v>133</v>
      </c>
      <c r="C1196" s="4" t="s">
        <v>112</v>
      </c>
      <c r="D1196" s="4" t="s">
        <v>134</v>
      </c>
      <c r="E1196" s="4" t="s">
        <v>135</v>
      </c>
      <c r="F1196" s="10" t="s">
        <v>4950</v>
      </c>
      <c r="G1196" s="4" t="s">
        <v>136</v>
      </c>
      <c r="H1196" s="7" t="s">
        <v>137</v>
      </c>
      <c r="I1196" s="4" t="s">
        <v>138</v>
      </c>
      <c r="J1196" s="10" t="s">
        <v>139</v>
      </c>
      <c r="K1196" s="4" t="s">
        <v>6096</v>
      </c>
      <c r="L1196" s="4" t="s">
        <v>140</v>
      </c>
      <c r="M1196" s="10">
        <v>2</v>
      </c>
      <c r="N1196" s="95">
        <v>561.7749</v>
      </c>
      <c r="O1196" s="37" t="str">
        <f>HYPERLINK("http://ms.phosphosite.org:5080/cgi-bin/plot-msms.cgi?MassType=1&amp;NumAxis=1&amp;Mod4=170&amp;Pep=NSFKDVDQK&amp;Dta=/var/www/html/dta/S01/10558.3315.2.dta&amp;Global_Mod=CS57.0215", "3315")</f>
        <v>3315</v>
      </c>
      <c r="P1196" s="37" t="str">
        <f>HYPERLINK("http://ms.phosphosite.org:5080/cgi-bin/plot-msms.cgi?MassType=1&amp;NumAxis=1&amp;Mod4=170&amp;Pep=NSFKDVDQK&amp;Dta=/var/www/html/dta/S01/10559.3237.2.dta&amp;Global_Mod=CS57.0215", "3237")</f>
        <v>3237</v>
      </c>
      <c r="Q1196" s="37" t="str">
        <f>HYPERLINK("http://ms.phosphosite.org:5080/cgi-bin/plot-msms.cgi?MassType=1&amp;NumAxis=1&amp;Mod4=170&amp;Pep=NSFKDVDQK&amp;Dta=/var/www/html/dta/S01/10560.3228.2.dta&amp;Global_Mod=CS57.0215", "3228")</f>
        <v>3228</v>
      </c>
      <c r="R1196" s="37" t="str">
        <f>HYPERLINK("http://ms.phosphosite.org:5080/cgi-bin/plot-msms.cgi?MassType=1&amp;NumAxis=1&amp;Mod4=170&amp;Pep=NSFKDVDQK&amp;Dta=/var/www/html/dta/S01/10561.3232.2.dta&amp;Global_Mod=CS57.0215", "3232")</f>
        <v>3232</v>
      </c>
      <c r="S1196" s="37" t="str">
        <f>HYPERLINK("http://ms.phosphosite.org:5080/cgi-bin/plot-msms.cgi?MassType=1&amp;NumAxis=1&amp;Mod4=170&amp;Pep=NSFKDVDQK&amp;Dta=/var/www/html/dta/S01/10562.3337.2.dta&amp;Global_Mod=CS57.0215", "3337")</f>
        <v>3337</v>
      </c>
      <c r="T1196" s="37" t="str">
        <f>HYPERLINK("http://ms.phosphosite.org:5080/cgi-bin/plot-msms.cgi?MassType=1&amp;NumAxis=1&amp;Mod4=170&amp;Pep=NSFKDVDQK&amp;Dta=/var/www/html/dta/S01/10563.3267.2.dta&amp;Global_Mod=CS57.0215", "3267")</f>
        <v>3267</v>
      </c>
      <c r="U1196" s="38" t="s">
        <v>4854</v>
      </c>
      <c r="V1196" s="38" t="s">
        <v>4854</v>
      </c>
      <c r="W1196" s="4" t="s">
        <v>4854</v>
      </c>
      <c r="X1196" s="10">
        <v>3231</v>
      </c>
      <c r="Y1196" s="10">
        <v>3223</v>
      </c>
      <c r="Z1196" s="10">
        <v>3251</v>
      </c>
      <c r="AA1196" s="10">
        <v>3328</v>
      </c>
      <c r="AB1196" s="10">
        <v>3273</v>
      </c>
      <c r="AC1196" s="4" t="s">
        <v>4854</v>
      </c>
      <c r="AD1196" s="4" t="s">
        <v>4854</v>
      </c>
      <c r="AE1196" s="91">
        <v>1.887</v>
      </c>
      <c r="AF1196" s="91">
        <v>2.5750000000000002</v>
      </c>
      <c r="AG1196" s="91">
        <v>2.0569999999999999</v>
      </c>
      <c r="AH1196" s="91">
        <v>2.5070000000000001</v>
      </c>
      <c r="AI1196" s="91">
        <v>2.2639999999999998</v>
      </c>
      <c r="AJ1196" s="91">
        <v>2.1560000000000001</v>
      </c>
      <c r="AK1196" s="100" t="s">
        <v>4854</v>
      </c>
      <c r="AL1196" s="100" t="s">
        <v>4854</v>
      </c>
      <c r="AM1196" s="95">
        <v>0.83909999999999996</v>
      </c>
      <c r="AN1196" s="95">
        <v>7.5600000000000001E-2</v>
      </c>
      <c r="AO1196" s="95">
        <v>0.95489999999999997</v>
      </c>
      <c r="AP1196" s="95">
        <v>0.57269999999999999</v>
      </c>
      <c r="AQ1196" s="95">
        <v>-5.9799999999999999E-2</v>
      </c>
      <c r="AR1196" s="95">
        <v>7.2099999999999997E-2</v>
      </c>
      <c r="AS1196" s="103" t="s">
        <v>4854</v>
      </c>
      <c r="AT1196" s="103" t="s">
        <v>4854</v>
      </c>
      <c r="AU1196" s="95">
        <v>6.4000000000000001E-2</v>
      </c>
      <c r="AV1196" s="95">
        <v>0.17</v>
      </c>
      <c r="AW1196" s="95">
        <v>0.20499999999999999</v>
      </c>
      <c r="AX1196" s="95">
        <v>0.26500000000000001</v>
      </c>
      <c r="AY1196" s="95">
        <v>0.253</v>
      </c>
      <c r="AZ1196" s="95">
        <v>0.17</v>
      </c>
      <c r="BA1196" s="103" t="s">
        <v>4854</v>
      </c>
      <c r="BB1196" s="103" t="s">
        <v>4854</v>
      </c>
      <c r="BC1196" s="10">
        <v>62</v>
      </c>
      <c r="BD1196" s="10">
        <v>30</v>
      </c>
      <c r="BE1196" s="10">
        <v>52</v>
      </c>
      <c r="BF1196" s="10">
        <v>2</v>
      </c>
      <c r="BG1196" s="10">
        <v>4</v>
      </c>
      <c r="BH1196" s="10">
        <v>39</v>
      </c>
      <c r="BI1196" s="4" t="s">
        <v>4854</v>
      </c>
      <c r="BJ1196" s="4" t="s">
        <v>4854</v>
      </c>
      <c r="BK1196" s="91">
        <v>0.877</v>
      </c>
      <c r="BL1196" s="91">
        <v>0.99399999999999999</v>
      </c>
      <c r="BM1196" s="91">
        <v>0.98499999999999999</v>
      </c>
      <c r="BN1196" s="91">
        <v>0.999</v>
      </c>
      <c r="BO1196" s="91">
        <v>0.998</v>
      </c>
      <c r="BP1196" s="91">
        <v>0.98399999999999999</v>
      </c>
      <c r="BQ1196" s="100" t="s">
        <v>4854</v>
      </c>
      <c r="BR1196" s="100" t="s">
        <v>4854</v>
      </c>
      <c r="BS1196" s="10" t="s">
        <v>4857</v>
      </c>
    </row>
    <row r="1197" spans="1:71" s="30" customFormat="1" ht="17.100000000000001" customHeight="1">
      <c r="A1197" s="14">
        <v>1186</v>
      </c>
      <c r="B1197" s="5" t="s">
        <v>141</v>
      </c>
      <c r="C1197" s="3" t="s">
        <v>112</v>
      </c>
      <c r="D1197" s="3" t="s">
        <v>142</v>
      </c>
      <c r="E1197" s="3" t="s">
        <v>143</v>
      </c>
      <c r="F1197" s="5" t="s">
        <v>4464</v>
      </c>
      <c r="G1197" s="3" t="s">
        <v>144</v>
      </c>
      <c r="H1197" s="6" t="s">
        <v>14</v>
      </c>
      <c r="I1197" s="3" t="s">
        <v>15</v>
      </c>
      <c r="J1197" s="5" t="s">
        <v>4384</v>
      </c>
      <c r="K1197" s="3" t="s">
        <v>6097</v>
      </c>
      <c r="L1197" s="3" t="s">
        <v>16</v>
      </c>
      <c r="M1197" s="5">
        <v>2</v>
      </c>
      <c r="N1197" s="21">
        <v>410.25799999999998</v>
      </c>
      <c r="O1197" s="35" t="s">
        <v>4854</v>
      </c>
      <c r="P1197" s="35" t="s">
        <v>4854</v>
      </c>
      <c r="Q1197" s="35" t="s">
        <v>4854</v>
      </c>
      <c r="R1197" s="35" t="s">
        <v>4854</v>
      </c>
      <c r="S1197" s="35" t="s">
        <v>4854</v>
      </c>
      <c r="T1197" s="36" t="str">
        <f>HYPERLINK("http://ms.phosphosite.org:5080/cgi-bin/plot-msms.cgi?MassType=1&amp;NumAxis=1&amp;Mod1=170&amp;Pep=KTIFLR&amp;Dta=/var/www/html/dta/S01/10563.7191.2.dta&amp;Global_Mod=CS57.0215", "7191")</f>
        <v>7191</v>
      </c>
      <c r="U1197" s="35" t="s">
        <v>4854</v>
      </c>
      <c r="V1197" s="35" t="s">
        <v>4854</v>
      </c>
      <c r="W1197" s="3" t="s">
        <v>4854</v>
      </c>
      <c r="X1197" s="3" t="s">
        <v>4854</v>
      </c>
      <c r="Y1197" s="3" t="s">
        <v>4854</v>
      </c>
      <c r="Z1197" s="3" t="s">
        <v>4854</v>
      </c>
      <c r="AA1197" s="3" t="s">
        <v>4854</v>
      </c>
      <c r="AB1197" s="3" t="s">
        <v>4854</v>
      </c>
      <c r="AC1197" s="3" t="s">
        <v>4854</v>
      </c>
      <c r="AD1197" s="3" t="s">
        <v>4854</v>
      </c>
      <c r="AE1197" s="99" t="s">
        <v>4854</v>
      </c>
      <c r="AF1197" s="99" t="s">
        <v>4854</v>
      </c>
      <c r="AG1197" s="99" t="s">
        <v>4854</v>
      </c>
      <c r="AH1197" s="99" t="s">
        <v>4854</v>
      </c>
      <c r="AI1197" s="99" t="s">
        <v>4854</v>
      </c>
      <c r="AJ1197" s="90">
        <v>1.8180000000000001</v>
      </c>
      <c r="AK1197" s="99" t="s">
        <v>4854</v>
      </c>
      <c r="AL1197" s="99" t="s">
        <v>4854</v>
      </c>
      <c r="AM1197" s="102" t="s">
        <v>4854</v>
      </c>
      <c r="AN1197" s="102" t="s">
        <v>4854</v>
      </c>
      <c r="AO1197" s="102" t="s">
        <v>4854</v>
      </c>
      <c r="AP1197" s="102" t="s">
        <v>4854</v>
      </c>
      <c r="AQ1197" s="102" t="s">
        <v>4854</v>
      </c>
      <c r="AR1197" s="21">
        <v>0.13150000000000001</v>
      </c>
      <c r="AS1197" s="102" t="s">
        <v>4854</v>
      </c>
      <c r="AT1197" s="102" t="s">
        <v>4854</v>
      </c>
      <c r="AU1197" s="102" t="s">
        <v>4854</v>
      </c>
      <c r="AV1197" s="102" t="s">
        <v>4854</v>
      </c>
      <c r="AW1197" s="102" t="s">
        <v>4854</v>
      </c>
      <c r="AX1197" s="102" t="s">
        <v>4854</v>
      </c>
      <c r="AY1197" s="102" t="s">
        <v>4854</v>
      </c>
      <c r="AZ1197" s="21">
        <v>0</v>
      </c>
      <c r="BA1197" s="102" t="s">
        <v>4854</v>
      </c>
      <c r="BB1197" s="102" t="s">
        <v>4854</v>
      </c>
      <c r="BC1197" s="3" t="s">
        <v>4854</v>
      </c>
      <c r="BD1197" s="3" t="s">
        <v>4854</v>
      </c>
      <c r="BE1197" s="3" t="s">
        <v>4854</v>
      </c>
      <c r="BF1197" s="3" t="s">
        <v>4854</v>
      </c>
      <c r="BG1197" s="3" t="s">
        <v>4854</v>
      </c>
      <c r="BH1197" s="5">
        <v>2</v>
      </c>
      <c r="BI1197" s="3" t="s">
        <v>4854</v>
      </c>
      <c r="BJ1197" s="3" t="s">
        <v>4854</v>
      </c>
      <c r="BK1197" s="99" t="s">
        <v>4854</v>
      </c>
      <c r="BL1197" s="99" t="s">
        <v>4854</v>
      </c>
      <c r="BM1197" s="99" t="s">
        <v>4854</v>
      </c>
      <c r="BN1197" s="99" t="s">
        <v>4854</v>
      </c>
      <c r="BO1197" s="99" t="s">
        <v>4854</v>
      </c>
      <c r="BP1197" s="90">
        <v>0.10199999999999999</v>
      </c>
      <c r="BQ1197" s="99" t="s">
        <v>4854</v>
      </c>
      <c r="BR1197" s="99" t="s">
        <v>4854</v>
      </c>
      <c r="BS1197" s="5" t="s">
        <v>4857</v>
      </c>
    </row>
    <row r="1198" spans="1:71" s="30" customFormat="1" ht="17.100000000000001" customHeight="1">
      <c r="A1198" s="10">
        <v>1187</v>
      </c>
      <c r="B1198" s="10" t="s">
        <v>17</v>
      </c>
      <c r="C1198" s="4" t="s">
        <v>112</v>
      </c>
      <c r="D1198" s="4" t="s">
        <v>18</v>
      </c>
      <c r="E1198" s="7" t="s">
        <v>19</v>
      </c>
      <c r="F1198" s="10" t="s">
        <v>4580</v>
      </c>
      <c r="G1198" s="4" t="s">
        <v>20</v>
      </c>
      <c r="H1198" s="7" t="s">
        <v>21</v>
      </c>
      <c r="I1198" s="4" t="s">
        <v>22</v>
      </c>
      <c r="J1198" s="10" t="s">
        <v>4780</v>
      </c>
      <c r="K1198" s="4" t="s">
        <v>6098</v>
      </c>
      <c r="L1198" s="4" t="s">
        <v>23</v>
      </c>
      <c r="M1198" s="10">
        <v>5</v>
      </c>
      <c r="N1198" s="95">
        <v>848.00789999999995</v>
      </c>
      <c r="O1198" s="38" t="s">
        <v>4854</v>
      </c>
      <c r="P1198" s="38" t="s">
        <v>4854</v>
      </c>
      <c r="Q1198" s="38" t="s">
        <v>4854</v>
      </c>
      <c r="R1198" s="38" t="s">
        <v>4854</v>
      </c>
      <c r="S1198" s="38" t="s">
        <v>4854</v>
      </c>
      <c r="T1198" s="38" t="s">
        <v>4854</v>
      </c>
      <c r="U1198" s="37" t="str">
        <f>HYPERLINK("http://ms.phosphosite.org:5080/cgi-bin/plot-msms.cgi?MassType=1&amp;NumAxis=1&amp;Mod24=147&amp;Mod31=147&amp;Mod36=170&amp;Pep=DAGIRTLVMLDEQGEQLERIEEGMDQINKDMKEAEK&amp;Dta=/var/www/html/dta/S01/10564.11213.5.dta&amp;Global_Mod=CS57.0215", "11213")</f>
        <v>11213</v>
      </c>
      <c r="V1198" s="38" t="s">
        <v>4854</v>
      </c>
      <c r="W1198" s="4" t="s">
        <v>4854</v>
      </c>
      <c r="X1198" s="4" t="s">
        <v>4854</v>
      </c>
      <c r="Y1198" s="4" t="s">
        <v>4854</v>
      </c>
      <c r="Z1198" s="4" t="s">
        <v>4854</v>
      </c>
      <c r="AA1198" s="4" t="s">
        <v>4854</v>
      </c>
      <c r="AB1198" s="4" t="s">
        <v>4854</v>
      </c>
      <c r="AC1198" s="4" t="s">
        <v>4854</v>
      </c>
      <c r="AD1198" s="4" t="s">
        <v>4854</v>
      </c>
      <c r="AE1198" s="100" t="s">
        <v>4854</v>
      </c>
      <c r="AF1198" s="100" t="s">
        <v>4854</v>
      </c>
      <c r="AG1198" s="100" t="s">
        <v>4854</v>
      </c>
      <c r="AH1198" s="100" t="s">
        <v>4854</v>
      </c>
      <c r="AI1198" s="100" t="s">
        <v>4854</v>
      </c>
      <c r="AJ1198" s="100" t="s">
        <v>4854</v>
      </c>
      <c r="AK1198" s="91">
        <v>2.8719999999999999</v>
      </c>
      <c r="AL1198" s="100" t="s">
        <v>4854</v>
      </c>
      <c r="AM1198" s="103" t="s">
        <v>4854</v>
      </c>
      <c r="AN1198" s="103" t="s">
        <v>4854</v>
      </c>
      <c r="AO1198" s="103" t="s">
        <v>4854</v>
      </c>
      <c r="AP1198" s="103" t="s">
        <v>4854</v>
      </c>
      <c r="AQ1198" s="103" t="s">
        <v>4854</v>
      </c>
      <c r="AR1198" s="103" t="s">
        <v>4854</v>
      </c>
      <c r="AS1198" s="95">
        <v>2.9611000000000001</v>
      </c>
      <c r="AT1198" s="103" t="s">
        <v>4854</v>
      </c>
      <c r="AU1198" s="103" t="s">
        <v>4854</v>
      </c>
      <c r="AV1198" s="103" t="s">
        <v>4854</v>
      </c>
      <c r="AW1198" s="103" t="s">
        <v>4854</v>
      </c>
      <c r="AX1198" s="103" t="s">
        <v>4854</v>
      </c>
      <c r="AY1198" s="103" t="s">
        <v>4854</v>
      </c>
      <c r="AZ1198" s="103" t="s">
        <v>4854</v>
      </c>
      <c r="BA1198" s="95">
        <v>1.2E-2</v>
      </c>
      <c r="BB1198" s="103" t="s">
        <v>4854</v>
      </c>
      <c r="BC1198" s="4" t="s">
        <v>4854</v>
      </c>
      <c r="BD1198" s="4" t="s">
        <v>4854</v>
      </c>
      <c r="BE1198" s="4" t="s">
        <v>4854</v>
      </c>
      <c r="BF1198" s="4" t="s">
        <v>4854</v>
      </c>
      <c r="BG1198" s="4" t="s">
        <v>4854</v>
      </c>
      <c r="BH1198" s="4" t="s">
        <v>4854</v>
      </c>
      <c r="BI1198" s="10">
        <v>404</v>
      </c>
      <c r="BJ1198" s="4" t="s">
        <v>4854</v>
      </c>
      <c r="BK1198" s="100" t="s">
        <v>4854</v>
      </c>
      <c r="BL1198" s="100" t="s">
        <v>4854</v>
      </c>
      <c r="BM1198" s="100" t="s">
        <v>4854</v>
      </c>
      <c r="BN1198" s="100" t="s">
        <v>4854</v>
      </c>
      <c r="BO1198" s="100" t="s">
        <v>4854</v>
      </c>
      <c r="BP1198" s="100" t="s">
        <v>4854</v>
      </c>
      <c r="BQ1198" s="91">
        <v>6.7000000000000004E-2</v>
      </c>
      <c r="BR1198" s="100" t="s">
        <v>4854</v>
      </c>
      <c r="BS1198" s="10" t="s">
        <v>4857</v>
      </c>
    </row>
    <row r="1199" spans="1:71" s="30" customFormat="1" ht="17.100000000000001" customHeight="1">
      <c r="A1199" s="14">
        <v>1188</v>
      </c>
      <c r="B1199" s="5" t="s">
        <v>24</v>
      </c>
      <c r="C1199" s="3" t="s">
        <v>112</v>
      </c>
      <c r="D1199" s="3" t="s">
        <v>25</v>
      </c>
      <c r="E1199" s="3" t="s">
        <v>26</v>
      </c>
      <c r="F1199" s="5" t="s">
        <v>27</v>
      </c>
      <c r="G1199" s="3" t="s">
        <v>28</v>
      </c>
      <c r="H1199" s="6" t="s">
        <v>29</v>
      </c>
      <c r="I1199" s="3" t="s">
        <v>30</v>
      </c>
      <c r="J1199" s="5" t="s">
        <v>4638</v>
      </c>
      <c r="K1199" s="3" t="s">
        <v>6099</v>
      </c>
      <c r="L1199" s="3" t="s">
        <v>31</v>
      </c>
      <c r="M1199" s="5">
        <v>4</v>
      </c>
      <c r="N1199" s="21">
        <v>880.43499999999995</v>
      </c>
      <c r="O1199" s="35" t="s">
        <v>4854</v>
      </c>
      <c r="P1199" s="35" t="s">
        <v>4854</v>
      </c>
      <c r="Q1199" s="35" t="s">
        <v>4854</v>
      </c>
      <c r="R1199" s="35" t="s">
        <v>4854</v>
      </c>
      <c r="S1199" s="35" t="s">
        <v>4854</v>
      </c>
      <c r="T1199" s="35" t="s">
        <v>4854</v>
      </c>
      <c r="U1199" s="35" t="s">
        <v>4854</v>
      </c>
      <c r="V1199" s="36" t="str">
        <f>HYPERLINK("http://ms.phosphosite.org:5080/cgi-bin/plot-msms.cgi?MassType=1&amp;NumAxis=1&amp;Mod8=170&amp;Mod13=147&amp;Mod20=170&amp;Mod29=147&amp;Pep=VGITDPEKIGDGMNAYVAYKVTTQTSLPMFR&amp;Dta=/var/www/html/dta/S01/10565.14630.4.dta&amp;Global_Mod=CS57.0215", "14630")</f>
        <v>14630</v>
      </c>
      <c r="W1199" s="3" t="s">
        <v>4854</v>
      </c>
      <c r="X1199" s="3" t="s">
        <v>4854</v>
      </c>
      <c r="Y1199" s="3" t="s">
        <v>4854</v>
      </c>
      <c r="Z1199" s="3" t="s">
        <v>4854</v>
      </c>
      <c r="AA1199" s="3" t="s">
        <v>4854</v>
      </c>
      <c r="AB1199" s="3" t="s">
        <v>4854</v>
      </c>
      <c r="AC1199" s="3" t="s">
        <v>4854</v>
      </c>
      <c r="AD1199" s="3" t="s">
        <v>4854</v>
      </c>
      <c r="AE1199" s="99" t="s">
        <v>4854</v>
      </c>
      <c r="AF1199" s="99" t="s">
        <v>4854</v>
      </c>
      <c r="AG1199" s="99" t="s">
        <v>4854</v>
      </c>
      <c r="AH1199" s="99" t="s">
        <v>4854</v>
      </c>
      <c r="AI1199" s="99" t="s">
        <v>4854</v>
      </c>
      <c r="AJ1199" s="99" t="s">
        <v>4854</v>
      </c>
      <c r="AK1199" s="99" t="s">
        <v>4854</v>
      </c>
      <c r="AL1199" s="90">
        <v>2.5230000000000001</v>
      </c>
      <c r="AM1199" s="102" t="s">
        <v>4854</v>
      </c>
      <c r="AN1199" s="102" t="s">
        <v>4854</v>
      </c>
      <c r="AO1199" s="102" t="s">
        <v>4854</v>
      </c>
      <c r="AP1199" s="102" t="s">
        <v>4854</v>
      </c>
      <c r="AQ1199" s="102" t="s">
        <v>4854</v>
      </c>
      <c r="AR1199" s="102" t="s">
        <v>4854</v>
      </c>
      <c r="AS1199" s="102" t="s">
        <v>4854</v>
      </c>
      <c r="AT1199" s="21">
        <v>0.30220000000000002</v>
      </c>
      <c r="AU1199" s="102" t="s">
        <v>4854</v>
      </c>
      <c r="AV1199" s="102" t="s">
        <v>4854</v>
      </c>
      <c r="AW1199" s="102" t="s">
        <v>4854</v>
      </c>
      <c r="AX1199" s="102" t="s">
        <v>4854</v>
      </c>
      <c r="AY1199" s="102" t="s">
        <v>4854</v>
      </c>
      <c r="AZ1199" s="102" t="s">
        <v>4854</v>
      </c>
      <c r="BA1199" s="102" t="s">
        <v>4854</v>
      </c>
      <c r="BB1199" s="21">
        <v>0.08</v>
      </c>
      <c r="BC1199" s="3" t="s">
        <v>4854</v>
      </c>
      <c r="BD1199" s="3" t="s">
        <v>4854</v>
      </c>
      <c r="BE1199" s="3" t="s">
        <v>4854</v>
      </c>
      <c r="BF1199" s="3" t="s">
        <v>4854</v>
      </c>
      <c r="BG1199" s="3" t="s">
        <v>4854</v>
      </c>
      <c r="BH1199" s="3" t="s">
        <v>4854</v>
      </c>
      <c r="BI1199" s="3" t="s">
        <v>4854</v>
      </c>
      <c r="BJ1199" s="5">
        <v>15</v>
      </c>
      <c r="BK1199" s="99" t="s">
        <v>4854</v>
      </c>
      <c r="BL1199" s="99" t="s">
        <v>4854</v>
      </c>
      <c r="BM1199" s="99" t="s">
        <v>4854</v>
      </c>
      <c r="BN1199" s="99" t="s">
        <v>4854</v>
      </c>
      <c r="BO1199" s="99" t="s">
        <v>4854</v>
      </c>
      <c r="BP1199" s="99" t="s">
        <v>4854</v>
      </c>
      <c r="BQ1199" s="99" t="s">
        <v>4854</v>
      </c>
      <c r="BR1199" s="90">
        <v>7.6999999999999999E-2</v>
      </c>
      <c r="BS1199" s="5" t="s">
        <v>4857</v>
      </c>
    </row>
    <row r="1200" spans="1:71" ht="17.100000000000001" customHeight="1">
      <c r="A1200" s="31">
        <v>1189</v>
      </c>
      <c r="B1200" s="2" t="s">
        <v>32</v>
      </c>
      <c r="C1200" s="1"/>
      <c r="D1200" s="1"/>
      <c r="E1200" s="1"/>
      <c r="F1200" s="1"/>
      <c r="G1200" s="1"/>
      <c r="H1200" s="1"/>
      <c r="I1200" s="1"/>
      <c r="J1200" s="1"/>
      <c r="K1200" s="1"/>
      <c r="L1200" s="1"/>
      <c r="M1200" s="1"/>
      <c r="N1200" s="94"/>
      <c r="O1200" s="34"/>
      <c r="P1200" s="34"/>
      <c r="Q1200" s="34"/>
      <c r="R1200" s="34"/>
      <c r="S1200" s="34"/>
      <c r="T1200" s="34"/>
      <c r="U1200" s="34"/>
      <c r="V1200" s="34"/>
      <c r="W1200" s="1"/>
      <c r="X1200" s="1"/>
      <c r="Y1200" s="1"/>
      <c r="Z1200" s="1"/>
      <c r="AA1200" s="1"/>
      <c r="AB1200" s="1"/>
      <c r="AC1200" s="1"/>
      <c r="AD1200" s="1"/>
      <c r="AE1200" s="89"/>
      <c r="AF1200" s="89"/>
      <c r="AG1200" s="89"/>
      <c r="AH1200" s="89"/>
      <c r="AI1200" s="89"/>
      <c r="AJ1200" s="89"/>
      <c r="AK1200" s="89"/>
      <c r="AL1200" s="89"/>
      <c r="AM1200" s="94"/>
      <c r="AN1200" s="94"/>
      <c r="AO1200" s="94"/>
      <c r="AP1200" s="94"/>
      <c r="AQ1200" s="94"/>
      <c r="AR1200" s="94"/>
      <c r="AS1200" s="94"/>
      <c r="AT1200" s="94"/>
      <c r="AU1200" s="94"/>
      <c r="AV1200" s="94"/>
      <c r="AW1200" s="94"/>
      <c r="AX1200" s="94"/>
      <c r="AY1200" s="94"/>
      <c r="AZ1200" s="94"/>
      <c r="BA1200" s="94"/>
      <c r="BB1200" s="94"/>
      <c r="BC1200" s="1"/>
      <c r="BD1200" s="1"/>
      <c r="BE1200" s="1"/>
      <c r="BF1200" s="1"/>
      <c r="BG1200" s="1"/>
      <c r="BH1200" s="1"/>
      <c r="BI1200" s="1"/>
      <c r="BJ1200" s="1"/>
      <c r="BK1200" s="89"/>
      <c r="BL1200" s="89"/>
      <c r="BM1200" s="89"/>
      <c r="BN1200" s="89"/>
      <c r="BO1200" s="89"/>
      <c r="BP1200" s="89"/>
      <c r="BQ1200" s="89"/>
      <c r="BR1200" s="89"/>
      <c r="BS1200" s="1"/>
    </row>
    <row r="1201" spans="1:71" s="30" customFormat="1" ht="17.100000000000001" customHeight="1">
      <c r="A1201" s="10">
        <v>1190</v>
      </c>
      <c r="B1201" s="10" t="s">
        <v>33</v>
      </c>
      <c r="C1201" s="4" t="s">
        <v>32</v>
      </c>
      <c r="D1201" s="4" t="s">
        <v>34</v>
      </c>
      <c r="E1201" s="4" t="s">
        <v>35</v>
      </c>
      <c r="F1201" s="10" t="s">
        <v>36</v>
      </c>
      <c r="G1201" s="4" t="s">
        <v>35</v>
      </c>
      <c r="H1201" s="7" t="s">
        <v>37</v>
      </c>
      <c r="I1201" s="4" t="s">
        <v>38</v>
      </c>
      <c r="J1201" s="10" t="s">
        <v>4546</v>
      </c>
      <c r="K1201" s="4" t="s">
        <v>6100</v>
      </c>
      <c r="L1201" s="4" t="s">
        <v>39</v>
      </c>
      <c r="M1201" s="10">
        <v>2</v>
      </c>
      <c r="N1201" s="95">
        <v>591.31730000000005</v>
      </c>
      <c r="O1201" s="38" t="s">
        <v>4854</v>
      </c>
      <c r="P1201" s="38" t="s">
        <v>4854</v>
      </c>
      <c r="Q1201" s="38" t="s">
        <v>4854</v>
      </c>
      <c r="R1201" s="38" t="s">
        <v>4854</v>
      </c>
      <c r="S1201" s="38" t="s">
        <v>4854</v>
      </c>
      <c r="T1201" s="38" t="s">
        <v>4854</v>
      </c>
      <c r="U1201" s="38" t="s">
        <v>4854</v>
      </c>
      <c r="V1201" s="37" t="str">
        <f>HYPERLINK("http://ms.phosphosite.org:5080/cgi-bin/plot-msms.cgi?MassType=1&amp;NumAxis=1&amp;Mod3=170&amp;Mod5=170&amp;Mod7=170&amp;Pep=SGKHKNKEK&amp;Dta=/var/www/html/dta/S01/10565.1554.2.dta&amp;Global_Mod=CS57.0215", "1554")</f>
        <v>1554</v>
      </c>
      <c r="W1201" s="4" t="s">
        <v>4854</v>
      </c>
      <c r="X1201" s="4" t="s">
        <v>4854</v>
      </c>
      <c r="Y1201" s="4" t="s">
        <v>4854</v>
      </c>
      <c r="Z1201" s="4" t="s">
        <v>4854</v>
      </c>
      <c r="AA1201" s="4" t="s">
        <v>4854</v>
      </c>
      <c r="AB1201" s="4" t="s">
        <v>4854</v>
      </c>
      <c r="AC1201" s="4" t="s">
        <v>4854</v>
      </c>
      <c r="AD1201" s="4" t="s">
        <v>4854</v>
      </c>
      <c r="AE1201" s="100" t="s">
        <v>4854</v>
      </c>
      <c r="AF1201" s="100" t="s">
        <v>4854</v>
      </c>
      <c r="AG1201" s="100" t="s">
        <v>4854</v>
      </c>
      <c r="AH1201" s="100" t="s">
        <v>4854</v>
      </c>
      <c r="AI1201" s="100" t="s">
        <v>4854</v>
      </c>
      <c r="AJ1201" s="100" t="s">
        <v>4854</v>
      </c>
      <c r="AK1201" s="100" t="s">
        <v>4854</v>
      </c>
      <c r="AL1201" s="91">
        <v>2.6160000000000001</v>
      </c>
      <c r="AM1201" s="103" t="s">
        <v>4854</v>
      </c>
      <c r="AN1201" s="103" t="s">
        <v>4854</v>
      </c>
      <c r="AO1201" s="103" t="s">
        <v>4854</v>
      </c>
      <c r="AP1201" s="103" t="s">
        <v>4854</v>
      </c>
      <c r="AQ1201" s="103" t="s">
        <v>4854</v>
      </c>
      <c r="AR1201" s="103" t="s">
        <v>4854</v>
      </c>
      <c r="AS1201" s="103" t="s">
        <v>4854</v>
      </c>
      <c r="AT1201" s="95">
        <v>-0.1598</v>
      </c>
      <c r="AU1201" s="103" t="s">
        <v>4854</v>
      </c>
      <c r="AV1201" s="103" t="s">
        <v>4854</v>
      </c>
      <c r="AW1201" s="103" t="s">
        <v>4854</v>
      </c>
      <c r="AX1201" s="103" t="s">
        <v>4854</v>
      </c>
      <c r="AY1201" s="103" t="s">
        <v>4854</v>
      </c>
      <c r="AZ1201" s="103" t="s">
        <v>4854</v>
      </c>
      <c r="BA1201" s="103" t="s">
        <v>4854</v>
      </c>
      <c r="BB1201" s="95">
        <v>0.05</v>
      </c>
      <c r="BC1201" s="4" t="s">
        <v>4854</v>
      </c>
      <c r="BD1201" s="4" t="s">
        <v>4854</v>
      </c>
      <c r="BE1201" s="4" t="s">
        <v>4854</v>
      </c>
      <c r="BF1201" s="4" t="s">
        <v>4854</v>
      </c>
      <c r="BG1201" s="4" t="s">
        <v>4854</v>
      </c>
      <c r="BH1201" s="4" t="s">
        <v>4854</v>
      </c>
      <c r="BI1201" s="4" t="s">
        <v>4854</v>
      </c>
      <c r="BJ1201" s="10">
        <v>1</v>
      </c>
      <c r="BK1201" s="100" t="s">
        <v>4854</v>
      </c>
      <c r="BL1201" s="100" t="s">
        <v>4854</v>
      </c>
      <c r="BM1201" s="100" t="s">
        <v>4854</v>
      </c>
      <c r="BN1201" s="100" t="s">
        <v>4854</v>
      </c>
      <c r="BO1201" s="100" t="s">
        <v>4854</v>
      </c>
      <c r="BP1201" s="100" t="s">
        <v>4854</v>
      </c>
      <c r="BQ1201" s="100" t="s">
        <v>4854</v>
      </c>
      <c r="BR1201" s="91">
        <v>0.95399999999999996</v>
      </c>
      <c r="BS1201" s="10" t="s">
        <v>4857</v>
      </c>
    </row>
    <row r="1202" spans="1:71" s="30" customFormat="1" ht="17.100000000000001" customHeight="1">
      <c r="A1202" s="10">
        <v>1191</v>
      </c>
      <c r="B1202" s="10" t="s">
        <v>40</v>
      </c>
      <c r="C1202" s="4" t="s">
        <v>32</v>
      </c>
      <c r="D1202" s="4" t="s">
        <v>34</v>
      </c>
      <c r="E1202" s="4" t="s">
        <v>35</v>
      </c>
      <c r="F1202" s="10" t="s">
        <v>36</v>
      </c>
      <c r="G1202" s="4" t="s">
        <v>35</v>
      </c>
      <c r="H1202" s="7" t="s">
        <v>37</v>
      </c>
      <c r="I1202" s="4" t="s">
        <v>38</v>
      </c>
      <c r="J1202" s="10" t="s">
        <v>4546</v>
      </c>
      <c r="K1202" s="4" t="s">
        <v>6100</v>
      </c>
      <c r="L1202" s="4" t="s">
        <v>39</v>
      </c>
      <c r="M1202" s="10">
        <v>3</v>
      </c>
      <c r="N1202" s="95">
        <v>394.54730000000001</v>
      </c>
      <c r="O1202" s="37" t="str">
        <f>HYPERLINK("http://ms.phosphosite.org:5080/cgi-bin/plot-msms.cgi?MassType=1&amp;NumAxis=1&amp;Mod3=170&amp;Mod5=170&amp;Mod7=170&amp;Pep=SGKHKNKEK&amp;Dta=/var/www/html/dta/S01/10558.1316.3.dta&amp;Global_Mod=CS57.0215", "1316")</f>
        <v>1316</v>
      </c>
      <c r="P1202" s="38" t="s">
        <v>4854</v>
      </c>
      <c r="Q1202" s="38" t="s">
        <v>4854</v>
      </c>
      <c r="R1202" s="38" t="s">
        <v>4854</v>
      </c>
      <c r="S1202" s="37" t="str">
        <f>HYPERLINK("http://ms.phosphosite.org:5080/cgi-bin/plot-msms.cgi?MassType=1&amp;NumAxis=1&amp;Mod3=170&amp;Mod5=170&amp;Mod7=170&amp;Pep=SGKHKNKEK&amp;Dta=/var/www/html/dta/S01/10562.1298.3.dta&amp;Global_Mod=CS57.0215", "1298")</f>
        <v>1298</v>
      </c>
      <c r="T1202" s="38" t="s">
        <v>4854</v>
      </c>
      <c r="U1202" s="37" t="str">
        <f>HYPERLINK("http://ms.phosphosite.org:5080/cgi-bin/plot-msms.cgi?MassType=1&amp;NumAxis=1&amp;Mod3=170&amp;Mod5=170&amp;Mod7=170&amp;Pep=SGKHKNKEK&amp;Dta=/var/www/html/dta/S01/10564.1512.3.dta&amp;Global_Mod=CS57.0215", "1512")</f>
        <v>1512</v>
      </c>
      <c r="V1202" s="37" t="str">
        <f>HYPERLINK("http://ms.phosphosite.org:5080/cgi-bin/plot-msms.cgi?MassType=1&amp;NumAxis=1&amp;Mod3=170&amp;Mod5=170&amp;Mod7=170&amp;Pep=SGKHKNKEK&amp;Dta=/var/www/html/dta/S01/10565.1550.3.dta&amp;Global_Mod=CS57.0215", "1550")</f>
        <v>1550</v>
      </c>
      <c r="W1202" s="4" t="s">
        <v>4854</v>
      </c>
      <c r="X1202" s="4" t="s">
        <v>4854</v>
      </c>
      <c r="Y1202" s="4" t="s">
        <v>4854</v>
      </c>
      <c r="Z1202" s="4" t="s">
        <v>4854</v>
      </c>
      <c r="AA1202" s="4" t="s">
        <v>4854</v>
      </c>
      <c r="AB1202" s="4" t="s">
        <v>4854</v>
      </c>
      <c r="AC1202" s="10">
        <v>1507</v>
      </c>
      <c r="AD1202" s="4" t="s">
        <v>4854</v>
      </c>
      <c r="AE1202" s="91">
        <v>1.8979999999999999</v>
      </c>
      <c r="AF1202" s="100" t="s">
        <v>4854</v>
      </c>
      <c r="AG1202" s="100" t="s">
        <v>4854</v>
      </c>
      <c r="AH1202" s="100" t="s">
        <v>4854</v>
      </c>
      <c r="AI1202" s="91">
        <v>2.0569999999999999</v>
      </c>
      <c r="AJ1202" s="100" t="s">
        <v>4854</v>
      </c>
      <c r="AK1202" s="91">
        <v>2.7679999999999998</v>
      </c>
      <c r="AL1202" s="91">
        <v>2.742</v>
      </c>
      <c r="AM1202" s="95">
        <v>-0.28000000000000003</v>
      </c>
      <c r="AN1202" s="103" t="s">
        <v>4854</v>
      </c>
      <c r="AO1202" s="103" t="s">
        <v>4854</v>
      </c>
      <c r="AP1202" s="103" t="s">
        <v>4854</v>
      </c>
      <c r="AQ1202" s="95">
        <v>0.4572</v>
      </c>
      <c r="AR1202" s="103" t="s">
        <v>4854</v>
      </c>
      <c r="AS1202" s="95">
        <v>-0.35949999999999999</v>
      </c>
      <c r="AT1202" s="95">
        <v>-1.5730999999999999</v>
      </c>
      <c r="AU1202" s="95">
        <v>0.127</v>
      </c>
      <c r="AV1202" s="103" t="s">
        <v>4854</v>
      </c>
      <c r="AW1202" s="103" t="s">
        <v>4854</v>
      </c>
      <c r="AX1202" s="103" t="s">
        <v>4854</v>
      </c>
      <c r="AY1202" s="95">
        <v>0.106</v>
      </c>
      <c r="AZ1202" s="103" t="s">
        <v>4854</v>
      </c>
      <c r="BA1202" s="95">
        <v>0.31900000000000001</v>
      </c>
      <c r="BB1202" s="95">
        <v>0.11899999999999999</v>
      </c>
      <c r="BC1202" s="10">
        <v>7</v>
      </c>
      <c r="BD1202" s="4" t="s">
        <v>4854</v>
      </c>
      <c r="BE1202" s="4" t="s">
        <v>4854</v>
      </c>
      <c r="BF1202" s="4" t="s">
        <v>4854</v>
      </c>
      <c r="BG1202" s="10">
        <v>1</v>
      </c>
      <c r="BH1202" s="4" t="s">
        <v>4854</v>
      </c>
      <c r="BI1202" s="10">
        <v>1</v>
      </c>
      <c r="BJ1202" s="10">
        <v>1</v>
      </c>
      <c r="BK1202" s="91">
        <v>0.74399999999999999</v>
      </c>
      <c r="BL1202" s="100" t="s">
        <v>4854</v>
      </c>
      <c r="BM1202" s="100" t="s">
        <v>4854</v>
      </c>
      <c r="BN1202" s="100" t="s">
        <v>4854</v>
      </c>
      <c r="BO1202" s="91">
        <v>0.83499999999999996</v>
      </c>
      <c r="BP1202" s="100" t="s">
        <v>4854</v>
      </c>
      <c r="BQ1202" s="91">
        <v>0.997</v>
      </c>
      <c r="BR1202" s="91">
        <v>0.63900000000000001</v>
      </c>
      <c r="BS1202" s="10" t="s">
        <v>4857</v>
      </c>
    </row>
    <row r="1203" spans="1:71" s="30" customFormat="1" ht="17.100000000000001" customHeight="1">
      <c r="A1203" s="14">
        <v>1192</v>
      </c>
      <c r="B1203" s="5" t="s">
        <v>41</v>
      </c>
      <c r="C1203" s="3" t="s">
        <v>32</v>
      </c>
      <c r="D1203" s="3" t="s">
        <v>34</v>
      </c>
      <c r="E1203" s="3" t="s">
        <v>35</v>
      </c>
      <c r="F1203" s="5" t="s">
        <v>1305</v>
      </c>
      <c r="G1203" s="3" t="s">
        <v>35</v>
      </c>
      <c r="H1203" s="6" t="s">
        <v>37</v>
      </c>
      <c r="I1203" s="3" t="s">
        <v>38</v>
      </c>
      <c r="J1203" s="5" t="s">
        <v>4546</v>
      </c>
      <c r="K1203" s="3" t="s">
        <v>6101</v>
      </c>
      <c r="L1203" s="3" t="s">
        <v>42</v>
      </c>
      <c r="M1203" s="5">
        <v>2</v>
      </c>
      <c r="N1203" s="21">
        <v>476.27910000000003</v>
      </c>
      <c r="O1203" s="36" t="str">
        <f>HYPERLINK("http://ms.phosphosite.org:5080/cgi-bin/plot-msms.cgi?MassType=1&amp;NumAxis=1&amp;Mod7=170&amp;Pep=TSVLFSKK&amp;Dta=/var/www/html/dta/S01/10558.5456.2.dta&amp;Global_Mod=CS57.0215", "5456")</f>
        <v>5456</v>
      </c>
      <c r="P1203" s="36" t="str">
        <f>HYPERLINK("http://ms.phosphosite.org:5080/cgi-bin/plot-msms.cgi?MassType=1&amp;NumAxis=1&amp;Mod7=170&amp;Pep=TSVLFSKK&amp;Dta=/var/www/html/dta/S01/10559.5374.2.dta&amp;Global_Mod=CS57.0215", "5374")</f>
        <v>5374</v>
      </c>
      <c r="Q1203" s="36" t="str">
        <f>HYPERLINK("http://ms.phosphosite.org:5080/cgi-bin/plot-msms.cgi?MassType=1&amp;NumAxis=1&amp;Mod7=170&amp;Pep=TSVLFSKK&amp;Dta=/var/www/html/dta/S01/10560.5392.2.dta&amp;Global_Mod=CS57.0215", "5392")</f>
        <v>5392</v>
      </c>
      <c r="R1203" s="36" t="str">
        <f>HYPERLINK("http://ms.phosphosite.org:5080/cgi-bin/plot-msms.cgi?MassType=1&amp;NumAxis=1&amp;Mod7=170&amp;Pep=TSVLFSKK&amp;Dta=/var/www/html/dta/S01/10561.5428.2.dta&amp;Global_Mod=CS57.0215", "5428")</f>
        <v>5428</v>
      </c>
      <c r="S1203" s="36" t="str">
        <f>HYPERLINK("http://ms.phosphosite.org:5080/cgi-bin/plot-msms.cgi?MassType=1&amp;NumAxis=1&amp;Mod7=170&amp;Pep=TSVLFSKK&amp;Dta=/var/www/html/dta/S01/10562.5513.2.dta&amp;Global_Mod=CS57.0215", "5513")</f>
        <v>5513</v>
      </c>
      <c r="T1203" s="36" t="str">
        <f>HYPERLINK("http://ms.phosphosite.org:5080/cgi-bin/plot-msms.cgi?MassType=1&amp;NumAxis=1&amp;Mod7=170&amp;Pep=TSVLFSKK&amp;Dta=/var/www/html/dta/S01/10563.5467.2.dta&amp;Global_Mod=CS57.0215", "5467")</f>
        <v>5467</v>
      </c>
      <c r="U1203" s="36" t="str">
        <f>HYPERLINK("http://ms.phosphosite.org:5080/cgi-bin/plot-msms.cgi?MassType=1&amp;NumAxis=1&amp;Mod7=170&amp;Pep=TSVLFSKK&amp;Dta=/var/www/html/dta/S01/10564.5881.2.dta&amp;Global_Mod=CS57.0215", "5881")</f>
        <v>5881</v>
      </c>
      <c r="V1203" s="36" t="str">
        <f>HYPERLINK("http://ms.phosphosite.org:5080/cgi-bin/plot-msms.cgi?MassType=1&amp;NumAxis=1&amp;Mod7=170&amp;Pep=TSVLFSKK&amp;Dta=/var/www/html/dta/S01/10565.5999.2.dta&amp;Global_Mod=CS57.0215", "5999")</f>
        <v>5999</v>
      </c>
      <c r="W1203" s="5">
        <v>5492</v>
      </c>
      <c r="X1203" s="5">
        <v>5414</v>
      </c>
      <c r="Y1203" s="5">
        <v>5409</v>
      </c>
      <c r="Z1203" s="5">
        <v>5458</v>
      </c>
      <c r="AA1203" s="5">
        <v>5523</v>
      </c>
      <c r="AB1203" s="5">
        <v>5485</v>
      </c>
      <c r="AC1203" s="5">
        <v>5880</v>
      </c>
      <c r="AD1203" s="5">
        <v>5987</v>
      </c>
      <c r="AE1203" s="90">
        <v>2.1880000000000002</v>
      </c>
      <c r="AF1203" s="90">
        <v>2.1139999999999999</v>
      </c>
      <c r="AG1203" s="90">
        <v>2.5409999999999999</v>
      </c>
      <c r="AH1203" s="90">
        <v>2.3769999999999998</v>
      </c>
      <c r="AI1203" s="90">
        <v>2.226</v>
      </c>
      <c r="AJ1203" s="90">
        <v>1.9450000000000001</v>
      </c>
      <c r="AK1203" s="90">
        <v>2.4609999999999999</v>
      </c>
      <c r="AL1203" s="90">
        <v>2.702</v>
      </c>
      <c r="AM1203" s="21">
        <v>-0.30370000000000003</v>
      </c>
      <c r="AN1203" s="21">
        <v>-0.2112</v>
      </c>
      <c r="AO1203" s="21">
        <v>-0.1019</v>
      </c>
      <c r="AP1203" s="21">
        <v>2.7400000000000001E-2</v>
      </c>
      <c r="AQ1203" s="21">
        <v>-0.1429</v>
      </c>
      <c r="AR1203" s="21">
        <v>-0.21440000000000001</v>
      </c>
      <c r="AS1203" s="21">
        <v>-0.25850000000000001</v>
      </c>
      <c r="AT1203" s="21">
        <v>-0.36880000000000002</v>
      </c>
      <c r="AU1203" s="21">
        <v>0.21</v>
      </c>
      <c r="AV1203" s="21">
        <v>0.20899999999999999</v>
      </c>
      <c r="AW1203" s="21">
        <v>0.21099999999999999</v>
      </c>
      <c r="AX1203" s="21">
        <v>0.221</v>
      </c>
      <c r="AY1203" s="21">
        <v>0.183</v>
      </c>
      <c r="AZ1203" s="21">
        <v>0.13900000000000001</v>
      </c>
      <c r="BA1203" s="21">
        <v>0.24299999999999999</v>
      </c>
      <c r="BB1203" s="21">
        <v>0.3</v>
      </c>
      <c r="BC1203" s="5">
        <v>2</v>
      </c>
      <c r="BD1203" s="5">
        <v>2</v>
      </c>
      <c r="BE1203" s="5">
        <v>2</v>
      </c>
      <c r="BF1203" s="5">
        <v>2</v>
      </c>
      <c r="BG1203" s="5">
        <v>2</v>
      </c>
      <c r="BH1203" s="5">
        <v>2</v>
      </c>
      <c r="BI1203" s="5">
        <v>2</v>
      </c>
      <c r="BJ1203" s="5">
        <v>2</v>
      </c>
      <c r="BK1203" s="90">
        <v>1</v>
      </c>
      <c r="BL1203" s="90">
        <v>0.999</v>
      </c>
      <c r="BM1203" s="90">
        <v>1</v>
      </c>
      <c r="BN1203" s="90">
        <v>1</v>
      </c>
      <c r="BO1203" s="90">
        <v>0.999</v>
      </c>
      <c r="BP1203" s="90">
        <v>0.998</v>
      </c>
      <c r="BQ1203" s="90">
        <v>1</v>
      </c>
      <c r="BR1203" s="90">
        <v>1</v>
      </c>
      <c r="BS1203" s="5" t="s">
        <v>4857</v>
      </c>
    </row>
    <row r="1204" spans="1:71" s="30" customFormat="1" ht="17.100000000000001" customHeight="1">
      <c r="A1204" s="14">
        <v>1193</v>
      </c>
      <c r="B1204" s="5" t="s">
        <v>43</v>
      </c>
      <c r="C1204" s="3" t="s">
        <v>32</v>
      </c>
      <c r="D1204" s="3" t="s">
        <v>34</v>
      </c>
      <c r="E1204" s="3" t="s">
        <v>35</v>
      </c>
      <c r="F1204" s="5" t="s">
        <v>1305</v>
      </c>
      <c r="G1204" s="3" t="s">
        <v>35</v>
      </c>
      <c r="H1204" s="6" t="s">
        <v>37</v>
      </c>
      <c r="I1204" s="3" t="s">
        <v>38</v>
      </c>
      <c r="J1204" s="5" t="s">
        <v>4546</v>
      </c>
      <c r="K1204" s="3" t="s">
        <v>6101</v>
      </c>
      <c r="L1204" s="3" t="s">
        <v>42</v>
      </c>
      <c r="M1204" s="5">
        <v>2</v>
      </c>
      <c r="N1204" s="21">
        <v>476.27910000000003</v>
      </c>
      <c r="O1204" s="35" t="s">
        <v>4854</v>
      </c>
      <c r="P1204" s="35" t="s">
        <v>4854</v>
      </c>
      <c r="Q1204" s="35" t="s">
        <v>4854</v>
      </c>
      <c r="R1204" s="35" t="s">
        <v>4854</v>
      </c>
      <c r="S1204" s="35" t="s">
        <v>4854</v>
      </c>
      <c r="T1204" s="35" t="s">
        <v>4854</v>
      </c>
      <c r="U1204" s="36" t="str">
        <f>HYPERLINK("http://ms.phosphosite.org:5080/cgi-bin/plot-msms.cgi?MassType=1&amp;NumAxis=1&amp;Mod7=170&amp;Pep=TSVLFSKK&amp;Dta=/var/www/html/dta/S01/10564.5868.2.dta&amp;Global_Mod=CS57.0215", "5868")</f>
        <v>5868</v>
      </c>
      <c r="V1204" s="36" t="str">
        <f>HYPERLINK("http://ms.phosphosite.org:5080/cgi-bin/plot-msms.cgi?MassType=1&amp;NumAxis=1&amp;Mod7=170&amp;Pep=TSVLFSKK&amp;Dta=/var/www/html/dta/S01/10565.5957.2.dta&amp;Global_Mod=CS57.0215", "5957")</f>
        <v>5957</v>
      </c>
      <c r="W1204" s="3" t="s">
        <v>4854</v>
      </c>
      <c r="X1204" s="3" t="s">
        <v>4854</v>
      </c>
      <c r="Y1204" s="3" t="s">
        <v>4854</v>
      </c>
      <c r="Z1204" s="3" t="s">
        <v>4854</v>
      </c>
      <c r="AA1204" s="3" t="s">
        <v>4854</v>
      </c>
      <c r="AB1204" s="3" t="s">
        <v>4854</v>
      </c>
      <c r="AC1204" s="5">
        <v>5880</v>
      </c>
      <c r="AD1204" s="5">
        <v>5987</v>
      </c>
      <c r="AE1204" s="99" t="s">
        <v>4854</v>
      </c>
      <c r="AF1204" s="99" t="s">
        <v>4854</v>
      </c>
      <c r="AG1204" s="99" t="s">
        <v>4854</v>
      </c>
      <c r="AH1204" s="99" t="s">
        <v>4854</v>
      </c>
      <c r="AI1204" s="99" t="s">
        <v>4854</v>
      </c>
      <c r="AJ1204" s="99" t="s">
        <v>4854</v>
      </c>
      <c r="AK1204" s="90">
        <v>2.2090000000000001</v>
      </c>
      <c r="AL1204" s="90">
        <v>2.1459999999999999</v>
      </c>
      <c r="AM1204" s="102" t="s">
        <v>4854</v>
      </c>
      <c r="AN1204" s="102" t="s">
        <v>4854</v>
      </c>
      <c r="AO1204" s="102" t="s">
        <v>4854</v>
      </c>
      <c r="AP1204" s="102" t="s">
        <v>4854</v>
      </c>
      <c r="AQ1204" s="102" t="s">
        <v>4854</v>
      </c>
      <c r="AR1204" s="102" t="s">
        <v>4854</v>
      </c>
      <c r="AS1204" s="21">
        <v>-0.26690000000000003</v>
      </c>
      <c r="AT1204" s="21">
        <v>-0.37090000000000001</v>
      </c>
      <c r="AU1204" s="102" t="s">
        <v>4854</v>
      </c>
      <c r="AV1204" s="102" t="s">
        <v>4854</v>
      </c>
      <c r="AW1204" s="102" t="s">
        <v>4854</v>
      </c>
      <c r="AX1204" s="102" t="s">
        <v>4854</v>
      </c>
      <c r="AY1204" s="102" t="s">
        <v>4854</v>
      </c>
      <c r="AZ1204" s="102" t="s">
        <v>4854</v>
      </c>
      <c r="BA1204" s="21">
        <v>0.17199999999999999</v>
      </c>
      <c r="BB1204" s="21">
        <v>0.16500000000000001</v>
      </c>
      <c r="BC1204" s="3" t="s">
        <v>4854</v>
      </c>
      <c r="BD1204" s="3" t="s">
        <v>4854</v>
      </c>
      <c r="BE1204" s="3" t="s">
        <v>4854</v>
      </c>
      <c r="BF1204" s="3" t="s">
        <v>4854</v>
      </c>
      <c r="BG1204" s="3" t="s">
        <v>4854</v>
      </c>
      <c r="BH1204" s="3" t="s">
        <v>4854</v>
      </c>
      <c r="BI1204" s="5">
        <v>2</v>
      </c>
      <c r="BJ1204" s="5">
        <v>2</v>
      </c>
      <c r="BK1204" s="99" t="s">
        <v>4854</v>
      </c>
      <c r="BL1204" s="99" t="s">
        <v>4854</v>
      </c>
      <c r="BM1204" s="99" t="s">
        <v>4854</v>
      </c>
      <c r="BN1204" s="99" t="s">
        <v>4854</v>
      </c>
      <c r="BO1204" s="99" t="s">
        <v>4854</v>
      </c>
      <c r="BP1204" s="99" t="s">
        <v>4854</v>
      </c>
      <c r="BQ1204" s="90">
        <v>0.999</v>
      </c>
      <c r="BR1204" s="90">
        <v>0.999</v>
      </c>
      <c r="BS1204" s="5" t="s">
        <v>4857</v>
      </c>
    </row>
    <row r="1205" spans="1:71" s="30" customFormat="1" ht="17.100000000000001" customHeight="1">
      <c r="A1205" s="14">
        <v>1194</v>
      </c>
      <c r="B1205" s="5" t="s">
        <v>44</v>
      </c>
      <c r="C1205" s="3" t="s">
        <v>32</v>
      </c>
      <c r="D1205" s="3" t="s">
        <v>34</v>
      </c>
      <c r="E1205" s="3" t="s">
        <v>35</v>
      </c>
      <c r="F1205" s="5" t="s">
        <v>1305</v>
      </c>
      <c r="G1205" s="3" t="s">
        <v>35</v>
      </c>
      <c r="H1205" s="6" t="s">
        <v>37</v>
      </c>
      <c r="I1205" s="3" t="s">
        <v>38</v>
      </c>
      <c r="J1205" s="5" t="s">
        <v>4546</v>
      </c>
      <c r="K1205" s="3" t="s">
        <v>6101</v>
      </c>
      <c r="L1205" s="3" t="s">
        <v>45</v>
      </c>
      <c r="M1205" s="5">
        <v>2</v>
      </c>
      <c r="N1205" s="21">
        <v>645.87440000000004</v>
      </c>
      <c r="O1205" s="35" t="s">
        <v>4854</v>
      </c>
      <c r="P1205" s="36" t="str">
        <f>HYPERLINK("http://ms.phosphosite.org:5080/cgi-bin/plot-msms.cgi?MassType=1&amp;NumAxis=1&amp;Mod7=170&amp;Pep=TSVLFSKKNPK&amp;Dta=/var/www/html/dta/S01/10559.3840.2.dta&amp;Global_Mod=CS57.0215", "3840")</f>
        <v>3840</v>
      </c>
      <c r="Q1205" s="35" t="s">
        <v>4854</v>
      </c>
      <c r="R1205" s="35" t="s">
        <v>4854</v>
      </c>
      <c r="S1205" s="35" t="s">
        <v>4854</v>
      </c>
      <c r="T1205" s="35" t="s">
        <v>4854</v>
      </c>
      <c r="U1205" s="36" t="str">
        <f>HYPERLINK("http://ms.phosphosite.org:5080/cgi-bin/plot-msms.cgi?MassType=1&amp;NumAxis=1&amp;Mod7=170&amp;Pep=TSVLFSKKNPK&amp;Dta=/var/www/html/dta/S01/10564.4215.2.dta&amp;Global_Mod=CS57.0215", "4215")</f>
        <v>4215</v>
      </c>
      <c r="V1205" s="35" t="s">
        <v>4854</v>
      </c>
      <c r="W1205" s="3" t="s">
        <v>4854</v>
      </c>
      <c r="X1205" s="5">
        <v>3832</v>
      </c>
      <c r="Y1205" s="3" t="s">
        <v>4854</v>
      </c>
      <c r="Z1205" s="3" t="s">
        <v>4854</v>
      </c>
      <c r="AA1205" s="3" t="s">
        <v>4854</v>
      </c>
      <c r="AB1205" s="3" t="s">
        <v>4854</v>
      </c>
      <c r="AC1205" s="5">
        <v>4208</v>
      </c>
      <c r="AD1205" s="3" t="s">
        <v>4854</v>
      </c>
      <c r="AE1205" s="99" t="s">
        <v>4854</v>
      </c>
      <c r="AF1205" s="90">
        <v>2.242</v>
      </c>
      <c r="AG1205" s="99" t="s">
        <v>4854</v>
      </c>
      <c r="AH1205" s="99" t="s">
        <v>4854</v>
      </c>
      <c r="AI1205" s="99" t="s">
        <v>4854</v>
      </c>
      <c r="AJ1205" s="99" t="s">
        <v>4854</v>
      </c>
      <c r="AK1205" s="90">
        <v>2.5139999999999998</v>
      </c>
      <c r="AL1205" s="99" t="s">
        <v>4854</v>
      </c>
      <c r="AM1205" s="102" t="s">
        <v>4854</v>
      </c>
      <c r="AN1205" s="21">
        <v>2.5399999999999999E-2</v>
      </c>
      <c r="AO1205" s="102" t="s">
        <v>4854</v>
      </c>
      <c r="AP1205" s="102" t="s">
        <v>4854</v>
      </c>
      <c r="AQ1205" s="102" t="s">
        <v>4854</v>
      </c>
      <c r="AR1205" s="102" t="s">
        <v>4854</v>
      </c>
      <c r="AS1205" s="21">
        <v>-0.26979999999999998</v>
      </c>
      <c r="AT1205" s="102" t="s">
        <v>4854</v>
      </c>
      <c r="AU1205" s="102" t="s">
        <v>4854</v>
      </c>
      <c r="AV1205" s="21">
        <v>0.124</v>
      </c>
      <c r="AW1205" s="102" t="s">
        <v>4854</v>
      </c>
      <c r="AX1205" s="102" t="s">
        <v>4854</v>
      </c>
      <c r="AY1205" s="102" t="s">
        <v>4854</v>
      </c>
      <c r="AZ1205" s="102" t="s">
        <v>4854</v>
      </c>
      <c r="BA1205" s="21">
        <v>0.114</v>
      </c>
      <c r="BB1205" s="102" t="s">
        <v>4854</v>
      </c>
      <c r="BC1205" s="3" t="s">
        <v>4854</v>
      </c>
      <c r="BD1205" s="5">
        <v>7</v>
      </c>
      <c r="BE1205" s="3" t="s">
        <v>4854</v>
      </c>
      <c r="BF1205" s="3" t="s">
        <v>4854</v>
      </c>
      <c r="BG1205" s="3" t="s">
        <v>4854</v>
      </c>
      <c r="BH1205" s="3" t="s">
        <v>4854</v>
      </c>
      <c r="BI1205" s="5">
        <v>88</v>
      </c>
      <c r="BJ1205" s="3" t="s">
        <v>4854</v>
      </c>
      <c r="BK1205" s="99" t="s">
        <v>4854</v>
      </c>
      <c r="BL1205" s="90">
        <v>0.98299999999999998</v>
      </c>
      <c r="BM1205" s="99" t="s">
        <v>4854</v>
      </c>
      <c r="BN1205" s="99" t="s">
        <v>4854</v>
      </c>
      <c r="BO1205" s="99" t="s">
        <v>4854</v>
      </c>
      <c r="BP1205" s="99" t="s">
        <v>4854</v>
      </c>
      <c r="BQ1205" s="90">
        <v>0.97499999999999998</v>
      </c>
      <c r="BR1205" s="99" t="s">
        <v>4854</v>
      </c>
      <c r="BS1205" s="5" t="s">
        <v>4857</v>
      </c>
    </row>
    <row r="1206" spans="1:71" s="30" customFormat="1" ht="17.100000000000001" customHeight="1">
      <c r="A1206" s="10">
        <v>1195</v>
      </c>
      <c r="B1206" s="10" t="s">
        <v>46</v>
      </c>
      <c r="C1206" s="4" t="s">
        <v>32</v>
      </c>
      <c r="D1206" s="4" t="s">
        <v>47</v>
      </c>
      <c r="E1206" s="4" t="s">
        <v>48</v>
      </c>
      <c r="F1206" s="10" t="s">
        <v>3320</v>
      </c>
      <c r="G1206" s="4" t="s">
        <v>49</v>
      </c>
      <c r="H1206" s="7" t="s">
        <v>50</v>
      </c>
      <c r="I1206" s="4" t="s">
        <v>51</v>
      </c>
      <c r="J1206" s="10" t="s">
        <v>4823</v>
      </c>
      <c r="K1206" s="4" t="s">
        <v>6102</v>
      </c>
      <c r="L1206" s="4" t="s">
        <v>52</v>
      </c>
      <c r="M1206" s="10">
        <v>2</v>
      </c>
      <c r="N1206" s="95">
        <v>549.21230000000003</v>
      </c>
      <c r="O1206" s="38" t="s">
        <v>4854</v>
      </c>
      <c r="P1206" s="38" t="s">
        <v>4854</v>
      </c>
      <c r="Q1206" s="38" t="s">
        <v>4854</v>
      </c>
      <c r="R1206" s="38" t="s">
        <v>4854</v>
      </c>
      <c r="S1206" s="38" t="s">
        <v>4854</v>
      </c>
      <c r="T1206" s="38" t="s">
        <v>4854</v>
      </c>
      <c r="U1206" s="38" t="s">
        <v>4854</v>
      </c>
      <c r="V1206" s="37" t="str">
        <f>HYPERLINK("http://ms.phosphosite.org:5080/cgi-bin/plot-msms.cgi?MassType=1&amp;NumAxis=1&amp;Mod2=160&amp;Mod4=160&amp;Mod5=160&amp;Mod7=170&amp;Pep=QCDCCGKK&amp;Dta=/var/www/html/dta/S01/10565.1770.2.dta&amp;Global_Mod=CS57.0215", "1770")</f>
        <v>1770</v>
      </c>
      <c r="W1206" s="4" t="s">
        <v>4854</v>
      </c>
      <c r="X1206" s="4" t="s">
        <v>4854</v>
      </c>
      <c r="Y1206" s="4" t="s">
        <v>4854</v>
      </c>
      <c r="Z1206" s="4" t="s">
        <v>4854</v>
      </c>
      <c r="AA1206" s="4" t="s">
        <v>4854</v>
      </c>
      <c r="AB1206" s="4" t="s">
        <v>4854</v>
      </c>
      <c r="AC1206" s="4" t="s">
        <v>4854</v>
      </c>
      <c r="AD1206" s="4" t="s">
        <v>4854</v>
      </c>
      <c r="AE1206" s="100" t="s">
        <v>4854</v>
      </c>
      <c r="AF1206" s="100" t="s">
        <v>4854</v>
      </c>
      <c r="AG1206" s="100" t="s">
        <v>4854</v>
      </c>
      <c r="AH1206" s="100" t="s">
        <v>4854</v>
      </c>
      <c r="AI1206" s="100" t="s">
        <v>4854</v>
      </c>
      <c r="AJ1206" s="100" t="s">
        <v>4854</v>
      </c>
      <c r="AK1206" s="100" t="s">
        <v>4854</v>
      </c>
      <c r="AL1206" s="91">
        <v>1.49</v>
      </c>
      <c r="AM1206" s="103" t="s">
        <v>4854</v>
      </c>
      <c r="AN1206" s="103" t="s">
        <v>4854</v>
      </c>
      <c r="AO1206" s="103" t="s">
        <v>4854</v>
      </c>
      <c r="AP1206" s="103" t="s">
        <v>4854</v>
      </c>
      <c r="AQ1206" s="103" t="s">
        <v>4854</v>
      </c>
      <c r="AR1206" s="103" t="s">
        <v>4854</v>
      </c>
      <c r="AS1206" s="103" t="s">
        <v>4854</v>
      </c>
      <c r="AT1206" s="95">
        <v>0.126</v>
      </c>
      <c r="AU1206" s="103" t="s">
        <v>4854</v>
      </c>
      <c r="AV1206" s="103" t="s">
        <v>4854</v>
      </c>
      <c r="AW1206" s="103" t="s">
        <v>4854</v>
      </c>
      <c r="AX1206" s="103" t="s">
        <v>4854</v>
      </c>
      <c r="AY1206" s="103" t="s">
        <v>4854</v>
      </c>
      <c r="AZ1206" s="103" t="s">
        <v>4854</v>
      </c>
      <c r="BA1206" s="103" t="s">
        <v>4854</v>
      </c>
      <c r="BB1206" s="95">
        <v>4.9000000000000002E-2</v>
      </c>
      <c r="BC1206" s="4" t="s">
        <v>4854</v>
      </c>
      <c r="BD1206" s="4" t="s">
        <v>4854</v>
      </c>
      <c r="BE1206" s="4" t="s">
        <v>4854</v>
      </c>
      <c r="BF1206" s="4" t="s">
        <v>4854</v>
      </c>
      <c r="BG1206" s="4" t="s">
        <v>4854</v>
      </c>
      <c r="BH1206" s="4" t="s">
        <v>4854</v>
      </c>
      <c r="BI1206" s="4" t="s">
        <v>4854</v>
      </c>
      <c r="BJ1206" s="10">
        <v>218</v>
      </c>
      <c r="BK1206" s="100" t="s">
        <v>4854</v>
      </c>
      <c r="BL1206" s="100" t="s">
        <v>4854</v>
      </c>
      <c r="BM1206" s="100" t="s">
        <v>4854</v>
      </c>
      <c r="BN1206" s="100" t="s">
        <v>4854</v>
      </c>
      <c r="BO1206" s="100" t="s">
        <v>4854</v>
      </c>
      <c r="BP1206" s="100" t="s">
        <v>4854</v>
      </c>
      <c r="BQ1206" s="100" t="s">
        <v>4854</v>
      </c>
      <c r="BR1206" s="91">
        <v>6.2E-2</v>
      </c>
      <c r="BS1206" s="10" t="s">
        <v>4857</v>
      </c>
    </row>
    <row r="1207" spans="1:71" s="30" customFormat="1" ht="17.100000000000001" customHeight="1">
      <c r="A1207" s="14">
        <v>1196</v>
      </c>
      <c r="B1207" s="5" t="s">
        <v>53</v>
      </c>
      <c r="C1207" s="3" t="s">
        <v>32</v>
      </c>
      <c r="D1207" s="3" t="s">
        <v>54</v>
      </c>
      <c r="E1207" s="3" t="s">
        <v>55</v>
      </c>
      <c r="F1207" s="5" t="s">
        <v>4441</v>
      </c>
      <c r="G1207" s="3" t="s">
        <v>56</v>
      </c>
      <c r="H1207" s="6" t="s">
        <v>57</v>
      </c>
      <c r="I1207" s="3" t="s">
        <v>58</v>
      </c>
      <c r="J1207" s="5" t="s">
        <v>4443</v>
      </c>
      <c r="K1207" s="3" t="s">
        <v>6103</v>
      </c>
      <c r="L1207" s="3" t="s">
        <v>59</v>
      </c>
      <c r="M1207" s="5">
        <v>3</v>
      </c>
      <c r="N1207" s="21">
        <v>604.94749999999999</v>
      </c>
      <c r="O1207" s="35" t="s">
        <v>4854</v>
      </c>
      <c r="P1207" s="36" t="str">
        <f>HYPERLINK("http://ms.phosphosite.org:5080/cgi-bin/plot-msms.cgi?MassType=1&amp;NumAxis=1&amp;Mod1=170&amp;Mod4=147&amp;Pep=KTEMSQASSTLASNDGK&amp;Dta=/var/www/html/dta/S01/10559.8414.3.dta&amp;Global_Mod=CS57.0215", "8414")</f>
        <v>8414</v>
      </c>
      <c r="Q1207" s="35" t="s">
        <v>4854</v>
      </c>
      <c r="R1207" s="35" t="s">
        <v>4854</v>
      </c>
      <c r="S1207" s="35" t="s">
        <v>4854</v>
      </c>
      <c r="T1207" s="35" t="s">
        <v>4854</v>
      </c>
      <c r="U1207" s="35" t="s">
        <v>4854</v>
      </c>
      <c r="V1207" s="35" t="s">
        <v>4854</v>
      </c>
      <c r="W1207" s="3" t="s">
        <v>4854</v>
      </c>
      <c r="X1207" s="3" t="s">
        <v>4854</v>
      </c>
      <c r="Y1207" s="3" t="s">
        <v>4854</v>
      </c>
      <c r="Z1207" s="3" t="s">
        <v>4854</v>
      </c>
      <c r="AA1207" s="3" t="s">
        <v>4854</v>
      </c>
      <c r="AB1207" s="3" t="s">
        <v>4854</v>
      </c>
      <c r="AC1207" s="3" t="s">
        <v>4854</v>
      </c>
      <c r="AD1207" s="3" t="s">
        <v>4854</v>
      </c>
      <c r="AE1207" s="99" t="s">
        <v>4854</v>
      </c>
      <c r="AF1207" s="90">
        <v>1.8360000000000001</v>
      </c>
      <c r="AG1207" s="99" t="s">
        <v>4854</v>
      </c>
      <c r="AH1207" s="99" t="s">
        <v>4854</v>
      </c>
      <c r="AI1207" s="99" t="s">
        <v>4854</v>
      </c>
      <c r="AJ1207" s="99" t="s">
        <v>4854</v>
      </c>
      <c r="AK1207" s="99" t="s">
        <v>4854</v>
      </c>
      <c r="AL1207" s="99" t="s">
        <v>4854</v>
      </c>
      <c r="AM1207" s="102" t="s">
        <v>4854</v>
      </c>
      <c r="AN1207" s="21">
        <v>1.6907000000000001</v>
      </c>
      <c r="AO1207" s="102" t="s">
        <v>4854</v>
      </c>
      <c r="AP1207" s="102" t="s">
        <v>4854</v>
      </c>
      <c r="AQ1207" s="102" t="s">
        <v>4854</v>
      </c>
      <c r="AR1207" s="102" t="s">
        <v>4854</v>
      </c>
      <c r="AS1207" s="102" t="s">
        <v>4854</v>
      </c>
      <c r="AT1207" s="102" t="s">
        <v>4854</v>
      </c>
      <c r="AU1207" s="102" t="s">
        <v>4854</v>
      </c>
      <c r="AV1207" s="21">
        <v>6.0000000000000001E-3</v>
      </c>
      <c r="AW1207" s="102" t="s">
        <v>4854</v>
      </c>
      <c r="AX1207" s="102" t="s">
        <v>4854</v>
      </c>
      <c r="AY1207" s="102" t="s">
        <v>4854</v>
      </c>
      <c r="AZ1207" s="102" t="s">
        <v>4854</v>
      </c>
      <c r="BA1207" s="102" t="s">
        <v>4854</v>
      </c>
      <c r="BB1207" s="102" t="s">
        <v>4854</v>
      </c>
      <c r="BC1207" s="3" t="s">
        <v>4854</v>
      </c>
      <c r="BD1207" s="5">
        <v>54</v>
      </c>
      <c r="BE1207" s="3" t="s">
        <v>4854</v>
      </c>
      <c r="BF1207" s="3" t="s">
        <v>4854</v>
      </c>
      <c r="BG1207" s="3" t="s">
        <v>4854</v>
      </c>
      <c r="BH1207" s="3" t="s">
        <v>4854</v>
      </c>
      <c r="BI1207" s="3" t="s">
        <v>4854</v>
      </c>
      <c r="BJ1207" s="3" t="s">
        <v>4854</v>
      </c>
      <c r="BK1207" s="99" t="s">
        <v>4854</v>
      </c>
      <c r="BL1207" s="90">
        <v>0.94499999999999995</v>
      </c>
      <c r="BM1207" s="99" t="s">
        <v>4854</v>
      </c>
      <c r="BN1207" s="99" t="s">
        <v>4854</v>
      </c>
      <c r="BO1207" s="99" t="s">
        <v>4854</v>
      </c>
      <c r="BP1207" s="99" t="s">
        <v>4854</v>
      </c>
      <c r="BQ1207" s="99" t="s">
        <v>4854</v>
      </c>
      <c r="BR1207" s="99" t="s">
        <v>4854</v>
      </c>
      <c r="BS1207" s="5" t="s">
        <v>4857</v>
      </c>
    </row>
    <row r="1208" spans="1:71" s="30" customFormat="1" ht="17.100000000000001" customHeight="1">
      <c r="A1208" s="10">
        <v>1197</v>
      </c>
      <c r="B1208" s="10" t="s">
        <v>60</v>
      </c>
      <c r="C1208" s="4" t="s">
        <v>32</v>
      </c>
      <c r="D1208" s="4" t="s">
        <v>61</v>
      </c>
      <c r="E1208" s="4" t="s">
        <v>62</v>
      </c>
      <c r="F1208" s="10" t="s">
        <v>3645</v>
      </c>
      <c r="G1208" s="4" t="s">
        <v>63</v>
      </c>
      <c r="H1208" s="7" t="s">
        <v>64</v>
      </c>
      <c r="I1208" s="4" t="s">
        <v>65</v>
      </c>
      <c r="J1208" s="10" t="s">
        <v>4530</v>
      </c>
      <c r="K1208" s="4" t="s">
        <v>6104</v>
      </c>
      <c r="L1208" s="4" t="s">
        <v>66</v>
      </c>
      <c r="M1208" s="10">
        <v>2</v>
      </c>
      <c r="N1208" s="95">
        <v>588.78750000000002</v>
      </c>
      <c r="O1208" s="38" t="s">
        <v>4854</v>
      </c>
      <c r="P1208" s="37" t="str">
        <f>HYPERLINK("http://ms.phosphosite.org:5080/cgi-bin/plot-msms.cgi?MassType=1&amp;NumAxis=1&amp;Mod7=170&amp;Pep=EMSLEAKGGGR&amp;Dta=/var/www/html/dta/S01/10559.3956.2.dta&amp;Global_Mod=CS57.0215", "3956")</f>
        <v>3956</v>
      </c>
      <c r="Q1208" s="38" t="s">
        <v>4854</v>
      </c>
      <c r="R1208" s="37" t="str">
        <f>HYPERLINK("http://ms.phosphosite.org:5080/cgi-bin/plot-msms.cgi?MassType=1&amp;NumAxis=1&amp;Mod7=170&amp;Pep=EMSLEAKGGGR&amp;Dta=/var/www/html/dta/S01/10561.3993.2.dta&amp;Global_Mod=CS57.0215", "3993")</f>
        <v>3993</v>
      </c>
      <c r="S1208" s="38" t="s">
        <v>4854</v>
      </c>
      <c r="T1208" s="37" t="str">
        <f>HYPERLINK("http://ms.phosphosite.org:5080/cgi-bin/plot-msms.cgi?MassType=1&amp;NumAxis=1&amp;Mod7=170&amp;Pep=EMSLEAKGGGR&amp;Dta=/var/www/html/dta/S01/10563.4018.2.dta&amp;Global_Mod=CS57.0215", "4018")</f>
        <v>4018</v>
      </c>
      <c r="U1208" s="38" t="s">
        <v>4854</v>
      </c>
      <c r="V1208" s="38" t="s">
        <v>4854</v>
      </c>
      <c r="W1208" s="4" t="s">
        <v>4854</v>
      </c>
      <c r="X1208" s="4" t="s">
        <v>4854</v>
      </c>
      <c r="Y1208" s="4" t="s">
        <v>4854</v>
      </c>
      <c r="Z1208" s="4" t="s">
        <v>4854</v>
      </c>
      <c r="AA1208" s="4" t="s">
        <v>4854</v>
      </c>
      <c r="AB1208" s="4" t="s">
        <v>4854</v>
      </c>
      <c r="AC1208" s="4" t="s">
        <v>4854</v>
      </c>
      <c r="AD1208" s="4" t="s">
        <v>4854</v>
      </c>
      <c r="AE1208" s="100" t="s">
        <v>4854</v>
      </c>
      <c r="AF1208" s="91">
        <v>2.0139999999999998</v>
      </c>
      <c r="AG1208" s="100" t="s">
        <v>4854</v>
      </c>
      <c r="AH1208" s="91">
        <v>1.919</v>
      </c>
      <c r="AI1208" s="100" t="s">
        <v>4854</v>
      </c>
      <c r="AJ1208" s="91">
        <v>1.895</v>
      </c>
      <c r="AK1208" s="100" t="s">
        <v>4854</v>
      </c>
      <c r="AL1208" s="100" t="s">
        <v>4854</v>
      </c>
      <c r="AM1208" s="103" t="s">
        <v>4854</v>
      </c>
      <c r="AN1208" s="95">
        <v>0.33829999999999999</v>
      </c>
      <c r="AO1208" s="103" t="s">
        <v>4854</v>
      </c>
      <c r="AP1208" s="95">
        <v>0.87460000000000004</v>
      </c>
      <c r="AQ1208" s="103" t="s">
        <v>4854</v>
      </c>
      <c r="AR1208" s="95">
        <v>0.91620000000000001</v>
      </c>
      <c r="AS1208" s="103" t="s">
        <v>4854</v>
      </c>
      <c r="AT1208" s="103" t="s">
        <v>4854</v>
      </c>
      <c r="AU1208" s="103" t="s">
        <v>4854</v>
      </c>
      <c r="AV1208" s="95">
        <v>2.1999999999999999E-2</v>
      </c>
      <c r="AW1208" s="103" t="s">
        <v>4854</v>
      </c>
      <c r="AX1208" s="95">
        <v>5.1999999999999998E-2</v>
      </c>
      <c r="AY1208" s="103" t="s">
        <v>4854</v>
      </c>
      <c r="AZ1208" s="95">
        <v>5.8999999999999997E-2</v>
      </c>
      <c r="BA1208" s="103" t="s">
        <v>4854</v>
      </c>
      <c r="BB1208" s="103" t="s">
        <v>4854</v>
      </c>
      <c r="BC1208" s="4" t="s">
        <v>4854</v>
      </c>
      <c r="BD1208" s="10">
        <v>4</v>
      </c>
      <c r="BE1208" s="4" t="s">
        <v>4854</v>
      </c>
      <c r="BF1208" s="10">
        <v>2</v>
      </c>
      <c r="BG1208" s="4" t="s">
        <v>4854</v>
      </c>
      <c r="BH1208" s="10">
        <v>5</v>
      </c>
      <c r="BI1208" s="4" t="s">
        <v>4854</v>
      </c>
      <c r="BJ1208" s="4" t="s">
        <v>4854</v>
      </c>
      <c r="BK1208" s="100" t="s">
        <v>4854</v>
      </c>
      <c r="BL1208" s="91">
        <v>0.92100000000000004</v>
      </c>
      <c r="BM1208" s="100" t="s">
        <v>4854</v>
      </c>
      <c r="BN1208" s="91">
        <v>0.94299999999999995</v>
      </c>
      <c r="BO1208" s="100" t="s">
        <v>4854</v>
      </c>
      <c r="BP1208" s="91">
        <v>0.92600000000000005</v>
      </c>
      <c r="BQ1208" s="100" t="s">
        <v>4854</v>
      </c>
      <c r="BR1208" s="100" t="s">
        <v>4854</v>
      </c>
      <c r="BS1208" s="10" t="s">
        <v>4857</v>
      </c>
    </row>
    <row r="1209" spans="1:71" s="30" customFormat="1" ht="17.100000000000001" customHeight="1">
      <c r="A1209" s="14">
        <v>1198</v>
      </c>
      <c r="B1209" s="5" t="s">
        <v>67</v>
      </c>
      <c r="C1209" s="3" t="s">
        <v>32</v>
      </c>
      <c r="D1209" s="3" t="s">
        <v>61</v>
      </c>
      <c r="E1209" s="3" t="s">
        <v>62</v>
      </c>
      <c r="F1209" s="5" t="s">
        <v>2900</v>
      </c>
      <c r="G1209" s="3" t="s">
        <v>63</v>
      </c>
      <c r="H1209" s="6" t="s">
        <v>64</v>
      </c>
      <c r="I1209" s="3" t="s">
        <v>65</v>
      </c>
      <c r="J1209" s="5" t="s">
        <v>4530</v>
      </c>
      <c r="K1209" s="3" t="s">
        <v>6105</v>
      </c>
      <c r="L1209" s="3" t="s">
        <v>68</v>
      </c>
      <c r="M1209" s="5">
        <v>3</v>
      </c>
      <c r="N1209" s="21">
        <v>871.7645</v>
      </c>
      <c r="O1209" s="35" t="s">
        <v>4854</v>
      </c>
      <c r="P1209" s="35" t="s">
        <v>4854</v>
      </c>
      <c r="Q1209" s="35" t="s">
        <v>4854</v>
      </c>
      <c r="R1209" s="35" t="s">
        <v>4854</v>
      </c>
      <c r="S1209" s="35" t="s">
        <v>4854</v>
      </c>
      <c r="T1209" s="35" t="s">
        <v>4854</v>
      </c>
      <c r="U1209" s="36" t="str">
        <f>HYPERLINK("http://ms.phosphosite.org:5080/cgi-bin/plot-msms.cgi?MassType=1&amp;NumAxis=1&amp;Mod3=170&amp;Pep=AGKEQGGNEELVGPDPEPVPAQPQK&amp;Dta=/var/www/html/dta/S01/10564.6284.3.dta&amp;Global_Mod=CS57.0215", "6284")</f>
        <v>6284</v>
      </c>
      <c r="V1209" s="36" t="str">
        <f>HYPERLINK("http://ms.phosphosite.org:5080/cgi-bin/plot-msms.cgi?MassType=1&amp;NumAxis=1&amp;Mod3=170&amp;Pep=AGKEQGGNEELVGPDPEPVPAQPQK&amp;Dta=/var/www/html/dta/S01/10565.6349.3.dta&amp;Global_Mod=CS57.0215", "6349")</f>
        <v>6349</v>
      </c>
      <c r="W1209" s="3" t="s">
        <v>4854</v>
      </c>
      <c r="X1209" s="3" t="s">
        <v>4854</v>
      </c>
      <c r="Y1209" s="3" t="s">
        <v>4854</v>
      </c>
      <c r="Z1209" s="3" t="s">
        <v>4854</v>
      </c>
      <c r="AA1209" s="3" t="s">
        <v>4854</v>
      </c>
      <c r="AB1209" s="3" t="s">
        <v>4854</v>
      </c>
      <c r="AC1209" s="5">
        <v>6254</v>
      </c>
      <c r="AD1209" s="5">
        <v>6361</v>
      </c>
      <c r="AE1209" s="99" t="s">
        <v>4854</v>
      </c>
      <c r="AF1209" s="99" t="s">
        <v>4854</v>
      </c>
      <c r="AG1209" s="99" t="s">
        <v>4854</v>
      </c>
      <c r="AH1209" s="99" t="s">
        <v>4854</v>
      </c>
      <c r="AI1209" s="99" t="s">
        <v>4854</v>
      </c>
      <c r="AJ1209" s="99" t="s">
        <v>4854</v>
      </c>
      <c r="AK1209" s="90">
        <v>2.4710000000000001</v>
      </c>
      <c r="AL1209" s="90">
        <v>3.5179999999999998</v>
      </c>
      <c r="AM1209" s="102" t="s">
        <v>4854</v>
      </c>
      <c r="AN1209" s="102" t="s">
        <v>4854</v>
      </c>
      <c r="AO1209" s="102" t="s">
        <v>4854</v>
      </c>
      <c r="AP1209" s="102" t="s">
        <v>4854</v>
      </c>
      <c r="AQ1209" s="102" t="s">
        <v>4854</v>
      </c>
      <c r="AR1209" s="102" t="s">
        <v>4854</v>
      </c>
      <c r="AS1209" s="21">
        <v>0.37969999999999998</v>
      </c>
      <c r="AT1209" s="21">
        <v>1.4970000000000001</v>
      </c>
      <c r="AU1209" s="102" t="s">
        <v>4854</v>
      </c>
      <c r="AV1209" s="102" t="s">
        <v>4854</v>
      </c>
      <c r="AW1209" s="102" t="s">
        <v>4854</v>
      </c>
      <c r="AX1209" s="102" t="s">
        <v>4854</v>
      </c>
      <c r="AY1209" s="102" t="s">
        <v>4854</v>
      </c>
      <c r="AZ1209" s="102" t="s">
        <v>4854</v>
      </c>
      <c r="BA1209" s="21">
        <v>0.27200000000000002</v>
      </c>
      <c r="BB1209" s="21">
        <v>0.32</v>
      </c>
      <c r="BC1209" s="3" t="s">
        <v>4854</v>
      </c>
      <c r="BD1209" s="3" t="s">
        <v>4854</v>
      </c>
      <c r="BE1209" s="3" t="s">
        <v>4854</v>
      </c>
      <c r="BF1209" s="3" t="s">
        <v>4854</v>
      </c>
      <c r="BG1209" s="3" t="s">
        <v>4854</v>
      </c>
      <c r="BH1209" s="3" t="s">
        <v>4854</v>
      </c>
      <c r="BI1209" s="5">
        <v>2</v>
      </c>
      <c r="BJ1209" s="5">
        <v>1</v>
      </c>
      <c r="BK1209" s="99" t="s">
        <v>4854</v>
      </c>
      <c r="BL1209" s="99" t="s">
        <v>4854</v>
      </c>
      <c r="BM1209" s="99" t="s">
        <v>4854</v>
      </c>
      <c r="BN1209" s="99" t="s">
        <v>4854</v>
      </c>
      <c r="BO1209" s="99" t="s">
        <v>4854</v>
      </c>
      <c r="BP1209" s="99" t="s">
        <v>4854</v>
      </c>
      <c r="BQ1209" s="90">
        <v>0.998</v>
      </c>
      <c r="BR1209" s="90">
        <v>1</v>
      </c>
      <c r="BS1209" s="5" t="s">
        <v>4857</v>
      </c>
    </row>
    <row r="1210" spans="1:71" s="30" customFormat="1" ht="17.100000000000001" customHeight="1">
      <c r="A1210" s="10">
        <v>1199</v>
      </c>
      <c r="B1210" s="10" t="s">
        <v>69</v>
      </c>
      <c r="C1210" s="4" t="s">
        <v>32</v>
      </c>
      <c r="D1210" s="4" t="s">
        <v>61</v>
      </c>
      <c r="E1210" s="4" t="s">
        <v>62</v>
      </c>
      <c r="F1210" s="10" t="s">
        <v>4422</v>
      </c>
      <c r="G1210" s="4" t="s">
        <v>63</v>
      </c>
      <c r="H1210" s="7" t="s">
        <v>64</v>
      </c>
      <c r="I1210" s="4" t="s">
        <v>65</v>
      </c>
      <c r="J1210" s="10" t="s">
        <v>4530</v>
      </c>
      <c r="K1210" s="4" t="s">
        <v>6106</v>
      </c>
      <c r="L1210" s="4" t="s">
        <v>70</v>
      </c>
      <c r="M1210" s="10">
        <v>4</v>
      </c>
      <c r="N1210" s="95">
        <v>518.27610000000004</v>
      </c>
      <c r="O1210" s="38" t="s">
        <v>4854</v>
      </c>
      <c r="P1210" s="38" t="s">
        <v>4854</v>
      </c>
      <c r="Q1210" s="37" t="str">
        <f>HYPERLINK("http://ms.phosphosite.org:5080/cgi-bin/plot-msms.cgi?MassType=1&amp;NumAxis=1&amp;Mod15=170&amp;Pep=IKPAATSQVEGAGEKEKER&amp;Dta=/var/www/html/dta/S01/10560.2302.4.dta&amp;Global_Mod=CS57.0215", "2302")</f>
        <v>2302</v>
      </c>
      <c r="R1210" s="38" t="s">
        <v>4854</v>
      </c>
      <c r="S1210" s="37" t="str">
        <f>HYPERLINK("http://ms.phosphosite.org:5080/cgi-bin/plot-msms.cgi?MassType=1&amp;NumAxis=1&amp;Mod15=170&amp;Pep=IKPAATSQVEGAGEKEKER&amp;Dta=/var/www/html/dta/S01/10562.2421.4.dta&amp;Global_Mod=CS57.0215", "2421")</f>
        <v>2421</v>
      </c>
      <c r="T1210" s="37" t="str">
        <f>HYPERLINK("http://ms.phosphosite.org:5080/cgi-bin/plot-msms.cgi?MassType=1&amp;NumAxis=1&amp;Mod15=170&amp;Pep=IKPAATSQVEGAGEKEKER&amp;Dta=/var/www/html/dta/S01/10563.2348.4.dta&amp;Global_Mod=CS57.0215", "2348")</f>
        <v>2348</v>
      </c>
      <c r="U1210" s="37" t="str">
        <f>HYPERLINK("http://ms.phosphosite.org:5080/cgi-bin/plot-msms.cgi?MassType=1&amp;NumAxis=1&amp;Mod15=170&amp;Pep=IKPAATSQVEGAGEKEKER&amp;Dta=/var/www/html/dta/S01/10564.2603.4.dta&amp;Global_Mod=CS57.0215", "2603")</f>
        <v>2603</v>
      </c>
      <c r="V1210" s="38" t="s">
        <v>4854</v>
      </c>
      <c r="W1210" s="4" t="s">
        <v>4854</v>
      </c>
      <c r="X1210" s="4" t="s">
        <v>4854</v>
      </c>
      <c r="Y1210" s="10">
        <v>2318</v>
      </c>
      <c r="Z1210" s="4" t="s">
        <v>4854</v>
      </c>
      <c r="AA1210" s="10">
        <v>2448</v>
      </c>
      <c r="AB1210" s="10">
        <v>2346</v>
      </c>
      <c r="AC1210" s="10">
        <v>2621</v>
      </c>
      <c r="AD1210" s="4" t="s">
        <v>4854</v>
      </c>
      <c r="AE1210" s="100" t="s">
        <v>4854</v>
      </c>
      <c r="AF1210" s="100" t="s">
        <v>4854</v>
      </c>
      <c r="AG1210" s="91">
        <v>3.7709999999999999</v>
      </c>
      <c r="AH1210" s="100" t="s">
        <v>4854</v>
      </c>
      <c r="AI1210" s="91">
        <v>3.0449999999999999</v>
      </c>
      <c r="AJ1210" s="91">
        <v>3.1030000000000002</v>
      </c>
      <c r="AK1210" s="91">
        <v>3.4129999999999998</v>
      </c>
      <c r="AL1210" s="100" t="s">
        <v>4854</v>
      </c>
      <c r="AM1210" s="103" t="s">
        <v>4854</v>
      </c>
      <c r="AN1210" s="103" t="s">
        <v>4854</v>
      </c>
      <c r="AO1210" s="95">
        <v>0.90900000000000003</v>
      </c>
      <c r="AP1210" s="103" t="s">
        <v>4854</v>
      </c>
      <c r="AQ1210" s="95">
        <v>0.70179999999999998</v>
      </c>
      <c r="AR1210" s="95">
        <v>0.93169999999999997</v>
      </c>
      <c r="AS1210" s="95">
        <v>0.19359999999999999</v>
      </c>
      <c r="AT1210" s="103" t="s">
        <v>4854</v>
      </c>
      <c r="AU1210" s="103" t="s">
        <v>4854</v>
      </c>
      <c r="AV1210" s="103" t="s">
        <v>4854</v>
      </c>
      <c r="AW1210" s="95">
        <v>0.14899999999999999</v>
      </c>
      <c r="AX1210" s="103" t="s">
        <v>4854</v>
      </c>
      <c r="AY1210" s="95">
        <v>9.7000000000000003E-2</v>
      </c>
      <c r="AZ1210" s="95">
        <v>0.22700000000000001</v>
      </c>
      <c r="BA1210" s="95">
        <v>0.20599999999999999</v>
      </c>
      <c r="BB1210" s="103" t="s">
        <v>4854</v>
      </c>
      <c r="BC1210" s="4" t="s">
        <v>4854</v>
      </c>
      <c r="BD1210" s="4" t="s">
        <v>4854</v>
      </c>
      <c r="BE1210" s="10">
        <v>2</v>
      </c>
      <c r="BF1210" s="4" t="s">
        <v>4854</v>
      </c>
      <c r="BG1210" s="10">
        <v>1</v>
      </c>
      <c r="BH1210" s="10">
        <v>1</v>
      </c>
      <c r="BI1210" s="10">
        <v>5</v>
      </c>
      <c r="BJ1210" s="4" t="s">
        <v>4854</v>
      </c>
      <c r="BK1210" s="100" t="s">
        <v>4854</v>
      </c>
      <c r="BL1210" s="100" t="s">
        <v>4854</v>
      </c>
      <c r="BM1210" s="91">
        <v>0.998</v>
      </c>
      <c r="BN1210" s="100" t="s">
        <v>4854</v>
      </c>
      <c r="BO1210" s="91">
        <v>0.997</v>
      </c>
      <c r="BP1210" s="91">
        <v>1</v>
      </c>
      <c r="BQ1210" s="91">
        <v>0.999</v>
      </c>
      <c r="BR1210" s="100" t="s">
        <v>4854</v>
      </c>
      <c r="BS1210" s="10" t="s">
        <v>4857</v>
      </c>
    </row>
    <row r="1211" spans="1:71" s="30" customFormat="1" ht="17.100000000000001" customHeight="1">
      <c r="A1211" s="10">
        <v>1200</v>
      </c>
      <c r="B1211" s="10" t="s">
        <v>71</v>
      </c>
      <c r="C1211" s="4" t="s">
        <v>32</v>
      </c>
      <c r="D1211" s="4" t="s">
        <v>61</v>
      </c>
      <c r="E1211" s="4" t="s">
        <v>62</v>
      </c>
      <c r="F1211" s="10" t="s">
        <v>4422</v>
      </c>
      <c r="G1211" s="4" t="s">
        <v>63</v>
      </c>
      <c r="H1211" s="7" t="s">
        <v>64</v>
      </c>
      <c r="I1211" s="4" t="s">
        <v>65</v>
      </c>
      <c r="J1211" s="10" t="s">
        <v>4530</v>
      </c>
      <c r="K1211" s="4" t="s">
        <v>6106</v>
      </c>
      <c r="L1211" s="4" t="s">
        <v>72</v>
      </c>
      <c r="M1211" s="10">
        <v>3</v>
      </c>
      <c r="N1211" s="95">
        <v>742.7328</v>
      </c>
      <c r="O1211" s="38" t="s">
        <v>4854</v>
      </c>
      <c r="P1211" s="37" t="str">
        <f>HYPERLINK("http://ms.phosphosite.org:5080/cgi-bin/plot-msms.cgi?MassType=1&amp;NumAxis=1&amp;Mod16=170&amp;Pep=RIKPAATSQVEGAGEKEKER&amp;Dta=/var/www/html/dta/S01/10559.1918.3.dta&amp;Global_Mod=CS57.0215", "1918")</f>
        <v>1918</v>
      </c>
      <c r="Q1211" s="38" t="s">
        <v>4854</v>
      </c>
      <c r="R1211" s="38" t="s">
        <v>4854</v>
      </c>
      <c r="S1211" s="38" t="s">
        <v>4854</v>
      </c>
      <c r="T1211" s="38" t="s">
        <v>4854</v>
      </c>
      <c r="U1211" s="38" t="s">
        <v>4854</v>
      </c>
      <c r="V1211" s="37" t="str">
        <f>HYPERLINK("http://ms.phosphosite.org:5080/cgi-bin/plot-msms.cgi?MassType=1&amp;NumAxis=1&amp;Mod16=170&amp;Pep=RIKPAATSQVEGAGEKEKER&amp;Dta=/var/www/html/dta/S01/10565.2192.3.dta&amp;Global_Mod=CS57.0215", "2192")</f>
        <v>2192</v>
      </c>
      <c r="W1211" s="4" t="s">
        <v>4854</v>
      </c>
      <c r="X1211" s="10">
        <v>1908</v>
      </c>
      <c r="Y1211" s="4" t="s">
        <v>4854</v>
      </c>
      <c r="Z1211" s="4" t="s">
        <v>4854</v>
      </c>
      <c r="AA1211" s="4" t="s">
        <v>4854</v>
      </c>
      <c r="AB1211" s="4" t="s">
        <v>4854</v>
      </c>
      <c r="AC1211" s="4" t="s">
        <v>4854</v>
      </c>
      <c r="AD1211" s="10">
        <v>2187</v>
      </c>
      <c r="AE1211" s="100" t="s">
        <v>4854</v>
      </c>
      <c r="AF1211" s="91">
        <v>3.8180000000000001</v>
      </c>
      <c r="AG1211" s="100" t="s">
        <v>4854</v>
      </c>
      <c r="AH1211" s="100" t="s">
        <v>4854</v>
      </c>
      <c r="AI1211" s="100" t="s">
        <v>4854</v>
      </c>
      <c r="AJ1211" s="100" t="s">
        <v>4854</v>
      </c>
      <c r="AK1211" s="100" t="s">
        <v>4854</v>
      </c>
      <c r="AL1211" s="91">
        <v>4.2569999999999997</v>
      </c>
      <c r="AM1211" s="103" t="s">
        <v>4854</v>
      </c>
      <c r="AN1211" s="95">
        <v>1.3915</v>
      </c>
      <c r="AO1211" s="103" t="s">
        <v>4854</v>
      </c>
      <c r="AP1211" s="103" t="s">
        <v>4854</v>
      </c>
      <c r="AQ1211" s="103" t="s">
        <v>4854</v>
      </c>
      <c r="AR1211" s="103" t="s">
        <v>4854</v>
      </c>
      <c r="AS1211" s="103" t="s">
        <v>4854</v>
      </c>
      <c r="AT1211" s="95">
        <v>0.98</v>
      </c>
      <c r="AU1211" s="103" t="s">
        <v>4854</v>
      </c>
      <c r="AV1211" s="95">
        <v>0.34699999999999998</v>
      </c>
      <c r="AW1211" s="103" t="s">
        <v>4854</v>
      </c>
      <c r="AX1211" s="103" t="s">
        <v>4854</v>
      </c>
      <c r="AY1211" s="103" t="s">
        <v>4854</v>
      </c>
      <c r="AZ1211" s="103" t="s">
        <v>4854</v>
      </c>
      <c r="BA1211" s="103" t="s">
        <v>4854</v>
      </c>
      <c r="BB1211" s="95">
        <v>0.36</v>
      </c>
      <c r="BC1211" s="4" t="s">
        <v>4854</v>
      </c>
      <c r="BD1211" s="10">
        <v>1</v>
      </c>
      <c r="BE1211" s="4" t="s">
        <v>4854</v>
      </c>
      <c r="BF1211" s="4" t="s">
        <v>4854</v>
      </c>
      <c r="BG1211" s="4" t="s">
        <v>4854</v>
      </c>
      <c r="BH1211" s="4" t="s">
        <v>4854</v>
      </c>
      <c r="BI1211" s="4" t="s">
        <v>4854</v>
      </c>
      <c r="BJ1211" s="10">
        <v>1</v>
      </c>
      <c r="BK1211" s="100" t="s">
        <v>4854</v>
      </c>
      <c r="BL1211" s="91">
        <v>1</v>
      </c>
      <c r="BM1211" s="100" t="s">
        <v>4854</v>
      </c>
      <c r="BN1211" s="100" t="s">
        <v>4854</v>
      </c>
      <c r="BO1211" s="100" t="s">
        <v>4854</v>
      </c>
      <c r="BP1211" s="100" t="s">
        <v>4854</v>
      </c>
      <c r="BQ1211" s="100" t="s">
        <v>4854</v>
      </c>
      <c r="BR1211" s="91">
        <v>1</v>
      </c>
      <c r="BS1211" s="10" t="s">
        <v>4857</v>
      </c>
    </row>
    <row r="1212" spans="1:71" s="30" customFormat="1" ht="17.100000000000001" customHeight="1">
      <c r="A1212" s="10">
        <v>1201</v>
      </c>
      <c r="B1212" s="10" t="s">
        <v>73</v>
      </c>
      <c r="C1212" s="4" t="s">
        <v>32</v>
      </c>
      <c r="D1212" s="4" t="s">
        <v>61</v>
      </c>
      <c r="E1212" s="4" t="s">
        <v>62</v>
      </c>
      <c r="F1212" s="10" t="s">
        <v>4422</v>
      </c>
      <c r="G1212" s="4" t="s">
        <v>63</v>
      </c>
      <c r="H1212" s="7" t="s">
        <v>64</v>
      </c>
      <c r="I1212" s="4" t="s">
        <v>65</v>
      </c>
      <c r="J1212" s="10" t="s">
        <v>4530</v>
      </c>
      <c r="K1212" s="4" t="s">
        <v>6106</v>
      </c>
      <c r="L1212" s="4" t="s">
        <v>72</v>
      </c>
      <c r="M1212" s="10">
        <v>4</v>
      </c>
      <c r="N1212" s="95">
        <v>557.30139999999994</v>
      </c>
      <c r="O1212" s="38" t="s">
        <v>4854</v>
      </c>
      <c r="P1212" s="38" t="s">
        <v>4854</v>
      </c>
      <c r="Q1212" s="37" t="str">
        <f>HYPERLINK("http://ms.phosphosite.org:5080/cgi-bin/plot-msms.cgi?MassType=1&amp;NumAxis=1&amp;Mod16=170&amp;Pep=RIKPAATSQVEGAGEKEKER&amp;Dta=/var/www/html/dta/S01/10560.1820.4.dta&amp;Global_Mod=CS57.0215", "1820")</f>
        <v>1820</v>
      </c>
      <c r="R1212" s="38" t="s">
        <v>4854</v>
      </c>
      <c r="S1212" s="37" t="str">
        <f>HYPERLINK("http://ms.phosphosite.org:5080/cgi-bin/plot-msms.cgi?MassType=1&amp;NumAxis=1&amp;Mod16=170&amp;Pep=RIKPAATSQVEGAGEKEKER&amp;Dta=/var/www/html/dta/S01/10562.1967.4.dta&amp;Global_Mod=CS57.0215", "1967")</f>
        <v>1967</v>
      </c>
      <c r="T1212" s="38" t="s">
        <v>4854</v>
      </c>
      <c r="U1212" s="37" t="str">
        <f>HYPERLINK("http://ms.phosphosite.org:5080/cgi-bin/plot-msms.cgi?MassType=1&amp;NumAxis=1&amp;Mod16=170&amp;Pep=RIKPAATSQVEGAGEKEKER&amp;Dta=/var/www/html/dta/S01/10564.2127.4.dta&amp;Global_Mod=CS57.0215", "2127")</f>
        <v>2127</v>
      </c>
      <c r="V1212" s="38" t="s">
        <v>4854</v>
      </c>
      <c r="W1212" s="4" t="s">
        <v>4854</v>
      </c>
      <c r="X1212" s="4" t="s">
        <v>4854</v>
      </c>
      <c r="Y1212" s="10">
        <v>1803</v>
      </c>
      <c r="Z1212" s="4" t="s">
        <v>4854</v>
      </c>
      <c r="AA1212" s="10">
        <v>1974</v>
      </c>
      <c r="AB1212" s="4" t="s">
        <v>4854</v>
      </c>
      <c r="AC1212" s="10">
        <v>2133</v>
      </c>
      <c r="AD1212" s="4" t="s">
        <v>4854</v>
      </c>
      <c r="AE1212" s="100" t="s">
        <v>4854</v>
      </c>
      <c r="AF1212" s="100" t="s">
        <v>4854</v>
      </c>
      <c r="AG1212" s="91">
        <v>3.0019999999999998</v>
      </c>
      <c r="AH1212" s="100" t="s">
        <v>4854</v>
      </c>
      <c r="AI1212" s="91">
        <v>2.4780000000000002</v>
      </c>
      <c r="AJ1212" s="100" t="s">
        <v>4854</v>
      </c>
      <c r="AK1212" s="91">
        <v>4.601</v>
      </c>
      <c r="AL1212" s="100" t="s">
        <v>4854</v>
      </c>
      <c r="AM1212" s="103" t="s">
        <v>4854</v>
      </c>
      <c r="AN1212" s="103" t="s">
        <v>4854</v>
      </c>
      <c r="AO1212" s="95">
        <v>0.48730000000000001</v>
      </c>
      <c r="AP1212" s="103" t="s">
        <v>4854</v>
      </c>
      <c r="AQ1212" s="95">
        <v>0.3947</v>
      </c>
      <c r="AR1212" s="103" t="s">
        <v>4854</v>
      </c>
      <c r="AS1212" s="95">
        <v>-0.17530000000000001</v>
      </c>
      <c r="AT1212" s="103" t="s">
        <v>4854</v>
      </c>
      <c r="AU1212" s="103" t="s">
        <v>4854</v>
      </c>
      <c r="AV1212" s="103" t="s">
        <v>4854</v>
      </c>
      <c r="AW1212" s="95">
        <v>0.214</v>
      </c>
      <c r="AX1212" s="103" t="s">
        <v>4854</v>
      </c>
      <c r="AY1212" s="95">
        <v>0.15</v>
      </c>
      <c r="AZ1212" s="103" t="s">
        <v>4854</v>
      </c>
      <c r="BA1212" s="95">
        <v>0.43</v>
      </c>
      <c r="BB1212" s="103" t="s">
        <v>4854</v>
      </c>
      <c r="BC1212" s="4" t="s">
        <v>4854</v>
      </c>
      <c r="BD1212" s="4" t="s">
        <v>4854</v>
      </c>
      <c r="BE1212" s="10">
        <v>1</v>
      </c>
      <c r="BF1212" s="4" t="s">
        <v>4854</v>
      </c>
      <c r="BG1212" s="10">
        <v>3</v>
      </c>
      <c r="BH1212" s="4" t="s">
        <v>4854</v>
      </c>
      <c r="BI1212" s="10">
        <v>2</v>
      </c>
      <c r="BJ1212" s="4" t="s">
        <v>4854</v>
      </c>
      <c r="BK1212" s="100" t="s">
        <v>4854</v>
      </c>
      <c r="BL1212" s="100" t="s">
        <v>4854</v>
      </c>
      <c r="BM1212" s="91">
        <v>1</v>
      </c>
      <c r="BN1212" s="100" t="s">
        <v>4854</v>
      </c>
      <c r="BO1212" s="91">
        <v>0.997</v>
      </c>
      <c r="BP1212" s="100" t="s">
        <v>4854</v>
      </c>
      <c r="BQ1212" s="91">
        <v>1</v>
      </c>
      <c r="BR1212" s="100" t="s">
        <v>4854</v>
      </c>
      <c r="BS1212" s="10" t="s">
        <v>4857</v>
      </c>
    </row>
    <row r="1213" spans="1:71" s="30" customFormat="1" ht="17.100000000000001" customHeight="1">
      <c r="A1213" s="14">
        <v>1202</v>
      </c>
      <c r="B1213" s="5" t="s">
        <v>74</v>
      </c>
      <c r="C1213" s="3" t="s">
        <v>32</v>
      </c>
      <c r="D1213" s="3" t="s">
        <v>61</v>
      </c>
      <c r="E1213" s="3" t="s">
        <v>62</v>
      </c>
      <c r="F1213" s="5" t="s">
        <v>4430</v>
      </c>
      <c r="G1213" s="3" t="s">
        <v>63</v>
      </c>
      <c r="H1213" s="6" t="s">
        <v>64</v>
      </c>
      <c r="I1213" s="3" t="s">
        <v>65</v>
      </c>
      <c r="J1213" s="5" t="s">
        <v>4530</v>
      </c>
      <c r="K1213" s="3" t="s">
        <v>6107</v>
      </c>
      <c r="L1213" s="3" t="s">
        <v>75</v>
      </c>
      <c r="M1213" s="5">
        <v>4</v>
      </c>
      <c r="N1213" s="21">
        <v>518.27610000000004</v>
      </c>
      <c r="O1213" s="36" t="str">
        <f>HYPERLINK("http://ms.phosphosite.org:5080/cgi-bin/plot-msms.cgi?MassType=1&amp;NumAxis=1&amp;Mod17=170&amp;Pep=IKPAATSQVEGAGEKEKER&amp;Dta=/var/www/html/dta/S01/10558.2380.4.dta&amp;Global_Mod=CS57.0215", "2380")</f>
        <v>2380</v>
      </c>
      <c r="P1213" s="35" t="s">
        <v>4854</v>
      </c>
      <c r="Q1213" s="35" t="s">
        <v>4854</v>
      </c>
      <c r="R1213" s="36" t="str">
        <f>HYPERLINK("http://ms.phosphosite.org:5080/cgi-bin/plot-msms.cgi?MassType=1&amp;NumAxis=1&amp;Mod17=170&amp;Pep=IKPAATSQVEGAGEKEKER&amp;Dta=/var/www/html/dta/S01/10561.2356.4.dta&amp;Global_Mod=CS57.0215", "2356")</f>
        <v>2356</v>
      </c>
      <c r="S1213" s="35" t="s">
        <v>4854</v>
      </c>
      <c r="T1213" s="35" t="s">
        <v>4854</v>
      </c>
      <c r="U1213" s="35" t="s">
        <v>4854</v>
      </c>
      <c r="V1213" s="36" t="str">
        <f>HYPERLINK("http://ms.phosphosite.org:5080/cgi-bin/plot-msms.cgi?MassType=1&amp;NumAxis=1&amp;Mod17=170&amp;Pep=IKPAATSQVEGAGEKEKER&amp;Dta=/var/www/html/dta/S01/10565.2690.4.dta&amp;Global_Mod=CS57.0215", "2690")</f>
        <v>2690</v>
      </c>
      <c r="W1213" s="5">
        <v>2389</v>
      </c>
      <c r="X1213" s="3" t="s">
        <v>4854</v>
      </c>
      <c r="Y1213" s="3" t="s">
        <v>4854</v>
      </c>
      <c r="Z1213" s="5">
        <v>2366</v>
      </c>
      <c r="AA1213" s="3" t="s">
        <v>4854</v>
      </c>
      <c r="AB1213" s="3" t="s">
        <v>4854</v>
      </c>
      <c r="AC1213" s="3" t="s">
        <v>4854</v>
      </c>
      <c r="AD1213" s="5">
        <v>2698</v>
      </c>
      <c r="AE1213" s="90">
        <v>3.7069999999999999</v>
      </c>
      <c r="AF1213" s="99" t="s">
        <v>4854</v>
      </c>
      <c r="AG1213" s="99" t="s">
        <v>4854</v>
      </c>
      <c r="AH1213" s="90">
        <v>3.8759999999999999</v>
      </c>
      <c r="AI1213" s="99" t="s">
        <v>4854</v>
      </c>
      <c r="AJ1213" s="99" t="s">
        <v>4854</v>
      </c>
      <c r="AK1213" s="99" t="s">
        <v>4854</v>
      </c>
      <c r="AL1213" s="90">
        <v>3.3450000000000002</v>
      </c>
      <c r="AM1213" s="21">
        <v>0.63129999999999997</v>
      </c>
      <c r="AN1213" s="102" t="s">
        <v>4854</v>
      </c>
      <c r="AO1213" s="102" t="s">
        <v>4854</v>
      </c>
      <c r="AP1213" s="21">
        <v>0.82499999999999996</v>
      </c>
      <c r="AQ1213" s="102" t="s">
        <v>4854</v>
      </c>
      <c r="AR1213" s="102" t="s">
        <v>4854</v>
      </c>
      <c r="AS1213" s="102" t="s">
        <v>4854</v>
      </c>
      <c r="AT1213" s="21">
        <v>0.42549999999999999</v>
      </c>
      <c r="AU1213" s="21">
        <v>0.253</v>
      </c>
      <c r="AV1213" s="102" t="s">
        <v>4854</v>
      </c>
      <c r="AW1213" s="102" t="s">
        <v>4854</v>
      </c>
      <c r="AX1213" s="21">
        <v>0.23400000000000001</v>
      </c>
      <c r="AY1213" s="102" t="s">
        <v>4854</v>
      </c>
      <c r="AZ1213" s="102" t="s">
        <v>4854</v>
      </c>
      <c r="BA1213" s="102" t="s">
        <v>4854</v>
      </c>
      <c r="BB1213" s="21">
        <v>0.14099999999999999</v>
      </c>
      <c r="BC1213" s="5">
        <v>2</v>
      </c>
      <c r="BD1213" s="3" t="s">
        <v>4854</v>
      </c>
      <c r="BE1213" s="3" t="s">
        <v>4854</v>
      </c>
      <c r="BF1213" s="5">
        <v>1</v>
      </c>
      <c r="BG1213" s="3" t="s">
        <v>4854</v>
      </c>
      <c r="BH1213" s="3" t="s">
        <v>4854</v>
      </c>
      <c r="BI1213" s="3" t="s">
        <v>4854</v>
      </c>
      <c r="BJ1213" s="5">
        <v>4</v>
      </c>
      <c r="BK1213" s="90">
        <v>1</v>
      </c>
      <c r="BL1213" s="99" t="s">
        <v>4854</v>
      </c>
      <c r="BM1213" s="99" t="s">
        <v>4854</v>
      </c>
      <c r="BN1213" s="90">
        <v>1</v>
      </c>
      <c r="BO1213" s="99" t="s">
        <v>4854</v>
      </c>
      <c r="BP1213" s="99" t="s">
        <v>4854</v>
      </c>
      <c r="BQ1213" s="99" t="s">
        <v>4854</v>
      </c>
      <c r="BR1213" s="90">
        <v>0.996</v>
      </c>
      <c r="BS1213" s="5" t="s">
        <v>4857</v>
      </c>
    </row>
    <row r="1214" spans="1:71" s="30" customFormat="1" ht="17.100000000000001" customHeight="1">
      <c r="A1214" s="14">
        <v>1203</v>
      </c>
      <c r="B1214" s="5" t="s">
        <v>76</v>
      </c>
      <c r="C1214" s="3" t="s">
        <v>32</v>
      </c>
      <c r="D1214" s="3" t="s">
        <v>61</v>
      </c>
      <c r="E1214" s="3" t="s">
        <v>62</v>
      </c>
      <c r="F1214" s="5" t="s">
        <v>4430</v>
      </c>
      <c r="G1214" s="3" t="s">
        <v>63</v>
      </c>
      <c r="H1214" s="6" t="s">
        <v>64</v>
      </c>
      <c r="I1214" s="3" t="s">
        <v>65</v>
      </c>
      <c r="J1214" s="5" t="s">
        <v>4530</v>
      </c>
      <c r="K1214" s="3" t="s">
        <v>6107</v>
      </c>
      <c r="L1214" s="3" t="s">
        <v>77</v>
      </c>
      <c r="M1214" s="5">
        <v>4</v>
      </c>
      <c r="N1214" s="21">
        <v>557.30139999999994</v>
      </c>
      <c r="O1214" s="35" t="s">
        <v>4854</v>
      </c>
      <c r="P1214" s="35" t="s">
        <v>4854</v>
      </c>
      <c r="Q1214" s="35" t="s">
        <v>4854</v>
      </c>
      <c r="R1214" s="36" t="str">
        <f>HYPERLINK("http://ms.phosphosite.org:5080/cgi-bin/plot-msms.cgi?MassType=1&amp;NumAxis=1&amp;Mod18=170&amp;Pep=RIKPAATSQVEGAGEKEKER&amp;Dta=/var/www/html/dta/S01/10561.1891.4.dta&amp;Global_Mod=CS57.0215", "1891")</f>
        <v>1891</v>
      </c>
      <c r="S1214" s="35" t="s">
        <v>4854</v>
      </c>
      <c r="T1214" s="35" t="s">
        <v>4854</v>
      </c>
      <c r="U1214" s="35" t="s">
        <v>4854</v>
      </c>
      <c r="V1214" s="35" t="s">
        <v>4854</v>
      </c>
      <c r="W1214" s="3" t="s">
        <v>4854</v>
      </c>
      <c r="X1214" s="3" t="s">
        <v>4854</v>
      </c>
      <c r="Y1214" s="3" t="s">
        <v>4854</v>
      </c>
      <c r="Z1214" s="5">
        <v>1896</v>
      </c>
      <c r="AA1214" s="3" t="s">
        <v>4854</v>
      </c>
      <c r="AB1214" s="3" t="s">
        <v>4854</v>
      </c>
      <c r="AC1214" s="3" t="s">
        <v>4854</v>
      </c>
      <c r="AD1214" s="3" t="s">
        <v>4854</v>
      </c>
      <c r="AE1214" s="99" t="s">
        <v>4854</v>
      </c>
      <c r="AF1214" s="99" t="s">
        <v>4854</v>
      </c>
      <c r="AG1214" s="99" t="s">
        <v>4854</v>
      </c>
      <c r="AH1214" s="90">
        <v>3.0350000000000001</v>
      </c>
      <c r="AI1214" s="99" t="s">
        <v>4854</v>
      </c>
      <c r="AJ1214" s="99" t="s">
        <v>4854</v>
      </c>
      <c r="AK1214" s="99" t="s">
        <v>4854</v>
      </c>
      <c r="AL1214" s="99" t="s">
        <v>4854</v>
      </c>
      <c r="AM1214" s="102" t="s">
        <v>4854</v>
      </c>
      <c r="AN1214" s="102" t="s">
        <v>4854</v>
      </c>
      <c r="AO1214" s="102" t="s">
        <v>4854</v>
      </c>
      <c r="AP1214" s="21">
        <v>-0.20050000000000001</v>
      </c>
      <c r="AQ1214" s="102" t="s">
        <v>4854</v>
      </c>
      <c r="AR1214" s="102" t="s">
        <v>4854</v>
      </c>
      <c r="AS1214" s="102" t="s">
        <v>4854</v>
      </c>
      <c r="AT1214" s="102" t="s">
        <v>4854</v>
      </c>
      <c r="AU1214" s="102" t="s">
        <v>4854</v>
      </c>
      <c r="AV1214" s="102" t="s">
        <v>4854</v>
      </c>
      <c r="AW1214" s="102" t="s">
        <v>4854</v>
      </c>
      <c r="AX1214" s="21">
        <v>0.215</v>
      </c>
      <c r="AY1214" s="102" t="s">
        <v>4854</v>
      </c>
      <c r="AZ1214" s="102" t="s">
        <v>4854</v>
      </c>
      <c r="BA1214" s="102" t="s">
        <v>4854</v>
      </c>
      <c r="BB1214" s="102" t="s">
        <v>4854</v>
      </c>
      <c r="BC1214" s="3" t="s">
        <v>4854</v>
      </c>
      <c r="BD1214" s="3" t="s">
        <v>4854</v>
      </c>
      <c r="BE1214" s="3" t="s">
        <v>4854</v>
      </c>
      <c r="BF1214" s="5">
        <v>1</v>
      </c>
      <c r="BG1214" s="3" t="s">
        <v>4854</v>
      </c>
      <c r="BH1214" s="3" t="s">
        <v>4854</v>
      </c>
      <c r="BI1214" s="3" t="s">
        <v>4854</v>
      </c>
      <c r="BJ1214" s="3" t="s">
        <v>4854</v>
      </c>
      <c r="BK1214" s="99" t="s">
        <v>4854</v>
      </c>
      <c r="BL1214" s="99" t="s">
        <v>4854</v>
      </c>
      <c r="BM1214" s="99" t="s">
        <v>4854</v>
      </c>
      <c r="BN1214" s="90">
        <v>1</v>
      </c>
      <c r="BO1214" s="99" t="s">
        <v>4854</v>
      </c>
      <c r="BP1214" s="99" t="s">
        <v>4854</v>
      </c>
      <c r="BQ1214" s="99" t="s">
        <v>4854</v>
      </c>
      <c r="BR1214" s="99" t="s">
        <v>4854</v>
      </c>
      <c r="BS1214" s="5" t="s">
        <v>4857</v>
      </c>
    </row>
    <row r="1215" spans="1:71" ht="17.100000000000001" customHeight="1">
      <c r="A1215" s="31">
        <v>1204</v>
      </c>
      <c r="B1215" s="2" t="s">
        <v>78</v>
      </c>
      <c r="C1215" s="1"/>
      <c r="D1215" s="1"/>
      <c r="E1215" s="1"/>
      <c r="F1215" s="1"/>
      <c r="G1215" s="1"/>
      <c r="H1215" s="1"/>
      <c r="I1215" s="1"/>
      <c r="J1215" s="1"/>
      <c r="K1215" s="1"/>
      <c r="L1215" s="1"/>
      <c r="M1215" s="1"/>
      <c r="N1215" s="94"/>
      <c r="O1215" s="34"/>
      <c r="P1215" s="34"/>
      <c r="Q1215" s="34"/>
      <c r="R1215" s="34"/>
      <c r="S1215" s="34"/>
      <c r="T1215" s="34"/>
      <c r="U1215" s="34"/>
      <c r="V1215" s="34"/>
      <c r="W1215" s="1"/>
      <c r="X1215" s="1"/>
      <c r="Y1215" s="1"/>
      <c r="Z1215" s="1"/>
      <c r="AA1215" s="1"/>
      <c r="AB1215" s="1"/>
      <c r="AC1215" s="1"/>
      <c r="AD1215" s="1"/>
      <c r="AE1215" s="89"/>
      <c r="AF1215" s="89"/>
      <c r="AG1215" s="89"/>
      <c r="AH1215" s="89"/>
      <c r="AI1215" s="89"/>
      <c r="AJ1215" s="89"/>
      <c r="AK1215" s="89"/>
      <c r="AL1215" s="89"/>
      <c r="AM1215" s="94"/>
      <c r="AN1215" s="94"/>
      <c r="AO1215" s="94"/>
      <c r="AP1215" s="94"/>
      <c r="AQ1215" s="94"/>
      <c r="AR1215" s="94"/>
      <c r="AS1215" s="94"/>
      <c r="AT1215" s="94"/>
      <c r="AU1215" s="94"/>
      <c r="AV1215" s="94"/>
      <c r="AW1215" s="94"/>
      <c r="AX1215" s="94"/>
      <c r="AY1215" s="94"/>
      <c r="AZ1215" s="94"/>
      <c r="BA1215" s="94"/>
      <c r="BB1215" s="94"/>
      <c r="BC1215" s="1"/>
      <c r="BD1215" s="1"/>
      <c r="BE1215" s="1"/>
      <c r="BF1215" s="1"/>
      <c r="BG1215" s="1"/>
      <c r="BH1215" s="1"/>
      <c r="BI1215" s="1"/>
      <c r="BJ1215" s="1"/>
      <c r="BK1215" s="89"/>
      <c r="BL1215" s="89"/>
      <c r="BM1215" s="89"/>
      <c r="BN1215" s="89"/>
      <c r="BO1215" s="89"/>
      <c r="BP1215" s="89"/>
      <c r="BQ1215" s="89"/>
      <c r="BR1215" s="89"/>
      <c r="BS1215" s="1"/>
    </row>
    <row r="1216" spans="1:71" s="30" customFormat="1" ht="17.100000000000001" customHeight="1">
      <c r="A1216" s="10">
        <v>1205</v>
      </c>
      <c r="B1216" s="10" t="s">
        <v>79</v>
      </c>
      <c r="C1216" s="4" t="s">
        <v>78</v>
      </c>
      <c r="D1216" s="4" t="s">
        <v>80</v>
      </c>
      <c r="E1216" s="4" t="s">
        <v>81</v>
      </c>
      <c r="F1216" s="10" t="s">
        <v>5294</v>
      </c>
      <c r="G1216" s="4" t="s">
        <v>82</v>
      </c>
      <c r="H1216" s="7" t="s">
        <v>83</v>
      </c>
      <c r="I1216" s="4" t="s">
        <v>3</v>
      </c>
      <c r="J1216" s="10" t="s">
        <v>4711</v>
      </c>
      <c r="K1216" s="4" t="s">
        <v>6108</v>
      </c>
      <c r="L1216" s="4" t="s">
        <v>4</v>
      </c>
      <c r="M1216" s="10">
        <v>3</v>
      </c>
      <c r="N1216" s="95">
        <v>591.95159999999998</v>
      </c>
      <c r="O1216" s="37" t="str">
        <f>HYPERLINK("http://ms.phosphosite.org:5080/cgi-bin/plot-msms.cgi?MassType=1&amp;NumAxis=1&amp;Mod8=170&amp;Pep=FHVEEEGKGKDASGNK&amp;Dta=/var/www/html/dta/S01/10558.2051.3.dta&amp;Global_Mod=CS57.0215", "2051")</f>
        <v>2051</v>
      </c>
      <c r="P1216" s="38" t="s">
        <v>4854</v>
      </c>
      <c r="Q1216" s="37" t="str">
        <f>HYPERLINK("http://ms.phosphosite.org:5080/cgi-bin/plot-msms.cgi?MassType=1&amp;NumAxis=1&amp;Mod8=170&amp;Pep=FHVEEEGKGKDASGNK&amp;Dta=/var/www/html/dta/S01/10560.1999.3.dta&amp;Global_Mod=CS57.0215", "1999")</f>
        <v>1999</v>
      </c>
      <c r="R1216" s="37" t="str">
        <f>HYPERLINK("http://ms.phosphosite.org:5080/cgi-bin/plot-msms.cgi?MassType=1&amp;NumAxis=1&amp;Mod8=170&amp;Pep=FHVEEEGKGKDASGNK&amp;Dta=/var/www/html/dta/S01/10561.2040.3.dta&amp;Global_Mod=CS57.0215", "2040")</f>
        <v>2040</v>
      </c>
      <c r="S1216" s="38" t="s">
        <v>4854</v>
      </c>
      <c r="T1216" s="38" t="s">
        <v>4854</v>
      </c>
      <c r="U1216" s="37" t="str">
        <f>HYPERLINK("http://ms.phosphosite.org:5080/cgi-bin/plot-msms.cgi?MassType=1&amp;NumAxis=1&amp;Mod8=170&amp;Pep=FHVEEEGKGKDASGNK&amp;Dta=/var/www/html/dta/S01/10564.2281.3.dta&amp;Global_Mod=CS57.0215", "2281")</f>
        <v>2281</v>
      </c>
      <c r="V1216" s="37" t="str">
        <f>HYPERLINK("http://ms.phosphosite.org:5080/cgi-bin/plot-msms.cgi?MassType=1&amp;NumAxis=1&amp;Mod8=170&amp;Pep=FHVEEEGKGKDASGNK&amp;Dta=/var/www/html/dta/S01/10565.2346.3.dta&amp;Global_Mod=CS57.0215", "2346")</f>
        <v>2346</v>
      </c>
      <c r="W1216" s="10">
        <v>2079</v>
      </c>
      <c r="X1216" s="4" t="s">
        <v>4854</v>
      </c>
      <c r="Y1216" s="10">
        <v>1980</v>
      </c>
      <c r="Z1216" s="4" t="s">
        <v>4854</v>
      </c>
      <c r="AA1216" s="4" t="s">
        <v>4854</v>
      </c>
      <c r="AB1216" s="4" t="s">
        <v>4854</v>
      </c>
      <c r="AC1216" s="10">
        <v>2274</v>
      </c>
      <c r="AD1216" s="10">
        <v>2349</v>
      </c>
      <c r="AE1216" s="91">
        <v>2.3519999999999999</v>
      </c>
      <c r="AF1216" s="100" t="s">
        <v>4854</v>
      </c>
      <c r="AG1216" s="91">
        <v>2.9980000000000002</v>
      </c>
      <c r="AH1216" s="91">
        <v>1.645</v>
      </c>
      <c r="AI1216" s="100" t="s">
        <v>4854</v>
      </c>
      <c r="AJ1216" s="100" t="s">
        <v>4854</v>
      </c>
      <c r="AK1216" s="91">
        <v>2.5579999999999998</v>
      </c>
      <c r="AL1216" s="91">
        <v>3.05</v>
      </c>
      <c r="AM1216" s="95">
        <v>-0.6966</v>
      </c>
      <c r="AN1216" s="103" t="s">
        <v>4854</v>
      </c>
      <c r="AO1216" s="95">
        <v>0.39529999999999998</v>
      </c>
      <c r="AP1216" s="95">
        <v>0.25719999999999998</v>
      </c>
      <c r="AQ1216" s="103" t="s">
        <v>4854</v>
      </c>
      <c r="AR1216" s="103" t="s">
        <v>4854</v>
      </c>
      <c r="AS1216" s="95">
        <v>-0.33979999999999999</v>
      </c>
      <c r="AT1216" s="95">
        <v>4.0800000000000003E-2</v>
      </c>
      <c r="AU1216" s="95">
        <v>0.29799999999999999</v>
      </c>
      <c r="AV1216" s="103" t="s">
        <v>4854</v>
      </c>
      <c r="AW1216" s="95">
        <v>0.30599999999999999</v>
      </c>
      <c r="AX1216" s="95">
        <v>0.14699999999999999</v>
      </c>
      <c r="AY1216" s="103" t="s">
        <v>4854</v>
      </c>
      <c r="AZ1216" s="103" t="s">
        <v>4854</v>
      </c>
      <c r="BA1216" s="95">
        <v>0.27800000000000002</v>
      </c>
      <c r="BB1216" s="95">
        <v>0.28499999999999998</v>
      </c>
      <c r="BC1216" s="10">
        <v>10</v>
      </c>
      <c r="BD1216" s="4" t="s">
        <v>4854</v>
      </c>
      <c r="BE1216" s="10">
        <v>2</v>
      </c>
      <c r="BF1216" s="10">
        <v>71</v>
      </c>
      <c r="BG1216" s="4" t="s">
        <v>4854</v>
      </c>
      <c r="BH1216" s="4" t="s">
        <v>4854</v>
      </c>
      <c r="BI1216" s="10">
        <v>3</v>
      </c>
      <c r="BJ1216" s="10">
        <v>1</v>
      </c>
      <c r="BK1216" s="91">
        <v>0.997</v>
      </c>
      <c r="BL1216" s="100" t="s">
        <v>4854</v>
      </c>
      <c r="BM1216" s="91">
        <v>1</v>
      </c>
      <c r="BN1216" s="91">
        <v>0.92200000000000004</v>
      </c>
      <c r="BO1216" s="100" t="s">
        <v>4854</v>
      </c>
      <c r="BP1216" s="100" t="s">
        <v>4854</v>
      </c>
      <c r="BQ1216" s="91">
        <v>0.998</v>
      </c>
      <c r="BR1216" s="91">
        <v>1</v>
      </c>
      <c r="BS1216" s="10" t="s">
        <v>4857</v>
      </c>
    </row>
    <row r="1217" spans="1:71" s="30" customFormat="1" ht="17.100000000000001" customHeight="1">
      <c r="A1217" s="14">
        <v>1206</v>
      </c>
      <c r="B1217" s="5" t="s">
        <v>5</v>
      </c>
      <c r="C1217" s="3" t="s">
        <v>78</v>
      </c>
      <c r="D1217" s="3" t="s">
        <v>80</v>
      </c>
      <c r="E1217" s="3" t="s">
        <v>81</v>
      </c>
      <c r="F1217" s="5" t="s">
        <v>4978</v>
      </c>
      <c r="G1217" s="3" t="s">
        <v>82</v>
      </c>
      <c r="H1217" s="6" t="s">
        <v>83</v>
      </c>
      <c r="I1217" s="3" t="s">
        <v>3</v>
      </c>
      <c r="J1217" s="5" t="s">
        <v>4711</v>
      </c>
      <c r="K1217" s="3" t="s">
        <v>6109</v>
      </c>
      <c r="L1217" s="3" t="s">
        <v>6</v>
      </c>
      <c r="M1217" s="5">
        <v>3</v>
      </c>
      <c r="N1217" s="21">
        <v>1103.9001000000001</v>
      </c>
      <c r="O1217" s="35" t="s">
        <v>4854</v>
      </c>
      <c r="P1217" s="35" t="s">
        <v>4854</v>
      </c>
      <c r="Q1217" s="35" t="s">
        <v>4854</v>
      </c>
      <c r="R1217" s="36" t="str">
        <f>HYPERLINK("http://ms.phosphosite.org:5080/cgi-bin/plot-msms.cgi?MassType=1&amp;NumAxis=1&amp;Mod5=147&amp;Mod16=147&amp;Mod19=170&amp;Pep=SVVLMSHLGRPDGVPMPDKYSLEPVAAELK&amp;Dta=/var/www/html/dta/S01/10561.9724.3.dta&amp;Global_Mod=CS57.0215", "9724")</f>
        <v>9724</v>
      </c>
      <c r="S1217" s="35" t="s">
        <v>4854</v>
      </c>
      <c r="T1217" s="35" t="s">
        <v>4854</v>
      </c>
      <c r="U1217" s="35" t="s">
        <v>4854</v>
      </c>
      <c r="V1217" s="35" t="s">
        <v>4854</v>
      </c>
      <c r="W1217" s="3" t="s">
        <v>4854</v>
      </c>
      <c r="X1217" s="3" t="s">
        <v>4854</v>
      </c>
      <c r="Y1217" s="3" t="s">
        <v>4854</v>
      </c>
      <c r="Z1217" s="3" t="s">
        <v>4854</v>
      </c>
      <c r="AA1217" s="3" t="s">
        <v>4854</v>
      </c>
      <c r="AB1217" s="3" t="s">
        <v>4854</v>
      </c>
      <c r="AC1217" s="3" t="s">
        <v>4854</v>
      </c>
      <c r="AD1217" s="3" t="s">
        <v>4854</v>
      </c>
      <c r="AE1217" s="99" t="s">
        <v>4854</v>
      </c>
      <c r="AF1217" s="99" t="s">
        <v>4854</v>
      </c>
      <c r="AG1217" s="99" t="s">
        <v>4854</v>
      </c>
      <c r="AH1217" s="90">
        <v>1.476</v>
      </c>
      <c r="AI1217" s="99" t="s">
        <v>4854</v>
      </c>
      <c r="AJ1217" s="99" t="s">
        <v>4854</v>
      </c>
      <c r="AK1217" s="99" t="s">
        <v>4854</v>
      </c>
      <c r="AL1217" s="99" t="s">
        <v>4854</v>
      </c>
      <c r="AM1217" s="102" t="s">
        <v>4854</v>
      </c>
      <c r="AN1217" s="102" t="s">
        <v>4854</v>
      </c>
      <c r="AO1217" s="102" t="s">
        <v>4854</v>
      </c>
      <c r="AP1217" s="21">
        <v>1.4103000000000001</v>
      </c>
      <c r="AQ1217" s="102" t="s">
        <v>4854</v>
      </c>
      <c r="AR1217" s="102" t="s">
        <v>4854</v>
      </c>
      <c r="AS1217" s="102" t="s">
        <v>4854</v>
      </c>
      <c r="AT1217" s="102" t="s">
        <v>4854</v>
      </c>
      <c r="AU1217" s="102" t="s">
        <v>4854</v>
      </c>
      <c r="AV1217" s="102" t="s">
        <v>4854</v>
      </c>
      <c r="AW1217" s="102" t="s">
        <v>4854</v>
      </c>
      <c r="AX1217" s="21">
        <v>0.151</v>
      </c>
      <c r="AY1217" s="102" t="s">
        <v>4854</v>
      </c>
      <c r="AZ1217" s="102" t="s">
        <v>4854</v>
      </c>
      <c r="BA1217" s="102" t="s">
        <v>4854</v>
      </c>
      <c r="BB1217" s="102" t="s">
        <v>4854</v>
      </c>
      <c r="BC1217" s="3" t="s">
        <v>4854</v>
      </c>
      <c r="BD1217" s="3" t="s">
        <v>4854</v>
      </c>
      <c r="BE1217" s="3" t="s">
        <v>4854</v>
      </c>
      <c r="BF1217" s="5">
        <v>250</v>
      </c>
      <c r="BG1217" s="3" t="s">
        <v>4854</v>
      </c>
      <c r="BH1217" s="3" t="s">
        <v>4854</v>
      </c>
      <c r="BI1217" s="3" t="s">
        <v>4854</v>
      </c>
      <c r="BJ1217" s="3" t="s">
        <v>4854</v>
      </c>
      <c r="BK1217" s="99" t="s">
        <v>4854</v>
      </c>
      <c r="BL1217" s="99" t="s">
        <v>4854</v>
      </c>
      <c r="BM1217" s="99" t="s">
        <v>4854</v>
      </c>
      <c r="BN1217" s="90">
        <v>0.60199999999999998</v>
      </c>
      <c r="BO1217" s="99" t="s">
        <v>4854</v>
      </c>
      <c r="BP1217" s="99" t="s">
        <v>4854</v>
      </c>
      <c r="BQ1217" s="99" t="s">
        <v>4854</v>
      </c>
      <c r="BR1217" s="99" t="s">
        <v>4854</v>
      </c>
      <c r="BS1217" s="5" t="s">
        <v>4857</v>
      </c>
    </row>
    <row r="1218" spans="1:71" s="30" customFormat="1" ht="17.100000000000001" customHeight="1">
      <c r="A1218" s="14">
        <v>1207</v>
      </c>
      <c r="B1218" s="5" t="s">
        <v>7</v>
      </c>
      <c r="C1218" s="3" t="s">
        <v>78</v>
      </c>
      <c r="D1218" s="3" t="s">
        <v>80</v>
      </c>
      <c r="E1218" s="3" t="s">
        <v>81</v>
      </c>
      <c r="F1218" s="5" t="s">
        <v>4978</v>
      </c>
      <c r="G1218" s="3" t="s">
        <v>82</v>
      </c>
      <c r="H1218" s="6" t="s">
        <v>83</v>
      </c>
      <c r="I1218" s="3" t="s">
        <v>3</v>
      </c>
      <c r="J1218" s="5" t="s">
        <v>4711</v>
      </c>
      <c r="K1218" s="3" t="s">
        <v>6109</v>
      </c>
      <c r="L1218" s="3" t="s">
        <v>6</v>
      </c>
      <c r="M1218" s="5">
        <v>4</v>
      </c>
      <c r="N1218" s="21">
        <v>828.17690000000005</v>
      </c>
      <c r="O1218" s="35" t="s">
        <v>4854</v>
      </c>
      <c r="P1218" s="35" t="s">
        <v>4854</v>
      </c>
      <c r="Q1218" s="36" t="str">
        <f>HYPERLINK("http://ms.phosphosite.org:5080/cgi-bin/plot-msms.cgi?MassType=1&amp;NumAxis=1&amp;Mod5=147&amp;Mod16=147&amp;Mod19=170&amp;Pep=SVVLMSHLGRPDGVPMPDKYSLEPVAAELK&amp;Dta=/var/www/html/dta/S01/10560.9652.4.dta&amp;Global_Mod=CS57.0215", "9652")</f>
        <v>9652</v>
      </c>
      <c r="R1218" s="36" t="str">
        <f>HYPERLINK("http://ms.phosphosite.org:5080/cgi-bin/plot-msms.cgi?MassType=1&amp;NumAxis=1&amp;Mod5=147&amp;Mod16=147&amp;Mod19=170&amp;Pep=SVVLMSHLGRPDGVPMPDKYSLEPVAAELK&amp;Dta=/var/www/html/dta/S01/10561.9749.4.dta&amp;Global_Mod=CS57.0215", "9749")</f>
        <v>9749</v>
      </c>
      <c r="S1218" s="36" t="str">
        <f>HYPERLINK("http://ms.phosphosite.org:5080/cgi-bin/plot-msms.cgi?MassType=1&amp;NumAxis=1&amp;Mod5=147&amp;Mod16=147&amp;Mod19=170&amp;Pep=SVVLMSHLGRPDGVPMPDKYSLEPVAAELK&amp;Dta=/var/www/html/dta/S01/10562.9896.4.dta&amp;Global_Mod=CS57.0215", "9896")</f>
        <v>9896</v>
      </c>
      <c r="T1218" s="35" t="s">
        <v>4854</v>
      </c>
      <c r="U1218" s="36" t="str">
        <f>HYPERLINK("http://ms.phosphosite.org:5080/cgi-bin/plot-msms.cgi?MassType=1&amp;NumAxis=1&amp;Mod5=147&amp;Mod16=147&amp;Mod19=170&amp;Pep=SVVLMSHLGRPDGVPMPDKYSLEPVAAELK&amp;Dta=/var/www/html/dta/S01/10564.10241.4.dta&amp;Global_Mod=CS57.0215", "10241")</f>
        <v>10241</v>
      </c>
      <c r="V1218" s="35" t="s">
        <v>4854</v>
      </c>
      <c r="W1218" s="3" t="s">
        <v>4854</v>
      </c>
      <c r="X1218" s="3" t="s">
        <v>4854</v>
      </c>
      <c r="Y1218" s="5">
        <v>9710</v>
      </c>
      <c r="Z1218" s="5">
        <v>9681</v>
      </c>
      <c r="AA1218" s="5">
        <v>9872</v>
      </c>
      <c r="AB1218" s="3" t="s">
        <v>4854</v>
      </c>
      <c r="AC1218" s="5">
        <v>10236</v>
      </c>
      <c r="AD1218" s="3" t="s">
        <v>4854</v>
      </c>
      <c r="AE1218" s="99" t="s">
        <v>4854</v>
      </c>
      <c r="AF1218" s="99" t="s">
        <v>4854</v>
      </c>
      <c r="AG1218" s="90">
        <v>3.1230000000000002</v>
      </c>
      <c r="AH1218" s="90">
        <v>4.0069999999999997</v>
      </c>
      <c r="AI1218" s="90">
        <v>3.4910000000000001</v>
      </c>
      <c r="AJ1218" s="99" t="s">
        <v>4854</v>
      </c>
      <c r="AK1218" s="90">
        <v>4.5049999999999999</v>
      </c>
      <c r="AL1218" s="99" t="s">
        <v>4854</v>
      </c>
      <c r="AM1218" s="102" t="s">
        <v>4854</v>
      </c>
      <c r="AN1218" s="102" t="s">
        <v>4854</v>
      </c>
      <c r="AO1218" s="21">
        <v>0.86309999999999998</v>
      </c>
      <c r="AP1218" s="21">
        <v>0.9698</v>
      </c>
      <c r="AQ1218" s="21">
        <v>0.82120000000000004</v>
      </c>
      <c r="AR1218" s="102" t="s">
        <v>4854</v>
      </c>
      <c r="AS1218" s="21">
        <v>0.2268</v>
      </c>
      <c r="AT1218" s="102" t="s">
        <v>4854</v>
      </c>
      <c r="AU1218" s="102" t="s">
        <v>4854</v>
      </c>
      <c r="AV1218" s="102" t="s">
        <v>4854</v>
      </c>
      <c r="AW1218" s="21">
        <v>5.2999999999999999E-2</v>
      </c>
      <c r="AX1218" s="21">
        <v>0.184</v>
      </c>
      <c r="AY1218" s="21">
        <v>2.5000000000000001E-2</v>
      </c>
      <c r="AZ1218" s="102" t="s">
        <v>4854</v>
      </c>
      <c r="BA1218" s="21">
        <v>0.29799999999999999</v>
      </c>
      <c r="BB1218" s="102" t="s">
        <v>4854</v>
      </c>
      <c r="BC1218" s="3" t="s">
        <v>4854</v>
      </c>
      <c r="BD1218" s="3" t="s">
        <v>4854</v>
      </c>
      <c r="BE1218" s="5">
        <v>2</v>
      </c>
      <c r="BF1218" s="5">
        <v>1</v>
      </c>
      <c r="BG1218" s="5">
        <v>2</v>
      </c>
      <c r="BH1218" s="3" t="s">
        <v>4854</v>
      </c>
      <c r="BI1218" s="5">
        <v>1</v>
      </c>
      <c r="BJ1218" s="3" t="s">
        <v>4854</v>
      </c>
      <c r="BK1218" s="99" t="s">
        <v>4854</v>
      </c>
      <c r="BL1218" s="99" t="s">
        <v>4854</v>
      </c>
      <c r="BM1218" s="90">
        <v>0.98699999999999999</v>
      </c>
      <c r="BN1218" s="90">
        <v>0.999</v>
      </c>
      <c r="BO1218" s="90">
        <v>0.98099999999999998</v>
      </c>
      <c r="BP1218" s="99" t="s">
        <v>4854</v>
      </c>
      <c r="BQ1218" s="90">
        <v>1</v>
      </c>
      <c r="BR1218" s="99" t="s">
        <v>4854</v>
      </c>
      <c r="BS1218" s="5" t="s">
        <v>4857</v>
      </c>
    </row>
    <row r="1219" spans="1:71" s="30" customFormat="1" ht="17.100000000000001" customHeight="1">
      <c r="A1219" s="14">
        <v>1208</v>
      </c>
      <c r="B1219" s="5" t="s">
        <v>8</v>
      </c>
      <c r="C1219" s="3" t="s">
        <v>78</v>
      </c>
      <c r="D1219" s="3" t="s">
        <v>80</v>
      </c>
      <c r="E1219" s="3" t="s">
        <v>81</v>
      </c>
      <c r="F1219" s="5" t="s">
        <v>4978</v>
      </c>
      <c r="G1219" s="3" t="s">
        <v>82</v>
      </c>
      <c r="H1219" s="6" t="s">
        <v>83</v>
      </c>
      <c r="I1219" s="3" t="s">
        <v>3</v>
      </c>
      <c r="J1219" s="5" t="s">
        <v>4711</v>
      </c>
      <c r="K1219" s="3" t="s">
        <v>6109</v>
      </c>
      <c r="L1219" s="3" t="s">
        <v>6</v>
      </c>
      <c r="M1219" s="5">
        <v>4</v>
      </c>
      <c r="N1219" s="21">
        <v>828.17690000000005</v>
      </c>
      <c r="O1219" s="35" t="s">
        <v>4854</v>
      </c>
      <c r="P1219" s="35" t="s">
        <v>4854</v>
      </c>
      <c r="Q1219" s="35" t="s">
        <v>4854</v>
      </c>
      <c r="R1219" s="36" t="str">
        <f>HYPERLINK("http://ms.phosphosite.org:5080/cgi-bin/plot-msms.cgi?MassType=1&amp;NumAxis=1&amp;Mod5=147&amp;Mod16=147&amp;Mod19=170&amp;Pep=SVVLMSHLGRPDGVPMPDKYSLEPVAAELK&amp;Dta=/var/www/html/dta/S01/10561.9651.4.dta&amp;Global_Mod=CS57.0215", "9651")</f>
        <v>9651</v>
      </c>
      <c r="S1219" s="35" t="s">
        <v>4854</v>
      </c>
      <c r="T1219" s="35" t="s">
        <v>4854</v>
      </c>
      <c r="U1219" s="35" t="s">
        <v>4854</v>
      </c>
      <c r="V1219" s="35" t="s">
        <v>4854</v>
      </c>
      <c r="W1219" s="3" t="s">
        <v>4854</v>
      </c>
      <c r="X1219" s="3" t="s">
        <v>4854</v>
      </c>
      <c r="Y1219" s="3" t="s">
        <v>4854</v>
      </c>
      <c r="Z1219" s="5">
        <v>9681</v>
      </c>
      <c r="AA1219" s="3" t="s">
        <v>4854</v>
      </c>
      <c r="AB1219" s="3" t="s">
        <v>4854</v>
      </c>
      <c r="AC1219" s="3" t="s">
        <v>4854</v>
      </c>
      <c r="AD1219" s="3" t="s">
        <v>4854</v>
      </c>
      <c r="AE1219" s="99" t="s">
        <v>4854</v>
      </c>
      <c r="AF1219" s="99" t="s">
        <v>4854</v>
      </c>
      <c r="AG1219" s="99" t="s">
        <v>4854</v>
      </c>
      <c r="AH1219" s="90">
        <v>3.6789999999999998</v>
      </c>
      <c r="AI1219" s="99" t="s">
        <v>4854</v>
      </c>
      <c r="AJ1219" s="99" t="s">
        <v>4854</v>
      </c>
      <c r="AK1219" s="99" t="s">
        <v>4854</v>
      </c>
      <c r="AL1219" s="99" t="s">
        <v>4854</v>
      </c>
      <c r="AM1219" s="102" t="s">
        <v>4854</v>
      </c>
      <c r="AN1219" s="102" t="s">
        <v>4854</v>
      </c>
      <c r="AO1219" s="102" t="s">
        <v>4854</v>
      </c>
      <c r="AP1219" s="21">
        <v>0.94410000000000005</v>
      </c>
      <c r="AQ1219" s="102" t="s">
        <v>4854</v>
      </c>
      <c r="AR1219" s="102" t="s">
        <v>4854</v>
      </c>
      <c r="AS1219" s="102" t="s">
        <v>4854</v>
      </c>
      <c r="AT1219" s="102" t="s">
        <v>4854</v>
      </c>
      <c r="AU1219" s="102" t="s">
        <v>4854</v>
      </c>
      <c r="AV1219" s="102" t="s">
        <v>4854</v>
      </c>
      <c r="AW1219" s="102" t="s">
        <v>4854</v>
      </c>
      <c r="AX1219" s="21">
        <v>6.6000000000000003E-2</v>
      </c>
      <c r="AY1219" s="102" t="s">
        <v>4854</v>
      </c>
      <c r="AZ1219" s="102" t="s">
        <v>4854</v>
      </c>
      <c r="BA1219" s="102" t="s">
        <v>4854</v>
      </c>
      <c r="BB1219" s="102" t="s">
        <v>4854</v>
      </c>
      <c r="BC1219" s="3" t="s">
        <v>4854</v>
      </c>
      <c r="BD1219" s="3" t="s">
        <v>4854</v>
      </c>
      <c r="BE1219" s="3" t="s">
        <v>4854</v>
      </c>
      <c r="BF1219" s="5">
        <v>1</v>
      </c>
      <c r="BG1219" s="3" t="s">
        <v>4854</v>
      </c>
      <c r="BH1219" s="3" t="s">
        <v>4854</v>
      </c>
      <c r="BI1219" s="3" t="s">
        <v>4854</v>
      </c>
      <c r="BJ1219" s="3" t="s">
        <v>4854</v>
      </c>
      <c r="BK1219" s="99" t="s">
        <v>4854</v>
      </c>
      <c r="BL1219" s="99" t="s">
        <v>4854</v>
      </c>
      <c r="BM1219" s="99" t="s">
        <v>4854</v>
      </c>
      <c r="BN1219" s="90">
        <v>0.99399999999999999</v>
      </c>
      <c r="BO1219" s="99" t="s">
        <v>4854</v>
      </c>
      <c r="BP1219" s="99" t="s">
        <v>4854</v>
      </c>
      <c r="BQ1219" s="99" t="s">
        <v>4854</v>
      </c>
      <c r="BR1219" s="99" t="s">
        <v>4854</v>
      </c>
      <c r="BS1219" s="5" t="s">
        <v>4857</v>
      </c>
    </row>
  </sheetData>
  <mergeCells count="7">
    <mergeCell ref="BK10:BR10"/>
    <mergeCell ref="O10:V10"/>
    <mergeCell ref="W10:AD10"/>
    <mergeCell ref="AE10:AL10"/>
    <mergeCell ref="AM10:AT10"/>
    <mergeCell ref="AU10:BB10"/>
    <mergeCell ref="BC10:BJ10"/>
  </mergeCells>
  <phoneticPr fontId="8" type="noConversion"/>
  <hyperlinks>
    <hyperlink ref="H20" r:id="rId1"/>
    <hyperlink ref="H22" r:id="rId2"/>
    <hyperlink ref="H23" r:id="rId3"/>
    <hyperlink ref="H24" r:id="rId4"/>
    <hyperlink ref="H25" r:id="rId5"/>
    <hyperlink ref="H26" r:id="rId6"/>
    <hyperlink ref="H27" r:id="rId7"/>
    <hyperlink ref="E28" r:id="rId8"/>
    <hyperlink ref="H28" r:id="rId9"/>
    <hyperlink ref="E29" r:id="rId10"/>
    <hyperlink ref="H29" r:id="rId11"/>
    <hyperlink ref="E30" r:id="rId12"/>
    <hyperlink ref="H30" r:id="rId13"/>
    <hyperlink ref="E31" r:id="rId14"/>
    <hyperlink ref="H31" r:id="rId15"/>
    <hyperlink ref="H32" r:id="rId16"/>
    <hyperlink ref="H33" r:id="rId17"/>
    <hyperlink ref="E34" r:id="rId18"/>
    <hyperlink ref="H34" r:id="rId19"/>
    <hyperlink ref="H35" r:id="rId20"/>
    <hyperlink ref="H36" r:id="rId21"/>
    <hyperlink ref="H37" r:id="rId22"/>
    <hyperlink ref="E38" r:id="rId23"/>
    <hyperlink ref="H38" r:id="rId24"/>
    <hyperlink ref="E39" r:id="rId25"/>
    <hyperlink ref="H39" r:id="rId26"/>
    <hyperlink ref="E40" r:id="rId27"/>
    <hyperlink ref="H40" r:id="rId28"/>
    <hyperlink ref="E41" r:id="rId29"/>
    <hyperlink ref="H41" r:id="rId30"/>
    <hyperlink ref="E42" r:id="rId31"/>
    <hyperlink ref="H42" r:id="rId32"/>
    <hyperlink ref="E43" r:id="rId33"/>
    <hyperlink ref="H43" r:id="rId34"/>
    <hyperlink ref="E44" r:id="rId35"/>
    <hyperlink ref="H44" r:id="rId36"/>
    <hyperlink ref="E45" r:id="rId37"/>
    <hyperlink ref="H45" r:id="rId38"/>
    <hyperlink ref="E46" r:id="rId39"/>
    <hyperlink ref="H46" r:id="rId40"/>
    <hyperlink ref="E47" r:id="rId41"/>
    <hyperlink ref="H47" r:id="rId42"/>
    <hyperlink ref="E48" r:id="rId43"/>
    <hyperlink ref="H48" r:id="rId44"/>
    <hyperlink ref="E49" r:id="rId45"/>
    <hyperlink ref="H49" r:id="rId46"/>
    <hyperlink ref="E50" r:id="rId47"/>
    <hyperlink ref="H50" r:id="rId48"/>
    <hyperlink ref="E51" r:id="rId49"/>
    <hyperlink ref="H51" r:id="rId50"/>
    <hyperlink ref="E52" r:id="rId51"/>
    <hyperlink ref="H52" r:id="rId52"/>
    <hyperlink ref="E53" r:id="rId53"/>
    <hyperlink ref="H53" r:id="rId54"/>
    <hyperlink ref="E54" r:id="rId55"/>
    <hyperlink ref="H54" r:id="rId56"/>
    <hyperlink ref="E55" r:id="rId57"/>
    <hyperlink ref="H55" r:id="rId58"/>
    <hyperlink ref="E56" r:id="rId59"/>
    <hyperlink ref="H56" r:id="rId60"/>
    <hyperlink ref="E57" r:id="rId61"/>
    <hyperlink ref="H57" r:id="rId62"/>
    <hyperlink ref="E58" r:id="rId63"/>
    <hyperlink ref="H58" r:id="rId64"/>
    <hyperlink ref="E59" r:id="rId65"/>
    <hyperlink ref="H59" r:id="rId66"/>
    <hyperlink ref="E60" r:id="rId67"/>
    <hyperlink ref="H60" r:id="rId68"/>
    <hyperlink ref="E62" r:id="rId69"/>
    <hyperlink ref="H62" r:id="rId70"/>
    <hyperlink ref="E63" r:id="rId71"/>
    <hyperlink ref="H63" r:id="rId72"/>
    <hyperlink ref="E64" r:id="rId73"/>
    <hyperlink ref="H64" r:id="rId74"/>
    <hyperlink ref="E65" r:id="rId75"/>
    <hyperlink ref="H65" r:id="rId76"/>
    <hyperlink ref="H66" r:id="rId77"/>
    <hyperlink ref="E67" r:id="rId78"/>
    <hyperlink ref="H67" r:id="rId79"/>
    <hyperlink ref="E68" r:id="rId80"/>
    <hyperlink ref="H68" r:id="rId81"/>
    <hyperlink ref="E69" r:id="rId82"/>
    <hyperlink ref="H69" r:id="rId83"/>
    <hyperlink ref="E70" r:id="rId84"/>
    <hyperlink ref="H70" r:id="rId85"/>
    <hyperlink ref="E71" r:id="rId86"/>
    <hyperlink ref="H71" r:id="rId87"/>
    <hyperlink ref="E72" r:id="rId88"/>
    <hyperlink ref="H72" r:id="rId89"/>
    <hyperlink ref="H73" r:id="rId90"/>
    <hyperlink ref="H74" r:id="rId91"/>
    <hyperlink ref="H75" r:id="rId92"/>
    <hyperlink ref="D76" r:id="rId93"/>
    <hyperlink ref="E76" r:id="rId94"/>
    <hyperlink ref="H76" r:id="rId95"/>
    <hyperlink ref="D77" r:id="rId96"/>
    <hyperlink ref="E77" r:id="rId97"/>
    <hyperlink ref="H77" r:id="rId98"/>
    <hyperlink ref="D78" r:id="rId99"/>
    <hyperlink ref="E78" r:id="rId100"/>
    <hyperlink ref="H78" r:id="rId101"/>
    <hyperlink ref="D79" r:id="rId102"/>
    <hyperlink ref="E79" r:id="rId103"/>
    <hyperlink ref="H79" r:id="rId104"/>
    <hyperlink ref="D80" r:id="rId105"/>
    <hyperlink ref="E80" r:id="rId106"/>
    <hyperlink ref="H80" r:id="rId107"/>
    <hyperlink ref="D81" r:id="rId108"/>
    <hyperlink ref="E81" r:id="rId109"/>
    <hyperlink ref="H81" r:id="rId110"/>
    <hyperlink ref="D82" r:id="rId111"/>
    <hyperlink ref="E82" r:id="rId112"/>
    <hyperlink ref="H82" r:id="rId113"/>
    <hyperlink ref="D83" r:id="rId114"/>
    <hyperlink ref="E83" r:id="rId115"/>
    <hyperlink ref="H83" r:id="rId116"/>
    <hyperlink ref="H84" r:id="rId117"/>
    <hyperlink ref="E85" r:id="rId118"/>
    <hyperlink ref="H85" r:id="rId119"/>
    <hyperlink ref="E86" r:id="rId120"/>
    <hyperlink ref="H86" r:id="rId121"/>
    <hyperlink ref="E87" r:id="rId122"/>
    <hyperlink ref="H87" r:id="rId123"/>
    <hyperlink ref="E88" r:id="rId124"/>
    <hyperlink ref="H88" r:id="rId125"/>
    <hyperlink ref="H89" r:id="rId126"/>
    <hyperlink ref="H90" r:id="rId127"/>
    <hyperlink ref="H91" r:id="rId128"/>
    <hyperlink ref="E92" r:id="rId129"/>
    <hyperlink ref="H92" r:id="rId130"/>
    <hyperlink ref="E93" r:id="rId131"/>
    <hyperlink ref="H93" r:id="rId132"/>
    <hyperlink ref="E94" r:id="rId133"/>
    <hyperlink ref="H94" r:id="rId134"/>
    <hyperlink ref="E95" r:id="rId135"/>
    <hyperlink ref="H95" r:id="rId136"/>
    <hyperlink ref="E96" r:id="rId137"/>
    <hyperlink ref="H96" r:id="rId138"/>
    <hyperlink ref="E97" r:id="rId139"/>
    <hyperlink ref="H97" r:id="rId140"/>
    <hyperlink ref="E98" r:id="rId141"/>
    <hyperlink ref="H98" r:id="rId142"/>
    <hyperlink ref="E99" r:id="rId143"/>
    <hyperlink ref="H99" r:id="rId144"/>
    <hyperlink ref="E100" r:id="rId145"/>
    <hyperlink ref="H100" r:id="rId146"/>
    <hyperlink ref="E101" r:id="rId147"/>
    <hyperlink ref="H101" r:id="rId148"/>
    <hyperlink ref="E102" r:id="rId149"/>
    <hyperlink ref="H102" r:id="rId150"/>
    <hyperlink ref="E103" r:id="rId151"/>
    <hyperlink ref="H103" r:id="rId152"/>
    <hyperlink ref="E104" r:id="rId153"/>
    <hyperlink ref="H104" r:id="rId154"/>
    <hyperlink ref="E105" r:id="rId155"/>
    <hyperlink ref="H105" r:id="rId156"/>
    <hyperlink ref="H106" r:id="rId157"/>
    <hyperlink ref="H107" r:id="rId158"/>
    <hyperlink ref="H108" r:id="rId159"/>
    <hyperlink ref="E109" r:id="rId160"/>
    <hyperlink ref="H109" r:id="rId161"/>
    <hyperlink ref="H110" r:id="rId162"/>
    <hyperlink ref="H111" r:id="rId163"/>
    <hyperlink ref="H112" r:id="rId164"/>
    <hyperlink ref="H113" r:id="rId165"/>
    <hyperlink ref="H114" r:id="rId166"/>
    <hyperlink ref="H115" r:id="rId167"/>
    <hyperlink ref="H116" r:id="rId168"/>
    <hyperlink ref="H117" r:id="rId169"/>
    <hyperlink ref="H118" r:id="rId170"/>
    <hyperlink ref="H119" r:id="rId171"/>
    <hyperlink ref="H120" r:id="rId172"/>
    <hyperlink ref="H121" r:id="rId173"/>
    <hyperlink ref="H122" r:id="rId174"/>
    <hyperlink ref="H123" r:id="rId175"/>
    <hyperlink ref="E124" r:id="rId176"/>
    <hyperlink ref="H124" r:id="rId177"/>
    <hyperlink ref="E125" r:id="rId178"/>
    <hyperlink ref="H125" r:id="rId179"/>
    <hyperlink ref="E126" r:id="rId180"/>
    <hyperlink ref="H126" r:id="rId181"/>
    <hyperlink ref="E127" r:id="rId182"/>
    <hyperlink ref="H127" r:id="rId183"/>
    <hyperlink ref="E128" r:id="rId184"/>
    <hyperlink ref="H128" r:id="rId185"/>
    <hyperlink ref="E129" r:id="rId186"/>
    <hyperlink ref="H129" r:id="rId187"/>
    <hyperlink ref="E130" r:id="rId188"/>
    <hyperlink ref="H130" r:id="rId189"/>
    <hyperlink ref="E131" r:id="rId190"/>
    <hyperlink ref="H131" r:id="rId191"/>
    <hyperlink ref="E132" r:id="rId192"/>
    <hyperlink ref="H132" r:id="rId193"/>
    <hyperlink ref="E133" r:id="rId194"/>
    <hyperlink ref="H133" r:id="rId195"/>
    <hyperlink ref="E134" r:id="rId196"/>
    <hyperlink ref="H134" r:id="rId197"/>
    <hyperlink ref="E135" r:id="rId198"/>
    <hyperlink ref="H135" r:id="rId199"/>
    <hyperlink ref="E136" r:id="rId200"/>
    <hyperlink ref="H136" r:id="rId201"/>
    <hyperlink ref="E137" r:id="rId202"/>
    <hyperlink ref="H137" r:id="rId203"/>
    <hyperlink ref="E138" r:id="rId204"/>
    <hyperlink ref="H138" r:id="rId205"/>
    <hyperlink ref="E139" r:id="rId206"/>
    <hyperlink ref="H139" r:id="rId207"/>
    <hyperlink ref="E140" r:id="rId208"/>
    <hyperlink ref="H140" r:id="rId209"/>
    <hyperlink ref="E141" r:id="rId210"/>
    <hyperlink ref="H141" r:id="rId211"/>
    <hyperlink ref="E142" r:id="rId212"/>
    <hyperlink ref="H142" r:id="rId213"/>
    <hyperlink ref="E143" r:id="rId214"/>
    <hyperlink ref="H143" r:id="rId215"/>
    <hyperlink ref="E144" r:id="rId216"/>
    <hyperlink ref="H144" r:id="rId217"/>
    <hyperlink ref="E145" r:id="rId218"/>
    <hyperlink ref="H145" r:id="rId219"/>
    <hyperlink ref="H146" r:id="rId220"/>
    <hyperlink ref="H147" r:id="rId221"/>
    <hyperlink ref="H148" r:id="rId222"/>
    <hyperlink ref="H149" r:id="rId223"/>
    <hyperlink ref="E150" r:id="rId224"/>
    <hyperlink ref="H150" r:id="rId225"/>
    <hyperlink ref="E151" r:id="rId226"/>
    <hyperlink ref="H151" r:id="rId227"/>
    <hyperlink ref="E152" r:id="rId228"/>
    <hyperlink ref="H152" r:id="rId229"/>
    <hyperlink ref="E153" r:id="rId230"/>
    <hyperlink ref="H153" r:id="rId231"/>
    <hyperlink ref="H154" r:id="rId232"/>
    <hyperlink ref="H155" r:id="rId233"/>
    <hyperlink ref="E156" r:id="rId234"/>
    <hyperlink ref="H156" r:id="rId235"/>
    <hyperlink ref="H157" r:id="rId236"/>
    <hyperlink ref="E158" r:id="rId237"/>
    <hyperlink ref="H158" r:id="rId238"/>
    <hyperlink ref="E159" r:id="rId239"/>
    <hyperlink ref="H159" r:id="rId240"/>
    <hyperlink ref="E160" r:id="rId241"/>
    <hyperlink ref="H160" r:id="rId242"/>
    <hyperlink ref="E161" r:id="rId243"/>
    <hyperlink ref="H161" r:id="rId244"/>
    <hyperlink ref="H162" r:id="rId245"/>
    <hyperlink ref="H163" r:id="rId246"/>
    <hyperlink ref="H164" r:id="rId247"/>
    <hyperlink ref="H165" r:id="rId248"/>
    <hyperlink ref="H166" r:id="rId249"/>
    <hyperlink ref="H167" r:id="rId250"/>
    <hyperlink ref="H168" r:id="rId251"/>
    <hyperlink ref="H169" r:id="rId252"/>
    <hyperlink ref="H170" r:id="rId253"/>
    <hyperlink ref="H171" r:id="rId254"/>
    <hyperlink ref="H172" r:id="rId255"/>
    <hyperlink ref="H173" r:id="rId256"/>
    <hyperlink ref="E174" r:id="rId257"/>
    <hyperlink ref="H174" r:id="rId258"/>
    <hyperlink ref="E175" r:id="rId259"/>
    <hyperlink ref="H175" r:id="rId260"/>
    <hyperlink ref="E176" r:id="rId261"/>
    <hyperlink ref="H176" r:id="rId262"/>
    <hyperlink ref="H177" r:id="rId263"/>
    <hyperlink ref="H178" r:id="rId264"/>
    <hyperlink ref="H179" r:id="rId265"/>
    <hyperlink ref="H180" r:id="rId266"/>
    <hyperlink ref="H181" r:id="rId267"/>
    <hyperlink ref="H182" r:id="rId268"/>
    <hyperlink ref="H183" r:id="rId269"/>
    <hyperlink ref="H184" r:id="rId270"/>
    <hyperlink ref="E185" r:id="rId271"/>
    <hyperlink ref="H185" r:id="rId272"/>
    <hyperlink ref="E186" r:id="rId273"/>
    <hyperlink ref="H186" r:id="rId274"/>
    <hyperlink ref="E187" r:id="rId275"/>
    <hyperlink ref="H187" r:id="rId276"/>
    <hyperlink ref="E188" r:id="rId277"/>
    <hyperlink ref="H188" r:id="rId278"/>
    <hyperlink ref="E189" r:id="rId279"/>
    <hyperlink ref="F189" r:id="rId280" display="%40; %40; %40; %40; %40"/>
    <hyperlink ref="H189" r:id="rId281"/>
    <hyperlink ref="E190" r:id="rId282"/>
    <hyperlink ref="F190" r:id="rId283" display="%40; %40; %40; %40; %40"/>
    <hyperlink ref="H190" r:id="rId284"/>
    <hyperlink ref="E191" r:id="rId285"/>
    <hyperlink ref="F191" r:id="rId286" display="%40; %40; %40; %40; %40"/>
    <hyperlink ref="H191" r:id="rId287"/>
    <hyperlink ref="E192" r:id="rId288"/>
    <hyperlink ref="F192" r:id="rId289" display="%40; %40; %40; %40; %40"/>
    <hyperlink ref="H192" r:id="rId290"/>
    <hyperlink ref="E193" r:id="rId291"/>
    <hyperlink ref="F193" r:id="rId292" display="%40; %40; %40; %40; %40"/>
    <hyperlink ref="H193" r:id="rId293"/>
    <hyperlink ref="E194" r:id="rId294"/>
    <hyperlink ref="F194" r:id="rId295" display="%40; %40; %40; %40; %40"/>
    <hyperlink ref="H194" r:id="rId296"/>
    <hyperlink ref="E195" r:id="rId297"/>
    <hyperlink ref="F195" r:id="rId298" display="%40; %40; %40; %40; %40"/>
    <hyperlink ref="H195" r:id="rId299"/>
    <hyperlink ref="E196" r:id="rId300"/>
    <hyperlink ref="F196" r:id="rId301" display="%40; %40; %40; %40; %40"/>
    <hyperlink ref="H196" r:id="rId302"/>
    <hyperlink ref="H197" r:id="rId303"/>
    <hyperlink ref="H198" r:id="rId304"/>
    <hyperlink ref="H199" r:id="rId305"/>
    <hyperlink ref="H200" r:id="rId306"/>
    <hyperlink ref="E201" r:id="rId307"/>
    <hyperlink ref="H201" r:id="rId308"/>
    <hyperlink ref="E202" r:id="rId309"/>
    <hyperlink ref="H202" r:id="rId310"/>
    <hyperlink ref="E203" r:id="rId311"/>
    <hyperlink ref="H203" r:id="rId312"/>
    <hyperlink ref="E204" r:id="rId313"/>
    <hyperlink ref="H204" r:id="rId314"/>
    <hyperlink ref="E205" r:id="rId315"/>
    <hyperlink ref="H205" r:id="rId316"/>
    <hyperlink ref="H206" r:id="rId317"/>
    <hyperlink ref="H207" r:id="rId318"/>
    <hyperlink ref="H208" r:id="rId319"/>
    <hyperlink ref="H210" r:id="rId320"/>
    <hyperlink ref="H211" r:id="rId321"/>
    <hyperlink ref="H212" r:id="rId322"/>
    <hyperlink ref="H213" r:id="rId323"/>
    <hyperlink ref="H214" r:id="rId324"/>
    <hyperlink ref="E215" r:id="rId325"/>
    <hyperlink ref="H215" r:id="rId326"/>
    <hyperlink ref="E216" r:id="rId327"/>
    <hyperlink ref="H216" r:id="rId328"/>
    <hyperlink ref="E217" r:id="rId329"/>
    <hyperlink ref="H217" r:id="rId330"/>
    <hyperlink ref="E218" r:id="rId331"/>
    <hyperlink ref="H218" r:id="rId332"/>
    <hyperlink ref="H220" r:id="rId333"/>
    <hyperlink ref="H221" r:id="rId334"/>
    <hyperlink ref="E223" r:id="rId335"/>
    <hyperlink ref="H223" r:id="rId336"/>
    <hyperlink ref="E224" r:id="rId337"/>
    <hyperlink ref="H224" r:id="rId338"/>
    <hyperlink ref="E225" r:id="rId339"/>
    <hyperlink ref="H225" r:id="rId340"/>
    <hyperlink ref="E226" r:id="rId341"/>
    <hyperlink ref="H226" r:id="rId342"/>
    <hyperlink ref="E227" r:id="rId343"/>
    <hyperlink ref="H227" r:id="rId344"/>
    <hyperlink ref="E229" r:id="rId345"/>
    <hyperlink ref="H229" r:id="rId346"/>
    <hyperlink ref="E230" r:id="rId347"/>
    <hyperlink ref="H230" r:id="rId348"/>
    <hyperlink ref="H231" r:id="rId349"/>
    <hyperlink ref="H232" r:id="rId350"/>
    <hyperlink ref="H233" r:id="rId351"/>
    <hyperlink ref="H234" r:id="rId352"/>
    <hyperlink ref="H235" r:id="rId353"/>
    <hyperlink ref="H236" r:id="rId354"/>
    <hyperlink ref="H237" r:id="rId355"/>
    <hyperlink ref="H238" r:id="rId356"/>
    <hyperlink ref="H239" r:id="rId357"/>
    <hyperlink ref="H240" r:id="rId358"/>
    <hyperlink ref="H241" r:id="rId359"/>
    <hyperlink ref="E242" r:id="rId360"/>
    <hyperlink ref="H242" r:id="rId361"/>
    <hyperlink ref="E243" r:id="rId362"/>
    <hyperlink ref="H243" r:id="rId363"/>
    <hyperlink ref="E244" r:id="rId364"/>
    <hyperlink ref="H244" r:id="rId365"/>
    <hyperlink ref="E245" r:id="rId366"/>
    <hyperlink ref="H245" r:id="rId367"/>
    <hyperlink ref="E246" r:id="rId368"/>
    <hyperlink ref="H246" r:id="rId369"/>
    <hyperlink ref="E247" r:id="rId370"/>
    <hyperlink ref="H247" r:id="rId371"/>
    <hyperlink ref="E248" r:id="rId372"/>
    <hyperlink ref="H248" r:id="rId373"/>
    <hyperlink ref="H250" r:id="rId374"/>
    <hyperlink ref="H251" r:id="rId375"/>
    <hyperlink ref="H252" r:id="rId376"/>
    <hyperlink ref="H253" r:id="rId377"/>
    <hyperlink ref="H254" r:id="rId378"/>
    <hyperlink ref="E256" r:id="rId379"/>
    <hyperlink ref="H256" r:id="rId380"/>
    <hyperlink ref="E257" r:id="rId381"/>
    <hyperlink ref="H257" r:id="rId382"/>
    <hyperlink ref="E258" r:id="rId383"/>
    <hyperlink ref="H258" r:id="rId384"/>
    <hyperlink ref="E259" r:id="rId385"/>
    <hyperlink ref="H259" r:id="rId386"/>
    <hyperlink ref="E260" r:id="rId387"/>
    <hyperlink ref="H260" r:id="rId388"/>
    <hyperlink ref="E261" r:id="rId389"/>
    <hyperlink ref="H261" r:id="rId390"/>
    <hyperlink ref="E262" r:id="rId391"/>
    <hyperlink ref="H262" r:id="rId392"/>
    <hyperlink ref="E263" r:id="rId393"/>
    <hyperlink ref="H263" r:id="rId394"/>
    <hyperlink ref="E264" r:id="rId395"/>
    <hyperlink ref="H264" r:id="rId396"/>
    <hyperlink ref="E265" r:id="rId397"/>
    <hyperlink ref="H265" r:id="rId398"/>
    <hyperlink ref="E266" r:id="rId399"/>
    <hyperlink ref="H266" r:id="rId400"/>
    <hyperlink ref="E267" r:id="rId401"/>
    <hyperlink ref="H267" r:id="rId402"/>
    <hyperlink ref="E268" r:id="rId403"/>
    <hyperlink ref="H268" r:id="rId404"/>
    <hyperlink ref="E269" r:id="rId405"/>
    <hyperlink ref="H269" r:id="rId406"/>
    <hyperlink ref="E270" r:id="rId407"/>
    <hyperlink ref="H270" r:id="rId408"/>
    <hyperlink ref="E271" r:id="rId409"/>
    <hyperlink ref="H271" r:id="rId410"/>
    <hyperlink ref="E272" r:id="rId411"/>
    <hyperlink ref="H272" r:id="rId412"/>
    <hyperlink ref="H273" r:id="rId413"/>
    <hyperlink ref="E274" r:id="rId414"/>
    <hyperlink ref="H274" r:id="rId415"/>
    <hyperlink ref="H276" r:id="rId416"/>
    <hyperlink ref="H277" r:id="rId417"/>
    <hyperlink ref="E278" r:id="rId418"/>
    <hyperlink ref="H278" r:id="rId419"/>
    <hyperlink ref="E279" r:id="rId420"/>
    <hyperlink ref="H279" r:id="rId421"/>
    <hyperlink ref="E280" r:id="rId422"/>
    <hyperlink ref="H280" r:id="rId423"/>
    <hyperlink ref="E281" r:id="rId424"/>
    <hyperlink ref="H281" r:id="rId425"/>
    <hyperlink ref="H282" r:id="rId426"/>
    <hyperlink ref="H283" r:id="rId427"/>
    <hyperlink ref="E284" r:id="rId428"/>
    <hyperlink ref="H284" r:id="rId429"/>
    <hyperlink ref="H285" r:id="rId430"/>
    <hyperlink ref="H286" r:id="rId431"/>
    <hyperlink ref="H287" r:id="rId432"/>
    <hyperlink ref="H288" r:id="rId433"/>
    <hyperlink ref="H289" r:id="rId434"/>
    <hyperlink ref="H290" r:id="rId435"/>
    <hyperlink ref="E291" r:id="rId436"/>
    <hyperlink ref="H291" r:id="rId437"/>
    <hyperlink ref="E292" r:id="rId438"/>
    <hyperlink ref="H292" r:id="rId439"/>
    <hyperlink ref="E293" r:id="rId440"/>
    <hyperlink ref="H293" r:id="rId441"/>
    <hyperlink ref="H294" r:id="rId442"/>
    <hyperlink ref="H295" r:id="rId443"/>
    <hyperlink ref="H296" r:id="rId444"/>
    <hyperlink ref="E297" r:id="rId445"/>
    <hyperlink ref="H297" r:id="rId446"/>
    <hyperlink ref="E298" r:id="rId447"/>
    <hyperlink ref="H298" r:id="rId448"/>
    <hyperlink ref="E299" r:id="rId449"/>
    <hyperlink ref="H299" r:id="rId450"/>
    <hyperlink ref="E300" r:id="rId451"/>
    <hyperlink ref="F300" r:id="rId452" display="%12, %13; %12, %13; %12, %13; %12, %13; %12, %13; %12, %13; %12, %13; %12, %13; %12, %13"/>
    <hyperlink ref="H300" r:id="rId453"/>
    <hyperlink ref="E301" r:id="rId454"/>
    <hyperlink ref="F301" r:id="rId455" display="%12, %13, %16; %12, %13, %16; %12, %13, %16; %12, %13, %16; %12, %13, %16; %12, %13, %16; %12, %13, %16; %12, %13, %16; %12, %13, %16"/>
    <hyperlink ref="H301" r:id="rId456"/>
    <hyperlink ref="E302" r:id="rId457"/>
    <hyperlink ref="F302" r:id="rId458" display="%12, %13, %16; %12, %13, %16; %12, %13, %16; %12, %13, %16; %12, %13, %16; %12, %13, %16; %12, %13, %16; %12, %13, %16; %12, %13, %16"/>
    <hyperlink ref="H302" r:id="rId459"/>
    <hyperlink ref="E303" r:id="rId460"/>
    <hyperlink ref="F303" r:id="rId461" display="%12, %13, %16; %12, %13, %16; %12, %13, %16; %12, %13, %16; %12, %13, %16; %12, %13, %16; %12, %13, %16; %12, %13, %16; %12, %13, %16"/>
    <hyperlink ref="H303" r:id="rId462"/>
    <hyperlink ref="E304" r:id="rId463"/>
    <hyperlink ref="F304" r:id="rId464" display="%12, %13, %16, %17"/>
    <hyperlink ref="H304" r:id="rId465"/>
    <hyperlink ref="E305" r:id="rId466"/>
    <hyperlink ref="F305" r:id="rId467" display="%12, %13, %16, %17"/>
    <hyperlink ref="H305" r:id="rId468"/>
    <hyperlink ref="E306" r:id="rId469"/>
    <hyperlink ref="F306" r:id="rId470" display="%13, %16, %17"/>
    <hyperlink ref="H306" r:id="rId471"/>
    <hyperlink ref="E307" r:id="rId472"/>
    <hyperlink ref="F307" r:id="rId473" display="%13, %16, %17"/>
    <hyperlink ref="H307" r:id="rId474"/>
    <hyperlink ref="E308" r:id="rId475"/>
    <hyperlink ref="F308" r:id="rId476" display="%13, %16, %17, %21"/>
    <hyperlink ref="H308" r:id="rId477"/>
    <hyperlink ref="E309" r:id="rId478"/>
    <hyperlink ref="F309" r:id="rId479" display="%13, %16, %17, %21"/>
    <hyperlink ref="H309" r:id="rId480"/>
    <hyperlink ref="E310" r:id="rId481"/>
    <hyperlink ref="H310" r:id="rId482"/>
    <hyperlink ref="E311" r:id="rId483"/>
    <hyperlink ref="H311" r:id="rId484"/>
    <hyperlink ref="E312" r:id="rId485"/>
    <hyperlink ref="H312" r:id="rId486"/>
    <hyperlink ref="E313" r:id="rId487"/>
    <hyperlink ref="F313" r:id="rId488" display="%12, %13, %16, %17; %12, %13, %16, %17; %12, %13, %16, %17; %12, %13, %16, %17; %12, %13, %16, %17; %12, %13, %16, %17; %12, %13, %16, %17"/>
    <hyperlink ref="H313" r:id="rId489"/>
    <hyperlink ref="E314" r:id="rId490"/>
    <hyperlink ref="F314" r:id="rId491" display="%12, %13, %16, %17; %12, %13, %16, %17; %12, %13, %16, %17; %12, %13, %16, %17; %12, %13, %16, %17; %12, %13, %16, %17; %12, %13, %16, %17"/>
    <hyperlink ref="H314" r:id="rId492"/>
    <hyperlink ref="E315" r:id="rId493"/>
    <hyperlink ref="F315" r:id="rId494" display="%13, %16, %17; %13, %16, %17; %13, %16, %17; %13, %16, %17; %13, %16, %17; %13, %16, %17; %13, %16, %17; %13, %16, %17; %13, %16, %17"/>
    <hyperlink ref="H315" r:id="rId495"/>
    <hyperlink ref="E316" r:id="rId496"/>
    <hyperlink ref="F316" r:id="rId497" display="%13, %16, %17; %13, %16, %17; %13, %16, %17; %13, %16, %17; %13, %16, %17; %13, %16, %17; %13, %16, %17; %13, %16, %17; %13, %16, %17"/>
    <hyperlink ref="H316" r:id="rId498"/>
    <hyperlink ref="E317" r:id="rId499"/>
    <hyperlink ref="F317" r:id="rId500" display="%13, %16, %17, %21; %13, %16, %17, %21; %13, %16, %17, %21; %13, %16, %17, %21; %13, %16, %17, %21; %13, %16, %17, %21; %13, %16, %17, %21"/>
    <hyperlink ref="H317" r:id="rId501"/>
    <hyperlink ref="E318" r:id="rId502"/>
    <hyperlink ref="F318" r:id="rId503" display="%13, %16, %17, %21; %13, %16, %17, %21; %13, %16, %17, %21; %13, %16, %17, %21; %13, %16, %17, %21; %13, %16, %17, %21; %13, %16, %17, %21"/>
    <hyperlink ref="H318" r:id="rId504"/>
    <hyperlink ref="E319" r:id="rId505"/>
    <hyperlink ref="F319" r:id="rId506" display="%13, %16, %17, %21; %13, %16, %17, %21; %13, %16, %17, %21; %13, %16, %17, %21; %13, %16, %17, %21; %13, %16, %17, %21; %13, %16, %17, %21"/>
    <hyperlink ref="H319" r:id="rId507"/>
    <hyperlink ref="E320" r:id="rId508"/>
    <hyperlink ref="F320" r:id="rId509" display="%13, %16, %21; %13, %16, %21; %13, %16, %21; %13, %16, %21; %13, %16, %21; %13, %16, %21; %13, %16, %21"/>
    <hyperlink ref="H320" r:id="rId510"/>
    <hyperlink ref="E321" r:id="rId511"/>
    <hyperlink ref="F321" r:id="rId512" display="%16, %17, %21; %16, %17, %21; %16, %17, %21; %16, %17, %21; %16, %17, %21; %16, %17, %21; %16, %17, %21"/>
    <hyperlink ref="H321" r:id="rId513"/>
    <hyperlink ref="E322" r:id="rId514"/>
    <hyperlink ref="F322" r:id="rId515" display="%16, %17, %21; %16, %17, %21; %16, %17, %21; %16, %17, %21; %16, %17, %21; %16, %17, %21; %16, %17, %21"/>
    <hyperlink ref="H322" r:id="rId516"/>
    <hyperlink ref="E323" r:id="rId517"/>
    <hyperlink ref="F323" r:id="rId518" display="%17, %21; %17, %21; %17, %21; %17, %21; %17, %21; %17, %21; %17, %21"/>
    <hyperlink ref="H323" r:id="rId519"/>
    <hyperlink ref="E324" r:id="rId520"/>
    <hyperlink ref="F324" r:id="rId521" display="%17, %21; %17, %21; %17, %21; %17, %21; %17, %21; %17, %21; %17, %21"/>
    <hyperlink ref="H324" r:id="rId522"/>
    <hyperlink ref="E325" r:id="rId523"/>
    <hyperlink ref="F325" r:id="rId524" display="%17, %21, %24; %17, %21, %24; %17, %21, %24; %17, %21, %24; %17, %21, %24; %17, %21, %24; %17, %21, %24"/>
    <hyperlink ref="H325" r:id="rId525"/>
    <hyperlink ref="E326" r:id="rId526"/>
    <hyperlink ref="F326" r:id="rId527" display="%6; %6; %6; %6"/>
    <hyperlink ref="H326" r:id="rId528"/>
    <hyperlink ref="E327" r:id="rId529"/>
    <hyperlink ref="F327" r:id="rId530" display="%6, %12, %13; %6, %12, %13; %6, %12, %13; %6, %12, %13"/>
    <hyperlink ref="H327" r:id="rId531"/>
    <hyperlink ref="E328" r:id="rId532"/>
    <hyperlink ref="F328" r:id="rId533" display="%6, %12, %13, %16; %6, %12, %13, %16; %6, %12, %13, %16; %6, %12, %13, %16"/>
    <hyperlink ref="H328" r:id="rId534"/>
    <hyperlink ref="E329" r:id="rId535"/>
    <hyperlink ref="F329" r:id="rId536" display="%6, %12, %13, %16; %6, %12, %13, %16; %6, %12, %13, %16; %6, %12, %13, %16"/>
    <hyperlink ref="H329" r:id="rId537"/>
    <hyperlink ref="E330" r:id="rId538"/>
    <hyperlink ref="F330" r:id="rId539" display="%6, %12, %13, %17; %6, %12, %13, %17; %6, %12, %13, %17; %6, %12, %13, %17"/>
    <hyperlink ref="H330" r:id="rId540"/>
    <hyperlink ref="E331" r:id="rId541"/>
    <hyperlink ref="F331" r:id="rId542" display="%6, %13, %16; %6, %13, %16; %6, %13, %16; %6, %13, %16"/>
    <hyperlink ref="H331" r:id="rId543"/>
    <hyperlink ref="E332" r:id="rId544"/>
    <hyperlink ref="F332" r:id="rId545" display="%12, %13, %16, %17"/>
    <hyperlink ref="H332" r:id="rId546"/>
    <hyperlink ref="E333" r:id="rId547"/>
    <hyperlink ref="H333" r:id="rId548"/>
    <hyperlink ref="E334" r:id="rId549"/>
    <hyperlink ref="F334" r:id="rId550" display="%13, %17; %13, %17"/>
    <hyperlink ref="H334" r:id="rId551"/>
    <hyperlink ref="E335" r:id="rId552"/>
    <hyperlink ref="F335" r:id="rId553" display="%13, %17; %13, %17"/>
    <hyperlink ref="H335" r:id="rId554"/>
    <hyperlink ref="E336" r:id="rId555"/>
    <hyperlink ref="F336" r:id="rId556" display="%13, %17; %13, %17"/>
    <hyperlink ref="H336" r:id="rId557"/>
    <hyperlink ref="E337" r:id="rId558"/>
    <hyperlink ref="H337" r:id="rId559"/>
    <hyperlink ref="E338" r:id="rId560"/>
    <hyperlink ref="F338" r:id="rId561" display="%6, %13, %17; %6, %13, %17"/>
    <hyperlink ref="H338" r:id="rId562"/>
    <hyperlink ref="E339" r:id="rId563"/>
    <hyperlink ref="F339" r:id="rId564" display="%6, %13, %17; %6, %13, %17"/>
    <hyperlink ref="H339" r:id="rId565"/>
    <hyperlink ref="E340" r:id="rId566"/>
    <hyperlink ref="F340" r:id="rId567" display="%6, %9; %6, %9"/>
    <hyperlink ref="H340" r:id="rId568"/>
    <hyperlink ref="E341" r:id="rId569"/>
    <hyperlink ref="F341" r:id="rId570" display="%6, %9, %13; %6, %9, %13"/>
    <hyperlink ref="H341" r:id="rId571"/>
    <hyperlink ref="E342" r:id="rId572"/>
    <hyperlink ref="F342" r:id="rId573" display="%6, %9, %13; %6, %9, %13"/>
    <hyperlink ref="H342" r:id="rId574"/>
    <hyperlink ref="E343" r:id="rId575"/>
    <hyperlink ref="F343" r:id="rId576" display="%6, %9, %13; %6, %9, %13"/>
    <hyperlink ref="H343" r:id="rId577"/>
    <hyperlink ref="E344" r:id="rId578"/>
    <hyperlink ref="F344" r:id="rId579" display="%6, %9, %13; %6, %9, %13"/>
    <hyperlink ref="H344" r:id="rId580"/>
    <hyperlink ref="E345" r:id="rId581"/>
    <hyperlink ref="F345" r:id="rId582" display="%6, %9, %13, %17; %6, %9, %13, %17"/>
    <hyperlink ref="H345" r:id="rId583"/>
    <hyperlink ref="E346" r:id="rId584"/>
    <hyperlink ref="F346" r:id="rId585" display="%6, %9, %13, %17; %6, %9, %13, %17"/>
    <hyperlink ref="H346" r:id="rId586"/>
    <hyperlink ref="E347" r:id="rId587"/>
    <hyperlink ref="F347" r:id="rId588" display="%6, %9, %13, %17; %6, %9, %13, %17"/>
    <hyperlink ref="H347" r:id="rId589"/>
    <hyperlink ref="E348" r:id="rId590"/>
    <hyperlink ref="F348" r:id="rId591" display="%6, %9, %13, %17; %6, %9, %13, %17"/>
    <hyperlink ref="H348" r:id="rId592"/>
    <hyperlink ref="E349" r:id="rId593"/>
    <hyperlink ref="F349" r:id="rId594" display="%6, %9, %13, %17; %6, %9, %13, %17"/>
    <hyperlink ref="H349" r:id="rId595"/>
    <hyperlink ref="E350" r:id="rId596"/>
    <hyperlink ref="F350" r:id="rId597" display="%6, %9, %13, %17; %6, %9, %13, %17"/>
    <hyperlink ref="H350" r:id="rId598"/>
    <hyperlink ref="E351" r:id="rId599"/>
    <hyperlink ref="F351" r:id="rId600" display="%6, %9, %13, %17; %6, %9, %13, %17"/>
    <hyperlink ref="H351" r:id="rId601"/>
    <hyperlink ref="E352" r:id="rId602"/>
    <hyperlink ref="F352" r:id="rId603" display="%6, %9, %13, %17; %6, %9, %13, %17"/>
    <hyperlink ref="H352" r:id="rId604"/>
    <hyperlink ref="E353" r:id="rId605"/>
    <hyperlink ref="F353" r:id="rId606" display="%6, %9, %13, %17; %6, %9, %13, %17"/>
    <hyperlink ref="H353" r:id="rId607"/>
    <hyperlink ref="E354" r:id="rId608"/>
    <hyperlink ref="F354" r:id="rId609" display="%6, %9, %13, %17; %6, %9, %13, %17"/>
    <hyperlink ref="H354" r:id="rId610"/>
    <hyperlink ref="E355" r:id="rId611"/>
    <hyperlink ref="H355" r:id="rId612"/>
    <hyperlink ref="E356" r:id="rId613"/>
    <hyperlink ref="H356" r:id="rId614"/>
    <hyperlink ref="E357" r:id="rId615"/>
    <hyperlink ref="F357" r:id="rId616" display="%9, %13; %9, %13"/>
    <hyperlink ref="H357" r:id="rId617"/>
    <hyperlink ref="E358" r:id="rId618"/>
    <hyperlink ref="F358" r:id="rId619" display="%9, %13; %9, %13"/>
    <hyperlink ref="H358" r:id="rId620"/>
    <hyperlink ref="E359" r:id="rId621"/>
    <hyperlink ref="F359" r:id="rId622" display="%9, %13; %9, %13"/>
    <hyperlink ref="H359" r:id="rId623"/>
    <hyperlink ref="E360" r:id="rId624"/>
    <hyperlink ref="F360" r:id="rId625" display="%9, %13; %9, %13"/>
    <hyperlink ref="H360" r:id="rId626"/>
    <hyperlink ref="E361" r:id="rId627"/>
    <hyperlink ref="F361" r:id="rId628" display="%9, %13, %17; %9, %13, %17"/>
    <hyperlink ref="H361" r:id="rId629"/>
    <hyperlink ref="E362" r:id="rId630"/>
    <hyperlink ref="F362" r:id="rId631" display="%9, %13, %17; %9, %13, %17"/>
    <hyperlink ref="H362" r:id="rId632"/>
    <hyperlink ref="E363" r:id="rId633"/>
    <hyperlink ref="F363" r:id="rId634" display="%9, %13, %17; %9, %13, %17"/>
    <hyperlink ref="H363" r:id="rId635"/>
    <hyperlink ref="E364" r:id="rId636"/>
    <hyperlink ref="F364" r:id="rId637" display="%9, %13, %17; %9, %13, %17"/>
    <hyperlink ref="H364" r:id="rId638"/>
    <hyperlink ref="E365" r:id="rId639"/>
    <hyperlink ref="F365" r:id="rId640" display="%9, %13, %17; %9, %13, %17"/>
    <hyperlink ref="H365" r:id="rId641"/>
    <hyperlink ref="E366" r:id="rId642"/>
    <hyperlink ref="F366" r:id="rId643" display="%9, %13, %17; %9, %13, %17"/>
    <hyperlink ref="H366" r:id="rId644"/>
    <hyperlink ref="E367" r:id="rId645"/>
    <hyperlink ref="F367" r:id="rId646" display="%9, %13, %17; %9, %13, %17"/>
    <hyperlink ref="H367" r:id="rId647"/>
    <hyperlink ref="E368" r:id="rId648"/>
    <hyperlink ref="F368" r:id="rId649" display="%9, %13, %17; %9, %13, %17"/>
    <hyperlink ref="H368" r:id="rId650"/>
    <hyperlink ref="E369" r:id="rId651"/>
    <hyperlink ref="F369" r:id="rId652" display="%9, %13, %17; %9, %13, %17"/>
    <hyperlink ref="H369" r:id="rId653"/>
    <hyperlink ref="E370" r:id="rId654"/>
    <hyperlink ref="F370" r:id="rId655" display="%9, %13, %17; %9, %13, %17"/>
    <hyperlink ref="H370" r:id="rId656"/>
    <hyperlink ref="E371" r:id="rId657"/>
    <hyperlink ref="F371" r:id="rId658" display="%9, %13, %17; %9, %13, %17"/>
    <hyperlink ref="H371" r:id="rId659"/>
    <hyperlink ref="E372" r:id="rId660"/>
    <hyperlink ref="F372" r:id="rId661" display="%13, %16, %17, %21"/>
    <hyperlink ref="H372" r:id="rId662"/>
    <hyperlink ref="E373" r:id="rId663"/>
    <hyperlink ref="F373" r:id="rId664" display="%13, %16, %17, %21"/>
    <hyperlink ref="H373" r:id="rId665"/>
    <hyperlink ref="E374" r:id="rId666"/>
    <hyperlink ref="F374" r:id="rId667" display="%13, %16, %21"/>
    <hyperlink ref="H374" r:id="rId668"/>
    <hyperlink ref="E375" r:id="rId669"/>
    <hyperlink ref="F375" r:id="rId670" display="%13, %17, %21"/>
    <hyperlink ref="H375" r:id="rId671"/>
    <hyperlink ref="E376" r:id="rId672"/>
    <hyperlink ref="F376" r:id="rId673" display="%16, %17, %21"/>
    <hyperlink ref="H376" r:id="rId674"/>
    <hyperlink ref="E377" r:id="rId675"/>
    <hyperlink ref="H377" r:id="rId676"/>
    <hyperlink ref="E378" r:id="rId677"/>
    <hyperlink ref="H378" r:id="rId678"/>
    <hyperlink ref="E379" r:id="rId679"/>
    <hyperlink ref="H379" r:id="rId680"/>
    <hyperlink ref="E380" r:id="rId681"/>
    <hyperlink ref="H380" r:id="rId682"/>
    <hyperlink ref="E381" r:id="rId683"/>
    <hyperlink ref="H381" r:id="rId684"/>
    <hyperlink ref="E382" r:id="rId685"/>
    <hyperlink ref="H382" r:id="rId686"/>
    <hyperlink ref="E383" r:id="rId687"/>
    <hyperlink ref="H383" r:id="rId688"/>
    <hyperlink ref="E384" r:id="rId689"/>
    <hyperlink ref="H384" r:id="rId690"/>
    <hyperlink ref="E385" r:id="rId691"/>
    <hyperlink ref="H385" r:id="rId692"/>
    <hyperlink ref="E386" r:id="rId693"/>
    <hyperlink ref="H386" r:id="rId694"/>
    <hyperlink ref="E387" r:id="rId695"/>
    <hyperlink ref="H387" r:id="rId696"/>
    <hyperlink ref="E388" r:id="rId697"/>
    <hyperlink ref="H388" r:id="rId698"/>
    <hyperlink ref="E389" r:id="rId699"/>
    <hyperlink ref="H389" r:id="rId700"/>
    <hyperlink ref="E390" r:id="rId701"/>
    <hyperlink ref="H390" r:id="rId702"/>
    <hyperlink ref="E391" r:id="rId703"/>
    <hyperlink ref="H391" r:id="rId704"/>
    <hyperlink ref="E392" r:id="rId705"/>
    <hyperlink ref="H392" r:id="rId706"/>
    <hyperlink ref="E393" r:id="rId707"/>
    <hyperlink ref="H393" r:id="rId708"/>
    <hyperlink ref="E394" r:id="rId709"/>
    <hyperlink ref="H394" r:id="rId710"/>
    <hyperlink ref="E395" r:id="rId711"/>
    <hyperlink ref="H395" r:id="rId712"/>
    <hyperlink ref="E396" r:id="rId713"/>
    <hyperlink ref="H396" r:id="rId714"/>
    <hyperlink ref="E397" r:id="rId715"/>
    <hyperlink ref="H397" r:id="rId716"/>
    <hyperlink ref="E398" r:id="rId717"/>
    <hyperlink ref="H398" r:id="rId718"/>
    <hyperlink ref="E399" r:id="rId719"/>
    <hyperlink ref="H399" r:id="rId720"/>
    <hyperlink ref="E400" r:id="rId721"/>
    <hyperlink ref="H400" r:id="rId722"/>
    <hyperlink ref="E401" r:id="rId723"/>
    <hyperlink ref="H401" r:id="rId724"/>
    <hyperlink ref="E402" r:id="rId725"/>
    <hyperlink ref="H402" r:id="rId726"/>
    <hyperlink ref="E403" r:id="rId727"/>
    <hyperlink ref="H403" r:id="rId728"/>
    <hyperlink ref="E404" r:id="rId729"/>
    <hyperlink ref="H404" r:id="rId730"/>
    <hyperlink ref="H405" r:id="rId731"/>
    <hyperlink ref="H406" r:id="rId732"/>
    <hyperlink ref="H407" r:id="rId733"/>
    <hyperlink ref="H408" r:id="rId734"/>
    <hyperlink ref="H409" r:id="rId735"/>
    <hyperlink ref="H410" r:id="rId736"/>
    <hyperlink ref="E411" r:id="rId737"/>
    <hyperlink ref="H411" r:id="rId738"/>
    <hyperlink ref="E412" r:id="rId739"/>
    <hyperlink ref="H412" r:id="rId740"/>
    <hyperlink ref="E413" r:id="rId741"/>
    <hyperlink ref="H413" r:id="rId742"/>
    <hyperlink ref="E414" r:id="rId743"/>
    <hyperlink ref="H414" r:id="rId744"/>
    <hyperlink ref="E415" r:id="rId745"/>
    <hyperlink ref="H415" r:id="rId746"/>
    <hyperlink ref="E416" r:id="rId747"/>
    <hyperlink ref="H416" r:id="rId748"/>
    <hyperlink ref="E417" r:id="rId749"/>
    <hyperlink ref="H417" r:id="rId750"/>
    <hyperlink ref="H418" r:id="rId751"/>
    <hyperlink ref="H419" r:id="rId752"/>
    <hyperlink ref="H420" r:id="rId753"/>
    <hyperlink ref="H421" r:id="rId754"/>
    <hyperlink ref="H422" r:id="rId755"/>
    <hyperlink ref="H423" r:id="rId756"/>
    <hyperlink ref="H424" r:id="rId757"/>
    <hyperlink ref="H425" r:id="rId758"/>
    <hyperlink ref="E426" r:id="rId759"/>
    <hyperlink ref="H426" r:id="rId760"/>
    <hyperlink ref="D427" r:id="rId761"/>
    <hyperlink ref="E427" r:id="rId762"/>
    <hyperlink ref="H427" r:id="rId763"/>
    <hyperlink ref="H428" r:id="rId764"/>
    <hyperlink ref="H430" r:id="rId765"/>
    <hyperlink ref="H431" r:id="rId766"/>
    <hyperlink ref="H432" r:id="rId767"/>
    <hyperlink ref="H433" r:id="rId768"/>
    <hyperlink ref="H434" r:id="rId769"/>
    <hyperlink ref="E435" r:id="rId770"/>
    <hyperlink ref="H435" r:id="rId771"/>
    <hyperlink ref="E436" r:id="rId772"/>
    <hyperlink ref="H436" r:id="rId773"/>
    <hyperlink ref="E437" r:id="rId774"/>
    <hyperlink ref="H437" r:id="rId775"/>
    <hyperlink ref="E438" r:id="rId776"/>
    <hyperlink ref="H438" r:id="rId777"/>
    <hyperlink ref="E439" r:id="rId778"/>
    <hyperlink ref="H439" r:id="rId779"/>
    <hyperlink ref="H440" r:id="rId780"/>
    <hyperlink ref="E441" r:id="rId781"/>
    <hyperlink ref="H441" r:id="rId782"/>
    <hyperlink ref="E442" r:id="rId783"/>
    <hyperlink ref="H442" r:id="rId784"/>
    <hyperlink ref="E443" r:id="rId785"/>
    <hyperlink ref="H443" r:id="rId786"/>
    <hyperlink ref="E444" r:id="rId787"/>
    <hyperlink ref="H444" r:id="rId788"/>
    <hyperlink ref="E445" r:id="rId789"/>
    <hyperlink ref="H445" r:id="rId790"/>
    <hyperlink ref="E446" r:id="rId791"/>
    <hyperlink ref="H446" r:id="rId792"/>
    <hyperlink ref="E447" r:id="rId793"/>
    <hyperlink ref="H447" r:id="rId794"/>
    <hyperlink ref="E448" r:id="rId795"/>
    <hyperlink ref="H448" r:id="rId796"/>
    <hyperlink ref="H449" r:id="rId797"/>
    <hyperlink ref="E450" r:id="rId798"/>
    <hyperlink ref="H450" r:id="rId799"/>
    <hyperlink ref="E451" r:id="rId800"/>
    <hyperlink ref="H451" r:id="rId801"/>
    <hyperlink ref="E452" r:id="rId802"/>
    <hyperlink ref="H452" r:id="rId803"/>
    <hyperlink ref="E453" r:id="rId804"/>
    <hyperlink ref="H453" r:id="rId805"/>
    <hyperlink ref="E454" r:id="rId806"/>
    <hyperlink ref="H454" r:id="rId807"/>
    <hyperlink ref="H455" r:id="rId808"/>
    <hyperlink ref="H456" r:id="rId809"/>
    <hyperlink ref="H457" r:id="rId810"/>
    <hyperlink ref="H459" r:id="rId811"/>
    <hyperlink ref="H460" r:id="rId812"/>
    <hyperlink ref="H461" r:id="rId813"/>
    <hyperlink ref="H462" r:id="rId814"/>
    <hyperlink ref="H463" r:id="rId815"/>
    <hyperlink ref="H464" r:id="rId816"/>
    <hyperlink ref="H465" r:id="rId817"/>
    <hyperlink ref="H466" r:id="rId818"/>
    <hyperlink ref="H467" r:id="rId819"/>
    <hyperlink ref="H468" r:id="rId820"/>
    <hyperlink ref="H469" r:id="rId821"/>
    <hyperlink ref="E470" r:id="rId822"/>
    <hyperlink ref="H470" r:id="rId823"/>
    <hyperlink ref="H471" r:id="rId824"/>
    <hyperlink ref="H472" r:id="rId825"/>
    <hyperlink ref="H473" r:id="rId826"/>
    <hyperlink ref="E474" r:id="rId827"/>
    <hyperlink ref="H474" r:id="rId828"/>
    <hyperlink ref="E475" r:id="rId829"/>
    <hyperlink ref="H475" r:id="rId830"/>
    <hyperlink ref="H476" r:id="rId831"/>
    <hyperlink ref="H477" r:id="rId832"/>
    <hyperlink ref="H478" r:id="rId833"/>
    <hyperlink ref="H479" r:id="rId834"/>
    <hyperlink ref="H480" r:id="rId835"/>
    <hyperlink ref="H481" r:id="rId836"/>
    <hyperlink ref="H482" r:id="rId837"/>
    <hyperlink ref="H483" r:id="rId838"/>
    <hyperlink ref="H484" r:id="rId839"/>
    <hyperlink ref="E486" r:id="rId840"/>
    <hyperlink ref="H486" r:id="rId841"/>
    <hyperlink ref="E487" r:id="rId842"/>
    <hyperlink ref="H487" r:id="rId843"/>
    <hyperlink ref="H488" r:id="rId844"/>
    <hyperlink ref="D490" r:id="rId845"/>
    <hyperlink ref="E490" r:id="rId846"/>
    <hyperlink ref="H490" r:id="rId847"/>
    <hyperlink ref="H491" r:id="rId848"/>
    <hyperlink ref="H492" r:id="rId849"/>
    <hyperlink ref="H493" r:id="rId850"/>
    <hyperlink ref="H494" r:id="rId851"/>
    <hyperlink ref="H495" r:id="rId852"/>
    <hyperlink ref="H496" r:id="rId853"/>
    <hyperlink ref="H497" r:id="rId854"/>
    <hyperlink ref="H498" r:id="rId855"/>
    <hyperlink ref="H499" r:id="rId856"/>
    <hyperlink ref="H500" r:id="rId857"/>
    <hyperlink ref="H501" r:id="rId858"/>
    <hyperlink ref="H502" r:id="rId859"/>
    <hyperlink ref="H503" r:id="rId860"/>
    <hyperlink ref="H504" r:id="rId861"/>
    <hyperlink ref="H505" r:id="rId862"/>
    <hyperlink ref="H506" r:id="rId863"/>
    <hyperlink ref="H507" r:id="rId864"/>
    <hyperlink ref="H508" r:id="rId865"/>
    <hyperlink ref="H509" r:id="rId866"/>
    <hyperlink ref="H510" r:id="rId867"/>
    <hyperlink ref="H511" r:id="rId868"/>
    <hyperlink ref="H512" r:id="rId869"/>
    <hyperlink ref="H513" r:id="rId870"/>
    <hyperlink ref="H514" r:id="rId871"/>
    <hyperlink ref="D515" r:id="rId872"/>
    <hyperlink ref="E515" r:id="rId873"/>
    <hyperlink ref="H515" r:id="rId874"/>
    <hyperlink ref="D516" r:id="rId875"/>
    <hyperlink ref="E516" r:id="rId876"/>
    <hyperlink ref="H516" r:id="rId877"/>
    <hyperlink ref="D517" r:id="rId878"/>
    <hyperlink ref="E517" r:id="rId879"/>
    <hyperlink ref="H517" r:id="rId880"/>
    <hyperlink ref="D518" r:id="rId881"/>
    <hyperlink ref="E518" r:id="rId882"/>
    <hyperlink ref="H518" r:id="rId883"/>
    <hyperlink ref="D519" r:id="rId884"/>
    <hyperlink ref="E519" r:id="rId885"/>
    <hyperlink ref="H519" r:id="rId886"/>
    <hyperlink ref="D520" r:id="rId887"/>
    <hyperlink ref="E520" r:id="rId888"/>
    <hyperlink ref="H520" r:id="rId889"/>
    <hyperlink ref="D521" r:id="rId890"/>
    <hyperlink ref="E521" r:id="rId891"/>
    <hyperlink ref="H521" r:id="rId892"/>
    <hyperlink ref="D522" r:id="rId893"/>
    <hyperlink ref="E522" r:id="rId894"/>
    <hyperlink ref="H522" r:id="rId895"/>
    <hyperlink ref="H523" r:id="rId896"/>
    <hyperlink ref="H524" r:id="rId897"/>
    <hyperlink ref="H525" r:id="rId898"/>
    <hyperlink ref="E526" r:id="rId899"/>
    <hyperlink ref="H526" r:id="rId900"/>
    <hyperlink ref="E527" r:id="rId901"/>
    <hyperlink ref="H527" r:id="rId902"/>
    <hyperlink ref="E528" r:id="rId903"/>
    <hyperlink ref="H528" r:id="rId904"/>
    <hyperlink ref="E529" r:id="rId905"/>
    <hyperlink ref="H529" r:id="rId906"/>
    <hyperlink ref="E530" r:id="rId907"/>
    <hyperlink ref="H530" r:id="rId908"/>
    <hyperlink ref="E531" r:id="rId909"/>
    <hyperlink ref="H531" r:id="rId910"/>
    <hyperlink ref="E532" r:id="rId911"/>
    <hyperlink ref="H532" r:id="rId912"/>
    <hyperlink ref="E533" r:id="rId913"/>
    <hyperlink ref="H533" r:id="rId914"/>
    <hyperlink ref="E534" r:id="rId915"/>
    <hyperlink ref="H534" r:id="rId916"/>
    <hyperlink ref="E535" r:id="rId917"/>
    <hyperlink ref="H535" r:id="rId918"/>
    <hyperlink ref="E536" r:id="rId919"/>
    <hyperlink ref="H536" r:id="rId920"/>
    <hyperlink ref="E537" r:id="rId921"/>
    <hyperlink ref="H537" r:id="rId922"/>
    <hyperlink ref="E538" r:id="rId923"/>
    <hyperlink ref="H538" r:id="rId924"/>
    <hyperlink ref="H539" r:id="rId925"/>
    <hyperlink ref="H540" r:id="rId926"/>
    <hyperlink ref="H541" r:id="rId927"/>
    <hyperlink ref="H542" r:id="rId928"/>
    <hyperlink ref="E543" r:id="rId929"/>
    <hyperlink ref="H543" r:id="rId930"/>
    <hyperlink ref="E544" r:id="rId931"/>
    <hyperlink ref="H544" r:id="rId932"/>
    <hyperlink ref="E545" r:id="rId933"/>
    <hyperlink ref="H545" r:id="rId934"/>
    <hyperlink ref="E546" r:id="rId935"/>
    <hyperlink ref="H546" r:id="rId936"/>
    <hyperlink ref="E547" r:id="rId937"/>
    <hyperlink ref="H547" r:id="rId938"/>
    <hyperlink ref="H548" r:id="rId939"/>
    <hyperlink ref="H549" r:id="rId940"/>
    <hyperlink ref="H550" r:id="rId941"/>
    <hyperlink ref="H551" r:id="rId942"/>
    <hyperlink ref="H552" r:id="rId943"/>
    <hyperlink ref="E553" r:id="rId944"/>
    <hyperlink ref="H553" r:id="rId945"/>
    <hyperlink ref="E554" r:id="rId946"/>
    <hyperlink ref="H554" r:id="rId947"/>
    <hyperlink ref="H555" r:id="rId948"/>
    <hyperlink ref="H556" r:id="rId949"/>
    <hyperlink ref="H557" r:id="rId950"/>
    <hyperlink ref="H558" r:id="rId951"/>
    <hyperlink ref="H559" r:id="rId952"/>
    <hyperlink ref="H560" r:id="rId953"/>
    <hyperlink ref="H561" r:id="rId954"/>
    <hyperlink ref="H562" r:id="rId955"/>
    <hyperlink ref="H563" r:id="rId956"/>
    <hyperlink ref="H564" r:id="rId957"/>
    <hyperlink ref="H565" r:id="rId958"/>
    <hyperlink ref="H566" r:id="rId959"/>
    <hyperlink ref="H567" r:id="rId960"/>
    <hyperlink ref="D568" r:id="rId961"/>
    <hyperlink ref="H568" r:id="rId962"/>
    <hyperlink ref="E569" r:id="rId963"/>
    <hyperlink ref="H569" r:id="rId964"/>
    <hyperlink ref="E570" r:id="rId965"/>
    <hyperlink ref="H570" r:id="rId966"/>
    <hyperlink ref="H571" r:id="rId967"/>
    <hyperlink ref="H572" r:id="rId968"/>
    <hyperlink ref="H573" r:id="rId969"/>
    <hyperlink ref="H574" r:id="rId970"/>
    <hyperlink ref="H575" r:id="rId971"/>
    <hyperlink ref="H576" r:id="rId972"/>
    <hyperlink ref="H578" r:id="rId973"/>
    <hyperlink ref="H579" r:id="rId974"/>
    <hyperlink ref="H580" r:id="rId975"/>
    <hyperlink ref="E581" r:id="rId976"/>
    <hyperlink ref="H581" r:id="rId977"/>
    <hyperlink ref="E582" r:id="rId978"/>
    <hyperlink ref="H582" r:id="rId979"/>
    <hyperlink ref="H583" r:id="rId980"/>
    <hyperlink ref="D585" r:id="rId981"/>
    <hyperlink ref="E585" r:id="rId982"/>
    <hyperlink ref="H585" r:id="rId983"/>
    <hyperlink ref="H587" r:id="rId984"/>
    <hyperlink ref="H589" r:id="rId985"/>
    <hyperlink ref="H590" r:id="rId986"/>
    <hyperlink ref="H591" r:id="rId987"/>
    <hyperlink ref="H593" r:id="rId988"/>
    <hyperlink ref="H594" r:id="rId989"/>
    <hyperlink ref="H595" r:id="rId990"/>
    <hyperlink ref="H596" r:id="rId991"/>
    <hyperlink ref="E597" r:id="rId992"/>
    <hyperlink ref="H597" r:id="rId993"/>
    <hyperlink ref="E598" r:id="rId994"/>
    <hyperlink ref="H598" r:id="rId995"/>
    <hyperlink ref="E599" r:id="rId996"/>
    <hyperlink ref="H599" r:id="rId997"/>
    <hyperlink ref="E600" r:id="rId998"/>
    <hyperlink ref="H600" r:id="rId999"/>
    <hyperlink ref="H601" r:id="rId1000"/>
    <hyperlink ref="H602" r:id="rId1001"/>
    <hyperlink ref="H603" r:id="rId1002"/>
    <hyperlink ref="H604" r:id="rId1003"/>
    <hyperlink ref="H605" r:id="rId1004"/>
    <hyperlink ref="H606" r:id="rId1005"/>
    <hyperlink ref="H607" r:id="rId1006"/>
    <hyperlink ref="H608" r:id="rId1007"/>
    <hyperlink ref="H609" r:id="rId1008"/>
    <hyperlink ref="D610" r:id="rId1009"/>
    <hyperlink ref="E610" r:id="rId1010"/>
    <hyperlink ref="H610" r:id="rId1011"/>
    <hyperlink ref="D611" r:id="rId1012"/>
    <hyperlink ref="E611" r:id="rId1013"/>
    <hyperlink ref="H611" r:id="rId1014"/>
    <hyperlink ref="D612" r:id="rId1015"/>
    <hyperlink ref="E612" r:id="rId1016"/>
    <hyperlink ref="H612" r:id="rId1017"/>
    <hyperlink ref="D613" r:id="rId1018"/>
    <hyperlink ref="E613" r:id="rId1019"/>
    <hyperlink ref="H613" r:id="rId1020"/>
    <hyperlink ref="D614" r:id="rId1021"/>
    <hyperlink ref="E614" r:id="rId1022"/>
    <hyperlink ref="H614" r:id="rId1023"/>
    <hyperlink ref="H615" r:id="rId1024"/>
    <hyperlink ref="H616" r:id="rId1025"/>
    <hyperlink ref="H617" r:id="rId1026"/>
    <hyperlink ref="H618" r:id="rId1027"/>
    <hyperlink ref="E619" r:id="rId1028"/>
    <hyperlink ref="H619" r:id="rId1029"/>
    <hyperlink ref="H620" r:id="rId1030"/>
    <hyperlink ref="H621" r:id="rId1031"/>
    <hyperlink ref="H622" r:id="rId1032"/>
    <hyperlink ref="H623" r:id="rId1033"/>
    <hyperlink ref="H624" r:id="rId1034"/>
    <hyperlink ref="H625" r:id="rId1035"/>
    <hyperlink ref="H626" r:id="rId1036"/>
    <hyperlink ref="E627" r:id="rId1037"/>
    <hyperlink ref="H627" r:id="rId1038"/>
    <hyperlink ref="E628" r:id="rId1039"/>
    <hyperlink ref="H628" r:id="rId1040"/>
    <hyperlink ref="E629" r:id="rId1041"/>
    <hyperlink ref="H629" r:id="rId1042"/>
    <hyperlink ref="E630" r:id="rId1043"/>
    <hyperlink ref="H630" r:id="rId1044"/>
    <hyperlink ref="E631" r:id="rId1045"/>
    <hyperlink ref="H631" r:id="rId1046"/>
    <hyperlink ref="E632" r:id="rId1047"/>
    <hyperlink ref="H632" r:id="rId1048"/>
    <hyperlink ref="H633" r:id="rId1049"/>
    <hyperlink ref="H634" r:id="rId1050"/>
    <hyperlink ref="E635" r:id="rId1051"/>
    <hyperlink ref="H635" r:id="rId1052"/>
    <hyperlink ref="E636" r:id="rId1053"/>
    <hyperlink ref="H636" r:id="rId1054"/>
    <hyperlink ref="E637" r:id="rId1055"/>
    <hyperlink ref="H637" r:id="rId1056"/>
    <hyperlink ref="E638" r:id="rId1057"/>
    <hyperlink ref="H638" r:id="rId1058"/>
    <hyperlink ref="E639" r:id="rId1059"/>
    <hyperlink ref="H639" r:id="rId1060"/>
    <hyperlink ref="E640" r:id="rId1061"/>
    <hyperlink ref="H640" r:id="rId1062"/>
    <hyperlink ref="E641" r:id="rId1063"/>
    <hyperlink ref="H641" r:id="rId1064"/>
    <hyperlink ref="E642" r:id="rId1065"/>
    <hyperlink ref="H642" r:id="rId1066"/>
    <hyperlink ref="E643" r:id="rId1067"/>
    <hyperlink ref="H643" r:id="rId1068"/>
    <hyperlink ref="E644" r:id="rId1069"/>
    <hyperlink ref="H644" r:id="rId1070"/>
    <hyperlink ref="E645" r:id="rId1071"/>
    <hyperlink ref="H645" r:id="rId1072"/>
    <hyperlink ref="E646" r:id="rId1073"/>
    <hyperlink ref="H646" r:id="rId1074"/>
    <hyperlink ref="E647" r:id="rId1075"/>
    <hyperlink ref="H647" r:id="rId1076"/>
    <hyperlink ref="E648" r:id="rId1077"/>
    <hyperlink ref="H648" r:id="rId1078"/>
    <hyperlink ref="E649" r:id="rId1079"/>
    <hyperlink ref="H649" r:id="rId1080"/>
    <hyperlink ref="E650" r:id="rId1081"/>
    <hyperlink ref="H650" r:id="rId1082"/>
    <hyperlink ref="E651" r:id="rId1083"/>
    <hyperlink ref="H651" r:id="rId1084"/>
    <hyperlink ref="E652" r:id="rId1085"/>
    <hyperlink ref="H652" r:id="rId1086"/>
    <hyperlink ref="E653" r:id="rId1087"/>
    <hyperlink ref="H653" r:id="rId1088"/>
    <hyperlink ref="H654" r:id="rId1089"/>
    <hyperlink ref="H655" r:id="rId1090"/>
    <hyperlink ref="H656" r:id="rId1091"/>
    <hyperlink ref="H657" r:id="rId1092"/>
    <hyperlink ref="H658" r:id="rId1093"/>
    <hyperlink ref="H659" r:id="rId1094"/>
    <hyperlink ref="H660" r:id="rId1095"/>
    <hyperlink ref="H661" r:id="rId1096"/>
    <hyperlink ref="H662" r:id="rId1097"/>
    <hyperlink ref="H663" r:id="rId1098"/>
    <hyperlink ref="H664" r:id="rId1099"/>
    <hyperlink ref="H665" r:id="rId1100"/>
    <hyperlink ref="H666" r:id="rId1101"/>
    <hyperlink ref="H667" r:id="rId1102"/>
    <hyperlink ref="H668" r:id="rId1103"/>
    <hyperlink ref="H669" r:id="rId1104"/>
    <hyperlink ref="E670" r:id="rId1105"/>
    <hyperlink ref="H670" r:id="rId1106"/>
    <hyperlink ref="H671" r:id="rId1107"/>
    <hyperlink ref="H672" r:id="rId1108"/>
    <hyperlink ref="H673" r:id="rId1109"/>
    <hyperlink ref="H674" r:id="rId1110"/>
    <hyperlink ref="H675" r:id="rId1111"/>
    <hyperlink ref="H676" r:id="rId1112"/>
    <hyperlink ref="H677" r:id="rId1113"/>
    <hyperlink ref="H678" r:id="rId1114"/>
    <hyperlink ref="E679" r:id="rId1115"/>
    <hyperlink ref="H679" r:id="rId1116"/>
    <hyperlink ref="E680" r:id="rId1117"/>
    <hyperlink ref="H680" r:id="rId1118"/>
    <hyperlink ref="E681" r:id="rId1119"/>
    <hyperlink ref="H681" r:id="rId1120"/>
    <hyperlink ref="E682" r:id="rId1121"/>
    <hyperlink ref="H682" r:id="rId1122"/>
    <hyperlink ref="H683" r:id="rId1123"/>
    <hyperlink ref="H684" r:id="rId1124"/>
    <hyperlink ref="H685" r:id="rId1125"/>
    <hyperlink ref="H686" r:id="rId1126"/>
    <hyperlink ref="H687" r:id="rId1127"/>
    <hyperlink ref="H688" r:id="rId1128"/>
    <hyperlink ref="H689" r:id="rId1129"/>
    <hyperlink ref="H690" r:id="rId1130"/>
    <hyperlink ref="H691" r:id="rId1131"/>
    <hyperlink ref="H692" r:id="rId1132"/>
    <hyperlink ref="E693" r:id="rId1133"/>
    <hyperlink ref="H693" r:id="rId1134"/>
    <hyperlink ref="E694" r:id="rId1135"/>
    <hyperlink ref="H694" r:id="rId1136"/>
    <hyperlink ref="E695" r:id="rId1137"/>
    <hyperlink ref="H695" r:id="rId1138"/>
    <hyperlink ref="E696" r:id="rId1139"/>
    <hyperlink ref="H696" r:id="rId1140"/>
    <hyperlink ref="E697" r:id="rId1141"/>
    <hyperlink ref="H697" r:id="rId1142"/>
    <hyperlink ref="E698" r:id="rId1143"/>
    <hyperlink ref="H698" r:id="rId1144"/>
    <hyperlink ref="E699" r:id="rId1145"/>
    <hyperlink ref="H699" r:id="rId1146"/>
    <hyperlink ref="E700" r:id="rId1147"/>
    <hyperlink ref="H700" r:id="rId1148"/>
    <hyperlink ref="H701" r:id="rId1149"/>
    <hyperlink ref="H702" r:id="rId1150"/>
    <hyperlink ref="E703" r:id="rId1151"/>
    <hyperlink ref="H703" r:id="rId1152"/>
    <hyperlink ref="E704" r:id="rId1153"/>
    <hyperlink ref="H704" r:id="rId1154"/>
    <hyperlink ref="E705" r:id="rId1155"/>
    <hyperlink ref="H705" r:id="rId1156"/>
    <hyperlink ref="H706" r:id="rId1157"/>
    <hyperlink ref="H707" r:id="rId1158"/>
    <hyperlink ref="H708" r:id="rId1159"/>
    <hyperlink ref="H709" r:id="rId1160"/>
    <hyperlink ref="H710" r:id="rId1161"/>
    <hyperlink ref="H711" r:id="rId1162"/>
    <hyperlink ref="H713" r:id="rId1163"/>
    <hyperlink ref="H714" r:id="rId1164"/>
    <hyperlink ref="E715" r:id="rId1165"/>
    <hyperlink ref="H715" r:id="rId1166"/>
    <hyperlink ref="E716" r:id="rId1167"/>
    <hyperlink ref="H716" r:id="rId1168"/>
    <hyperlink ref="E717" r:id="rId1169"/>
    <hyperlink ref="H717" r:id="rId1170"/>
    <hyperlink ref="E718" r:id="rId1171"/>
    <hyperlink ref="H718" r:id="rId1172"/>
    <hyperlink ref="H719" r:id="rId1173"/>
    <hyperlink ref="H720" r:id="rId1174"/>
    <hyperlink ref="H721" r:id="rId1175"/>
    <hyperlink ref="H723" r:id="rId1176"/>
    <hyperlink ref="H724" r:id="rId1177"/>
    <hyperlink ref="H725" r:id="rId1178"/>
    <hyperlink ref="H726" r:id="rId1179"/>
    <hyperlink ref="H727" r:id="rId1180"/>
    <hyperlink ref="H728" r:id="rId1181"/>
    <hyperlink ref="E729" r:id="rId1182"/>
    <hyperlink ref="H729" r:id="rId1183"/>
    <hyperlink ref="E730" r:id="rId1184"/>
    <hyperlink ref="H730" r:id="rId1185"/>
    <hyperlink ref="E731" r:id="rId1186"/>
    <hyperlink ref="H731" r:id="rId1187"/>
    <hyperlink ref="E732" r:id="rId1188"/>
    <hyperlink ref="H732" r:id="rId1189"/>
    <hyperlink ref="H733" r:id="rId1190"/>
    <hyperlink ref="H734" r:id="rId1191"/>
    <hyperlink ref="H735" r:id="rId1192"/>
    <hyperlink ref="D736" r:id="rId1193"/>
    <hyperlink ref="E736" r:id="rId1194"/>
    <hyperlink ref="H736" r:id="rId1195"/>
    <hyperlink ref="D737" r:id="rId1196"/>
    <hyperlink ref="E737" r:id="rId1197"/>
    <hyperlink ref="H737" r:id="rId1198"/>
    <hyperlink ref="D738" r:id="rId1199"/>
    <hyperlink ref="E738" r:id="rId1200"/>
    <hyperlink ref="H738" r:id="rId1201"/>
    <hyperlink ref="D739" r:id="rId1202"/>
    <hyperlink ref="E739" r:id="rId1203"/>
    <hyperlink ref="H739" r:id="rId1204"/>
    <hyperlink ref="D740" r:id="rId1205"/>
    <hyperlink ref="E740" r:id="rId1206"/>
    <hyperlink ref="H740" r:id="rId1207"/>
    <hyperlink ref="H741" r:id="rId1208"/>
    <hyperlink ref="H742" r:id="rId1209"/>
    <hyperlink ref="H743" r:id="rId1210"/>
    <hyperlink ref="H745" r:id="rId1211"/>
    <hyperlink ref="E747" r:id="rId1212"/>
    <hyperlink ref="H747" r:id="rId1213"/>
    <hyperlink ref="E748" r:id="rId1214"/>
    <hyperlink ref="H748" r:id="rId1215"/>
    <hyperlink ref="E749" r:id="rId1216"/>
    <hyperlink ref="H749" r:id="rId1217"/>
    <hyperlink ref="E750" r:id="rId1218"/>
    <hyperlink ref="H750" r:id="rId1219"/>
    <hyperlink ref="D751" r:id="rId1220"/>
    <hyperlink ref="E751" r:id="rId1221"/>
    <hyperlink ref="H751" r:id="rId1222"/>
    <hyperlink ref="E752" r:id="rId1223"/>
    <hyperlink ref="H752" r:id="rId1224"/>
    <hyperlink ref="E753" r:id="rId1225"/>
    <hyperlink ref="H753" r:id="rId1226"/>
    <hyperlink ref="E754" r:id="rId1227"/>
    <hyperlink ref="H754" r:id="rId1228"/>
    <hyperlink ref="E755" r:id="rId1229"/>
    <hyperlink ref="H755" r:id="rId1230"/>
    <hyperlink ref="D757" r:id="rId1231"/>
    <hyperlink ref="E757" r:id="rId1232"/>
    <hyperlink ref="H757" r:id="rId1233"/>
    <hyperlink ref="H759" r:id="rId1234"/>
    <hyperlink ref="E761" r:id="rId1235"/>
    <hyperlink ref="H761" r:id="rId1236"/>
    <hyperlink ref="H763" r:id="rId1237"/>
    <hyperlink ref="H764" r:id="rId1238"/>
    <hyperlink ref="H765" r:id="rId1239"/>
    <hyperlink ref="E766" r:id="rId1240"/>
    <hyperlink ref="H766" r:id="rId1241"/>
    <hyperlink ref="E767" r:id="rId1242"/>
    <hyperlink ref="H767" r:id="rId1243"/>
    <hyperlink ref="H768" r:id="rId1244"/>
    <hyperlink ref="D769" r:id="rId1245"/>
    <hyperlink ref="E769" r:id="rId1246"/>
    <hyperlink ref="H769" r:id="rId1247"/>
    <hyperlink ref="D770" r:id="rId1248"/>
    <hyperlink ref="E770" r:id="rId1249"/>
    <hyperlink ref="H770" r:id="rId1250"/>
    <hyperlink ref="D771" r:id="rId1251"/>
    <hyperlink ref="E771" r:id="rId1252"/>
    <hyperlink ref="H771" r:id="rId1253"/>
    <hyperlink ref="D772" r:id="rId1254"/>
    <hyperlink ref="H772" r:id="rId1255"/>
    <hyperlink ref="H773" r:id="rId1256"/>
    <hyperlink ref="H774" r:id="rId1257"/>
    <hyperlink ref="H775" r:id="rId1258"/>
    <hyperlink ref="H776" r:id="rId1259"/>
    <hyperlink ref="H777" r:id="rId1260"/>
    <hyperlink ref="H778" r:id="rId1261"/>
    <hyperlink ref="H779" r:id="rId1262"/>
    <hyperlink ref="H780" r:id="rId1263"/>
    <hyperlink ref="H781" r:id="rId1264"/>
    <hyperlink ref="E782" r:id="rId1265"/>
    <hyperlink ref="H782" r:id="rId1266"/>
    <hyperlink ref="E783" r:id="rId1267"/>
    <hyperlink ref="H783" r:id="rId1268"/>
    <hyperlink ref="E784" r:id="rId1269"/>
    <hyperlink ref="H784" r:id="rId1270"/>
    <hyperlink ref="E785" r:id="rId1271"/>
    <hyperlink ref="H785" r:id="rId1272"/>
    <hyperlink ref="E786" r:id="rId1273"/>
    <hyperlink ref="H786" r:id="rId1274"/>
    <hyperlink ref="E787" r:id="rId1275"/>
    <hyperlink ref="H787" r:id="rId1276"/>
    <hyperlink ref="E788" r:id="rId1277"/>
    <hyperlink ref="H788" r:id="rId1278"/>
    <hyperlink ref="E789" r:id="rId1279"/>
    <hyperlink ref="H789" r:id="rId1280"/>
    <hyperlink ref="E790" r:id="rId1281"/>
    <hyperlink ref="H790" r:id="rId1282"/>
    <hyperlink ref="E791" r:id="rId1283"/>
    <hyperlink ref="H791" r:id="rId1284"/>
    <hyperlink ref="E792" r:id="rId1285"/>
    <hyperlink ref="H792" r:id="rId1286"/>
    <hyperlink ref="E793" r:id="rId1287"/>
    <hyperlink ref="H793" r:id="rId1288"/>
    <hyperlink ref="H794" r:id="rId1289"/>
    <hyperlink ref="H795" r:id="rId1290"/>
    <hyperlink ref="H796" r:id="rId1291"/>
    <hyperlink ref="H797" r:id="rId1292"/>
    <hyperlink ref="H798" r:id="rId1293"/>
    <hyperlink ref="H799" r:id="rId1294"/>
    <hyperlink ref="H800" r:id="rId1295"/>
    <hyperlink ref="H801" r:id="rId1296"/>
    <hyperlink ref="H802" r:id="rId1297"/>
    <hyperlink ref="H803" r:id="rId1298"/>
    <hyperlink ref="H804" r:id="rId1299"/>
    <hyperlink ref="H805" r:id="rId1300"/>
    <hyperlink ref="H806" r:id="rId1301"/>
    <hyperlink ref="H807" r:id="rId1302"/>
    <hyperlink ref="H808" r:id="rId1303"/>
    <hyperlink ref="H809" r:id="rId1304"/>
    <hyperlink ref="H810" r:id="rId1305"/>
    <hyperlink ref="H811" r:id="rId1306"/>
    <hyperlink ref="H812" r:id="rId1307"/>
    <hyperlink ref="H813" r:id="rId1308"/>
    <hyperlink ref="H814" r:id="rId1309"/>
    <hyperlink ref="H815" r:id="rId1310"/>
    <hyperlink ref="E816" r:id="rId1311"/>
    <hyperlink ref="H816" r:id="rId1312"/>
    <hyperlink ref="H817" r:id="rId1313"/>
    <hyperlink ref="H818" r:id="rId1314"/>
    <hyperlink ref="H819" r:id="rId1315"/>
    <hyperlink ref="H820" r:id="rId1316"/>
    <hyperlink ref="H821" r:id="rId1317"/>
    <hyperlink ref="H822" r:id="rId1318"/>
    <hyperlink ref="H823" r:id="rId1319"/>
    <hyperlink ref="H825" r:id="rId1320"/>
    <hyperlink ref="H826" r:id="rId1321"/>
    <hyperlink ref="E827" r:id="rId1322"/>
    <hyperlink ref="H827" r:id="rId1323"/>
    <hyperlink ref="E828" r:id="rId1324"/>
    <hyperlink ref="H828" r:id="rId1325"/>
    <hyperlink ref="H829" r:id="rId1326"/>
    <hyperlink ref="H830" r:id="rId1327"/>
    <hyperlink ref="H831" r:id="rId1328"/>
    <hyperlink ref="H832" r:id="rId1329"/>
    <hyperlink ref="H833" r:id="rId1330"/>
    <hyperlink ref="H834" r:id="rId1331"/>
    <hyperlink ref="H835" r:id="rId1332"/>
    <hyperlink ref="H836" r:id="rId1333"/>
    <hyperlink ref="H837" r:id="rId1334"/>
    <hyperlink ref="H838" r:id="rId1335"/>
    <hyperlink ref="H839" r:id="rId1336"/>
    <hyperlink ref="H840" r:id="rId1337"/>
    <hyperlink ref="H841" r:id="rId1338"/>
    <hyperlink ref="H842" r:id="rId1339"/>
    <hyperlink ref="H843" r:id="rId1340"/>
    <hyperlink ref="H844" r:id="rId1341"/>
    <hyperlink ref="H845" r:id="rId1342"/>
    <hyperlink ref="H846" r:id="rId1343"/>
    <hyperlink ref="H847" r:id="rId1344"/>
    <hyperlink ref="H848" r:id="rId1345"/>
    <hyperlink ref="H849" r:id="rId1346"/>
    <hyperlink ref="H850" r:id="rId1347"/>
    <hyperlink ref="H851" r:id="rId1348"/>
    <hyperlink ref="H852" r:id="rId1349"/>
    <hyperlink ref="H853" r:id="rId1350"/>
    <hyperlink ref="H854" r:id="rId1351"/>
    <hyperlink ref="H855" r:id="rId1352"/>
    <hyperlink ref="H856" r:id="rId1353"/>
    <hyperlink ref="H857" r:id="rId1354"/>
    <hyperlink ref="H858" r:id="rId1355"/>
    <hyperlink ref="H859" r:id="rId1356"/>
    <hyperlink ref="H860" r:id="rId1357"/>
    <hyperlink ref="H861" r:id="rId1358"/>
    <hyperlink ref="H862" r:id="rId1359"/>
    <hyperlink ref="H863" r:id="rId1360"/>
    <hyperlink ref="E864" r:id="rId1361"/>
    <hyperlink ref="H864" r:id="rId1362"/>
    <hyperlink ref="H865" r:id="rId1363"/>
    <hyperlink ref="E866" r:id="rId1364"/>
    <hyperlink ref="H866" r:id="rId1365"/>
    <hyperlink ref="E867" r:id="rId1366"/>
    <hyperlink ref="H867" r:id="rId1367"/>
    <hyperlink ref="E868" r:id="rId1368"/>
    <hyperlink ref="H868" r:id="rId1369"/>
    <hyperlink ref="E869" r:id="rId1370"/>
    <hyperlink ref="H869" r:id="rId1371"/>
    <hyperlink ref="E870" r:id="rId1372"/>
    <hyperlink ref="H870" r:id="rId1373"/>
    <hyperlink ref="E871" r:id="rId1374"/>
    <hyperlink ref="H871" r:id="rId1375"/>
    <hyperlink ref="E872" r:id="rId1376"/>
    <hyperlink ref="H872" r:id="rId1377"/>
    <hyperlink ref="E873" r:id="rId1378"/>
    <hyperlink ref="H873" r:id="rId1379"/>
    <hyperlink ref="E874" r:id="rId1380"/>
    <hyperlink ref="H874" r:id="rId1381"/>
    <hyperlink ref="E875" r:id="rId1382"/>
    <hyperlink ref="H875" r:id="rId1383"/>
    <hyperlink ref="E876" r:id="rId1384"/>
    <hyperlink ref="H876" r:id="rId1385"/>
    <hyperlink ref="E877" r:id="rId1386"/>
    <hyperlink ref="H877" r:id="rId1387"/>
    <hyperlink ref="E878" r:id="rId1388"/>
    <hyperlink ref="H878" r:id="rId1389"/>
    <hyperlink ref="E879" r:id="rId1390"/>
    <hyperlink ref="H879" r:id="rId1391"/>
    <hyperlink ref="E880" r:id="rId1392"/>
    <hyperlink ref="H880" r:id="rId1393"/>
    <hyperlink ref="H881" r:id="rId1394"/>
    <hyperlink ref="H882" r:id="rId1395"/>
    <hyperlink ref="H883" r:id="rId1396"/>
    <hyperlink ref="H884" r:id="rId1397"/>
    <hyperlink ref="H885" r:id="rId1398"/>
    <hyperlink ref="H886" r:id="rId1399"/>
    <hyperlink ref="H887" r:id="rId1400"/>
    <hyperlink ref="H888" r:id="rId1401"/>
    <hyperlink ref="H889" r:id="rId1402"/>
    <hyperlink ref="H890" r:id="rId1403"/>
    <hyperlink ref="H891" r:id="rId1404"/>
    <hyperlink ref="H892" r:id="rId1405"/>
    <hyperlink ref="H893" r:id="rId1406"/>
    <hyperlink ref="H894" r:id="rId1407"/>
    <hyperlink ref="H895" r:id="rId1408"/>
    <hyperlink ref="H896" r:id="rId1409"/>
    <hyperlink ref="H897" r:id="rId1410"/>
    <hyperlink ref="H898" r:id="rId1411"/>
    <hyperlink ref="H899" r:id="rId1412"/>
    <hyperlink ref="H900" r:id="rId1413"/>
    <hyperlink ref="H901" r:id="rId1414"/>
    <hyperlink ref="H902" r:id="rId1415"/>
    <hyperlink ref="H903" r:id="rId1416"/>
    <hyperlink ref="H904" r:id="rId1417"/>
    <hyperlink ref="H905" r:id="rId1418"/>
    <hyperlink ref="H906" r:id="rId1419"/>
    <hyperlink ref="H907" r:id="rId1420"/>
    <hyperlink ref="H908" r:id="rId1421"/>
    <hyperlink ref="H909" r:id="rId1422"/>
    <hyperlink ref="H910" r:id="rId1423"/>
    <hyperlink ref="H911" r:id="rId1424"/>
    <hyperlink ref="H912" r:id="rId1425"/>
    <hyperlink ref="H913" r:id="rId1426"/>
    <hyperlink ref="H914" r:id="rId1427"/>
    <hyperlink ref="H915" r:id="rId1428"/>
    <hyperlink ref="H916" r:id="rId1429"/>
    <hyperlink ref="H917" r:id="rId1430"/>
    <hyperlink ref="H918" r:id="rId1431"/>
    <hyperlink ref="H919" r:id="rId1432"/>
    <hyperlink ref="H920" r:id="rId1433"/>
    <hyperlink ref="H921" r:id="rId1434"/>
    <hyperlink ref="H922" r:id="rId1435"/>
    <hyperlink ref="H923" r:id="rId1436"/>
    <hyperlink ref="H924" r:id="rId1437"/>
    <hyperlink ref="H925" r:id="rId1438"/>
    <hyperlink ref="H926" r:id="rId1439"/>
    <hyperlink ref="H927" r:id="rId1440"/>
    <hyperlink ref="H928" r:id="rId1441"/>
    <hyperlink ref="E929" r:id="rId1442"/>
    <hyperlink ref="H929" r:id="rId1443"/>
    <hyperlink ref="E930" r:id="rId1444"/>
    <hyperlink ref="H930" r:id="rId1445"/>
    <hyperlink ref="E931" r:id="rId1446"/>
    <hyperlink ref="H931" r:id="rId1447"/>
    <hyperlink ref="H932" r:id="rId1448"/>
    <hyperlink ref="E933" r:id="rId1449"/>
    <hyperlink ref="H933" r:id="rId1450"/>
    <hyperlink ref="H934" r:id="rId1451"/>
    <hyperlink ref="H935" r:id="rId1452"/>
    <hyperlink ref="H936" r:id="rId1453"/>
    <hyperlink ref="H937" r:id="rId1454"/>
    <hyperlink ref="H938" r:id="rId1455"/>
    <hyperlink ref="E939" r:id="rId1456"/>
    <hyperlink ref="H939" r:id="rId1457"/>
    <hyperlink ref="E940" r:id="rId1458"/>
    <hyperlink ref="H940" r:id="rId1459"/>
    <hyperlink ref="E941" r:id="rId1460"/>
    <hyperlink ref="H941" r:id="rId1461"/>
    <hyperlink ref="E942" r:id="rId1462"/>
    <hyperlink ref="H942" r:id="rId1463"/>
    <hyperlink ref="E943" r:id="rId1464"/>
    <hyperlink ref="H943" r:id="rId1465"/>
    <hyperlink ref="E944" r:id="rId1466"/>
    <hyperlink ref="H944" r:id="rId1467"/>
    <hyperlink ref="E945" r:id="rId1468"/>
    <hyperlink ref="H945" r:id="rId1469"/>
    <hyperlink ref="E946" r:id="rId1470"/>
    <hyperlink ref="H946" r:id="rId1471"/>
    <hyperlink ref="E947" r:id="rId1472"/>
    <hyperlink ref="H947" r:id="rId1473"/>
    <hyperlink ref="E948" r:id="rId1474"/>
    <hyperlink ref="H948" r:id="rId1475"/>
    <hyperlink ref="H949" r:id="rId1476"/>
    <hyperlink ref="H950" r:id="rId1477"/>
    <hyperlink ref="H951" r:id="rId1478"/>
    <hyperlink ref="H952" r:id="rId1479"/>
    <hyperlink ref="H953" r:id="rId1480"/>
    <hyperlink ref="H954" r:id="rId1481"/>
    <hyperlink ref="H955" r:id="rId1482"/>
    <hyperlink ref="H956" r:id="rId1483"/>
    <hyperlink ref="H957" r:id="rId1484"/>
    <hyperlink ref="H958" r:id="rId1485"/>
    <hyperlink ref="H959" r:id="rId1486"/>
    <hyperlink ref="H961" r:id="rId1487"/>
    <hyperlink ref="E962" r:id="rId1488"/>
    <hyperlink ref="H962" r:id="rId1489"/>
    <hyperlink ref="H964" r:id="rId1490"/>
    <hyperlink ref="H965" r:id="rId1491"/>
    <hyperlink ref="H966" r:id="rId1492"/>
    <hyperlink ref="H967" r:id="rId1493"/>
    <hyperlink ref="H968" r:id="rId1494"/>
    <hyperlink ref="H969" r:id="rId1495"/>
    <hyperlink ref="E970" r:id="rId1496"/>
    <hyperlink ref="H970" r:id="rId1497"/>
    <hyperlink ref="H971" r:id="rId1498"/>
    <hyperlink ref="E972" r:id="rId1499"/>
    <hyperlink ref="H972" r:id="rId1500"/>
    <hyperlink ref="H973" r:id="rId1501"/>
    <hyperlink ref="E974" r:id="rId1502"/>
    <hyperlink ref="H974" r:id="rId1503"/>
    <hyperlink ref="E975" r:id="rId1504"/>
    <hyperlink ref="H975" r:id="rId1505"/>
    <hyperlink ref="E976" r:id="rId1506"/>
    <hyperlink ref="H976" r:id="rId1507"/>
    <hyperlink ref="E977" r:id="rId1508"/>
    <hyperlink ref="H977" r:id="rId1509"/>
    <hyperlink ref="H978" r:id="rId1510"/>
    <hyperlink ref="H979" r:id="rId1511"/>
    <hyperlink ref="H980" r:id="rId1512"/>
    <hyperlink ref="H981" r:id="rId1513"/>
    <hyperlink ref="H982" r:id="rId1514"/>
    <hyperlink ref="H983" r:id="rId1515"/>
    <hyperlink ref="H984" r:id="rId1516"/>
    <hyperlink ref="H985" r:id="rId1517"/>
    <hyperlink ref="H986" r:id="rId1518"/>
    <hyperlink ref="H987" r:id="rId1519"/>
    <hyperlink ref="H988" r:id="rId1520"/>
    <hyperlink ref="H989" r:id="rId1521"/>
    <hyperlink ref="H990" r:id="rId1522"/>
    <hyperlink ref="H991" r:id="rId1523"/>
    <hyperlink ref="H992" r:id="rId1524"/>
    <hyperlink ref="H993" r:id="rId1525"/>
    <hyperlink ref="H994" r:id="rId1526"/>
    <hyperlink ref="H995" r:id="rId1527"/>
    <hyperlink ref="H996" r:id="rId1528"/>
    <hyperlink ref="H997" r:id="rId1529"/>
    <hyperlink ref="H998" r:id="rId1530"/>
    <hyperlink ref="H999" r:id="rId1531"/>
    <hyperlink ref="H1000" r:id="rId1532"/>
    <hyperlink ref="H1001" r:id="rId1533"/>
    <hyperlink ref="H1002" r:id="rId1534"/>
    <hyperlink ref="H1003" r:id="rId1535"/>
    <hyperlink ref="H1004" r:id="rId1536"/>
    <hyperlink ref="H1005" r:id="rId1537"/>
    <hyperlink ref="H1006" r:id="rId1538"/>
    <hyperlink ref="H1007" r:id="rId1539"/>
    <hyperlink ref="H1008" r:id="rId1540"/>
    <hyperlink ref="H1009" r:id="rId1541"/>
    <hyperlink ref="H1010" r:id="rId1542"/>
    <hyperlink ref="H1011" r:id="rId1543"/>
    <hyperlink ref="H1012" r:id="rId1544"/>
    <hyperlink ref="E1013" r:id="rId1545"/>
    <hyperlink ref="H1013" r:id="rId1546"/>
    <hyperlink ref="H1014" r:id="rId1547"/>
    <hyperlink ref="H1015" r:id="rId1548"/>
    <hyperlink ref="H1016" r:id="rId1549"/>
    <hyperlink ref="E1017" r:id="rId1550"/>
    <hyperlink ref="H1017" r:id="rId1551"/>
    <hyperlink ref="E1018" r:id="rId1552"/>
    <hyperlink ref="H1018" r:id="rId1553"/>
    <hyperlink ref="H1019" r:id="rId1554"/>
    <hyperlink ref="H1020" r:id="rId1555"/>
    <hyperlink ref="H1021" r:id="rId1556"/>
    <hyperlink ref="H1022" r:id="rId1557"/>
    <hyperlink ref="H1023" r:id="rId1558"/>
    <hyperlink ref="H1024" r:id="rId1559"/>
    <hyperlink ref="H1025" r:id="rId1560"/>
    <hyperlink ref="H1026" r:id="rId1561"/>
    <hyperlink ref="H1027" r:id="rId1562"/>
    <hyperlink ref="H1028" r:id="rId1563"/>
    <hyperlink ref="H1029" r:id="rId1564"/>
    <hyperlink ref="H1030" r:id="rId1565"/>
    <hyperlink ref="H1031" r:id="rId1566"/>
    <hyperlink ref="H1032" r:id="rId1567"/>
    <hyperlink ref="H1033" r:id="rId1568"/>
    <hyperlink ref="H1034" r:id="rId1569"/>
    <hyperlink ref="H1035" r:id="rId1570"/>
    <hyperlink ref="H1036" r:id="rId1571"/>
    <hyperlink ref="H1037" r:id="rId1572"/>
    <hyperlink ref="H1038" r:id="rId1573"/>
    <hyperlink ref="H1039" r:id="rId1574"/>
    <hyperlink ref="H1040" r:id="rId1575"/>
    <hyperlink ref="E1041" r:id="rId1576"/>
    <hyperlink ref="H1041" r:id="rId1577"/>
    <hyperlink ref="H1042" r:id="rId1578"/>
    <hyperlink ref="H1043" r:id="rId1579"/>
    <hyperlink ref="H1044" r:id="rId1580"/>
    <hyperlink ref="H1045" r:id="rId1581"/>
    <hyperlink ref="H1046" r:id="rId1582"/>
    <hyperlink ref="H1047" r:id="rId1583"/>
    <hyperlink ref="H1048" r:id="rId1584"/>
    <hyperlink ref="H1049" r:id="rId1585"/>
    <hyperlink ref="H1050" r:id="rId1586"/>
    <hyperlink ref="H1051" r:id="rId1587"/>
    <hyperlink ref="H1052" r:id="rId1588"/>
    <hyperlink ref="H1053" r:id="rId1589"/>
    <hyperlink ref="H1054" r:id="rId1590"/>
    <hyperlink ref="H1055" r:id="rId1591"/>
    <hyperlink ref="H1056" r:id="rId1592"/>
    <hyperlink ref="H1057" r:id="rId1593"/>
    <hyperlink ref="H1058" r:id="rId1594"/>
    <hyperlink ref="H1059" r:id="rId1595"/>
    <hyperlink ref="H1060" r:id="rId1596"/>
    <hyperlink ref="H1061" r:id="rId1597"/>
    <hyperlink ref="H1062" r:id="rId1598"/>
    <hyperlink ref="H1063" r:id="rId1599"/>
    <hyperlink ref="H1064" r:id="rId1600"/>
    <hyperlink ref="H1065" r:id="rId1601"/>
    <hyperlink ref="H1066" r:id="rId1602"/>
    <hyperlink ref="E1068" r:id="rId1603"/>
    <hyperlink ref="H1068" r:id="rId1604"/>
    <hyperlink ref="E1069" r:id="rId1605"/>
    <hyperlink ref="H1069" r:id="rId1606"/>
    <hyperlink ref="E1070" r:id="rId1607"/>
    <hyperlink ref="H1070" r:id="rId1608"/>
    <hyperlink ref="E1071" r:id="rId1609"/>
    <hyperlink ref="H1071" r:id="rId1610"/>
    <hyperlink ref="E1072" r:id="rId1611"/>
    <hyperlink ref="H1072" r:id="rId1612"/>
    <hyperlink ref="H1073" r:id="rId1613"/>
    <hyperlink ref="H1074" r:id="rId1614"/>
    <hyperlink ref="E1075" r:id="rId1615"/>
    <hyperlink ref="H1075" r:id="rId1616"/>
    <hyperlink ref="E1076" r:id="rId1617"/>
    <hyperlink ref="H1076" r:id="rId1618"/>
    <hyperlink ref="E1077" r:id="rId1619"/>
    <hyperlink ref="H1077" r:id="rId1620"/>
    <hyperlink ref="H1078" r:id="rId1621"/>
    <hyperlink ref="H1079" r:id="rId1622"/>
    <hyperlink ref="H1080" r:id="rId1623"/>
    <hyperlink ref="E1081" r:id="rId1624"/>
    <hyperlink ref="H1081" r:id="rId1625"/>
    <hyperlink ref="H1082" r:id="rId1626"/>
    <hyperlink ref="H1083" r:id="rId1627"/>
    <hyperlink ref="H1084" r:id="rId1628"/>
    <hyperlink ref="H1085" r:id="rId1629"/>
    <hyperlink ref="E1086" r:id="rId1630"/>
    <hyperlink ref="H1086" r:id="rId1631"/>
    <hyperlink ref="E1087" r:id="rId1632"/>
    <hyperlink ref="H1087" r:id="rId1633"/>
    <hyperlink ref="H1088" r:id="rId1634"/>
    <hyperlink ref="H1089" r:id="rId1635"/>
    <hyperlink ref="H1090" r:id="rId1636"/>
    <hyperlink ref="H1091" r:id="rId1637"/>
    <hyperlink ref="H1092" r:id="rId1638"/>
    <hyperlink ref="H1093" r:id="rId1639"/>
    <hyperlink ref="H1094" r:id="rId1640"/>
    <hyperlink ref="H1095" r:id="rId1641"/>
    <hyperlink ref="H1096" r:id="rId1642"/>
    <hyperlink ref="H1097" r:id="rId1643"/>
    <hyperlink ref="H1098" r:id="rId1644"/>
    <hyperlink ref="H1099" r:id="rId1645"/>
    <hyperlink ref="H1100" r:id="rId1646"/>
    <hyperlink ref="H1101" r:id="rId1647"/>
    <hyperlink ref="H1102" r:id="rId1648"/>
    <hyperlink ref="E1103" r:id="rId1649"/>
    <hyperlink ref="H1103" r:id="rId1650"/>
    <hyperlink ref="H1104" r:id="rId1651"/>
    <hyperlink ref="H1105" r:id="rId1652"/>
    <hyperlink ref="E1107" r:id="rId1653"/>
    <hyperlink ref="H1107" r:id="rId1654"/>
    <hyperlink ref="H1108" r:id="rId1655"/>
    <hyperlink ref="H1109" r:id="rId1656"/>
    <hyperlink ref="H1111" r:id="rId1657"/>
    <hyperlink ref="E1112" r:id="rId1658"/>
    <hyperlink ref="H1112" r:id="rId1659"/>
    <hyperlink ref="H1113" r:id="rId1660"/>
    <hyperlink ref="H1114" r:id="rId1661"/>
    <hyperlink ref="E1115" r:id="rId1662"/>
    <hyperlink ref="H1115" r:id="rId1663"/>
    <hyperlink ref="H1116" r:id="rId1664"/>
    <hyperlink ref="H1117" r:id="rId1665"/>
    <hyperlink ref="H1119" r:id="rId1666"/>
    <hyperlink ref="H1120" r:id="rId1667"/>
    <hyperlink ref="H1121" r:id="rId1668"/>
    <hyperlink ref="H1122" r:id="rId1669"/>
    <hyperlink ref="H1123" r:id="rId1670"/>
    <hyperlink ref="H1124" r:id="rId1671"/>
    <hyperlink ref="H1125" r:id="rId1672"/>
    <hyperlink ref="H1126" r:id="rId1673"/>
    <hyperlink ref="H1127" r:id="rId1674"/>
    <hyperlink ref="H1128" r:id="rId1675"/>
    <hyperlink ref="H1129" r:id="rId1676"/>
    <hyperlink ref="H1130" r:id="rId1677"/>
    <hyperlink ref="H1131" r:id="rId1678"/>
    <hyperlink ref="H1132" r:id="rId1679"/>
    <hyperlink ref="H1133" r:id="rId1680"/>
    <hyperlink ref="H1134" r:id="rId1681"/>
    <hyperlink ref="H1135" r:id="rId1682"/>
    <hyperlink ref="H1136" r:id="rId1683"/>
    <hyperlink ref="H1137" r:id="rId1684"/>
    <hyperlink ref="H1138" r:id="rId1685"/>
    <hyperlink ref="H1139" r:id="rId1686"/>
    <hyperlink ref="H1140" r:id="rId1687"/>
    <hyperlink ref="H1141" r:id="rId1688"/>
    <hyperlink ref="H1142" r:id="rId1689"/>
    <hyperlink ref="H1143" r:id="rId1690"/>
    <hyperlink ref="H1144" r:id="rId1691"/>
    <hyperlink ref="H1145" r:id="rId1692"/>
    <hyperlink ref="H1146" r:id="rId1693"/>
    <hyperlink ref="H1147" r:id="rId1694"/>
    <hyperlink ref="E1148" r:id="rId1695"/>
    <hyperlink ref="F1148" r:id="rId1696" display="%10, %15; %16, %21; %10, %15; %10, %15; %10, %15; %10, %15; %10, %15; %10, %15, %55, %60"/>
    <hyperlink ref="H1148" r:id="rId1697"/>
    <hyperlink ref="E1149" r:id="rId1698"/>
    <hyperlink ref="F1149" r:id="rId1699" display="%15; %21; %15; %15; %15; %15; %15; %15, %60"/>
    <hyperlink ref="H1149" r:id="rId1700"/>
    <hyperlink ref="E1150" r:id="rId1701"/>
    <hyperlink ref="F1150" r:id="rId1702" display="%19, %24; %19, %24; %25, %30; %19, %24; %19, %24; %19, %24; %19, %24; %19, %24, %64, %69"/>
    <hyperlink ref="H1150" r:id="rId1703"/>
    <hyperlink ref="E1151" r:id="rId1704"/>
    <hyperlink ref="F1151" r:id="rId1705" display="%24; %24; %30; %24; %24; %24; %24; %24, %69"/>
    <hyperlink ref="H1151" r:id="rId1706"/>
    <hyperlink ref="E1152" r:id="rId1707"/>
    <hyperlink ref="F1152" r:id="rId1708" display="%24; %24; %30; %24; %24; %24; %24; %24, %69"/>
    <hyperlink ref="H1152" r:id="rId1709"/>
    <hyperlink ref="E1153" r:id="rId1710"/>
    <hyperlink ref="H1153" r:id="rId1711"/>
    <hyperlink ref="E1154" r:id="rId1712"/>
    <hyperlink ref="H1154" r:id="rId1713"/>
    <hyperlink ref="H1155" r:id="rId1714"/>
    <hyperlink ref="H1156" r:id="rId1715"/>
    <hyperlink ref="H1157" r:id="rId1716"/>
    <hyperlink ref="H1158" r:id="rId1717"/>
    <hyperlink ref="H1159" r:id="rId1718"/>
    <hyperlink ref="H1160" r:id="rId1719"/>
    <hyperlink ref="H1161" r:id="rId1720"/>
    <hyperlink ref="E1162" r:id="rId1721"/>
    <hyperlink ref="H1162" r:id="rId1722"/>
    <hyperlink ref="E1163" r:id="rId1723"/>
    <hyperlink ref="H1163" r:id="rId1724"/>
    <hyperlink ref="E1164" r:id="rId1725"/>
    <hyperlink ref="H1164" r:id="rId1726"/>
    <hyperlink ref="E1165" r:id="rId1727"/>
    <hyperlink ref="H1165" r:id="rId1728"/>
    <hyperlink ref="H1166" r:id="rId1729"/>
    <hyperlink ref="H1167" r:id="rId1730"/>
    <hyperlink ref="H1168" r:id="rId1731"/>
    <hyperlink ref="H1169" r:id="rId1732"/>
    <hyperlink ref="H1170" r:id="rId1733"/>
    <hyperlink ref="H1171" r:id="rId1734"/>
    <hyperlink ref="H1172" r:id="rId1735"/>
    <hyperlink ref="H1173" r:id="rId1736"/>
    <hyperlink ref="H1174" r:id="rId1737"/>
    <hyperlink ref="H1175" r:id="rId1738"/>
    <hyperlink ref="H1176" r:id="rId1739"/>
    <hyperlink ref="H1177" r:id="rId1740"/>
    <hyperlink ref="H1178" r:id="rId1741"/>
    <hyperlink ref="H1179" r:id="rId1742"/>
    <hyperlink ref="H1180" r:id="rId1743"/>
    <hyperlink ref="H1181" r:id="rId1744"/>
    <hyperlink ref="H1182" r:id="rId1745"/>
    <hyperlink ref="H1183" r:id="rId1746"/>
    <hyperlink ref="H1184" r:id="rId1747"/>
    <hyperlink ref="H1185" r:id="rId1748"/>
    <hyperlink ref="H1186" r:id="rId1749"/>
    <hyperlink ref="H1187" r:id="rId1750"/>
    <hyperlink ref="H1188" r:id="rId1751"/>
    <hyperlink ref="H1189" r:id="rId1752"/>
    <hyperlink ref="H1190" r:id="rId1753"/>
    <hyperlink ref="H1191" r:id="rId1754"/>
    <hyperlink ref="H1193" r:id="rId1755"/>
    <hyperlink ref="H1194" r:id="rId1756"/>
    <hyperlink ref="H1195" r:id="rId1757"/>
    <hyperlink ref="H1196" r:id="rId1758"/>
    <hyperlink ref="H1197" r:id="rId1759"/>
    <hyperlink ref="E1198" r:id="rId1760"/>
    <hyperlink ref="H1198" r:id="rId1761"/>
    <hyperlink ref="H1199" r:id="rId1762"/>
    <hyperlink ref="H1201" r:id="rId1763"/>
    <hyperlink ref="H1202" r:id="rId1764"/>
    <hyperlink ref="H1203" r:id="rId1765"/>
    <hyperlink ref="H1204" r:id="rId1766"/>
    <hyperlink ref="H1205" r:id="rId1767"/>
    <hyperlink ref="H1206" r:id="rId1768"/>
    <hyperlink ref="H1207" r:id="rId1769"/>
    <hyperlink ref="H1208" r:id="rId1770"/>
    <hyperlink ref="H1209" r:id="rId1771"/>
    <hyperlink ref="H1210" r:id="rId1772"/>
    <hyperlink ref="H1211" r:id="rId1773"/>
    <hyperlink ref="H1212" r:id="rId1774"/>
    <hyperlink ref="H1213" r:id="rId1775"/>
    <hyperlink ref="H1214" r:id="rId1776"/>
    <hyperlink ref="H1216" r:id="rId1777"/>
    <hyperlink ref="H1217" r:id="rId1778"/>
    <hyperlink ref="H1218" r:id="rId1779"/>
    <hyperlink ref="H1219" r:id="rId1780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DA831"/>
  <sheetViews>
    <sheetView workbookViewId="0">
      <pane ySplit="11" topLeftCell="A12" activePane="bottomLeft" state="frozen"/>
      <selection pane="bottomLeft" activeCell="A12" sqref="A12"/>
    </sheetView>
  </sheetViews>
  <sheetFormatPr defaultColWidth="8.85546875" defaultRowHeight="15.75"/>
  <cols>
    <col min="1" max="1" width="10.7109375" customWidth="1"/>
    <col min="2" max="2" width="18" customWidth="1"/>
    <col min="3" max="5" width="23.28515625" style="56" customWidth="1"/>
    <col min="6" max="6" width="18.42578125" style="26" customWidth="1"/>
    <col min="7" max="7" width="9.42578125" style="50" customWidth="1"/>
    <col min="8" max="9" width="13.28515625" style="56" customWidth="1"/>
    <col min="10" max="12" width="25.7109375" customWidth="1"/>
    <col min="13" max="13" width="80.7109375" customWidth="1"/>
    <col min="14" max="15" width="25.7109375" customWidth="1"/>
    <col min="16" max="16" width="55.28515625" bestFit="1" customWidth="1"/>
    <col min="17" max="17" width="9.42578125" bestFit="1" customWidth="1"/>
    <col min="18" max="18" width="12.28515625" style="20" bestFit="1" customWidth="1"/>
    <col min="19" max="19" width="19.42578125" style="17" customWidth="1"/>
    <col min="20" max="20" width="9.42578125" style="50" customWidth="1"/>
    <col min="21" max="21" width="13" style="51" customWidth="1"/>
    <col min="22" max="29" width="16.85546875" style="23" customWidth="1"/>
    <col min="30" max="35" width="17.42578125" style="23" customWidth="1"/>
    <col min="36" max="41" width="13.7109375" style="56" customWidth="1"/>
    <col min="42" max="56" width="23.28515625" style="26" customWidth="1"/>
    <col min="57" max="57" width="10.140625" bestFit="1" customWidth="1"/>
    <col min="58" max="198" width="25.7109375" style="28" customWidth="1"/>
    <col min="199" max="16384" width="8.85546875" style="28"/>
  </cols>
  <sheetData>
    <row r="1" spans="1:105" ht="24.75">
      <c r="A1" s="58" t="s">
        <v>6110</v>
      </c>
      <c r="B1" s="28"/>
      <c r="C1" s="61"/>
      <c r="D1" s="61"/>
      <c r="E1" s="61"/>
      <c r="F1" s="59"/>
      <c r="G1" s="28"/>
      <c r="H1" s="61"/>
      <c r="I1" s="61"/>
      <c r="J1" s="60"/>
      <c r="K1" s="61"/>
      <c r="L1" s="58"/>
      <c r="M1" s="62"/>
      <c r="N1" s="61"/>
      <c r="O1" s="62"/>
      <c r="P1" s="63"/>
      <c r="Q1" s="64"/>
      <c r="R1" s="65"/>
      <c r="S1" s="65"/>
      <c r="T1" s="28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66"/>
    </row>
    <row r="2" spans="1:105" ht="6.75" customHeight="1">
      <c r="A2" s="58"/>
      <c r="B2" s="28"/>
      <c r="C2" s="61"/>
      <c r="D2" s="61"/>
      <c r="E2" s="61"/>
      <c r="F2" s="59"/>
      <c r="G2" s="28"/>
      <c r="H2" s="61"/>
      <c r="I2" s="61"/>
      <c r="J2" s="60"/>
      <c r="K2" s="61"/>
      <c r="L2" s="67"/>
      <c r="M2" s="62"/>
      <c r="N2" s="61"/>
      <c r="O2" s="62"/>
      <c r="P2" s="63"/>
      <c r="Q2" s="64"/>
      <c r="R2" s="65"/>
      <c r="S2" s="65"/>
      <c r="T2" s="28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66"/>
    </row>
    <row r="3" spans="1:105" ht="22.5">
      <c r="A3" s="58" t="s">
        <v>4937</v>
      </c>
      <c r="B3" s="28"/>
      <c r="C3" s="61"/>
      <c r="D3" s="61"/>
      <c r="E3" s="61"/>
      <c r="F3" s="59"/>
      <c r="G3" s="28"/>
      <c r="H3" s="61"/>
      <c r="I3" s="61"/>
      <c r="J3" s="60"/>
      <c r="K3" s="61"/>
      <c r="L3" s="58"/>
      <c r="M3" s="62"/>
      <c r="N3" s="61"/>
      <c r="O3" s="62"/>
      <c r="P3" s="63"/>
      <c r="Q3" s="64"/>
      <c r="R3" s="65"/>
      <c r="S3" s="65"/>
      <c r="T3" s="28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66"/>
    </row>
    <row r="4" spans="1:105" ht="6.75" customHeight="1">
      <c r="A4" s="58"/>
      <c r="B4" s="28"/>
      <c r="C4" s="61"/>
      <c r="D4" s="61"/>
      <c r="E4" s="61"/>
      <c r="F4" s="59"/>
      <c r="G4" s="28"/>
      <c r="H4" s="61"/>
      <c r="I4" s="61"/>
      <c r="J4" s="60"/>
      <c r="K4" s="61"/>
      <c r="L4" s="67"/>
      <c r="M4" s="62"/>
      <c r="N4" s="61"/>
      <c r="O4" s="62"/>
      <c r="P4" s="63"/>
      <c r="Q4" s="64"/>
      <c r="R4" s="65"/>
      <c r="S4" s="65"/>
      <c r="T4" s="28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66"/>
    </row>
    <row r="5" spans="1:105" ht="22.5">
      <c r="A5" s="58" t="s">
        <v>4938</v>
      </c>
      <c r="B5" s="28"/>
      <c r="C5" s="61"/>
      <c r="D5" s="61"/>
      <c r="E5" s="61"/>
      <c r="F5" s="59"/>
      <c r="G5" s="28"/>
      <c r="H5" s="61"/>
      <c r="I5" s="61"/>
      <c r="J5" s="60"/>
      <c r="K5" s="61"/>
      <c r="L5" s="58"/>
      <c r="M5" s="62"/>
      <c r="N5" s="61"/>
      <c r="O5" s="62"/>
      <c r="P5" s="63"/>
      <c r="Q5" s="64"/>
      <c r="R5" s="65"/>
      <c r="S5" s="65"/>
      <c r="T5" s="28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72" t="s">
        <v>4939</v>
      </c>
      <c r="AJ5" s="74">
        <v>17.244517526999573</v>
      </c>
      <c r="AK5" s="74">
        <v>22.450234952922813</v>
      </c>
      <c r="AL5" s="74">
        <v>12.519267601335596</v>
      </c>
      <c r="AM5" s="74">
        <v>11.017780207365083</v>
      </c>
      <c r="AN5" s="74">
        <v>10.934274519104473</v>
      </c>
      <c r="AO5" s="74">
        <v>10.947225436000362</v>
      </c>
      <c r="AP5" s="59"/>
      <c r="AQ5" s="59"/>
      <c r="AR5" s="72" t="s">
        <v>4939</v>
      </c>
      <c r="AS5" s="73">
        <v>0.19768955268610056</v>
      </c>
      <c r="AT5" s="73">
        <v>6.7824216983149707E-2</v>
      </c>
      <c r="AU5" s="73">
        <v>0.30375091423579292</v>
      </c>
      <c r="AV5" s="59"/>
      <c r="AW5" s="59"/>
      <c r="AX5" s="59"/>
      <c r="AY5" s="59"/>
      <c r="AZ5" s="59"/>
      <c r="BA5" s="59"/>
      <c r="BB5" s="59"/>
      <c r="BC5" s="59"/>
      <c r="BD5" s="59"/>
      <c r="BE5" s="62"/>
      <c r="BF5" s="62"/>
      <c r="BG5" s="62"/>
      <c r="BH5" s="62"/>
      <c r="BI5" s="62"/>
      <c r="BJ5" s="62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66"/>
    </row>
    <row r="6" spans="1:105" ht="6.75" customHeight="1">
      <c r="A6" s="58"/>
      <c r="B6" s="28"/>
      <c r="C6" s="61"/>
      <c r="D6" s="61"/>
      <c r="E6" s="61"/>
      <c r="F6" s="59"/>
      <c r="G6" s="28"/>
      <c r="H6" s="61"/>
      <c r="I6" s="61"/>
      <c r="J6" s="60"/>
      <c r="K6" s="61"/>
      <c r="L6" s="67"/>
      <c r="M6" s="62"/>
      <c r="N6" s="61"/>
      <c r="O6" s="62"/>
      <c r="P6" s="63"/>
      <c r="Q6" s="64"/>
      <c r="R6" s="65"/>
      <c r="S6" s="65"/>
      <c r="T6" s="28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66"/>
    </row>
    <row r="7" spans="1:105" s="68" customFormat="1" ht="22.5">
      <c r="A7" s="58" t="s">
        <v>6111</v>
      </c>
      <c r="C7" s="61"/>
      <c r="D7" s="61"/>
      <c r="E7" s="61"/>
      <c r="F7" s="59"/>
      <c r="H7" s="61"/>
      <c r="I7" s="61"/>
      <c r="J7" s="60"/>
      <c r="K7" s="61"/>
      <c r="L7" s="58"/>
      <c r="M7" s="62"/>
      <c r="N7" s="61"/>
      <c r="O7" s="62"/>
      <c r="P7" s="69"/>
      <c r="Q7" s="64"/>
      <c r="R7" s="65"/>
      <c r="S7" s="65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70"/>
      <c r="BF7" s="70"/>
      <c r="BG7" s="70"/>
      <c r="BH7" s="70"/>
      <c r="BI7" s="70"/>
      <c r="BJ7" s="70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62">
        <v>0.33517907322044571</v>
      </c>
      <c r="CE7" s="62">
        <v>0.4027367362268216</v>
      </c>
      <c r="CF7" s="62">
        <v>5.3931660701846823E-2</v>
      </c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71"/>
    </row>
    <row r="8" spans="1:105" ht="6.75" customHeight="1">
      <c r="A8" s="28"/>
      <c r="B8" s="17"/>
      <c r="C8" s="61"/>
      <c r="D8" s="61"/>
      <c r="E8" s="61"/>
      <c r="F8" s="59"/>
      <c r="G8" s="28"/>
      <c r="H8" s="61"/>
      <c r="I8" s="61"/>
      <c r="J8" s="60"/>
      <c r="K8" s="61"/>
      <c r="L8" s="67"/>
      <c r="M8" s="62"/>
      <c r="N8" s="61"/>
      <c r="O8" s="62"/>
      <c r="P8" s="63"/>
      <c r="Q8" s="64"/>
      <c r="R8" s="65"/>
      <c r="S8" s="65"/>
      <c r="T8" s="28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66"/>
    </row>
    <row r="9" spans="1:105" ht="6.75" customHeight="1">
      <c r="A9" s="28"/>
      <c r="B9" s="17"/>
      <c r="C9" s="61"/>
      <c r="D9" s="61"/>
      <c r="E9" s="61"/>
      <c r="F9" s="59"/>
      <c r="G9" s="28"/>
      <c r="H9" s="61"/>
      <c r="I9" s="61"/>
      <c r="J9" s="60"/>
      <c r="K9" s="61"/>
      <c r="L9" s="67"/>
      <c r="M9" s="62"/>
      <c r="N9" s="61"/>
      <c r="O9" s="62"/>
      <c r="P9" s="63"/>
      <c r="Q9" s="64"/>
      <c r="R9" s="65"/>
      <c r="S9" s="65"/>
      <c r="T9" s="28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66"/>
    </row>
    <row r="10" spans="1:105" s="29" customFormat="1" ht="33.950000000000003" customHeight="1">
      <c r="A10" s="75"/>
      <c r="B10" s="75"/>
      <c r="C10" s="125" t="s">
        <v>4877</v>
      </c>
      <c r="D10" s="125"/>
      <c r="E10" s="125"/>
      <c r="F10" s="76"/>
      <c r="G10" s="77"/>
      <c r="H10" s="125" t="s">
        <v>4945</v>
      </c>
      <c r="I10" s="125"/>
      <c r="J10" s="75"/>
      <c r="K10" s="75"/>
      <c r="L10" s="75"/>
      <c r="M10" s="75"/>
      <c r="N10" s="75"/>
      <c r="O10" s="75"/>
      <c r="P10" s="75"/>
      <c r="Q10" s="75"/>
      <c r="R10" s="78"/>
      <c r="S10" s="79"/>
      <c r="T10" s="77"/>
      <c r="U10" s="80"/>
      <c r="V10" s="126" t="s">
        <v>4866</v>
      </c>
      <c r="W10" s="126"/>
      <c r="X10" s="126"/>
      <c r="Y10" s="126"/>
      <c r="Z10" s="126"/>
      <c r="AA10" s="126"/>
      <c r="AB10" s="126"/>
      <c r="AC10" s="126"/>
      <c r="AD10" s="127" t="s">
        <v>4926</v>
      </c>
      <c r="AE10" s="127"/>
      <c r="AF10" s="127"/>
      <c r="AG10" s="127"/>
      <c r="AH10" s="127"/>
      <c r="AI10" s="127"/>
      <c r="AJ10" s="125" t="s">
        <v>5331</v>
      </c>
      <c r="AK10" s="125"/>
      <c r="AL10" s="125" t="s">
        <v>5332</v>
      </c>
      <c r="AM10" s="125"/>
      <c r="AN10" s="125"/>
      <c r="AO10" s="125"/>
      <c r="AP10" s="124" t="s">
        <v>4940</v>
      </c>
      <c r="AQ10" s="124"/>
      <c r="AR10" s="124"/>
      <c r="AS10" s="123" t="s">
        <v>4875</v>
      </c>
      <c r="AT10" s="123"/>
      <c r="AU10" s="123"/>
      <c r="AV10" s="122" t="s">
        <v>4876</v>
      </c>
      <c r="AW10" s="122"/>
      <c r="AX10" s="122"/>
      <c r="AY10" s="123" t="s">
        <v>0</v>
      </c>
      <c r="AZ10" s="123"/>
      <c r="BA10" s="123"/>
      <c r="BB10" s="124" t="s">
        <v>4877</v>
      </c>
      <c r="BC10" s="124"/>
      <c r="BD10" s="124"/>
      <c r="BE10" s="75"/>
    </row>
    <row r="11" spans="1:105" s="29" customFormat="1" ht="33.950000000000003" customHeight="1">
      <c r="A11" s="81" t="s">
        <v>9</v>
      </c>
      <c r="B11" s="81" t="s">
        <v>10</v>
      </c>
      <c r="C11" s="82" t="s">
        <v>4941</v>
      </c>
      <c r="D11" s="82" t="s">
        <v>4942</v>
      </c>
      <c r="E11" s="82" t="s">
        <v>4943</v>
      </c>
      <c r="F11" s="83" t="s">
        <v>4944</v>
      </c>
      <c r="G11" s="84" t="s">
        <v>1</v>
      </c>
      <c r="H11" s="82" t="s">
        <v>4946</v>
      </c>
      <c r="I11" s="82" t="s">
        <v>4947</v>
      </c>
      <c r="J11" s="81" t="s">
        <v>4879</v>
      </c>
      <c r="K11" s="81" t="s">
        <v>4880</v>
      </c>
      <c r="L11" s="81" t="s">
        <v>4881</v>
      </c>
      <c r="M11" s="81" t="s">
        <v>4882</v>
      </c>
      <c r="N11" s="81" t="s">
        <v>4883</v>
      </c>
      <c r="O11" s="81" t="s">
        <v>4884</v>
      </c>
      <c r="P11" s="81" t="s">
        <v>4887</v>
      </c>
      <c r="Q11" s="81" t="s">
        <v>4888</v>
      </c>
      <c r="R11" s="85" t="s">
        <v>4889</v>
      </c>
      <c r="S11" s="81" t="s">
        <v>11</v>
      </c>
      <c r="T11" s="84" t="s">
        <v>1</v>
      </c>
      <c r="U11" s="86" t="s">
        <v>13</v>
      </c>
      <c r="V11" s="87" t="s">
        <v>4890</v>
      </c>
      <c r="W11" s="87" t="s">
        <v>4891</v>
      </c>
      <c r="X11" s="87" t="s">
        <v>4892</v>
      </c>
      <c r="Y11" s="87" t="s">
        <v>4893</v>
      </c>
      <c r="Z11" s="87" t="s">
        <v>4928</v>
      </c>
      <c r="AA11" s="87" t="s">
        <v>4929</v>
      </c>
      <c r="AB11" s="87" t="s">
        <v>4930</v>
      </c>
      <c r="AC11" s="87" t="s">
        <v>4931</v>
      </c>
      <c r="AD11" s="87" t="s">
        <v>4927</v>
      </c>
      <c r="AE11" s="87" t="s">
        <v>4932</v>
      </c>
      <c r="AF11" s="87" t="s">
        <v>4933</v>
      </c>
      <c r="AG11" s="87" t="s">
        <v>4934</v>
      </c>
      <c r="AH11" s="87" t="s">
        <v>4935</v>
      </c>
      <c r="AI11" s="87" t="s">
        <v>4936</v>
      </c>
      <c r="AJ11" s="82" t="s">
        <v>4927</v>
      </c>
      <c r="AK11" s="82" t="s">
        <v>4932</v>
      </c>
      <c r="AL11" s="82" t="s">
        <v>4933</v>
      </c>
      <c r="AM11" s="82" t="s">
        <v>4934</v>
      </c>
      <c r="AN11" s="82" t="s">
        <v>4935</v>
      </c>
      <c r="AO11" s="82" t="s">
        <v>4936</v>
      </c>
      <c r="AP11" s="83" t="s">
        <v>4941</v>
      </c>
      <c r="AQ11" s="83" t="s">
        <v>4942</v>
      </c>
      <c r="AR11" s="83" t="s">
        <v>4943</v>
      </c>
      <c r="AS11" s="83" t="s">
        <v>4941</v>
      </c>
      <c r="AT11" s="83" t="s">
        <v>4942</v>
      </c>
      <c r="AU11" s="83" t="s">
        <v>4943</v>
      </c>
      <c r="AV11" s="83" t="s">
        <v>4941</v>
      </c>
      <c r="AW11" s="83" t="s">
        <v>4942</v>
      </c>
      <c r="AX11" s="83" t="s">
        <v>4943</v>
      </c>
      <c r="AY11" s="83" t="s">
        <v>4941</v>
      </c>
      <c r="AZ11" s="83" t="s">
        <v>4942</v>
      </c>
      <c r="BA11" s="83" t="s">
        <v>4943</v>
      </c>
      <c r="BB11" s="83" t="s">
        <v>4941</v>
      </c>
      <c r="BC11" s="83" t="s">
        <v>4942</v>
      </c>
      <c r="BD11" s="83" t="s">
        <v>4943</v>
      </c>
      <c r="BE11" s="81" t="s">
        <v>4856</v>
      </c>
    </row>
    <row r="12" spans="1:105" ht="17.100000000000001" customHeight="1">
      <c r="A12" s="31" t="s">
        <v>4855</v>
      </c>
      <c r="B12" s="11" t="s">
        <v>12</v>
      </c>
      <c r="C12" s="57"/>
      <c r="D12" s="57"/>
      <c r="E12" s="57"/>
      <c r="F12" s="27"/>
      <c r="G12" s="54"/>
      <c r="H12" s="57"/>
      <c r="I12" s="57"/>
      <c r="J12" s="13"/>
      <c r="K12" s="13"/>
      <c r="L12" s="13"/>
      <c r="M12" s="13"/>
      <c r="N12" s="13"/>
      <c r="O12" s="13"/>
      <c r="P12" s="13"/>
      <c r="Q12" s="13"/>
      <c r="R12" s="22"/>
      <c r="S12" s="18"/>
      <c r="T12" s="54"/>
      <c r="U12" s="5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57"/>
      <c r="AK12" s="57"/>
      <c r="AL12" s="57"/>
      <c r="AM12" s="57"/>
      <c r="AN12" s="57"/>
      <c r="AO12" s="5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13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</row>
    <row r="13" spans="1:105" s="30" customFormat="1" ht="17.100000000000001" customHeight="1">
      <c r="A13" s="14">
        <v>2</v>
      </c>
      <c r="B13" s="14" t="s">
        <v>4855</v>
      </c>
      <c r="C13" s="32">
        <v>1.0408018711593867</v>
      </c>
      <c r="D13" s="32">
        <v>-1.0861223598919725</v>
      </c>
      <c r="E13" s="32">
        <v>1.1312734031456126</v>
      </c>
      <c r="F13" s="24">
        <v>193269</v>
      </c>
      <c r="G13" s="52" t="s">
        <v>2</v>
      </c>
      <c r="H13" s="32">
        <v>27.842325984358705</v>
      </c>
      <c r="I13" s="32">
        <v>5.6284895639527006</v>
      </c>
      <c r="J13" s="12" t="s">
        <v>4854</v>
      </c>
      <c r="K13" s="12" t="s">
        <v>4854</v>
      </c>
      <c r="L13" s="14" t="s">
        <v>4854</v>
      </c>
      <c r="M13" s="12" t="s">
        <v>4854</v>
      </c>
      <c r="N13" s="12" t="s">
        <v>4854</v>
      </c>
      <c r="O13" s="12" t="s">
        <v>4854</v>
      </c>
      <c r="P13" s="12" t="s">
        <v>4783</v>
      </c>
      <c r="Q13" s="14">
        <v>5</v>
      </c>
      <c r="R13" s="21">
        <v>503.04140000000001</v>
      </c>
      <c r="S13" s="14">
        <v>1</v>
      </c>
      <c r="T13" s="52" t="s">
        <v>2</v>
      </c>
      <c r="U13" s="53">
        <v>55.829625</v>
      </c>
      <c r="V13" s="24">
        <v>125524</v>
      </c>
      <c r="W13" s="24">
        <v>119934</v>
      </c>
      <c r="X13" s="24">
        <v>143915</v>
      </c>
      <c r="Y13" s="24">
        <v>132898</v>
      </c>
      <c r="Z13" s="24">
        <v>117743</v>
      </c>
      <c r="AA13" s="24">
        <v>119130</v>
      </c>
      <c r="AB13" s="24">
        <v>198168</v>
      </c>
      <c r="AC13" s="24">
        <v>188370</v>
      </c>
      <c r="AD13" s="24">
        <v>130567.75</v>
      </c>
      <c r="AE13" s="24">
        <v>155852.75</v>
      </c>
      <c r="AF13" s="24">
        <v>122729</v>
      </c>
      <c r="AG13" s="24">
        <v>138406.5</v>
      </c>
      <c r="AH13" s="24">
        <v>118436.5</v>
      </c>
      <c r="AI13" s="24">
        <v>193269</v>
      </c>
      <c r="AJ13" s="32">
        <v>7.9358889024215591</v>
      </c>
      <c r="AK13" s="32">
        <v>27.842325984358705</v>
      </c>
      <c r="AL13" s="32">
        <v>3.2206951143028952</v>
      </c>
      <c r="AM13" s="32">
        <v>5.6284895639527006</v>
      </c>
      <c r="AN13" s="32">
        <v>0.82808686976205936</v>
      </c>
      <c r="AO13" s="32">
        <v>3.5847612612813191</v>
      </c>
      <c r="AP13" s="19">
        <v>1.193654252294307</v>
      </c>
      <c r="AQ13" s="19">
        <v>0.96502456632091849</v>
      </c>
      <c r="AR13" s="19">
        <v>1.3963867303919975</v>
      </c>
      <c r="AS13" s="19">
        <v>0.25538501354193838</v>
      </c>
      <c r="AT13" s="19">
        <v>-5.1362425814163407E-2</v>
      </c>
      <c r="AU13" s="19">
        <v>0.48169855240102655</v>
      </c>
      <c r="AV13" s="19">
        <v>5.7695460855837821E-2</v>
      </c>
      <c r="AW13" s="19">
        <v>-0.11918664279731311</v>
      </c>
      <c r="AX13" s="19">
        <v>0.17794763816523362</v>
      </c>
      <c r="AY13" s="19">
        <v>1.193654252294307</v>
      </c>
      <c r="AZ13" s="19">
        <v>-1.036243050073246</v>
      </c>
      <c r="BA13" s="19">
        <v>1.3963867303919975</v>
      </c>
      <c r="BB13" s="19">
        <v>1.0408018711593867</v>
      </c>
      <c r="BC13" s="19">
        <v>-1.0861223598919725</v>
      </c>
      <c r="BD13" s="19">
        <v>1.1312734031456126</v>
      </c>
      <c r="BE13" s="14" t="s">
        <v>4854</v>
      </c>
    </row>
    <row r="14" spans="1:105" s="30" customFormat="1" ht="17.100000000000001" customHeight="1">
      <c r="A14" s="14">
        <v>3</v>
      </c>
      <c r="B14" s="14" t="s">
        <v>4859</v>
      </c>
      <c r="C14" s="32">
        <v>-1.4045578316196154</v>
      </c>
      <c r="D14" s="32">
        <v>-1.3408173804382406</v>
      </c>
      <c r="E14" s="32">
        <v>-1.4439215494412965</v>
      </c>
      <c r="F14" s="40">
        <v>1045185</v>
      </c>
      <c r="G14" s="52" t="s">
        <v>4894</v>
      </c>
      <c r="H14" s="32">
        <v>9.7131530683164744</v>
      </c>
      <c r="I14" s="32">
        <v>16.240596375717395</v>
      </c>
      <c r="J14" s="12" t="s">
        <v>4854</v>
      </c>
      <c r="K14" s="12" t="s">
        <v>4854</v>
      </c>
      <c r="L14" s="14" t="s">
        <v>4854</v>
      </c>
      <c r="M14" s="12" t="s">
        <v>4854</v>
      </c>
      <c r="N14" s="12" t="s">
        <v>4854</v>
      </c>
      <c r="O14" s="12" t="s">
        <v>4854</v>
      </c>
      <c r="P14" s="12" t="s">
        <v>4784</v>
      </c>
      <c r="Q14" s="14">
        <v>2</v>
      </c>
      <c r="R14" s="21">
        <v>492.22879999999998</v>
      </c>
      <c r="S14" s="14">
        <v>1</v>
      </c>
      <c r="T14" s="52" t="s">
        <v>4894</v>
      </c>
      <c r="U14" s="53">
        <v>27.47</v>
      </c>
      <c r="V14" s="40">
        <v>1048531</v>
      </c>
      <c r="W14" s="40">
        <v>1041839</v>
      </c>
      <c r="X14" s="40">
        <v>998797</v>
      </c>
      <c r="Y14" s="40">
        <v>899765</v>
      </c>
      <c r="Z14" s="40">
        <v>790898</v>
      </c>
      <c r="AA14" s="40">
        <v>843172</v>
      </c>
      <c r="AB14" s="40">
        <v>904693</v>
      </c>
      <c r="AC14" s="40">
        <v>718310</v>
      </c>
      <c r="AD14" s="40">
        <v>997233</v>
      </c>
      <c r="AE14" s="40">
        <v>814268.25</v>
      </c>
      <c r="AF14" s="40">
        <v>1045185</v>
      </c>
      <c r="AG14" s="40">
        <v>949281</v>
      </c>
      <c r="AH14" s="40">
        <v>817035</v>
      </c>
      <c r="AI14" s="40">
        <v>811501.5</v>
      </c>
      <c r="AJ14" s="32">
        <v>6.8804367528460837</v>
      </c>
      <c r="AK14" s="32">
        <v>9.7131530683164744</v>
      </c>
      <c r="AL14" s="32">
        <v>0.45273885290167531</v>
      </c>
      <c r="AM14" s="32">
        <v>7.3767618602359226</v>
      </c>
      <c r="AN14" s="32">
        <v>4.5240779011603651</v>
      </c>
      <c r="AO14" s="32">
        <v>16.240596375717395</v>
      </c>
      <c r="AP14" s="19">
        <v>0.81652758181889284</v>
      </c>
      <c r="AQ14" s="19">
        <v>0.78171328520788186</v>
      </c>
      <c r="AR14" s="19">
        <v>0.85485909862306309</v>
      </c>
      <c r="AS14" s="19">
        <v>-0.29242647489188001</v>
      </c>
      <c r="AT14" s="19">
        <v>-0.35528853832243668</v>
      </c>
      <c r="AU14" s="19">
        <v>-0.22624144619803604</v>
      </c>
      <c r="AV14" s="19">
        <v>-0.49011602757798056</v>
      </c>
      <c r="AW14" s="19">
        <v>-0.4231127553055864</v>
      </c>
      <c r="AX14" s="19">
        <v>-0.52999236043382902</v>
      </c>
      <c r="AY14" s="19">
        <v>-1.224698371820343</v>
      </c>
      <c r="AZ14" s="19">
        <v>-1.2792414033670527</v>
      </c>
      <c r="BA14" s="19">
        <v>-1.1697834199936785</v>
      </c>
      <c r="BB14" s="19">
        <v>-1.4045578316196154</v>
      </c>
      <c r="BC14" s="19">
        <v>-1.3408173804382406</v>
      </c>
      <c r="BD14" s="19">
        <v>-1.4439215494412965</v>
      </c>
      <c r="BE14" s="14" t="s">
        <v>4854</v>
      </c>
    </row>
    <row r="15" spans="1:105" s="30" customFormat="1" ht="17.100000000000001" customHeight="1">
      <c r="A15" s="14">
        <v>4</v>
      </c>
      <c r="B15" s="14" t="s">
        <v>4860</v>
      </c>
      <c r="C15" s="32">
        <v>1.1377455788726789</v>
      </c>
      <c r="D15" s="32">
        <v>1.0511029264859488</v>
      </c>
      <c r="E15" s="32">
        <v>1.2008190456896988</v>
      </c>
      <c r="F15" s="42">
        <v>11163392</v>
      </c>
      <c r="G15" s="52" t="s">
        <v>4894</v>
      </c>
      <c r="H15" s="32">
        <v>24.94366482460519</v>
      </c>
      <c r="I15" s="32">
        <v>7.7126145365758489</v>
      </c>
      <c r="J15" s="12" t="s">
        <v>4854</v>
      </c>
      <c r="K15" s="12" t="s">
        <v>4854</v>
      </c>
      <c r="L15" s="14" t="s">
        <v>4854</v>
      </c>
      <c r="M15" s="12" t="s">
        <v>4854</v>
      </c>
      <c r="N15" s="12" t="s">
        <v>4854</v>
      </c>
      <c r="O15" s="12" t="s">
        <v>4854</v>
      </c>
      <c r="P15" s="12" t="s">
        <v>4785</v>
      </c>
      <c r="Q15" s="14">
        <v>3</v>
      </c>
      <c r="R15" s="21">
        <v>542.65809999999999</v>
      </c>
      <c r="S15" s="14">
        <v>2</v>
      </c>
      <c r="T15" s="52" t="s">
        <v>4894</v>
      </c>
      <c r="U15" s="53">
        <v>39</v>
      </c>
      <c r="V15" s="42">
        <v>6935753</v>
      </c>
      <c r="W15" s="42">
        <v>6218374</v>
      </c>
      <c r="X15" s="42">
        <v>7856335</v>
      </c>
      <c r="Y15" s="42">
        <v>7206630</v>
      </c>
      <c r="Z15" s="42">
        <v>7372368</v>
      </c>
      <c r="AA15" s="42">
        <v>7119501</v>
      </c>
      <c r="AB15" s="42">
        <v>11630368</v>
      </c>
      <c r="AC15" s="42">
        <v>10696416</v>
      </c>
      <c r="AD15" s="42">
        <v>7054273</v>
      </c>
      <c r="AE15" s="42">
        <v>9204663.25</v>
      </c>
      <c r="AF15" s="42">
        <v>6577063.5</v>
      </c>
      <c r="AG15" s="42">
        <v>7531482.5</v>
      </c>
      <c r="AH15" s="42">
        <v>7245934.5</v>
      </c>
      <c r="AI15" s="42">
        <v>11163392</v>
      </c>
      <c r="AJ15" s="32">
        <v>9.6120260849946444</v>
      </c>
      <c r="AK15" s="32">
        <v>24.94366482460519</v>
      </c>
      <c r="AL15" s="32">
        <v>7.7126145365758489</v>
      </c>
      <c r="AM15" s="32">
        <v>6.0998722531826344</v>
      </c>
      <c r="AN15" s="32">
        <v>2.4676454146569875</v>
      </c>
      <c r="AO15" s="32">
        <v>5.915798643483436</v>
      </c>
      <c r="AP15" s="19">
        <v>1.3048351332589481</v>
      </c>
      <c r="AQ15" s="19">
        <v>1.101697512879418</v>
      </c>
      <c r="AR15" s="19">
        <v>1.4822303577018203</v>
      </c>
      <c r="AS15" s="19">
        <v>0.38386753288290504</v>
      </c>
      <c r="AT15" s="19">
        <v>0.13972816531301852</v>
      </c>
      <c r="AU15" s="19">
        <v>0.56776967847240167</v>
      </c>
      <c r="AV15" s="19">
        <v>0.18617798019680448</v>
      </c>
      <c r="AW15" s="19">
        <v>7.1903948329868808E-2</v>
      </c>
      <c r="AX15" s="19">
        <v>0.26401876423660875</v>
      </c>
      <c r="AY15" s="19">
        <v>1.3048351332589481</v>
      </c>
      <c r="AZ15" s="19">
        <v>1.101697512879418</v>
      </c>
      <c r="BA15" s="19">
        <v>1.4822303577018203</v>
      </c>
      <c r="BB15" s="19">
        <v>1.1377455788726789</v>
      </c>
      <c r="BC15" s="19">
        <v>1.0511029264859488</v>
      </c>
      <c r="BD15" s="19">
        <v>1.2008190456896988</v>
      </c>
      <c r="BE15" s="14" t="s">
        <v>4854</v>
      </c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</row>
    <row r="16" spans="1:105" s="30" customFormat="1" ht="17.100000000000001" customHeight="1">
      <c r="A16" s="14">
        <v>5</v>
      </c>
      <c r="B16" s="14" t="s">
        <v>4861</v>
      </c>
      <c r="C16" s="32">
        <v>-1.0721020868291167</v>
      </c>
      <c r="D16" s="32">
        <v>-1.2450515837776233</v>
      </c>
      <c r="E16" s="32">
        <v>1.0822991574573924</v>
      </c>
      <c r="F16" s="42">
        <v>2028841</v>
      </c>
      <c r="G16" s="52" t="s">
        <v>4894</v>
      </c>
      <c r="H16" s="32">
        <v>18.831769620738019</v>
      </c>
      <c r="I16" s="32">
        <v>11.561957903109546</v>
      </c>
      <c r="J16" s="12" t="s">
        <v>4854</v>
      </c>
      <c r="K16" s="12" t="s">
        <v>4854</v>
      </c>
      <c r="L16" s="14" t="s">
        <v>4854</v>
      </c>
      <c r="M16" s="12" t="s">
        <v>4854</v>
      </c>
      <c r="N16" s="12" t="s">
        <v>4854</v>
      </c>
      <c r="O16" s="12" t="s">
        <v>4854</v>
      </c>
      <c r="P16" s="12" t="s">
        <v>4786</v>
      </c>
      <c r="Q16" s="14">
        <v>3</v>
      </c>
      <c r="R16" s="21">
        <v>910.13009999999997</v>
      </c>
      <c r="S16" s="14">
        <v>1</v>
      </c>
      <c r="T16" s="52" t="s">
        <v>4894</v>
      </c>
      <c r="U16" s="53">
        <v>87</v>
      </c>
      <c r="V16" s="42">
        <v>1852768</v>
      </c>
      <c r="W16" s="42">
        <v>1695231</v>
      </c>
      <c r="X16" s="42">
        <v>1592083</v>
      </c>
      <c r="Y16" s="42">
        <v>1445251</v>
      </c>
      <c r="Z16" s="42">
        <v>1615520</v>
      </c>
      <c r="AA16" s="42">
        <v>1371329</v>
      </c>
      <c r="AB16" s="42">
        <v>1946699</v>
      </c>
      <c r="AC16" s="42">
        <v>2110983</v>
      </c>
      <c r="AD16" s="42">
        <v>1646333.25</v>
      </c>
      <c r="AE16" s="42">
        <v>1761132.75</v>
      </c>
      <c r="AF16" s="42">
        <v>1773999.5</v>
      </c>
      <c r="AG16" s="42">
        <v>1518667</v>
      </c>
      <c r="AH16" s="42">
        <v>1493424.5</v>
      </c>
      <c r="AI16" s="42">
        <v>2028841</v>
      </c>
      <c r="AJ16" s="32">
        <v>10.425745397813859</v>
      </c>
      <c r="AK16" s="32">
        <v>18.831769620738019</v>
      </c>
      <c r="AL16" s="32">
        <v>6.2793411716173058</v>
      </c>
      <c r="AM16" s="32">
        <v>6.8366470658270142</v>
      </c>
      <c r="AN16" s="32">
        <v>11.561957903109546</v>
      </c>
      <c r="AO16" s="32">
        <v>5.7257483676863181</v>
      </c>
      <c r="AP16" s="19">
        <v>1.069730414543957</v>
      </c>
      <c r="AQ16" s="19">
        <v>0.84184042892909494</v>
      </c>
      <c r="AR16" s="19">
        <v>1.3359353959755496</v>
      </c>
      <c r="AS16" s="19">
        <v>9.724726522083646E-2</v>
      </c>
      <c r="AT16" s="19">
        <v>-0.24838129889936664</v>
      </c>
      <c r="AU16" s="19">
        <v>0.4178502427226935</v>
      </c>
      <c r="AV16" s="19">
        <v>-0.1004422874652641</v>
      </c>
      <c r="AW16" s="19">
        <v>-0.31620551588251633</v>
      </c>
      <c r="AX16" s="19">
        <v>0.11409932848690058</v>
      </c>
      <c r="AY16" s="19">
        <v>1.069730414543957</v>
      </c>
      <c r="AZ16" s="19">
        <v>-1.1878735751288398</v>
      </c>
      <c r="BA16" s="19">
        <v>1.3359353959755496</v>
      </c>
      <c r="BB16" s="19">
        <v>-1.0721020868291167</v>
      </c>
      <c r="BC16" s="19">
        <v>-1.2450515837776233</v>
      </c>
      <c r="BD16" s="19">
        <v>1.0822991574573924</v>
      </c>
      <c r="BE16" s="14" t="s">
        <v>4854</v>
      </c>
    </row>
    <row r="17" spans="1:105" s="30" customFormat="1" ht="17.100000000000001" customHeight="1">
      <c r="A17" s="14">
        <v>6</v>
      </c>
      <c r="B17" s="14" t="s">
        <v>4862</v>
      </c>
      <c r="C17" s="32">
        <v>-1.0279517319420792</v>
      </c>
      <c r="D17" s="32">
        <v>1.0857428036236358</v>
      </c>
      <c r="E17" s="32">
        <v>-1.1270592664221994</v>
      </c>
      <c r="F17" s="24">
        <v>144626.5</v>
      </c>
      <c r="G17" s="52" t="s">
        <v>2</v>
      </c>
      <c r="H17" s="32">
        <v>11.500378133430219</v>
      </c>
      <c r="I17" s="32">
        <v>16.848306106171059</v>
      </c>
      <c r="J17" s="12" t="s">
        <v>4854</v>
      </c>
      <c r="K17" s="12" t="s">
        <v>4854</v>
      </c>
      <c r="L17" s="14" t="s">
        <v>4854</v>
      </c>
      <c r="M17" s="12" t="s">
        <v>4854</v>
      </c>
      <c r="N17" s="12" t="s">
        <v>4854</v>
      </c>
      <c r="O17" s="12" t="s">
        <v>4854</v>
      </c>
      <c r="P17" s="12" t="s">
        <v>4787</v>
      </c>
      <c r="Q17" s="14">
        <v>3</v>
      </c>
      <c r="R17" s="21">
        <v>493.92570000000001</v>
      </c>
      <c r="S17" s="14">
        <v>1</v>
      </c>
      <c r="T17" s="52" t="s">
        <v>2</v>
      </c>
      <c r="U17" s="53">
        <v>55.753900000000002</v>
      </c>
      <c r="V17" s="24">
        <v>117865</v>
      </c>
      <c r="W17" s="24">
        <v>124373</v>
      </c>
      <c r="X17" s="24">
        <v>116323</v>
      </c>
      <c r="Y17" s="24">
        <v>147788</v>
      </c>
      <c r="Z17" s="24">
        <v>147800</v>
      </c>
      <c r="AA17" s="24">
        <v>127868</v>
      </c>
      <c r="AB17" s="24">
        <v>132201</v>
      </c>
      <c r="AC17" s="24">
        <v>157052</v>
      </c>
      <c r="AD17" s="24">
        <v>126587.25</v>
      </c>
      <c r="AE17" s="24">
        <v>141230.25</v>
      </c>
      <c r="AF17" s="24">
        <v>121119</v>
      </c>
      <c r="AG17" s="24">
        <v>132055.5</v>
      </c>
      <c r="AH17" s="24">
        <v>137834</v>
      </c>
      <c r="AI17" s="24">
        <v>144626.5</v>
      </c>
      <c r="AJ17" s="32">
        <v>11.500378133430219</v>
      </c>
      <c r="AK17" s="32">
        <v>9.6182604403485445</v>
      </c>
      <c r="AL17" s="32">
        <v>3.7994459432145673</v>
      </c>
      <c r="AM17" s="32">
        <v>16.848306106171059</v>
      </c>
      <c r="AN17" s="32">
        <v>10.225381518790911</v>
      </c>
      <c r="AO17" s="32">
        <v>12.150131973923791</v>
      </c>
      <c r="AP17" s="19">
        <v>1.1156751568582144</v>
      </c>
      <c r="AQ17" s="19">
        <v>1.1380047721662168</v>
      </c>
      <c r="AR17" s="19">
        <v>1.095194823388651</v>
      </c>
      <c r="AS17" s="19">
        <v>0.15791702912967062</v>
      </c>
      <c r="AT17" s="19">
        <v>0.18650660752683204</v>
      </c>
      <c r="AU17" s="19">
        <v>0.13118753259854174</v>
      </c>
      <c r="AV17" s="19">
        <v>-3.9772523556429934E-2</v>
      </c>
      <c r="AW17" s="19">
        <v>0.11868239054368233</v>
      </c>
      <c r="AX17" s="19">
        <v>-0.17256338163725118</v>
      </c>
      <c r="AY17" s="19">
        <v>1.1156751568582144</v>
      </c>
      <c r="AZ17" s="19">
        <v>1.1380047721662168</v>
      </c>
      <c r="BA17" s="19">
        <v>1.095194823388651</v>
      </c>
      <c r="BB17" s="19">
        <v>-1.0279517319420792</v>
      </c>
      <c r="BC17" s="19">
        <v>1.0857428036236358</v>
      </c>
      <c r="BD17" s="19">
        <v>-1.1270592664221994</v>
      </c>
      <c r="BE17" s="14" t="s">
        <v>4854</v>
      </c>
    </row>
    <row r="18" spans="1:105" s="30" customFormat="1" ht="17.100000000000001" customHeight="1">
      <c r="A18" s="14">
        <v>7</v>
      </c>
      <c r="B18" s="14" t="s">
        <v>4863</v>
      </c>
      <c r="C18" s="32">
        <v>-1.0643944265200918</v>
      </c>
      <c r="D18" s="32">
        <v>-1.2029629644382898</v>
      </c>
      <c r="E18" s="32">
        <v>1.108878518200699</v>
      </c>
      <c r="F18" s="24">
        <v>138300</v>
      </c>
      <c r="G18" s="52" t="s">
        <v>2</v>
      </c>
      <c r="H18" s="32">
        <v>33.324573214453174</v>
      </c>
      <c r="I18" s="32">
        <v>39.573438079420661</v>
      </c>
      <c r="J18" s="12" t="s">
        <v>4854</v>
      </c>
      <c r="K18" s="12" t="s">
        <v>4854</v>
      </c>
      <c r="L18" s="14" t="s">
        <v>4854</v>
      </c>
      <c r="M18" s="12" t="s">
        <v>4854</v>
      </c>
      <c r="N18" s="12" t="s">
        <v>4854</v>
      </c>
      <c r="O18" s="12" t="s">
        <v>4854</v>
      </c>
      <c r="P18" s="12" t="s">
        <v>4788</v>
      </c>
      <c r="Q18" s="14">
        <v>3</v>
      </c>
      <c r="R18" s="21">
        <v>538.9665</v>
      </c>
      <c r="S18" s="14">
        <v>1</v>
      </c>
      <c r="T18" s="52" t="s">
        <v>2</v>
      </c>
      <c r="U18" s="53">
        <v>63</v>
      </c>
      <c r="V18" s="24">
        <v>99600</v>
      </c>
      <c r="W18" s="24">
        <v>177000</v>
      </c>
      <c r="X18" s="24">
        <v>101000</v>
      </c>
      <c r="Y18" s="24">
        <v>94800</v>
      </c>
      <c r="Z18" s="24">
        <v>125000</v>
      </c>
      <c r="AA18" s="24">
        <v>116000</v>
      </c>
      <c r="AB18" s="24">
        <v>118000</v>
      </c>
      <c r="AC18" s="24">
        <v>150000</v>
      </c>
      <c r="AD18" s="24">
        <v>118100</v>
      </c>
      <c r="AE18" s="24">
        <v>127250</v>
      </c>
      <c r="AF18" s="24">
        <v>138300</v>
      </c>
      <c r="AG18" s="24">
        <v>97900</v>
      </c>
      <c r="AH18" s="24">
        <v>120500</v>
      </c>
      <c r="AI18" s="24">
        <v>134000</v>
      </c>
      <c r="AJ18" s="32">
        <v>33.324573214453174</v>
      </c>
      <c r="AK18" s="32">
        <v>12.298478295020194</v>
      </c>
      <c r="AL18" s="32">
        <v>39.573438079420661</v>
      </c>
      <c r="AM18" s="32">
        <v>4.4781021893325788</v>
      </c>
      <c r="AN18" s="32">
        <v>5.2812954611443379</v>
      </c>
      <c r="AO18" s="32">
        <v>16.886132088036955</v>
      </c>
      <c r="AP18" s="19">
        <v>1.0774767146486028</v>
      </c>
      <c r="AQ18" s="19">
        <v>0.87129428778018803</v>
      </c>
      <c r="AR18" s="19">
        <v>1.3687436159346271</v>
      </c>
      <c r="AS18" s="19">
        <v>0.10765669156590035</v>
      </c>
      <c r="AT18" s="19">
        <v>-0.19876801003317016</v>
      </c>
      <c r="AU18" s="19">
        <v>0.45285223574143979</v>
      </c>
      <c r="AV18" s="19">
        <v>-9.0032861120200203E-2</v>
      </c>
      <c r="AW18" s="19">
        <v>-0.26659222701631985</v>
      </c>
      <c r="AX18" s="19">
        <v>0.14910132150564687</v>
      </c>
      <c r="AY18" s="19">
        <v>1.0774767146486028</v>
      </c>
      <c r="AZ18" s="19">
        <v>-1.1477178423236514</v>
      </c>
      <c r="BA18" s="19">
        <v>1.3687436159346271</v>
      </c>
      <c r="BB18" s="19">
        <v>-1.0643944265200918</v>
      </c>
      <c r="BC18" s="19">
        <v>-1.2029629644382898</v>
      </c>
      <c r="BD18" s="19">
        <v>1.108878518200699</v>
      </c>
      <c r="BE18" s="14" t="s">
        <v>4854</v>
      </c>
    </row>
    <row r="19" spans="1:105" ht="17.100000000000001" customHeight="1">
      <c r="A19" s="31">
        <v>8</v>
      </c>
      <c r="B19" s="11" t="s">
        <v>4789</v>
      </c>
      <c r="C19" s="57"/>
      <c r="D19" s="57"/>
      <c r="E19" s="57"/>
      <c r="F19" s="27"/>
      <c r="G19" s="54"/>
      <c r="H19" s="57"/>
      <c r="I19" s="57"/>
      <c r="J19" s="13"/>
      <c r="K19" s="13"/>
      <c r="L19" s="13"/>
      <c r="M19" s="13"/>
      <c r="N19" s="13"/>
      <c r="O19" s="13"/>
      <c r="P19" s="13"/>
      <c r="Q19" s="13"/>
      <c r="R19" s="22"/>
      <c r="S19" s="18"/>
      <c r="T19" s="54"/>
      <c r="U19" s="5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57"/>
      <c r="AK19" s="57"/>
      <c r="AL19" s="57"/>
      <c r="AM19" s="57"/>
      <c r="AN19" s="57"/>
      <c r="AO19" s="5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13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</row>
    <row r="20" spans="1:105" s="30" customFormat="1" ht="17.100000000000001" customHeight="1">
      <c r="A20" s="14">
        <v>9</v>
      </c>
      <c r="B20" s="14" t="s">
        <v>4864</v>
      </c>
      <c r="C20" s="32">
        <v>1.013540316218043</v>
      </c>
      <c r="D20" s="32">
        <v>-1.032721468934005</v>
      </c>
      <c r="E20" s="32">
        <v>1.0661180903315932</v>
      </c>
      <c r="F20" s="24">
        <v>63117.5</v>
      </c>
      <c r="G20" s="52" t="s">
        <v>2</v>
      </c>
      <c r="H20" s="32">
        <v>21.11991908671817</v>
      </c>
      <c r="I20" s="32">
        <v>26.407146939447163</v>
      </c>
      <c r="J20" s="12" t="s">
        <v>4790</v>
      </c>
      <c r="K20" s="12" t="s">
        <v>4791</v>
      </c>
      <c r="L20" s="14" t="s">
        <v>4792</v>
      </c>
      <c r="M20" s="12" t="s">
        <v>4793</v>
      </c>
      <c r="N20" s="15" t="s">
        <v>4794</v>
      </c>
      <c r="O20" s="12" t="s">
        <v>4795</v>
      </c>
      <c r="P20" s="12" t="s">
        <v>4797</v>
      </c>
      <c r="Q20" s="14">
        <v>2</v>
      </c>
      <c r="R20" s="21">
        <v>666.81799999999998</v>
      </c>
      <c r="S20" s="14">
        <v>3</v>
      </c>
      <c r="T20" s="52" t="s">
        <v>2</v>
      </c>
      <c r="U20" s="53">
        <v>34.868562500000003</v>
      </c>
      <c r="V20" s="24">
        <v>59277</v>
      </c>
      <c r="W20" s="24">
        <v>40623</v>
      </c>
      <c r="X20" s="24">
        <v>46106</v>
      </c>
      <c r="Y20" s="24">
        <v>49820</v>
      </c>
      <c r="Z20" s="24">
        <v>59100</v>
      </c>
      <c r="AA20" s="24">
        <v>42291</v>
      </c>
      <c r="AB20" s="24">
        <v>71417</v>
      </c>
      <c r="AC20" s="24">
        <v>54818</v>
      </c>
      <c r="AD20" s="24">
        <v>48956.5</v>
      </c>
      <c r="AE20" s="24">
        <v>56906.5</v>
      </c>
      <c r="AF20" s="24">
        <v>49950</v>
      </c>
      <c r="AG20" s="24">
        <v>47963</v>
      </c>
      <c r="AH20" s="24">
        <v>50695.5</v>
      </c>
      <c r="AI20" s="24">
        <v>63117.5</v>
      </c>
      <c r="AJ20" s="32">
        <v>16.033056738757022</v>
      </c>
      <c r="AK20" s="32">
        <v>21.11991908671817</v>
      </c>
      <c r="AL20" s="32">
        <v>26.407146939447163</v>
      </c>
      <c r="AM20" s="32">
        <v>5.4754593860409848</v>
      </c>
      <c r="AN20" s="32">
        <v>23.445390389609884</v>
      </c>
      <c r="AO20" s="32">
        <v>18.59589727241336</v>
      </c>
      <c r="AP20" s="19">
        <v>1.1623890596754261</v>
      </c>
      <c r="AQ20" s="19">
        <v>1.014924924924925</v>
      </c>
      <c r="AR20" s="19">
        <v>1.315962304276213</v>
      </c>
      <c r="AS20" s="19">
        <v>0.217093029602417</v>
      </c>
      <c r="AT20" s="19">
        <v>2.1373013672199945E-2</v>
      </c>
      <c r="AU20" s="19">
        <v>0.39611816368358815</v>
      </c>
      <c r="AV20" s="19">
        <v>1.9403476916316442E-2</v>
      </c>
      <c r="AW20" s="19">
        <v>-4.6451203310949762E-2</v>
      </c>
      <c r="AX20" s="19">
        <v>9.236724944779523E-2</v>
      </c>
      <c r="AY20" s="19">
        <v>1.1623890596754261</v>
      </c>
      <c r="AZ20" s="19">
        <v>1.014924924924925</v>
      </c>
      <c r="BA20" s="19">
        <v>1.315962304276213</v>
      </c>
      <c r="BB20" s="19">
        <v>1.013540316218043</v>
      </c>
      <c r="BC20" s="19">
        <v>-1.032721468934005</v>
      </c>
      <c r="BD20" s="19">
        <v>1.0661180903315932</v>
      </c>
      <c r="BE20" s="14" t="s">
        <v>4857</v>
      </c>
    </row>
    <row r="21" spans="1:105" ht="17.100000000000001" customHeight="1">
      <c r="A21" s="31">
        <v>10</v>
      </c>
      <c r="B21" s="11" t="s">
        <v>4798</v>
      </c>
      <c r="C21" s="57"/>
      <c r="D21" s="57"/>
      <c r="E21" s="57"/>
      <c r="F21" s="27"/>
      <c r="G21" s="54"/>
      <c r="H21" s="57"/>
      <c r="I21" s="57"/>
      <c r="J21" s="13"/>
      <c r="K21" s="13"/>
      <c r="L21" s="13"/>
      <c r="M21" s="13"/>
      <c r="N21" s="13"/>
      <c r="O21" s="13"/>
      <c r="P21" s="13"/>
      <c r="Q21" s="13"/>
      <c r="R21" s="22"/>
      <c r="S21" s="18"/>
      <c r="T21" s="54"/>
      <c r="U21" s="5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57"/>
      <c r="AK21" s="57"/>
      <c r="AL21" s="57"/>
      <c r="AM21" s="57"/>
      <c r="AN21" s="57"/>
      <c r="AO21" s="5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13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</row>
    <row r="22" spans="1:105" s="30" customFormat="1" ht="17.100000000000001" customHeight="1">
      <c r="A22" s="14">
        <v>11</v>
      </c>
      <c r="B22" s="14" t="s">
        <v>4865</v>
      </c>
      <c r="C22" s="32">
        <v>1.4923334278528888</v>
      </c>
      <c r="D22" s="32">
        <v>1.8726691662942576</v>
      </c>
      <c r="E22" s="32">
        <v>1.2555367745181987</v>
      </c>
      <c r="F22" s="40">
        <v>6415660.5</v>
      </c>
      <c r="G22" s="52" t="s">
        <v>4894</v>
      </c>
      <c r="H22" s="32">
        <v>25.101392360379432</v>
      </c>
      <c r="I22" s="32">
        <v>6.6547934255575685</v>
      </c>
      <c r="J22" s="12" t="s">
        <v>4799</v>
      </c>
      <c r="K22" s="12" t="s">
        <v>4800</v>
      </c>
      <c r="L22" s="14" t="s">
        <v>4801</v>
      </c>
      <c r="M22" s="12" t="s">
        <v>4802</v>
      </c>
      <c r="N22" s="15" t="s">
        <v>4803</v>
      </c>
      <c r="O22" s="12" t="s">
        <v>4804</v>
      </c>
      <c r="P22" s="12" t="s">
        <v>4806</v>
      </c>
      <c r="Q22" s="14">
        <v>2</v>
      </c>
      <c r="R22" s="21">
        <v>430.26600000000002</v>
      </c>
      <c r="S22" s="14">
        <v>1</v>
      </c>
      <c r="T22" s="52" t="s">
        <v>4894</v>
      </c>
      <c r="U22" s="53">
        <v>33.799999999999997</v>
      </c>
      <c r="V22" s="40">
        <v>2730505</v>
      </c>
      <c r="W22" s="40">
        <v>2597597</v>
      </c>
      <c r="X22" s="40">
        <v>4162635</v>
      </c>
      <c r="Y22" s="40">
        <v>4116859</v>
      </c>
      <c r="Z22" s="40">
        <v>5247176</v>
      </c>
      <c r="AA22" s="40">
        <v>5210874</v>
      </c>
      <c r="AB22" s="40">
        <v>6717559</v>
      </c>
      <c r="AC22" s="40">
        <v>6113762</v>
      </c>
      <c r="AD22" s="40">
        <v>3401899</v>
      </c>
      <c r="AE22" s="40">
        <v>5822342.75</v>
      </c>
      <c r="AF22" s="40">
        <v>2664051</v>
      </c>
      <c r="AG22" s="40">
        <v>4139747</v>
      </c>
      <c r="AH22" s="40">
        <v>5229025</v>
      </c>
      <c r="AI22" s="40">
        <v>6415660.5</v>
      </c>
      <c r="AJ22" s="32">
        <v>25.101392360379432</v>
      </c>
      <c r="AK22" s="32">
        <v>12.507867278425319</v>
      </c>
      <c r="AL22" s="32">
        <v>3.5277158010091272</v>
      </c>
      <c r="AM22" s="32">
        <v>0.78189609209440591</v>
      </c>
      <c r="AN22" s="32">
        <v>0.49090203949367328</v>
      </c>
      <c r="AO22" s="32">
        <v>6.6547934255575685</v>
      </c>
      <c r="AP22" s="19">
        <v>1.7114978281248208</v>
      </c>
      <c r="AQ22" s="19">
        <v>1.9628096459114335</v>
      </c>
      <c r="AR22" s="19">
        <v>1.549771157512766</v>
      </c>
      <c r="AS22" s="19">
        <v>0.77525946158202574</v>
      </c>
      <c r="AT22" s="19">
        <v>0.97292026642829277</v>
      </c>
      <c r="AU22" s="19">
        <v>0.63205519982493519</v>
      </c>
      <c r="AV22" s="19">
        <v>0.57756990889592519</v>
      </c>
      <c r="AW22" s="19">
        <v>0.9050960494451431</v>
      </c>
      <c r="AX22" s="19">
        <v>0.32830428558914226</v>
      </c>
      <c r="AY22" s="19">
        <v>1.7114978281248208</v>
      </c>
      <c r="AZ22" s="19">
        <v>1.9628096459114335</v>
      </c>
      <c r="BA22" s="19">
        <v>1.549771157512766</v>
      </c>
      <c r="BB22" s="19">
        <v>1.4923334278528888</v>
      </c>
      <c r="BC22" s="19">
        <v>1.8726691662942576</v>
      </c>
      <c r="BD22" s="19">
        <v>1.2555367745181987</v>
      </c>
      <c r="BE22" s="14" t="s">
        <v>4857</v>
      </c>
    </row>
    <row r="23" spans="1:105" s="30" customFormat="1" ht="17.100000000000001" customHeight="1">
      <c r="A23" s="14">
        <v>12</v>
      </c>
      <c r="B23" s="14" t="s">
        <v>4807</v>
      </c>
      <c r="C23" s="32">
        <v>1.2771005501112298</v>
      </c>
      <c r="D23" s="32">
        <v>1.3498874159576946</v>
      </c>
      <c r="E23" s="32">
        <v>1.2233749742077038</v>
      </c>
      <c r="F23" s="24">
        <v>64055</v>
      </c>
      <c r="G23" s="52" t="s">
        <v>2</v>
      </c>
      <c r="H23" s="32">
        <v>14.451395574991841</v>
      </c>
      <c r="I23" s="32">
        <v>15.119303783693727</v>
      </c>
      <c r="J23" s="12" t="s">
        <v>4808</v>
      </c>
      <c r="K23" s="12" t="s">
        <v>4809</v>
      </c>
      <c r="L23" s="14" t="s">
        <v>4810</v>
      </c>
      <c r="M23" s="12" t="s">
        <v>4811</v>
      </c>
      <c r="N23" s="15" t="s">
        <v>4812</v>
      </c>
      <c r="O23" s="12" t="s">
        <v>4813</v>
      </c>
      <c r="P23" s="12" t="s">
        <v>4815</v>
      </c>
      <c r="Q23" s="14">
        <v>3</v>
      </c>
      <c r="R23" s="21">
        <v>670.30799999999999</v>
      </c>
      <c r="S23" s="14">
        <v>5</v>
      </c>
      <c r="T23" s="52" t="s">
        <v>2</v>
      </c>
      <c r="U23" s="53">
        <v>32.732312499999992</v>
      </c>
      <c r="V23" s="24">
        <v>39866</v>
      </c>
      <c r="W23" s="24">
        <v>37516</v>
      </c>
      <c r="X23" s="24">
        <v>44454</v>
      </c>
      <c r="Y23" s="24">
        <v>40383</v>
      </c>
      <c r="Z23" s="24">
        <v>60595</v>
      </c>
      <c r="AA23" s="24">
        <v>48890</v>
      </c>
      <c r="AB23" s="24">
        <v>58318</v>
      </c>
      <c r="AC23" s="24">
        <v>69792</v>
      </c>
      <c r="AD23" s="24">
        <v>40554.75</v>
      </c>
      <c r="AE23" s="24">
        <v>59398.75</v>
      </c>
      <c r="AF23" s="24">
        <v>38691</v>
      </c>
      <c r="AG23" s="24">
        <v>42418.5</v>
      </c>
      <c r="AH23" s="24">
        <v>54742.5</v>
      </c>
      <c r="AI23" s="24">
        <v>64055</v>
      </c>
      <c r="AJ23" s="32">
        <v>7.1099003597124595</v>
      </c>
      <c r="AK23" s="32">
        <v>14.451395574991841</v>
      </c>
      <c r="AL23" s="32">
        <v>4.294799658288456</v>
      </c>
      <c r="AM23" s="32">
        <v>6.7862647340439546</v>
      </c>
      <c r="AN23" s="32">
        <v>15.119303783693727</v>
      </c>
      <c r="AO23" s="32">
        <v>12.666213734032389</v>
      </c>
      <c r="AP23" s="19">
        <v>1.4646558048070817</v>
      </c>
      <c r="AQ23" s="19">
        <v>1.4148639218422889</v>
      </c>
      <c r="AR23" s="19">
        <v>1.5100722562089655</v>
      </c>
      <c r="AS23" s="19">
        <v>0.55056167008072732</v>
      </c>
      <c r="AT23" s="19">
        <v>0.50066330484248966</v>
      </c>
      <c r="AU23" s="19">
        <v>0.59461758344459525</v>
      </c>
      <c r="AV23" s="19">
        <v>0.35287211739462676</v>
      </c>
      <c r="AW23" s="19">
        <v>0.43283908785933994</v>
      </c>
      <c r="AX23" s="19">
        <v>0.29086666920880233</v>
      </c>
      <c r="AY23" s="19">
        <v>1.4646558048070817</v>
      </c>
      <c r="AZ23" s="19">
        <v>1.4148639218422889</v>
      </c>
      <c r="BA23" s="19">
        <v>1.5100722562089655</v>
      </c>
      <c r="BB23" s="19">
        <v>1.2771005501112298</v>
      </c>
      <c r="BC23" s="19">
        <v>1.3498874159576946</v>
      </c>
      <c r="BD23" s="19">
        <v>1.2233749742077038</v>
      </c>
      <c r="BE23" s="14" t="s">
        <v>4857</v>
      </c>
    </row>
    <row r="24" spans="1:105" s="30" customFormat="1" ht="17.100000000000001" customHeight="1">
      <c r="A24" s="14">
        <v>13</v>
      </c>
      <c r="B24" s="14" t="s">
        <v>4816</v>
      </c>
      <c r="C24" s="32">
        <v>-1.069595659503412</v>
      </c>
      <c r="D24" s="32">
        <v>-1.0052666815994142</v>
      </c>
      <c r="E24" s="32">
        <v>-1.1213393771422191</v>
      </c>
      <c r="F24" s="24">
        <v>81077.5</v>
      </c>
      <c r="G24" s="52" t="s">
        <v>2</v>
      </c>
      <c r="H24" s="32">
        <v>13.348723331723566</v>
      </c>
      <c r="I24" s="32">
        <v>18.700463638654472</v>
      </c>
      <c r="J24" s="12" t="s">
        <v>4817</v>
      </c>
      <c r="K24" s="12" t="s">
        <v>4818</v>
      </c>
      <c r="L24" s="14" t="s">
        <v>4819</v>
      </c>
      <c r="M24" s="12" t="s">
        <v>4820</v>
      </c>
      <c r="N24" s="15" t="s">
        <v>4821</v>
      </c>
      <c r="O24" s="12" t="s">
        <v>4822</v>
      </c>
      <c r="P24" s="12" t="s">
        <v>4824</v>
      </c>
      <c r="Q24" s="14">
        <v>2</v>
      </c>
      <c r="R24" s="21">
        <v>512.25890000000004</v>
      </c>
      <c r="S24" s="14">
        <v>1</v>
      </c>
      <c r="T24" s="52" t="s">
        <v>2</v>
      </c>
      <c r="U24" s="53">
        <v>35.592462499999996</v>
      </c>
      <c r="V24" s="24">
        <v>77495</v>
      </c>
      <c r="W24" s="24">
        <v>64590</v>
      </c>
      <c r="X24" s="24">
        <v>83394</v>
      </c>
      <c r="Y24" s="24">
        <v>63915</v>
      </c>
      <c r="Z24" s="24">
        <v>67946</v>
      </c>
      <c r="AA24" s="24">
        <v>80198</v>
      </c>
      <c r="AB24" s="24">
        <v>89921</v>
      </c>
      <c r="AC24" s="24">
        <v>72234</v>
      </c>
      <c r="AD24" s="24">
        <v>72348.5</v>
      </c>
      <c r="AE24" s="24">
        <v>77574.75</v>
      </c>
      <c r="AF24" s="24">
        <v>71042.5</v>
      </c>
      <c r="AG24" s="24">
        <v>73654.5</v>
      </c>
      <c r="AH24" s="24">
        <v>74072</v>
      </c>
      <c r="AI24" s="24">
        <v>81077.5</v>
      </c>
      <c r="AJ24" s="32">
        <v>13.348723331723566</v>
      </c>
      <c r="AK24" s="32">
        <v>12.465864328026786</v>
      </c>
      <c r="AL24" s="32">
        <v>12.844723948639752</v>
      </c>
      <c r="AM24" s="32">
        <v>18.700463638654472</v>
      </c>
      <c r="AN24" s="32">
        <v>11.69601507060371</v>
      </c>
      <c r="AO24" s="32">
        <v>15.425485046833543</v>
      </c>
      <c r="AP24" s="19">
        <v>1.0722371576466685</v>
      </c>
      <c r="AQ24" s="19">
        <v>1.0426434880529261</v>
      </c>
      <c r="AR24" s="19">
        <v>1.1007813507660769</v>
      </c>
      <c r="AS24" s="19">
        <v>0.10062403669119527</v>
      </c>
      <c r="AT24" s="19">
        <v>6.0245940271818919E-2</v>
      </c>
      <c r="AU24" s="19">
        <v>0.1385279334873078</v>
      </c>
      <c r="AV24" s="19">
        <v>-9.7065515994905288E-2</v>
      </c>
      <c r="AW24" s="19">
        <v>-7.5782767113307878E-3</v>
      </c>
      <c r="AX24" s="19">
        <v>-0.16522298074848513</v>
      </c>
      <c r="AY24" s="19">
        <v>1.0722371576466685</v>
      </c>
      <c r="AZ24" s="19">
        <v>1.0426434880529261</v>
      </c>
      <c r="BA24" s="19">
        <v>1.1007813507660769</v>
      </c>
      <c r="BB24" s="19">
        <v>-1.069595659503412</v>
      </c>
      <c r="BC24" s="19">
        <v>-1.0052666815994142</v>
      </c>
      <c r="BD24" s="19">
        <v>-1.1213393771422191</v>
      </c>
      <c r="BE24" s="14" t="s">
        <v>4857</v>
      </c>
    </row>
    <row r="25" spans="1:105" s="30" customFormat="1" ht="17.100000000000001" customHeight="1">
      <c r="A25" s="14">
        <v>14</v>
      </c>
      <c r="B25" s="14" t="s">
        <v>4825</v>
      </c>
      <c r="C25" s="32">
        <v>1.3487981414165895</v>
      </c>
      <c r="D25" s="32">
        <v>1.1010834961256504</v>
      </c>
      <c r="E25" s="32">
        <v>1.6819751577869917</v>
      </c>
      <c r="F25" s="24">
        <v>17450</v>
      </c>
      <c r="G25" s="52" t="s">
        <v>2</v>
      </c>
      <c r="H25" s="32">
        <v>28.773717654524582</v>
      </c>
      <c r="I25" s="32">
        <v>37.113638247434707</v>
      </c>
      <c r="J25" s="12" t="s">
        <v>4826</v>
      </c>
      <c r="K25" s="12" t="s">
        <v>4827</v>
      </c>
      <c r="L25" s="14" t="s">
        <v>4828</v>
      </c>
      <c r="M25" s="12" t="s">
        <v>4829</v>
      </c>
      <c r="N25" s="15" t="s">
        <v>4830</v>
      </c>
      <c r="O25" s="12" t="s">
        <v>4831</v>
      </c>
      <c r="P25" s="12" t="s">
        <v>4833</v>
      </c>
      <c r="Q25" s="14">
        <v>2</v>
      </c>
      <c r="R25" s="21">
        <v>641.83550000000002</v>
      </c>
      <c r="S25" s="14">
        <v>2</v>
      </c>
      <c r="T25" s="52" t="s">
        <v>2</v>
      </c>
      <c r="U25" s="53">
        <v>26.655000000000001</v>
      </c>
      <c r="V25" s="24">
        <v>12700</v>
      </c>
      <c r="W25" s="24">
        <v>9950</v>
      </c>
      <c r="X25" s="24">
        <v>10300</v>
      </c>
      <c r="Y25" s="24">
        <v>6510</v>
      </c>
      <c r="Z25" s="24">
        <v>16500</v>
      </c>
      <c r="AA25" s="24">
        <v>9640</v>
      </c>
      <c r="AB25" s="24">
        <v>20200</v>
      </c>
      <c r="AC25" s="24">
        <v>14700</v>
      </c>
      <c r="AD25" s="24">
        <v>9865</v>
      </c>
      <c r="AE25" s="24">
        <v>15260</v>
      </c>
      <c r="AF25" s="24">
        <v>11325</v>
      </c>
      <c r="AG25" s="24">
        <v>8405</v>
      </c>
      <c r="AH25" s="24">
        <v>13070</v>
      </c>
      <c r="AI25" s="24">
        <v>17450</v>
      </c>
      <c r="AJ25" s="32">
        <v>25.837165086614956</v>
      </c>
      <c r="AK25" s="32">
        <v>28.773717654524582</v>
      </c>
      <c r="AL25" s="32">
        <v>17.17036334007069</v>
      </c>
      <c r="AM25" s="32">
        <v>31.88500536224884</v>
      </c>
      <c r="AN25" s="32">
        <v>37.113638247434707</v>
      </c>
      <c r="AO25" s="32">
        <v>22.287033217914107</v>
      </c>
      <c r="AP25" s="19">
        <v>1.5468829194120628</v>
      </c>
      <c r="AQ25" s="19">
        <v>1.1540838852097131</v>
      </c>
      <c r="AR25" s="19">
        <v>2.0761451516954192</v>
      </c>
      <c r="AS25" s="19">
        <v>0.62936400611097176</v>
      </c>
      <c r="AT25" s="19">
        <v>0.20674809086183582</v>
      </c>
      <c r="AU25" s="19">
        <v>1.0539073118608471</v>
      </c>
      <c r="AV25" s="19">
        <v>0.43167445342487121</v>
      </c>
      <c r="AW25" s="19">
        <v>0.1389238738786861</v>
      </c>
      <c r="AX25" s="19">
        <v>0.75015639762505415</v>
      </c>
      <c r="AY25" s="19">
        <v>1.5468829194120628</v>
      </c>
      <c r="AZ25" s="19">
        <v>1.1540838852097131</v>
      </c>
      <c r="BA25" s="19">
        <v>2.0761451516954192</v>
      </c>
      <c r="BB25" s="19">
        <v>1.3487981414165895</v>
      </c>
      <c r="BC25" s="19">
        <v>1.1010834961256504</v>
      </c>
      <c r="BD25" s="19">
        <v>1.6819751577869917</v>
      </c>
      <c r="BE25" s="14" t="s">
        <v>4857</v>
      </c>
    </row>
    <row r="26" spans="1:105" s="30" customFormat="1" ht="17.100000000000001" customHeight="1">
      <c r="A26" s="14">
        <v>15</v>
      </c>
      <c r="B26" s="14" t="s">
        <v>4837</v>
      </c>
      <c r="C26" s="32">
        <v>1.0996057010591864</v>
      </c>
      <c r="D26" s="32">
        <v>-1.0479335882646263</v>
      </c>
      <c r="E26" s="32">
        <v>1.226465017112589</v>
      </c>
      <c r="F26" s="24">
        <v>219755</v>
      </c>
      <c r="G26" s="52" t="s">
        <v>2</v>
      </c>
      <c r="H26" s="32">
        <v>25.956288898302947</v>
      </c>
      <c r="I26" s="32">
        <v>19.891345240865107</v>
      </c>
      <c r="J26" s="12" t="s">
        <v>4826</v>
      </c>
      <c r="K26" s="12" t="s">
        <v>4827</v>
      </c>
      <c r="L26" s="14" t="s">
        <v>4835</v>
      </c>
      <c r="M26" s="12" t="s">
        <v>4829</v>
      </c>
      <c r="N26" s="15" t="s">
        <v>4830</v>
      </c>
      <c r="O26" s="12" t="s">
        <v>4831</v>
      </c>
      <c r="P26" s="12" t="s">
        <v>4836</v>
      </c>
      <c r="Q26" s="14">
        <v>3</v>
      </c>
      <c r="R26" s="21">
        <v>700.66240000000005</v>
      </c>
      <c r="S26" s="14">
        <v>9</v>
      </c>
      <c r="T26" s="52" t="s">
        <v>2</v>
      </c>
      <c r="U26" s="53">
        <v>29.751237499999998</v>
      </c>
      <c r="V26" s="24">
        <v>120865</v>
      </c>
      <c r="W26" s="24">
        <v>160430</v>
      </c>
      <c r="X26" s="24">
        <v>157019</v>
      </c>
      <c r="Y26" s="24">
        <v>133300</v>
      </c>
      <c r="Z26" s="24">
        <v>147024</v>
      </c>
      <c r="AA26" s="24">
        <v>134325</v>
      </c>
      <c r="AB26" s="24">
        <v>230477</v>
      </c>
      <c r="AC26" s="24">
        <v>209033</v>
      </c>
      <c r="AD26" s="24">
        <v>142903.5</v>
      </c>
      <c r="AE26" s="24">
        <v>180214.75</v>
      </c>
      <c r="AF26" s="24">
        <v>140647.5</v>
      </c>
      <c r="AG26" s="24">
        <v>145159.5</v>
      </c>
      <c r="AH26" s="24">
        <v>140674.5</v>
      </c>
      <c r="AI26" s="24">
        <v>219755</v>
      </c>
      <c r="AJ26" s="32">
        <v>13.303958938630577</v>
      </c>
      <c r="AK26" s="32">
        <v>25.956288898302947</v>
      </c>
      <c r="AL26" s="32">
        <v>19.891345240865107</v>
      </c>
      <c r="AM26" s="32">
        <v>11.554094456762197</v>
      </c>
      <c r="AN26" s="32">
        <v>6.3832101868412305</v>
      </c>
      <c r="AO26" s="32">
        <v>6.9000467865415231</v>
      </c>
      <c r="AP26" s="19">
        <v>1.2610940249888911</v>
      </c>
      <c r="AQ26" s="19">
        <v>1.0001919692849144</v>
      </c>
      <c r="AR26" s="19">
        <v>1.5138864490439827</v>
      </c>
      <c r="AS26" s="19">
        <v>0.33467584452273502</v>
      </c>
      <c r="AT26" s="19">
        <v>2.7692655550292994E-4</v>
      </c>
      <c r="AU26" s="19">
        <v>0.59825699822673528</v>
      </c>
      <c r="AV26" s="19">
        <v>0.13698629183663447</v>
      </c>
      <c r="AW26" s="19">
        <v>-6.7547290427646775E-2</v>
      </c>
      <c r="AX26" s="19">
        <v>0.29450608399094236</v>
      </c>
      <c r="AY26" s="19">
        <v>1.2610940249888911</v>
      </c>
      <c r="AZ26" s="19">
        <v>1.0001919692849144</v>
      </c>
      <c r="BA26" s="19">
        <v>1.5138864490439827</v>
      </c>
      <c r="BB26" s="19">
        <v>1.0996057010591864</v>
      </c>
      <c r="BC26" s="19">
        <v>-1.0479335882646263</v>
      </c>
      <c r="BD26" s="19">
        <v>1.226465017112589</v>
      </c>
      <c r="BE26" s="14" t="s">
        <v>4857</v>
      </c>
    </row>
    <row r="27" spans="1:105" s="30" customFormat="1" ht="17.100000000000001" customHeight="1">
      <c r="A27" s="14">
        <v>16</v>
      </c>
      <c r="B27" s="14" t="s">
        <v>4838</v>
      </c>
      <c r="C27" s="32">
        <v>1.4246004097348455</v>
      </c>
      <c r="D27" s="32">
        <v>1.3275849213797521</v>
      </c>
      <c r="E27" s="32">
        <v>1.4808322610070472</v>
      </c>
      <c r="F27" s="24">
        <v>43255.5</v>
      </c>
      <c r="G27" s="52" t="s">
        <v>2</v>
      </c>
      <c r="H27" s="32">
        <v>34.823805769621721</v>
      </c>
      <c r="I27" s="32">
        <v>25.993700055824785</v>
      </c>
      <c r="J27" s="12" t="s">
        <v>4839</v>
      </c>
      <c r="K27" s="15" t="s">
        <v>4840</v>
      </c>
      <c r="L27" s="14" t="s">
        <v>4841</v>
      </c>
      <c r="M27" s="12" t="s">
        <v>4842</v>
      </c>
      <c r="N27" s="15" t="s">
        <v>4843</v>
      </c>
      <c r="O27" s="12" t="s">
        <v>4844</v>
      </c>
      <c r="P27" s="12" t="s">
        <v>4846</v>
      </c>
      <c r="Q27" s="14">
        <v>3</v>
      </c>
      <c r="R27" s="21">
        <v>744.02120000000002</v>
      </c>
      <c r="S27" s="14">
        <v>6</v>
      </c>
      <c r="T27" s="52" t="s">
        <v>2</v>
      </c>
      <c r="U27" s="53">
        <v>31.579124999999998</v>
      </c>
      <c r="V27" s="24">
        <v>21303</v>
      </c>
      <c r="W27" s="24">
        <v>16596</v>
      </c>
      <c r="X27" s="24">
        <v>25645</v>
      </c>
      <c r="Y27" s="24">
        <v>21684</v>
      </c>
      <c r="Z27" s="24">
        <v>22542</v>
      </c>
      <c r="AA27" s="24">
        <v>30194</v>
      </c>
      <c r="AB27" s="24">
        <v>35305</v>
      </c>
      <c r="AC27" s="24">
        <v>51206</v>
      </c>
      <c r="AD27" s="24">
        <v>21307</v>
      </c>
      <c r="AE27" s="24">
        <v>34811.75</v>
      </c>
      <c r="AF27" s="24">
        <v>18949.5</v>
      </c>
      <c r="AG27" s="24">
        <v>23664.5</v>
      </c>
      <c r="AH27" s="24">
        <v>26368</v>
      </c>
      <c r="AI27" s="24">
        <v>43255.5</v>
      </c>
      <c r="AJ27" s="32">
        <v>17.382915479000534</v>
      </c>
      <c r="AK27" s="32">
        <v>34.823805769621721</v>
      </c>
      <c r="AL27" s="32">
        <v>17.564324225151477</v>
      </c>
      <c r="AM27" s="32">
        <v>11.835660843372626</v>
      </c>
      <c r="AN27" s="32">
        <v>20.520255952819557</v>
      </c>
      <c r="AO27" s="32">
        <v>25.993700055824785</v>
      </c>
      <c r="AP27" s="19">
        <v>1.6338175247571221</v>
      </c>
      <c r="AQ27" s="19">
        <v>1.3914879020554631</v>
      </c>
      <c r="AR27" s="19">
        <v>1.827864522808426</v>
      </c>
      <c r="AS27" s="19">
        <v>0.70824686302551432</v>
      </c>
      <c r="AT27" s="19">
        <v>0.47662836557181193</v>
      </c>
      <c r="AU27" s="19">
        <v>0.8701591450592765</v>
      </c>
      <c r="AV27" s="19">
        <v>0.51055731033941376</v>
      </c>
      <c r="AW27" s="19">
        <v>0.40880414858866221</v>
      </c>
      <c r="AX27" s="19">
        <v>0.56640823082348357</v>
      </c>
      <c r="AY27" s="19">
        <v>1.6338175247571221</v>
      </c>
      <c r="AZ27" s="19">
        <v>1.3914879020554631</v>
      </c>
      <c r="BA27" s="19">
        <v>1.827864522808426</v>
      </c>
      <c r="BB27" s="19">
        <v>1.4246004097348455</v>
      </c>
      <c r="BC27" s="19">
        <v>1.3275849213797521</v>
      </c>
      <c r="BD27" s="19">
        <v>1.4808322610070472</v>
      </c>
      <c r="BE27" s="14" t="s">
        <v>4857</v>
      </c>
    </row>
    <row r="28" spans="1:105" s="30" customFormat="1" ht="17.100000000000001" customHeight="1">
      <c r="A28" s="14">
        <v>17</v>
      </c>
      <c r="B28" s="14" t="s">
        <v>4849</v>
      </c>
      <c r="C28" s="32">
        <v>1.1146796686881899</v>
      </c>
      <c r="D28" s="32">
        <v>1.7835468898187432</v>
      </c>
      <c r="E28" s="32">
        <v>-1.4836880311440894</v>
      </c>
      <c r="F28" s="40">
        <v>2839669</v>
      </c>
      <c r="G28" s="52" t="s">
        <v>4894</v>
      </c>
      <c r="H28" s="32">
        <v>30.044393059899306</v>
      </c>
      <c r="I28" s="32">
        <v>6.6007199202060853</v>
      </c>
      <c r="J28" s="12" t="s">
        <v>4850</v>
      </c>
      <c r="K28" s="15" t="s">
        <v>4851</v>
      </c>
      <c r="L28" s="14" t="s">
        <v>4852</v>
      </c>
      <c r="M28" s="12" t="s">
        <v>4853</v>
      </c>
      <c r="N28" s="15" t="s">
        <v>4725</v>
      </c>
      <c r="O28" s="12" t="s">
        <v>4726</v>
      </c>
      <c r="P28" s="12" t="s">
        <v>4728</v>
      </c>
      <c r="Q28" s="14">
        <v>2</v>
      </c>
      <c r="R28" s="21">
        <v>408.74489999999997</v>
      </c>
      <c r="S28" s="14">
        <v>2</v>
      </c>
      <c r="T28" s="52" t="s">
        <v>4894</v>
      </c>
      <c r="U28" s="53">
        <v>22.713637500000001</v>
      </c>
      <c r="V28" s="40">
        <v>1578290</v>
      </c>
      <c r="W28" s="40">
        <v>1459768</v>
      </c>
      <c r="X28" s="40">
        <v>1995474</v>
      </c>
      <c r="Y28" s="40">
        <v>2026478</v>
      </c>
      <c r="Z28" s="40">
        <v>2787634</v>
      </c>
      <c r="AA28" s="40">
        <v>2891704</v>
      </c>
      <c r="AB28" s="40">
        <v>1594938</v>
      </c>
      <c r="AC28" s="40">
        <v>1751112</v>
      </c>
      <c r="AD28" s="40">
        <v>1765002.5</v>
      </c>
      <c r="AE28" s="40">
        <v>2256347</v>
      </c>
      <c r="AF28" s="40">
        <v>1519029</v>
      </c>
      <c r="AG28" s="40">
        <v>2010976</v>
      </c>
      <c r="AH28" s="40">
        <v>2839669</v>
      </c>
      <c r="AI28" s="40">
        <v>1673025</v>
      </c>
      <c r="AJ28" s="32">
        <v>16.339675515876888</v>
      </c>
      <c r="AK28" s="32">
        <v>30.044393059899306</v>
      </c>
      <c r="AL28" s="32">
        <v>5.5171895941283537</v>
      </c>
      <c r="AM28" s="32">
        <v>1.0901740569707306</v>
      </c>
      <c r="AN28" s="32">
        <v>2.5914500147053756</v>
      </c>
      <c r="AO28" s="32">
        <v>6.6007199202060853</v>
      </c>
      <c r="AP28" s="19">
        <v>1.2783817586660642</v>
      </c>
      <c r="AQ28" s="19">
        <v>1.869397490107167</v>
      </c>
      <c r="AR28" s="19">
        <v>0.83194677609280265</v>
      </c>
      <c r="AS28" s="19">
        <v>0.35431872759179012</v>
      </c>
      <c r="AT28" s="19">
        <v>0.90257336203919236</v>
      </c>
      <c r="AU28" s="19">
        <v>-0.26543686017858031</v>
      </c>
      <c r="AV28" s="19">
        <v>0.15662917490568956</v>
      </c>
      <c r="AW28" s="19">
        <v>0.8347491450560427</v>
      </c>
      <c r="AX28" s="19">
        <v>-0.56918777441437318</v>
      </c>
      <c r="AY28" s="19">
        <v>1.2783817586660642</v>
      </c>
      <c r="AZ28" s="19">
        <v>1.869397490107167</v>
      </c>
      <c r="BA28" s="19">
        <v>-1.2019999701140152</v>
      </c>
      <c r="BB28" s="19">
        <v>1.1146796686881899</v>
      </c>
      <c r="BC28" s="19">
        <v>1.7835468898187432</v>
      </c>
      <c r="BD28" s="19">
        <v>-1.4836880311440894</v>
      </c>
      <c r="BE28" s="14" t="s">
        <v>4857</v>
      </c>
    </row>
    <row r="29" spans="1:105" s="30" customFormat="1" ht="17.100000000000001" customHeight="1">
      <c r="A29" s="14">
        <v>18</v>
      </c>
      <c r="B29" s="14" t="s">
        <v>4729</v>
      </c>
      <c r="C29" s="32">
        <v>1.1080833529117122</v>
      </c>
      <c r="D29" s="32">
        <v>-1.1971182222986818</v>
      </c>
      <c r="E29" s="32">
        <v>1.3313983495054882</v>
      </c>
      <c r="F29" s="24">
        <v>15900</v>
      </c>
      <c r="G29" s="52" t="s">
        <v>2</v>
      </c>
      <c r="H29" s="32">
        <v>40.67192454905382</v>
      </c>
      <c r="I29" s="32">
        <v>41.558030122367271</v>
      </c>
      <c r="J29" s="12" t="s">
        <v>4730</v>
      </c>
      <c r="K29" s="15" t="s">
        <v>4731</v>
      </c>
      <c r="L29" s="14" t="s">
        <v>4732</v>
      </c>
      <c r="M29" s="12" t="s">
        <v>4733</v>
      </c>
      <c r="N29" s="15" t="s">
        <v>4734</v>
      </c>
      <c r="O29" s="12" t="s">
        <v>4735</v>
      </c>
      <c r="P29" s="12" t="s">
        <v>4737</v>
      </c>
      <c r="Q29" s="14">
        <v>2</v>
      </c>
      <c r="R29" s="21">
        <v>728.8732</v>
      </c>
      <c r="S29" s="14">
        <v>1</v>
      </c>
      <c r="T29" s="52" t="s">
        <v>2</v>
      </c>
      <c r="U29" s="53">
        <v>28.5</v>
      </c>
      <c r="V29" s="24">
        <v>11800</v>
      </c>
      <c r="W29" s="24">
        <v>6440</v>
      </c>
      <c r="X29" s="24">
        <v>11500</v>
      </c>
      <c r="Y29" s="24">
        <v>7850</v>
      </c>
      <c r="Z29" s="24">
        <v>7310</v>
      </c>
      <c r="AA29" s="24">
        <v>8660</v>
      </c>
      <c r="AB29" s="24">
        <v>17800</v>
      </c>
      <c r="AC29" s="24">
        <v>14000</v>
      </c>
      <c r="AD29" s="24">
        <v>9397.5</v>
      </c>
      <c r="AE29" s="24">
        <v>11942.5</v>
      </c>
      <c r="AF29" s="24">
        <v>9120</v>
      </c>
      <c r="AG29" s="24">
        <v>9675</v>
      </c>
      <c r="AH29" s="24">
        <v>7985</v>
      </c>
      <c r="AI29" s="24">
        <v>15900</v>
      </c>
      <c r="AJ29" s="32">
        <v>28.376834481835139</v>
      </c>
      <c r="AK29" s="32">
        <v>40.67192454905382</v>
      </c>
      <c r="AL29" s="32">
        <v>41.558030122367271</v>
      </c>
      <c r="AM29" s="32">
        <v>26.676379858717297</v>
      </c>
      <c r="AN29" s="32">
        <v>11.954842261763797</v>
      </c>
      <c r="AO29" s="32">
        <v>16.899407349112455</v>
      </c>
      <c r="AP29" s="19">
        <v>1.2708167065708966</v>
      </c>
      <c r="AQ29" s="19">
        <v>0.8755482456140351</v>
      </c>
      <c r="AR29" s="19">
        <v>1.6434108527131783</v>
      </c>
      <c r="AS29" s="19">
        <v>0.34575596142824894</v>
      </c>
      <c r="AT29" s="19">
        <v>-0.19174141675350903</v>
      </c>
      <c r="AU29" s="19">
        <v>0.71669319913994511</v>
      </c>
      <c r="AV29" s="19">
        <v>0.14806640874214838</v>
      </c>
      <c r="AW29" s="19">
        <v>-0.25956563373665875</v>
      </c>
      <c r="AX29" s="19">
        <v>0.41294228490415219</v>
      </c>
      <c r="AY29" s="19">
        <v>1.2708167065708966</v>
      </c>
      <c r="AZ29" s="19">
        <v>-1.1421415153412648</v>
      </c>
      <c r="BA29" s="19">
        <v>1.6434108527131783</v>
      </c>
      <c r="BB29" s="19">
        <v>1.1080833529117122</v>
      </c>
      <c r="BC29" s="19">
        <v>-1.1971182222986818</v>
      </c>
      <c r="BD29" s="19">
        <v>1.3313983495054882</v>
      </c>
      <c r="BE29" s="14" t="s">
        <v>4857</v>
      </c>
    </row>
    <row r="30" spans="1:105" s="30" customFormat="1" ht="17.100000000000001" customHeight="1">
      <c r="A30" s="14">
        <v>19</v>
      </c>
      <c r="B30" s="14" t="s">
        <v>4738</v>
      </c>
      <c r="C30" s="32">
        <v>-1.2707184081056104</v>
      </c>
      <c r="D30" s="32">
        <v>-1.2329887267808326</v>
      </c>
      <c r="E30" s="32">
        <v>-1.3054978366905794</v>
      </c>
      <c r="F30" s="24">
        <v>54239.5</v>
      </c>
      <c r="G30" s="52" t="s">
        <v>2</v>
      </c>
      <c r="H30" s="32">
        <v>18.381926327218874</v>
      </c>
      <c r="I30" s="32">
        <v>13.395501134279316</v>
      </c>
      <c r="J30" s="12" t="s">
        <v>4739</v>
      </c>
      <c r="K30" s="12" t="s">
        <v>4740</v>
      </c>
      <c r="L30" s="14" t="s">
        <v>4741</v>
      </c>
      <c r="M30" s="12" t="s">
        <v>4742</v>
      </c>
      <c r="N30" s="15" t="s">
        <v>4743</v>
      </c>
      <c r="O30" s="12" t="s">
        <v>4744</v>
      </c>
      <c r="P30" s="12" t="s">
        <v>4746</v>
      </c>
      <c r="Q30" s="14">
        <v>2</v>
      </c>
      <c r="R30" s="21">
        <v>686.3537</v>
      </c>
      <c r="S30" s="14">
        <v>6</v>
      </c>
      <c r="T30" s="52" t="s">
        <v>2</v>
      </c>
      <c r="U30" s="53">
        <v>37.878925000000002</v>
      </c>
      <c r="V30" s="24">
        <v>48645</v>
      </c>
      <c r="W30" s="24">
        <v>40227</v>
      </c>
      <c r="X30" s="24">
        <v>55677</v>
      </c>
      <c r="Y30" s="24">
        <v>52802</v>
      </c>
      <c r="Z30" s="24">
        <v>35051</v>
      </c>
      <c r="AA30" s="24">
        <v>40497</v>
      </c>
      <c r="AB30" s="24">
        <v>49931</v>
      </c>
      <c r="AC30" s="24">
        <v>52636</v>
      </c>
      <c r="AD30" s="24">
        <v>49337.75</v>
      </c>
      <c r="AE30" s="24">
        <v>44528.75</v>
      </c>
      <c r="AF30" s="24">
        <v>44436</v>
      </c>
      <c r="AG30" s="24">
        <v>54239.5</v>
      </c>
      <c r="AH30" s="24">
        <v>37774</v>
      </c>
      <c r="AI30" s="24">
        <v>51283.5</v>
      </c>
      <c r="AJ30" s="32">
        <v>13.630331094413789</v>
      </c>
      <c r="AK30" s="32">
        <v>18.381926327218874</v>
      </c>
      <c r="AL30" s="32">
        <v>13.395501134279316</v>
      </c>
      <c r="AM30" s="32">
        <v>3.7480655166646524</v>
      </c>
      <c r="AN30" s="32">
        <v>10.19458762731492</v>
      </c>
      <c r="AO30" s="32">
        <v>3.7297061298655731</v>
      </c>
      <c r="AP30" s="19">
        <v>0.90252899655942964</v>
      </c>
      <c r="AQ30" s="19">
        <v>0.85007651453776223</v>
      </c>
      <c r="AR30" s="19">
        <v>0.94550097253846366</v>
      </c>
      <c r="AS30" s="19">
        <v>-0.14795481106431396</v>
      </c>
      <c r="AT30" s="19">
        <v>-0.23433539225335456</v>
      </c>
      <c r="AU30" s="19">
        <v>-8.0849152761297546E-2</v>
      </c>
      <c r="AV30" s="19">
        <v>-0.34564436375041452</v>
      </c>
      <c r="AW30" s="19">
        <v>-0.30215960923650426</v>
      </c>
      <c r="AX30" s="19">
        <v>-0.38460006699709048</v>
      </c>
      <c r="AY30" s="19">
        <v>-1.1079976419728828</v>
      </c>
      <c r="AZ30" s="19">
        <v>-1.1763646952930586</v>
      </c>
      <c r="BA30" s="19">
        <v>-1.0576403716595006</v>
      </c>
      <c r="BB30" s="19">
        <v>-1.2707184081056104</v>
      </c>
      <c r="BC30" s="19">
        <v>-1.2329887267808326</v>
      </c>
      <c r="BD30" s="19">
        <v>-1.3054978366905794</v>
      </c>
      <c r="BE30" s="14" t="s">
        <v>4857</v>
      </c>
    </row>
    <row r="31" spans="1:105" s="30" customFormat="1" ht="17.100000000000001" customHeight="1">
      <c r="A31" s="14">
        <v>20</v>
      </c>
      <c r="B31" s="14" t="s">
        <v>4747</v>
      </c>
      <c r="C31" s="32">
        <v>1.2119600486137387</v>
      </c>
      <c r="D31" s="32">
        <v>1.1271885675696185</v>
      </c>
      <c r="E31" s="32">
        <v>1.3007155590769255</v>
      </c>
      <c r="F31" s="42">
        <v>23542102.5</v>
      </c>
      <c r="G31" s="52" t="s">
        <v>4894</v>
      </c>
      <c r="H31" s="32">
        <v>15.819445744651542</v>
      </c>
      <c r="I31" s="32">
        <v>3.9620400849880206</v>
      </c>
      <c r="J31" s="12" t="s">
        <v>4748</v>
      </c>
      <c r="K31" s="12" t="s">
        <v>4749</v>
      </c>
      <c r="L31" s="14" t="s">
        <v>4750</v>
      </c>
      <c r="M31" s="12" t="s">
        <v>4751</v>
      </c>
      <c r="N31" s="15" t="s">
        <v>4752</v>
      </c>
      <c r="O31" s="12" t="s">
        <v>4753</v>
      </c>
      <c r="P31" s="12" t="s">
        <v>4755</v>
      </c>
      <c r="Q31" s="14">
        <v>3</v>
      </c>
      <c r="R31" s="21">
        <v>640.97770000000003</v>
      </c>
      <c r="S31" s="14">
        <v>1</v>
      </c>
      <c r="T31" s="52" t="s">
        <v>4894</v>
      </c>
      <c r="U31" s="53">
        <v>54.4</v>
      </c>
      <c r="V31" s="42">
        <v>14787726</v>
      </c>
      <c r="W31" s="42">
        <v>15534996</v>
      </c>
      <c r="X31" s="42">
        <v>14642373</v>
      </c>
      <c r="Y31" s="42">
        <v>14683758</v>
      </c>
      <c r="Z31" s="42">
        <v>18414151</v>
      </c>
      <c r="AA31" s="42">
        <v>17410493</v>
      </c>
      <c r="AB31" s="42">
        <v>23709516</v>
      </c>
      <c r="AC31" s="42">
        <v>23374689</v>
      </c>
      <c r="AD31" s="42">
        <v>14912213.25</v>
      </c>
      <c r="AE31" s="42">
        <v>20727212.25</v>
      </c>
      <c r="AF31" s="42">
        <v>15161361</v>
      </c>
      <c r="AG31" s="42">
        <v>14663065.5</v>
      </c>
      <c r="AH31" s="42">
        <v>17912322</v>
      </c>
      <c r="AI31" s="42">
        <v>23542102.5</v>
      </c>
      <c r="AJ31" s="32">
        <v>2.8142497748021893</v>
      </c>
      <c r="AK31" s="32">
        <v>15.819445744651542</v>
      </c>
      <c r="AL31" s="32">
        <v>3.4851731607556293</v>
      </c>
      <c r="AM31" s="32">
        <v>0.19957364399282856</v>
      </c>
      <c r="AN31" s="32">
        <v>3.9620400849880206</v>
      </c>
      <c r="AO31" s="32">
        <v>1.0056809591426601</v>
      </c>
      <c r="AP31" s="19">
        <v>1.3899487555946801</v>
      </c>
      <c r="AQ31" s="19">
        <v>1.18144551798483</v>
      </c>
      <c r="AR31" s="19">
        <v>1.6055375664795333</v>
      </c>
      <c r="AS31" s="19">
        <v>0.47503169488242869</v>
      </c>
      <c r="AT31" s="19">
        <v>0.24055310138505215</v>
      </c>
      <c r="AU31" s="19">
        <v>0.6830564217374101</v>
      </c>
      <c r="AV31" s="19">
        <v>0.27734214219632813</v>
      </c>
      <c r="AW31" s="19">
        <v>0.17272888440190243</v>
      </c>
      <c r="AX31" s="19">
        <v>0.37930550750161718</v>
      </c>
      <c r="AY31" s="19">
        <v>1.3899487555946801</v>
      </c>
      <c r="AZ31" s="19">
        <v>1.18144551798483</v>
      </c>
      <c r="BA31" s="19">
        <v>1.6055375664795333</v>
      </c>
      <c r="BB31" s="19">
        <v>1.2119600486137387</v>
      </c>
      <c r="BC31" s="19">
        <v>1.1271885675696185</v>
      </c>
      <c r="BD31" s="19">
        <v>1.3007155590769255</v>
      </c>
      <c r="BE31" s="14" t="s">
        <v>4857</v>
      </c>
    </row>
    <row r="32" spans="1:105" s="30" customFormat="1" ht="17.100000000000001" customHeight="1">
      <c r="A32" s="14">
        <v>21</v>
      </c>
      <c r="B32" s="14" t="s">
        <v>4756</v>
      </c>
      <c r="C32" s="32">
        <v>-1.1001491094349678</v>
      </c>
      <c r="D32" s="32">
        <v>-1.3361341134602016</v>
      </c>
      <c r="E32" s="32">
        <v>1.1441953578141102</v>
      </c>
      <c r="F32" s="24">
        <v>25716</v>
      </c>
      <c r="G32" s="52" t="s">
        <v>2</v>
      </c>
      <c r="H32" s="32">
        <v>41.130003853526844</v>
      </c>
      <c r="I32" s="32">
        <v>53.602738292398286</v>
      </c>
      <c r="J32" s="12" t="s">
        <v>4757</v>
      </c>
      <c r="K32" s="15" t="s">
        <v>4758</v>
      </c>
      <c r="L32" s="14" t="s">
        <v>4759</v>
      </c>
      <c r="M32" s="12" t="s">
        <v>4760</v>
      </c>
      <c r="N32" s="15" t="s">
        <v>4761</v>
      </c>
      <c r="O32" s="12" t="s">
        <v>4762</v>
      </c>
      <c r="P32" s="12" t="s">
        <v>4764</v>
      </c>
      <c r="Q32" s="14">
        <v>3</v>
      </c>
      <c r="R32" s="21">
        <v>589.30370000000005</v>
      </c>
      <c r="S32" s="14">
        <v>1</v>
      </c>
      <c r="T32" s="52" t="s">
        <v>2</v>
      </c>
      <c r="U32" s="53">
        <v>36.114312500000004</v>
      </c>
      <c r="V32" s="24">
        <v>20988</v>
      </c>
      <c r="W32" s="24">
        <v>30444</v>
      </c>
      <c r="X32" s="24">
        <v>15193</v>
      </c>
      <c r="Y32" s="24">
        <v>20683</v>
      </c>
      <c r="Z32" s="24">
        <v>25257</v>
      </c>
      <c r="AA32" s="24">
        <v>15089</v>
      </c>
      <c r="AB32" s="24">
        <v>34937</v>
      </c>
      <c r="AC32" s="24">
        <v>15732</v>
      </c>
      <c r="AD32" s="24">
        <v>21827</v>
      </c>
      <c r="AE32" s="24">
        <v>22753.75</v>
      </c>
      <c r="AF32" s="24">
        <v>25716</v>
      </c>
      <c r="AG32" s="24">
        <v>17938</v>
      </c>
      <c r="AH32" s="24">
        <v>20173</v>
      </c>
      <c r="AI32" s="24">
        <v>25334.5</v>
      </c>
      <c r="AJ32" s="32">
        <v>29.009053048152918</v>
      </c>
      <c r="AK32" s="32">
        <v>41.130003853526844</v>
      </c>
      <c r="AL32" s="32">
        <v>26.000939970835251</v>
      </c>
      <c r="AM32" s="32">
        <v>21.641299078571446</v>
      </c>
      <c r="AN32" s="32">
        <v>35.641013984557652</v>
      </c>
      <c r="AO32" s="32">
        <v>53.602738292398286</v>
      </c>
      <c r="AP32" s="19">
        <v>1.0424588812021809</v>
      </c>
      <c r="AQ32" s="19">
        <v>0.78445325867164406</v>
      </c>
      <c r="AR32" s="19">
        <v>1.4123369383431821</v>
      </c>
      <c r="AS32" s="19">
        <v>5.9990479060218808E-2</v>
      </c>
      <c r="AT32" s="19">
        <v>-0.35024060753029557</v>
      </c>
      <c r="AU32" s="19">
        <v>0.49808431048467822</v>
      </c>
      <c r="AV32" s="19">
        <v>-0.13769907362588174</v>
      </c>
      <c r="AW32" s="19">
        <v>-0.41806482451344529</v>
      </c>
      <c r="AX32" s="19">
        <v>0.19433339624888529</v>
      </c>
      <c r="AY32" s="19">
        <v>1.0424588812021809</v>
      </c>
      <c r="AZ32" s="19">
        <v>-1.2747732117186339</v>
      </c>
      <c r="BA32" s="19">
        <v>1.4123369383431821</v>
      </c>
      <c r="BB32" s="19">
        <v>-1.1001491094349678</v>
      </c>
      <c r="BC32" s="19">
        <v>-1.3361341134602016</v>
      </c>
      <c r="BD32" s="19">
        <v>1.1441953578141102</v>
      </c>
      <c r="BE32" s="14" t="s">
        <v>4857</v>
      </c>
    </row>
    <row r="33" spans="1:105" s="30" customFormat="1" ht="17.100000000000001" customHeight="1">
      <c r="A33" s="14">
        <v>22</v>
      </c>
      <c r="B33" s="14" t="s">
        <v>4765</v>
      </c>
      <c r="C33" s="32">
        <v>1.0975349246268034</v>
      </c>
      <c r="D33" s="32">
        <v>-1.5030853401684083</v>
      </c>
      <c r="E33" s="32">
        <v>1.5032564416259715</v>
      </c>
      <c r="F33" s="24">
        <v>72773.5</v>
      </c>
      <c r="G33" s="52" t="s">
        <v>2</v>
      </c>
      <c r="H33" s="32">
        <v>52.338304716401204</v>
      </c>
      <c r="I33" s="32">
        <v>27.144125556150776</v>
      </c>
      <c r="J33" s="12" t="s">
        <v>4766</v>
      </c>
      <c r="K33" s="12" t="s">
        <v>4767</v>
      </c>
      <c r="L33" s="14" t="s">
        <v>4768</v>
      </c>
      <c r="M33" s="12" t="s">
        <v>4769</v>
      </c>
      <c r="N33" s="15" t="s">
        <v>4770</v>
      </c>
      <c r="O33" s="12" t="s">
        <v>4771</v>
      </c>
      <c r="P33" s="12" t="s">
        <v>4772</v>
      </c>
      <c r="Q33" s="14">
        <v>2</v>
      </c>
      <c r="R33" s="21">
        <v>857.42179999999996</v>
      </c>
      <c r="S33" s="14">
        <v>2</v>
      </c>
      <c r="T33" s="52" t="s">
        <v>2</v>
      </c>
      <c r="U33" s="53">
        <v>52.451187499999996</v>
      </c>
      <c r="V33" s="24">
        <v>48539</v>
      </c>
      <c r="W33" s="24">
        <v>34850</v>
      </c>
      <c r="X33" s="24">
        <v>38926</v>
      </c>
      <c r="Y33" s="24">
        <v>39513</v>
      </c>
      <c r="Z33" s="24">
        <v>23494</v>
      </c>
      <c r="AA33" s="24">
        <v>34655</v>
      </c>
      <c r="AB33" s="24">
        <v>81696</v>
      </c>
      <c r="AC33" s="24">
        <v>63851</v>
      </c>
      <c r="AD33" s="24">
        <v>40457</v>
      </c>
      <c r="AE33" s="24">
        <v>50924</v>
      </c>
      <c r="AF33" s="24">
        <v>41694.5</v>
      </c>
      <c r="AG33" s="24">
        <v>39219.5</v>
      </c>
      <c r="AH33" s="24">
        <v>29074.5</v>
      </c>
      <c r="AI33" s="24">
        <v>72773.5</v>
      </c>
      <c r="AJ33" s="32">
        <v>14.270162250549362</v>
      </c>
      <c r="AK33" s="32">
        <v>52.338304716401204</v>
      </c>
      <c r="AL33" s="32">
        <v>23.215495395466185</v>
      </c>
      <c r="AM33" s="32">
        <v>1.0583298628399225</v>
      </c>
      <c r="AN33" s="32">
        <v>27.144125556150776</v>
      </c>
      <c r="AO33" s="32">
        <v>17.339169492018307</v>
      </c>
      <c r="AP33" s="19">
        <v>1.2587191338952468</v>
      </c>
      <c r="AQ33" s="19">
        <v>0.69732218877789631</v>
      </c>
      <c r="AR33" s="19">
        <v>1.8555437983656089</v>
      </c>
      <c r="AS33" s="19">
        <v>0.33195640113395647</v>
      </c>
      <c r="AT33" s="19">
        <v>-0.52010270600533848</v>
      </c>
      <c r="AU33" s="19">
        <v>0.89184205489645429</v>
      </c>
      <c r="AV33" s="19">
        <v>0.13426684844785591</v>
      </c>
      <c r="AW33" s="19">
        <v>-0.58792692298848814</v>
      </c>
      <c r="AX33" s="19">
        <v>0.58809114066066137</v>
      </c>
      <c r="AY33" s="19">
        <v>1.2587191338952468</v>
      </c>
      <c r="AZ33" s="19">
        <v>-1.4340573354657862</v>
      </c>
      <c r="BA33" s="19">
        <v>1.8555437983656089</v>
      </c>
      <c r="BB33" s="19">
        <v>1.0975349246268034</v>
      </c>
      <c r="BC33" s="19">
        <v>-1.5030853401684083</v>
      </c>
      <c r="BD33" s="19">
        <v>1.5032564416259715</v>
      </c>
      <c r="BE33" s="14" t="s">
        <v>4857</v>
      </c>
    </row>
    <row r="34" spans="1:105" s="30" customFormat="1" ht="17.100000000000001" customHeight="1">
      <c r="A34" s="14">
        <v>23</v>
      </c>
      <c r="B34" s="14" t="s">
        <v>4832</v>
      </c>
      <c r="C34" s="32">
        <v>-1.2451114738546341</v>
      </c>
      <c r="D34" s="32">
        <v>-1.3496529777625086</v>
      </c>
      <c r="E34" s="32">
        <v>-1.1752667697788139</v>
      </c>
      <c r="F34" s="24">
        <v>386500</v>
      </c>
      <c r="G34" s="52" t="s">
        <v>2</v>
      </c>
      <c r="H34" s="32">
        <v>23.800025001592793</v>
      </c>
      <c r="I34" s="32">
        <v>24.071720210605875</v>
      </c>
      <c r="J34" s="12" t="s">
        <v>4773</v>
      </c>
      <c r="K34" s="12" t="s">
        <v>4774</v>
      </c>
      <c r="L34" s="14" t="s">
        <v>5057</v>
      </c>
      <c r="M34" s="12" t="s">
        <v>4775</v>
      </c>
      <c r="N34" s="15" t="s">
        <v>4776</v>
      </c>
      <c r="O34" s="12" t="s">
        <v>4777</v>
      </c>
      <c r="P34" s="12" t="s">
        <v>4779</v>
      </c>
      <c r="Q34" s="14">
        <v>2</v>
      </c>
      <c r="R34" s="21">
        <v>586.30330000000004</v>
      </c>
      <c r="S34" s="14">
        <v>2</v>
      </c>
      <c r="T34" s="52" t="s">
        <v>2</v>
      </c>
      <c r="U34" s="53">
        <v>49.83</v>
      </c>
      <c r="V34" s="24">
        <v>385000</v>
      </c>
      <c r="W34" s="24">
        <v>273000</v>
      </c>
      <c r="X34" s="24">
        <v>329000</v>
      </c>
      <c r="Y34" s="24">
        <v>407000</v>
      </c>
      <c r="Z34" s="24">
        <v>262000</v>
      </c>
      <c r="AA34" s="24">
        <v>249000</v>
      </c>
      <c r="AB34" s="24">
        <v>398000</v>
      </c>
      <c r="AC34" s="24">
        <v>375000</v>
      </c>
      <c r="AD34" s="24">
        <v>348500</v>
      </c>
      <c r="AE34" s="24">
        <v>321000</v>
      </c>
      <c r="AF34" s="24">
        <v>329000</v>
      </c>
      <c r="AG34" s="24">
        <v>368000</v>
      </c>
      <c r="AH34" s="24">
        <v>255500</v>
      </c>
      <c r="AI34" s="24">
        <v>386500</v>
      </c>
      <c r="AJ34" s="32">
        <v>17.244517526999573</v>
      </c>
      <c r="AK34" s="32">
        <v>23.800025001592793</v>
      </c>
      <c r="AL34" s="32">
        <v>24.071720210605875</v>
      </c>
      <c r="AM34" s="32">
        <v>14.9875893838453</v>
      </c>
      <c r="AN34" s="32">
        <v>3.5978035833366411</v>
      </c>
      <c r="AO34" s="32">
        <v>4.2078799397905806</v>
      </c>
      <c r="AP34" s="19">
        <v>0.92109038737446203</v>
      </c>
      <c r="AQ34" s="19">
        <v>0.77659574468085102</v>
      </c>
      <c r="AR34" s="19">
        <v>1.0502717391304348</v>
      </c>
      <c r="AS34" s="19">
        <v>-0.1185853587461199</v>
      </c>
      <c r="AT34" s="19">
        <v>-0.36476429279762024</v>
      </c>
      <c r="AU34" s="19">
        <v>7.0762647867834566E-2</v>
      </c>
      <c r="AV34" s="19">
        <v>-0.31627491143222047</v>
      </c>
      <c r="AW34" s="19">
        <v>-0.43258850978076996</v>
      </c>
      <c r="AX34" s="19">
        <v>-0.23298826636795836</v>
      </c>
      <c r="AY34" s="19">
        <v>-1.085669781931464</v>
      </c>
      <c r="AZ34" s="19">
        <v>-1.2876712328767124</v>
      </c>
      <c r="BA34" s="19">
        <v>1.0502717391304348</v>
      </c>
      <c r="BB34" s="19">
        <v>-1.2451114738546341</v>
      </c>
      <c r="BC34" s="19">
        <v>-1.3496529777625086</v>
      </c>
      <c r="BD34" s="19">
        <v>-1.1752667697788139</v>
      </c>
      <c r="BE34" s="14" t="s">
        <v>4857</v>
      </c>
    </row>
    <row r="35" spans="1:105" s="30" customFormat="1" ht="17.100000000000001" customHeight="1">
      <c r="A35" s="14">
        <v>24</v>
      </c>
      <c r="B35" s="14" t="s">
        <v>4780</v>
      </c>
      <c r="C35" s="32">
        <v>-1.3371595033747796</v>
      </c>
      <c r="D35" s="32">
        <v>1.0236988985087359</v>
      </c>
      <c r="E35" s="32">
        <v>-1.7196859445290886</v>
      </c>
      <c r="F35" s="42">
        <v>840164.5</v>
      </c>
      <c r="G35" s="52" t="s">
        <v>4894</v>
      </c>
      <c r="H35" s="32">
        <v>38.384996149531183</v>
      </c>
      <c r="I35" s="32">
        <v>67.376770715102936</v>
      </c>
      <c r="J35" s="12" t="s">
        <v>4773</v>
      </c>
      <c r="K35" s="12" t="s">
        <v>4774</v>
      </c>
      <c r="L35" s="14" t="s">
        <v>4976</v>
      </c>
      <c r="M35" s="12" t="s">
        <v>4775</v>
      </c>
      <c r="N35" s="15" t="s">
        <v>4776</v>
      </c>
      <c r="O35" s="12" t="s">
        <v>4777</v>
      </c>
      <c r="P35" s="12" t="s">
        <v>4781</v>
      </c>
      <c r="Q35" s="14">
        <v>5</v>
      </c>
      <c r="R35" s="21">
        <v>841.8193</v>
      </c>
      <c r="S35" s="14">
        <v>1</v>
      </c>
      <c r="T35" s="52" t="s">
        <v>4894</v>
      </c>
      <c r="U35" s="53">
        <v>65.263087499999997</v>
      </c>
      <c r="V35" s="42">
        <v>669790</v>
      </c>
      <c r="W35" s="42">
        <v>422182</v>
      </c>
      <c r="X35" s="42">
        <v>852565</v>
      </c>
      <c r="Y35" s="42">
        <v>827764</v>
      </c>
      <c r="Z35" s="42">
        <v>306725</v>
      </c>
      <c r="AA35" s="42">
        <v>864933</v>
      </c>
      <c r="AB35" s="42">
        <v>596063</v>
      </c>
      <c r="AC35" s="42">
        <v>610037</v>
      </c>
      <c r="AD35" s="42">
        <v>693075.25</v>
      </c>
      <c r="AE35" s="42">
        <v>594439.5</v>
      </c>
      <c r="AF35" s="42">
        <v>545986</v>
      </c>
      <c r="AG35" s="42">
        <v>840164.5</v>
      </c>
      <c r="AH35" s="42">
        <v>585829</v>
      </c>
      <c r="AI35" s="42">
        <v>603050</v>
      </c>
      <c r="AJ35" s="32">
        <v>28.555133220007562</v>
      </c>
      <c r="AK35" s="32">
        <v>38.384996149531183</v>
      </c>
      <c r="AL35" s="32">
        <v>32.067726255991666</v>
      </c>
      <c r="AM35" s="32">
        <v>2.0873240038358643</v>
      </c>
      <c r="AN35" s="32">
        <v>67.376770715102936</v>
      </c>
      <c r="AO35" s="32">
        <v>1.6385225371529417</v>
      </c>
      <c r="AP35" s="19">
        <v>0.85768392393178083</v>
      </c>
      <c r="AQ35" s="19">
        <v>1.0729743986109535</v>
      </c>
      <c r="AR35" s="19">
        <v>0.71777610217998977</v>
      </c>
      <c r="AS35" s="19">
        <v>-0.22148201521532979</v>
      </c>
      <c r="AT35" s="19">
        <v>0.10161565350575628</v>
      </c>
      <c r="AU35" s="19">
        <v>-0.47839420438920621</v>
      </c>
      <c r="AV35" s="19">
        <v>-0.41917156790143034</v>
      </c>
      <c r="AW35" s="19">
        <v>3.3791436522606577E-2</v>
      </c>
      <c r="AX35" s="19">
        <v>-0.78214511862499914</v>
      </c>
      <c r="AY35" s="19">
        <v>-1.165930679236491</v>
      </c>
      <c r="AZ35" s="19">
        <v>1.0729743986109535</v>
      </c>
      <c r="BA35" s="19">
        <v>-1.3931921067904818</v>
      </c>
      <c r="BB35" s="19">
        <v>-1.3371595033747796</v>
      </c>
      <c r="BC35" s="19">
        <v>1.0236988985087359</v>
      </c>
      <c r="BD35" s="19">
        <v>-1.7196859445290886</v>
      </c>
      <c r="BE35" s="14" t="s">
        <v>4857</v>
      </c>
    </row>
    <row r="36" spans="1:105" s="30" customFormat="1" ht="17.100000000000001" customHeight="1">
      <c r="A36" s="14">
        <v>25</v>
      </c>
      <c r="B36" s="14" t="s">
        <v>4782</v>
      </c>
      <c r="C36" s="32">
        <v>-1.3991525363395043</v>
      </c>
      <c r="D36" s="32">
        <v>-1.5586245493509667</v>
      </c>
      <c r="E36" s="32">
        <v>-1.3266291006327604</v>
      </c>
      <c r="F36" s="24">
        <v>90131.5</v>
      </c>
      <c r="G36" s="52" t="s">
        <v>2</v>
      </c>
      <c r="H36" s="32">
        <v>37.351475350631411</v>
      </c>
      <c r="I36" s="32">
        <v>18.305416302449199</v>
      </c>
      <c r="J36" s="12" t="s">
        <v>4656</v>
      </c>
      <c r="K36" s="15" t="s">
        <v>4657</v>
      </c>
      <c r="L36" s="14" t="s">
        <v>4658</v>
      </c>
      <c r="M36" s="12" t="s">
        <v>4659</v>
      </c>
      <c r="N36" s="15" t="s">
        <v>4660</v>
      </c>
      <c r="O36" s="12" t="s">
        <v>4661</v>
      </c>
      <c r="P36" s="12" t="s">
        <v>4663</v>
      </c>
      <c r="Q36" s="14">
        <v>3</v>
      </c>
      <c r="R36" s="21">
        <v>868.09760000000006</v>
      </c>
      <c r="S36" s="14">
        <v>1</v>
      </c>
      <c r="T36" s="52" t="s">
        <v>2</v>
      </c>
      <c r="U36" s="53">
        <v>64.254424999999998</v>
      </c>
      <c r="V36" s="24">
        <v>66453</v>
      </c>
      <c r="W36" s="24">
        <v>69176</v>
      </c>
      <c r="X36" s="24">
        <v>91754</v>
      </c>
      <c r="Y36" s="24">
        <v>88509</v>
      </c>
      <c r="Z36" s="24">
        <v>50821</v>
      </c>
      <c r="AA36" s="24">
        <v>40386</v>
      </c>
      <c r="AB36" s="24">
        <v>73007</v>
      </c>
      <c r="AC36" s="24">
        <v>94717</v>
      </c>
      <c r="AD36" s="24">
        <v>78973</v>
      </c>
      <c r="AE36" s="24">
        <v>64732.75</v>
      </c>
      <c r="AF36" s="24">
        <v>67814.5</v>
      </c>
      <c r="AG36" s="24">
        <v>90131.5</v>
      </c>
      <c r="AH36" s="24">
        <v>45603.5</v>
      </c>
      <c r="AI36" s="24">
        <v>83862</v>
      </c>
      <c r="AJ36" s="32">
        <v>16.461660960161247</v>
      </c>
      <c r="AK36" s="32">
        <v>37.351475350631411</v>
      </c>
      <c r="AL36" s="32">
        <v>2.8392921354149463</v>
      </c>
      <c r="AM36" s="32">
        <v>2.5457930966979876</v>
      </c>
      <c r="AN36" s="32">
        <v>16.180028422558845</v>
      </c>
      <c r="AO36" s="32">
        <v>18.305416302449199</v>
      </c>
      <c r="AP36" s="19">
        <v>0.81968204322996463</v>
      </c>
      <c r="AQ36" s="19">
        <v>0.67247417587684055</v>
      </c>
      <c r="AR36" s="19">
        <v>0.93044052301359681</v>
      </c>
      <c r="AS36" s="19">
        <v>-0.28686370175681442</v>
      </c>
      <c r="AT36" s="19">
        <v>-0.57244922803558873</v>
      </c>
      <c r="AU36" s="19">
        <v>-0.10401416372794141</v>
      </c>
      <c r="AV36" s="19">
        <v>-0.48455325444291497</v>
      </c>
      <c r="AW36" s="19">
        <v>-0.6402734450187384</v>
      </c>
      <c r="AX36" s="19">
        <v>-0.40776507796373435</v>
      </c>
      <c r="AY36" s="19">
        <v>-1.2199852470349244</v>
      </c>
      <c r="AZ36" s="19">
        <v>-1.4870459504204721</v>
      </c>
      <c r="BA36" s="19">
        <v>-1.0747597243089837</v>
      </c>
      <c r="BB36" s="19">
        <v>-1.3991525363395043</v>
      </c>
      <c r="BC36" s="19">
        <v>-1.5586245493509667</v>
      </c>
      <c r="BD36" s="19">
        <v>-1.3266291006327604</v>
      </c>
      <c r="BE36" s="14" t="s">
        <v>4857</v>
      </c>
    </row>
    <row r="37" spans="1:105" s="30" customFormat="1" ht="17.100000000000001" customHeight="1">
      <c r="A37" s="14">
        <v>26</v>
      </c>
      <c r="B37" s="14" t="s">
        <v>4664</v>
      </c>
      <c r="C37" s="32">
        <v>1.044455114429564</v>
      </c>
      <c r="D37" s="32">
        <v>1.0936359973472283</v>
      </c>
      <c r="E37" s="32">
        <v>1.0226914151763793</v>
      </c>
      <c r="F37" s="33">
        <v>50144.5</v>
      </c>
      <c r="G37" s="52" t="s">
        <v>2</v>
      </c>
      <c r="H37" s="32">
        <v>20.682513415387184</v>
      </c>
      <c r="I37" s="32">
        <v>20.070967075455442</v>
      </c>
      <c r="J37" s="12" t="s">
        <v>4656</v>
      </c>
      <c r="K37" s="15" t="s">
        <v>4657</v>
      </c>
      <c r="L37" s="14" t="s">
        <v>5273</v>
      </c>
      <c r="M37" s="12" t="s">
        <v>4659</v>
      </c>
      <c r="N37" s="15" t="s">
        <v>4660</v>
      </c>
      <c r="O37" s="12" t="s">
        <v>4661</v>
      </c>
      <c r="P37" s="12" t="s">
        <v>4665</v>
      </c>
      <c r="Q37" s="14">
        <v>3</v>
      </c>
      <c r="R37" s="21">
        <v>729.72159999999997</v>
      </c>
      <c r="S37" s="14">
        <v>6</v>
      </c>
      <c r="T37" s="52" t="s">
        <v>2</v>
      </c>
      <c r="U37" s="53">
        <v>37.488325000000003</v>
      </c>
      <c r="V37" s="33">
        <v>49954</v>
      </c>
      <c r="W37" s="33">
        <v>37537</v>
      </c>
      <c r="X37" s="33">
        <v>39687</v>
      </c>
      <c r="Y37" s="33">
        <v>30244</v>
      </c>
      <c r="Z37" s="33">
        <v>53852</v>
      </c>
      <c r="AA37" s="33">
        <v>46437</v>
      </c>
      <c r="AB37" s="33">
        <v>39605</v>
      </c>
      <c r="AC37" s="33">
        <v>48673</v>
      </c>
      <c r="AD37" s="33">
        <v>39355.5</v>
      </c>
      <c r="AE37" s="33">
        <v>47141.75</v>
      </c>
      <c r="AF37" s="33">
        <v>43745.5</v>
      </c>
      <c r="AG37" s="33">
        <v>34965.5</v>
      </c>
      <c r="AH37" s="33">
        <v>50144.5</v>
      </c>
      <c r="AI37" s="33">
        <v>44139</v>
      </c>
      <c r="AJ37" s="32">
        <v>20.682513415387184</v>
      </c>
      <c r="AK37" s="32">
        <v>12.529905694206697</v>
      </c>
      <c r="AL37" s="32">
        <v>20.070967075455442</v>
      </c>
      <c r="AM37" s="32">
        <v>19.096564713058779</v>
      </c>
      <c r="AN37" s="32">
        <v>10.456175218614703</v>
      </c>
      <c r="AO37" s="32">
        <v>14.526936024376658</v>
      </c>
      <c r="AP37" s="19">
        <v>1.1978440116375093</v>
      </c>
      <c r="AQ37" s="19">
        <v>1.1462779028700094</v>
      </c>
      <c r="AR37" s="19">
        <v>1.2623586106304787</v>
      </c>
      <c r="AS37" s="19">
        <v>0.26044004644937191</v>
      </c>
      <c r="AT37" s="19">
        <v>0.19695685254856046</v>
      </c>
      <c r="AU37" s="19">
        <v>0.33612180911970813</v>
      </c>
      <c r="AV37" s="19">
        <v>6.2750493763271353E-2</v>
      </c>
      <c r="AW37" s="19">
        <v>0.12913263556541077</v>
      </c>
      <c r="AX37" s="19">
        <v>3.2370894883915202E-2</v>
      </c>
      <c r="AY37" s="19">
        <v>1.1978440116375093</v>
      </c>
      <c r="AZ37" s="19">
        <v>1.1462779028700094</v>
      </c>
      <c r="BA37" s="19">
        <v>1.2623586106304787</v>
      </c>
      <c r="BB37" s="19">
        <v>1.044455114429564</v>
      </c>
      <c r="BC37" s="19">
        <v>1.0936359973472283</v>
      </c>
      <c r="BD37" s="19">
        <v>1.0226914151763793</v>
      </c>
      <c r="BE37" s="14" t="s">
        <v>4857</v>
      </c>
    </row>
    <row r="38" spans="1:105" s="30" customFormat="1" ht="17.100000000000001" customHeight="1">
      <c r="A38" s="14">
        <v>27</v>
      </c>
      <c r="B38" s="14" t="s">
        <v>4666</v>
      </c>
      <c r="C38" s="32">
        <v>1.044455114429564</v>
      </c>
      <c r="D38" s="32">
        <v>1.0936359973472283</v>
      </c>
      <c r="E38" s="32">
        <v>1.0226914151763793</v>
      </c>
      <c r="F38" s="33">
        <v>50144.5</v>
      </c>
      <c r="G38" s="52" t="s">
        <v>2</v>
      </c>
      <c r="H38" s="32">
        <v>20.682513415387184</v>
      </c>
      <c r="I38" s="32">
        <v>20.070967075455442</v>
      </c>
      <c r="J38" s="12" t="s">
        <v>4656</v>
      </c>
      <c r="K38" s="15" t="s">
        <v>4657</v>
      </c>
      <c r="L38" s="14" t="s">
        <v>4667</v>
      </c>
      <c r="M38" s="12" t="s">
        <v>4659</v>
      </c>
      <c r="N38" s="15" t="s">
        <v>4660</v>
      </c>
      <c r="O38" s="12" t="s">
        <v>4661</v>
      </c>
      <c r="P38" s="12" t="s">
        <v>4668</v>
      </c>
      <c r="Q38" s="14">
        <v>3</v>
      </c>
      <c r="R38" s="21">
        <v>729.72159999999997</v>
      </c>
      <c r="S38" s="14">
        <v>1</v>
      </c>
      <c r="T38" s="52" t="s">
        <v>2</v>
      </c>
      <c r="U38" s="53">
        <v>37.488325000000003</v>
      </c>
      <c r="V38" s="33">
        <v>49954</v>
      </c>
      <c r="W38" s="33">
        <v>37537</v>
      </c>
      <c r="X38" s="33">
        <v>39687</v>
      </c>
      <c r="Y38" s="33">
        <v>30244</v>
      </c>
      <c r="Z38" s="33">
        <v>53852</v>
      </c>
      <c r="AA38" s="33">
        <v>46437</v>
      </c>
      <c r="AB38" s="33">
        <v>39605</v>
      </c>
      <c r="AC38" s="33">
        <v>48673</v>
      </c>
      <c r="AD38" s="33">
        <v>39355.5</v>
      </c>
      <c r="AE38" s="33">
        <v>47141.75</v>
      </c>
      <c r="AF38" s="33">
        <v>43745.5</v>
      </c>
      <c r="AG38" s="33">
        <v>34965.5</v>
      </c>
      <c r="AH38" s="33">
        <v>50144.5</v>
      </c>
      <c r="AI38" s="33">
        <v>44139</v>
      </c>
      <c r="AJ38" s="32">
        <v>20.682513415387184</v>
      </c>
      <c r="AK38" s="32">
        <v>12.529905694206697</v>
      </c>
      <c r="AL38" s="32">
        <v>20.070967075455442</v>
      </c>
      <c r="AM38" s="32">
        <v>19.096564713058779</v>
      </c>
      <c r="AN38" s="32">
        <v>10.456175218614703</v>
      </c>
      <c r="AO38" s="32">
        <v>14.526936024376658</v>
      </c>
      <c r="AP38" s="19">
        <v>1.1978440116375093</v>
      </c>
      <c r="AQ38" s="19">
        <v>1.1462779028700094</v>
      </c>
      <c r="AR38" s="19">
        <v>1.2623586106304787</v>
      </c>
      <c r="AS38" s="19">
        <v>0.26044004644937191</v>
      </c>
      <c r="AT38" s="19">
        <v>0.19695685254856046</v>
      </c>
      <c r="AU38" s="19">
        <v>0.33612180911970813</v>
      </c>
      <c r="AV38" s="19">
        <v>6.2750493763271353E-2</v>
      </c>
      <c r="AW38" s="19">
        <v>0.12913263556541077</v>
      </c>
      <c r="AX38" s="19">
        <v>3.2370894883915202E-2</v>
      </c>
      <c r="AY38" s="19">
        <v>1.1978440116375093</v>
      </c>
      <c r="AZ38" s="19">
        <v>1.1462779028700094</v>
      </c>
      <c r="BA38" s="19">
        <v>1.2623586106304787</v>
      </c>
      <c r="BB38" s="19">
        <v>1.044455114429564</v>
      </c>
      <c r="BC38" s="19">
        <v>1.0936359973472283</v>
      </c>
      <c r="BD38" s="19">
        <v>1.0226914151763793</v>
      </c>
      <c r="BE38" s="14" t="s">
        <v>4857</v>
      </c>
    </row>
    <row r="39" spans="1:105" s="30" customFormat="1" ht="17.100000000000001" customHeight="1">
      <c r="A39" s="14">
        <v>28</v>
      </c>
      <c r="B39" s="14" t="s">
        <v>4669</v>
      </c>
      <c r="C39" s="32">
        <v>1.044455114429564</v>
      </c>
      <c r="D39" s="32">
        <v>1.0936359973472283</v>
      </c>
      <c r="E39" s="32">
        <v>1.0226914151763793</v>
      </c>
      <c r="F39" s="33">
        <v>50144.5</v>
      </c>
      <c r="G39" s="52" t="s">
        <v>2</v>
      </c>
      <c r="H39" s="32">
        <v>20.682513415387184</v>
      </c>
      <c r="I39" s="32">
        <v>20.070967075455442</v>
      </c>
      <c r="J39" s="12" t="s">
        <v>4656</v>
      </c>
      <c r="K39" s="15" t="s">
        <v>4657</v>
      </c>
      <c r="L39" s="14" t="s">
        <v>4670</v>
      </c>
      <c r="M39" s="12" t="s">
        <v>4659</v>
      </c>
      <c r="N39" s="15" t="s">
        <v>4660</v>
      </c>
      <c r="O39" s="12" t="s">
        <v>4661</v>
      </c>
      <c r="P39" s="12" t="s">
        <v>4671</v>
      </c>
      <c r="Q39" s="14">
        <v>3</v>
      </c>
      <c r="R39" s="21">
        <v>729.72159999999997</v>
      </c>
      <c r="S39" s="14">
        <v>1</v>
      </c>
      <c r="T39" s="52" t="s">
        <v>2</v>
      </c>
      <c r="U39" s="53">
        <v>37.488325000000003</v>
      </c>
      <c r="V39" s="33">
        <v>49954</v>
      </c>
      <c r="W39" s="33">
        <v>37537</v>
      </c>
      <c r="X39" s="33">
        <v>39687</v>
      </c>
      <c r="Y39" s="33">
        <v>30244</v>
      </c>
      <c r="Z39" s="33">
        <v>53852</v>
      </c>
      <c r="AA39" s="33">
        <v>46437</v>
      </c>
      <c r="AB39" s="33">
        <v>39605</v>
      </c>
      <c r="AC39" s="33">
        <v>48673</v>
      </c>
      <c r="AD39" s="33">
        <v>39355.5</v>
      </c>
      <c r="AE39" s="33">
        <v>47141.75</v>
      </c>
      <c r="AF39" s="33">
        <v>43745.5</v>
      </c>
      <c r="AG39" s="33">
        <v>34965.5</v>
      </c>
      <c r="AH39" s="33">
        <v>50144.5</v>
      </c>
      <c r="AI39" s="33">
        <v>44139</v>
      </c>
      <c r="AJ39" s="32">
        <v>20.682513415387184</v>
      </c>
      <c r="AK39" s="32">
        <v>12.529905694206697</v>
      </c>
      <c r="AL39" s="32">
        <v>20.070967075455442</v>
      </c>
      <c r="AM39" s="32">
        <v>19.096564713058779</v>
      </c>
      <c r="AN39" s="32">
        <v>10.456175218614703</v>
      </c>
      <c r="AO39" s="32">
        <v>14.526936024376658</v>
      </c>
      <c r="AP39" s="19">
        <v>1.1978440116375093</v>
      </c>
      <c r="AQ39" s="19">
        <v>1.1462779028700094</v>
      </c>
      <c r="AR39" s="19">
        <v>1.2623586106304787</v>
      </c>
      <c r="AS39" s="19">
        <v>0.26044004644937191</v>
      </c>
      <c r="AT39" s="19">
        <v>0.19695685254856046</v>
      </c>
      <c r="AU39" s="19">
        <v>0.33612180911970813</v>
      </c>
      <c r="AV39" s="19">
        <v>6.2750493763271353E-2</v>
      </c>
      <c r="AW39" s="19">
        <v>0.12913263556541077</v>
      </c>
      <c r="AX39" s="19">
        <v>3.2370894883915202E-2</v>
      </c>
      <c r="AY39" s="19">
        <v>1.1978440116375093</v>
      </c>
      <c r="AZ39" s="19">
        <v>1.1462779028700094</v>
      </c>
      <c r="BA39" s="19">
        <v>1.2623586106304787</v>
      </c>
      <c r="BB39" s="19">
        <v>1.044455114429564</v>
      </c>
      <c r="BC39" s="19">
        <v>1.0936359973472283</v>
      </c>
      <c r="BD39" s="19">
        <v>1.0226914151763793</v>
      </c>
      <c r="BE39" s="14" t="s">
        <v>4857</v>
      </c>
    </row>
    <row r="40" spans="1:105" s="30" customFormat="1" ht="17.100000000000001" customHeight="1">
      <c r="A40" s="14">
        <v>29</v>
      </c>
      <c r="B40" s="14" t="s">
        <v>4672</v>
      </c>
      <c r="C40" s="32">
        <v>1.1121319085604178</v>
      </c>
      <c r="D40" s="32">
        <v>-1.0189660155067906</v>
      </c>
      <c r="E40" s="32">
        <v>1.2367470313031108</v>
      </c>
      <c r="F40" s="39">
        <v>100487</v>
      </c>
      <c r="G40" s="52" t="s">
        <v>2</v>
      </c>
      <c r="H40" s="32">
        <v>25.553515731961461</v>
      </c>
      <c r="I40" s="32">
        <v>44.52436288130653</v>
      </c>
      <c r="J40" s="12" t="s">
        <v>4673</v>
      </c>
      <c r="K40" s="15" t="s">
        <v>4674</v>
      </c>
      <c r="L40" s="14" t="s">
        <v>4675</v>
      </c>
      <c r="M40" s="12" t="s">
        <v>4676</v>
      </c>
      <c r="N40" s="15" t="s">
        <v>4677</v>
      </c>
      <c r="O40" s="12" t="s">
        <v>4678</v>
      </c>
      <c r="P40" s="12" t="s">
        <v>4679</v>
      </c>
      <c r="Q40" s="14">
        <v>2</v>
      </c>
      <c r="R40" s="21">
        <v>810.40650000000005</v>
      </c>
      <c r="S40" s="14">
        <v>18</v>
      </c>
      <c r="T40" s="52" t="s">
        <v>2</v>
      </c>
      <c r="U40" s="53">
        <v>36.258349999999993</v>
      </c>
      <c r="V40" s="39">
        <v>65679</v>
      </c>
      <c r="W40" s="39">
        <v>68256</v>
      </c>
      <c r="X40" s="39">
        <v>45101</v>
      </c>
      <c r="Y40" s="39">
        <v>86549</v>
      </c>
      <c r="Z40" s="39">
        <v>67805</v>
      </c>
      <c r="AA40" s="39">
        <v>69964</v>
      </c>
      <c r="AB40" s="39">
        <v>93037</v>
      </c>
      <c r="AC40" s="39">
        <v>107937</v>
      </c>
      <c r="AD40" s="39">
        <v>66396.25</v>
      </c>
      <c r="AE40" s="39">
        <v>84685.75</v>
      </c>
      <c r="AF40" s="39">
        <v>66967.5</v>
      </c>
      <c r="AG40" s="39">
        <v>65825</v>
      </c>
      <c r="AH40" s="39">
        <v>68884.5</v>
      </c>
      <c r="AI40" s="39">
        <v>100487</v>
      </c>
      <c r="AJ40" s="32">
        <v>25.553515731961461</v>
      </c>
      <c r="AK40" s="32">
        <v>22.734840089091062</v>
      </c>
      <c r="AL40" s="32">
        <v>2.7210425581330244</v>
      </c>
      <c r="AM40" s="32">
        <v>44.52436288130653</v>
      </c>
      <c r="AN40" s="32">
        <v>2.2162366578573645</v>
      </c>
      <c r="AO40" s="32">
        <v>10.484829917979001</v>
      </c>
      <c r="AP40" s="19">
        <v>1.2754598339514656</v>
      </c>
      <c r="AQ40" s="19">
        <v>1.028625825960354</v>
      </c>
      <c r="AR40" s="19">
        <v>1.5265780478541588</v>
      </c>
      <c r="AS40" s="19">
        <v>0.3510174671321174</v>
      </c>
      <c r="AT40" s="19">
        <v>4.0718281355204777E-2</v>
      </c>
      <c r="AU40" s="19">
        <v>0.61030135068044289</v>
      </c>
      <c r="AV40" s="19">
        <v>0.15332791444601684</v>
      </c>
      <c r="AW40" s="19">
        <v>-2.710593562794493E-2</v>
      </c>
      <c r="AX40" s="19">
        <v>0.30655043644464997</v>
      </c>
      <c r="AY40" s="19">
        <v>1.2754598339514656</v>
      </c>
      <c r="AZ40" s="19">
        <v>1.028625825960354</v>
      </c>
      <c r="BA40" s="19">
        <v>1.5265780478541588</v>
      </c>
      <c r="BB40" s="19">
        <v>1.1121319085604178</v>
      </c>
      <c r="BC40" s="19">
        <v>-1.0189660155067906</v>
      </c>
      <c r="BD40" s="19">
        <v>1.2367470313031108</v>
      </c>
      <c r="BE40" s="14" t="s">
        <v>4857</v>
      </c>
    </row>
    <row r="41" spans="1:105" s="30" customFormat="1" ht="17.100000000000001" customHeight="1">
      <c r="A41" s="14">
        <v>30</v>
      </c>
      <c r="B41" s="14" t="s">
        <v>4683</v>
      </c>
      <c r="C41" s="32">
        <v>1.1121319085604178</v>
      </c>
      <c r="D41" s="32">
        <v>-1.0189660155067906</v>
      </c>
      <c r="E41" s="32">
        <v>1.2367470313031108</v>
      </c>
      <c r="F41" s="39">
        <v>100487</v>
      </c>
      <c r="G41" s="52" t="s">
        <v>2</v>
      </c>
      <c r="H41" s="32">
        <v>25.553515731961461</v>
      </c>
      <c r="I41" s="32">
        <v>44.52436288130653</v>
      </c>
      <c r="J41" s="12" t="s">
        <v>4673</v>
      </c>
      <c r="K41" s="15" t="s">
        <v>4674</v>
      </c>
      <c r="L41" s="14" t="s">
        <v>4670</v>
      </c>
      <c r="M41" s="12" t="s">
        <v>4676</v>
      </c>
      <c r="N41" s="15" t="s">
        <v>4677</v>
      </c>
      <c r="O41" s="12" t="s">
        <v>4678</v>
      </c>
      <c r="P41" s="12" t="s">
        <v>4684</v>
      </c>
      <c r="Q41" s="14">
        <v>2</v>
      </c>
      <c r="R41" s="21">
        <v>810.40650000000005</v>
      </c>
      <c r="S41" s="14">
        <v>1</v>
      </c>
      <c r="T41" s="52" t="s">
        <v>2</v>
      </c>
      <c r="U41" s="53">
        <v>36.258349999999993</v>
      </c>
      <c r="V41" s="39">
        <v>65679</v>
      </c>
      <c r="W41" s="39">
        <v>68256</v>
      </c>
      <c r="X41" s="39">
        <v>45101</v>
      </c>
      <c r="Y41" s="39">
        <v>86549</v>
      </c>
      <c r="Z41" s="39">
        <v>67805</v>
      </c>
      <c r="AA41" s="39">
        <v>69964</v>
      </c>
      <c r="AB41" s="39">
        <v>93037</v>
      </c>
      <c r="AC41" s="39">
        <v>107937</v>
      </c>
      <c r="AD41" s="39">
        <v>66396.25</v>
      </c>
      <c r="AE41" s="39">
        <v>84685.75</v>
      </c>
      <c r="AF41" s="39">
        <v>66967.5</v>
      </c>
      <c r="AG41" s="39">
        <v>65825</v>
      </c>
      <c r="AH41" s="39">
        <v>68884.5</v>
      </c>
      <c r="AI41" s="39">
        <v>100487</v>
      </c>
      <c r="AJ41" s="32">
        <v>25.553515731961461</v>
      </c>
      <c r="AK41" s="32">
        <v>22.734840089091062</v>
      </c>
      <c r="AL41" s="32">
        <v>2.7210425581330244</v>
      </c>
      <c r="AM41" s="32">
        <v>44.52436288130653</v>
      </c>
      <c r="AN41" s="32">
        <v>2.2162366578573645</v>
      </c>
      <c r="AO41" s="32">
        <v>10.484829917979001</v>
      </c>
      <c r="AP41" s="19">
        <v>1.2754598339514656</v>
      </c>
      <c r="AQ41" s="19">
        <v>1.028625825960354</v>
      </c>
      <c r="AR41" s="19">
        <v>1.5265780478541588</v>
      </c>
      <c r="AS41" s="19">
        <v>0.3510174671321174</v>
      </c>
      <c r="AT41" s="19">
        <v>4.0718281355204777E-2</v>
      </c>
      <c r="AU41" s="19">
        <v>0.61030135068044289</v>
      </c>
      <c r="AV41" s="19">
        <v>0.15332791444601684</v>
      </c>
      <c r="AW41" s="19">
        <v>-2.710593562794493E-2</v>
      </c>
      <c r="AX41" s="19">
        <v>0.30655043644464997</v>
      </c>
      <c r="AY41" s="19">
        <v>1.2754598339514656</v>
      </c>
      <c r="AZ41" s="19">
        <v>1.028625825960354</v>
      </c>
      <c r="BA41" s="19">
        <v>1.5265780478541588</v>
      </c>
      <c r="BB41" s="19">
        <v>1.1121319085604178</v>
      </c>
      <c r="BC41" s="19">
        <v>-1.0189660155067906</v>
      </c>
      <c r="BD41" s="19">
        <v>1.2367470313031108</v>
      </c>
      <c r="BE41" s="14" t="s">
        <v>4857</v>
      </c>
    </row>
    <row r="42" spans="1:105" s="30" customFormat="1" ht="17.100000000000001" customHeight="1">
      <c r="A42" s="14">
        <v>31</v>
      </c>
      <c r="B42" s="14" t="s">
        <v>4685</v>
      </c>
      <c r="C42" s="32">
        <v>1.0082311842612175</v>
      </c>
      <c r="D42" s="32">
        <v>-1.0293701695004416</v>
      </c>
      <c r="E42" s="32">
        <v>1.062326093826476</v>
      </c>
      <c r="F42" s="24">
        <v>691309</v>
      </c>
      <c r="G42" s="52" t="s">
        <v>2</v>
      </c>
      <c r="H42" s="32">
        <v>13.843310294838714</v>
      </c>
      <c r="I42" s="32">
        <v>18.345259447357414</v>
      </c>
      <c r="J42" s="12" t="s">
        <v>4686</v>
      </c>
      <c r="K42" s="15" t="s">
        <v>4687</v>
      </c>
      <c r="L42" s="14" t="s">
        <v>4675</v>
      </c>
      <c r="M42" s="12" t="s">
        <v>4688</v>
      </c>
      <c r="N42" s="15" t="s">
        <v>4689</v>
      </c>
      <c r="O42" s="12" t="s">
        <v>4690</v>
      </c>
      <c r="P42" s="12" t="s">
        <v>4691</v>
      </c>
      <c r="Q42" s="14">
        <v>2</v>
      </c>
      <c r="R42" s="21">
        <v>703.35320000000002</v>
      </c>
      <c r="S42" s="14">
        <v>29</v>
      </c>
      <c r="T42" s="52" t="s">
        <v>2</v>
      </c>
      <c r="U42" s="53">
        <v>26.636200000000002</v>
      </c>
      <c r="V42" s="24">
        <v>526428</v>
      </c>
      <c r="W42" s="24">
        <v>657113</v>
      </c>
      <c r="X42" s="24">
        <v>555135</v>
      </c>
      <c r="Y42" s="24">
        <v>499267</v>
      </c>
      <c r="Z42" s="24">
        <v>609654</v>
      </c>
      <c r="AA42" s="24">
        <v>595462</v>
      </c>
      <c r="AB42" s="24">
        <v>780986</v>
      </c>
      <c r="AC42" s="24">
        <v>601632</v>
      </c>
      <c r="AD42" s="24">
        <v>559485.75</v>
      </c>
      <c r="AE42" s="24">
        <v>646933.5</v>
      </c>
      <c r="AF42" s="24">
        <v>591770.5</v>
      </c>
      <c r="AG42" s="24">
        <v>527201</v>
      </c>
      <c r="AH42" s="24">
        <v>602558</v>
      </c>
      <c r="AI42" s="24">
        <v>691309</v>
      </c>
      <c r="AJ42" s="32">
        <v>12.326760651145138</v>
      </c>
      <c r="AK42" s="32">
        <v>13.843310294838714</v>
      </c>
      <c r="AL42" s="32">
        <v>15.615555303849039</v>
      </c>
      <c r="AM42" s="32">
        <v>7.4932789678566687</v>
      </c>
      <c r="AN42" s="32">
        <v>1.6654429015297252</v>
      </c>
      <c r="AO42" s="32">
        <v>18.345259447357414</v>
      </c>
      <c r="AP42" s="19">
        <v>1.1563002274856866</v>
      </c>
      <c r="AQ42" s="19">
        <v>1.0182291952708018</v>
      </c>
      <c r="AR42" s="19">
        <v>1.31128165538381</v>
      </c>
      <c r="AS42" s="19">
        <v>0.20951603492249987</v>
      </c>
      <c r="AT42" s="19">
        <v>2.6062337114443255E-2</v>
      </c>
      <c r="AU42" s="19">
        <v>0.39097760103056345</v>
      </c>
      <c r="AV42" s="19">
        <v>1.1826482236399316E-2</v>
      </c>
      <c r="AW42" s="19">
        <v>-4.1761879868706456E-2</v>
      </c>
      <c r="AX42" s="19">
        <v>8.7226686794770525E-2</v>
      </c>
      <c r="AY42" s="19">
        <v>1.1563002274856866</v>
      </c>
      <c r="AZ42" s="19">
        <v>1.0182291952708018</v>
      </c>
      <c r="BA42" s="19">
        <v>1.31128165538381</v>
      </c>
      <c r="BB42" s="19">
        <v>1.0082311842612175</v>
      </c>
      <c r="BC42" s="19">
        <v>-1.0293701695004416</v>
      </c>
      <c r="BD42" s="19">
        <v>1.062326093826476</v>
      </c>
      <c r="BE42" s="14" t="s">
        <v>4857</v>
      </c>
    </row>
    <row r="43" spans="1:105" s="30" customFormat="1" ht="17.100000000000001" customHeight="1">
      <c r="A43" s="14">
        <v>32</v>
      </c>
      <c r="B43" s="14" t="s">
        <v>4697</v>
      </c>
      <c r="C43" s="32">
        <v>-1.6071475265576676</v>
      </c>
      <c r="D43" s="32">
        <v>-1.6204146394287073</v>
      </c>
      <c r="E43" s="32">
        <v>-1.5463813232104975</v>
      </c>
      <c r="F43" s="24">
        <v>306244.5</v>
      </c>
      <c r="G43" s="52" t="s">
        <v>2</v>
      </c>
      <c r="H43" s="32">
        <v>22.88296088393815</v>
      </c>
      <c r="I43" s="32">
        <v>27.76370633609767</v>
      </c>
      <c r="J43" s="12" t="s">
        <v>4686</v>
      </c>
      <c r="K43" s="15" t="s">
        <v>4687</v>
      </c>
      <c r="L43" s="14" t="s">
        <v>4670</v>
      </c>
      <c r="M43" s="12" t="s">
        <v>4688</v>
      </c>
      <c r="N43" s="15" t="s">
        <v>4689</v>
      </c>
      <c r="O43" s="12" t="s">
        <v>4690</v>
      </c>
      <c r="P43" s="12" t="s">
        <v>4698</v>
      </c>
      <c r="Q43" s="14">
        <v>2</v>
      </c>
      <c r="R43" s="21">
        <v>711.35069999999996</v>
      </c>
      <c r="S43" s="14">
        <v>5</v>
      </c>
      <c r="T43" s="52" t="s">
        <v>2</v>
      </c>
      <c r="U43" s="53">
        <v>23.05</v>
      </c>
      <c r="V43" s="24">
        <v>251530</v>
      </c>
      <c r="W43" s="24">
        <v>360959</v>
      </c>
      <c r="X43" s="24">
        <v>213111</v>
      </c>
      <c r="Y43" s="24">
        <v>270178</v>
      </c>
      <c r="Z43" s="24">
        <v>226692</v>
      </c>
      <c r="AA43" s="24">
        <v>169485</v>
      </c>
      <c r="AB43" s="24">
        <v>155018</v>
      </c>
      <c r="AC43" s="24">
        <v>230752</v>
      </c>
      <c r="AD43" s="24">
        <v>273944.5</v>
      </c>
      <c r="AE43" s="24">
        <v>195486.75</v>
      </c>
      <c r="AF43" s="24">
        <v>306244.5</v>
      </c>
      <c r="AG43" s="24">
        <v>241644.5</v>
      </c>
      <c r="AH43" s="24">
        <v>198088.5</v>
      </c>
      <c r="AI43" s="24">
        <v>192885</v>
      </c>
      <c r="AJ43" s="32">
        <v>22.88296088393815</v>
      </c>
      <c r="AK43" s="32">
        <v>19.880597790510059</v>
      </c>
      <c r="AL43" s="32">
        <v>25.266735552299778</v>
      </c>
      <c r="AM43" s="32">
        <v>16.699102475733032</v>
      </c>
      <c r="AN43" s="32">
        <v>20.42090158254458</v>
      </c>
      <c r="AO43" s="32">
        <v>27.76370633609767</v>
      </c>
      <c r="AP43" s="19">
        <v>0.71359983500307544</v>
      </c>
      <c r="AQ43" s="19">
        <v>0.64683120839721198</v>
      </c>
      <c r="AR43" s="19">
        <v>0.79821804344812319</v>
      </c>
      <c r="AS43" s="19">
        <v>-0.48681281320575948</v>
      </c>
      <c r="AT43" s="19">
        <v>-0.62853880705645004</v>
      </c>
      <c r="AU43" s="19">
        <v>-0.32514520403753577</v>
      </c>
      <c r="AV43" s="19">
        <v>-0.68450236589186009</v>
      </c>
      <c r="AW43" s="19">
        <v>-0.69636302403959971</v>
      </c>
      <c r="AX43" s="19">
        <v>-0.6288961182733287</v>
      </c>
      <c r="AY43" s="19">
        <v>-1.4013456154956794</v>
      </c>
      <c r="AZ43" s="19">
        <v>-1.5459983795121879</v>
      </c>
      <c r="BA43" s="19">
        <v>-1.252790522850403</v>
      </c>
      <c r="BB43" s="19">
        <v>-1.6071475265576676</v>
      </c>
      <c r="BC43" s="19">
        <v>-1.6204146394287073</v>
      </c>
      <c r="BD43" s="19">
        <v>-1.5463813232104975</v>
      </c>
      <c r="BE43" s="14" t="s">
        <v>4857</v>
      </c>
    </row>
    <row r="44" spans="1:105" s="30" customFormat="1" ht="17.100000000000001" customHeight="1">
      <c r="A44" s="14">
        <v>33</v>
      </c>
      <c r="B44" s="14" t="s">
        <v>4708</v>
      </c>
      <c r="C44" s="32">
        <v>1.0371927923599233</v>
      </c>
      <c r="D44" s="32">
        <v>1.3008537818017538</v>
      </c>
      <c r="E44" s="32">
        <v>-1.1398650902617555</v>
      </c>
      <c r="F44" s="24">
        <v>387284</v>
      </c>
      <c r="G44" s="52" t="s">
        <v>2</v>
      </c>
      <c r="H44" s="32">
        <v>27.860621199291923</v>
      </c>
      <c r="I44" s="32">
        <v>14.553829336320181</v>
      </c>
      <c r="J44" s="12" t="s">
        <v>4702</v>
      </c>
      <c r="K44" s="15" t="s">
        <v>4703</v>
      </c>
      <c r="L44" s="14" t="s">
        <v>5170</v>
      </c>
      <c r="M44" s="12" t="s">
        <v>4704</v>
      </c>
      <c r="N44" s="15" t="s">
        <v>4705</v>
      </c>
      <c r="O44" s="12" t="s">
        <v>4706</v>
      </c>
      <c r="P44" s="12" t="s">
        <v>4707</v>
      </c>
      <c r="Q44" s="14">
        <v>3</v>
      </c>
      <c r="R44" s="21">
        <v>675.03480000000002</v>
      </c>
      <c r="S44" s="14">
        <v>5</v>
      </c>
      <c r="T44" s="52" t="s">
        <v>2</v>
      </c>
      <c r="U44" s="53">
        <v>82.314050000000009</v>
      </c>
      <c r="V44" s="24">
        <v>227137</v>
      </c>
      <c r="W44" s="24">
        <v>211287</v>
      </c>
      <c r="X44" s="24">
        <v>351152</v>
      </c>
      <c r="Y44" s="24">
        <v>364126</v>
      </c>
      <c r="Z44" s="24">
        <v>329648</v>
      </c>
      <c r="AA44" s="24">
        <v>268130</v>
      </c>
      <c r="AB44" s="24">
        <v>417544</v>
      </c>
      <c r="AC44" s="24">
        <v>357024</v>
      </c>
      <c r="AD44" s="24">
        <v>288425.5</v>
      </c>
      <c r="AE44" s="24">
        <v>343086.5</v>
      </c>
      <c r="AF44" s="24">
        <v>219212</v>
      </c>
      <c r="AG44" s="24">
        <v>357639</v>
      </c>
      <c r="AH44" s="24">
        <v>298889</v>
      </c>
      <c r="AI44" s="24">
        <v>387284</v>
      </c>
      <c r="AJ44" s="32">
        <v>27.860621199291923</v>
      </c>
      <c r="AK44" s="32">
        <v>18.075352287108338</v>
      </c>
      <c r="AL44" s="32">
        <v>5.1126956926659028</v>
      </c>
      <c r="AM44" s="32">
        <v>2.5651574294510016</v>
      </c>
      <c r="AN44" s="32">
        <v>14.553829336320181</v>
      </c>
      <c r="AO44" s="32">
        <v>11.049798700026301</v>
      </c>
      <c r="AP44" s="19">
        <v>1.189515143425252</v>
      </c>
      <c r="AQ44" s="19">
        <v>1.3634700655073628</v>
      </c>
      <c r="AR44" s="19">
        <v>1.0828908480339112</v>
      </c>
      <c r="AS44" s="19">
        <v>0.25037363847632704</v>
      </c>
      <c r="AT44" s="19">
        <v>0.44728302675251913</v>
      </c>
      <c r="AU44" s="19">
        <v>0.11488783118603456</v>
      </c>
      <c r="AV44" s="19">
        <v>5.2684085790226487E-2</v>
      </c>
      <c r="AW44" s="19">
        <v>0.37945880976936941</v>
      </c>
      <c r="AX44" s="19">
        <v>-0.18886308304975835</v>
      </c>
      <c r="AY44" s="19">
        <v>1.189515143425252</v>
      </c>
      <c r="AZ44" s="19">
        <v>1.3634700655073628</v>
      </c>
      <c r="BA44" s="19">
        <v>1.0828908480339112</v>
      </c>
      <c r="BB44" s="19">
        <v>1.0371927923599233</v>
      </c>
      <c r="BC44" s="19">
        <v>1.3008537818017538</v>
      </c>
      <c r="BD44" s="19">
        <v>-1.1398650902617555</v>
      </c>
      <c r="BE44" s="14" t="s">
        <v>4857</v>
      </c>
    </row>
    <row r="45" spans="1:105" s="30" customFormat="1" ht="17.100000000000001" customHeight="1">
      <c r="A45" s="14">
        <v>34</v>
      </c>
      <c r="B45" s="14" t="s">
        <v>4841</v>
      </c>
      <c r="C45" s="32">
        <v>-1.0534401734341341</v>
      </c>
      <c r="D45" s="32">
        <v>-1.1573517488674201</v>
      </c>
      <c r="E45" s="32">
        <v>1.0391820212780771</v>
      </c>
      <c r="F45" s="24">
        <v>79606.5</v>
      </c>
      <c r="G45" s="52" t="s">
        <v>2</v>
      </c>
      <c r="H45" s="32">
        <v>34.204231358756012</v>
      </c>
      <c r="I45" s="32">
        <v>41.684804801496725</v>
      </c>
      <c r="J45" s="12" t="s">
        <v>4702</v>
      </c>
      <c r="K45" s="15" t="s">
        <v>4703</v>
      </c>
      <c r="L45" s="14" t="s">
        <v>4709</v>
      </c>
      <c r="M45" s="12" t="s">
        <v>4704</v>
      </c>
      <c r="N45" s="15" t="s">
        <v>4705</v>
      </c>
      <c r="O45" s="12" t="s">
        <v>4706</v>
      </c>
      <c r="P45" s="12" t="s">
        <v>4710</v>
      </c>
      <c r="Q45" s="14">
        <v>3</v>
      </c>
      <c r="R45" s="21">
        <v>737.70240000000001</v>
      </c>
      <c r="S45" s="14">
        <v>1</v>
      </c>
      <c r="T45" s="52" t="s">
        <v>2</v>
      </c>
      <c r="U45" s="53">
        <v>73.793274999999994</v>
      </c>
      <c r="V45" s="24">
        <v>60877</v>
      </c>
      <c r="W45" s="24">
        <v>70693</v>
      </c>
      <c r="X45" s="24">
        <v>45390</v>
      </c>
      <c r="Y45" s="24">
        <v>78732</v>
      </c>
      <c r="Z45" s="24">
        <v>49641</v>
      </c>
      <c r="AA45" s="24">
        <v>69513</v>
      </c>
      <c r="AB45" s="24">
        <v>103071</v>
      </c>
      <c r="AC45" s="24">
        <v>56142</v>
      </c>
      <c r="AD45" s="24">
        <v>63923</v>
      </c>
      <c r="AE45" s="24">
        <v>69591.75</v>
      </c>
      <c r="AF45" s="24">
        <v>65785</v>
      </c>
      <c r="AG45" s="24">
        <v>62061</v>
      </c>
      <c r="AH45" s="24">
        <v>59577</v>
      </c>
      <c r="AI45" s="24">
        <v>79606.5</v>
      </c>
      <c r="AJ45" s="32">
        <v>22.451101928596103</v>
      </c>
      <c r="AK45" s="32">
        <v>34.204231358756012</v>
      </c>
      <c r="AL45" s="32">
        <v>10.550976915903549</v>
      </c>
      <c r="AM45" s="32">
        <v>37.989001624727067</v>
      </c>
      <c r="AN45" s="32">
        <v>23.585655463919082</v>
      </c>
      <c r="AO45" s="32">
        <v>41.684804801496725</v>
      </c>
      <c r="AP45" s="19">
        <v>1.0886809129734212</v>
      </c>
      <c r="AQ45" s="19">
        <v>0.90563198297484226</v>
      </c>
      <c r="AR45" s="19">
        <v>1.2827137816019722</v>
      </c>
      <c r="AS45" s="19">
        <v>0.12258116918178422</v>
      </c>
      <c r="AT45" s="19">
        <v>-0.14300318611638918</v>
      </c>
      <c r="AU45" s="19">
        <v>0.35919929051400595</v>
      </c>
      <c r="AV45" s="19">
        <v>-7.5108383504316339E-2</v>
      </c>
      <c r="AW45" s="19">
        <v>-0.2108274030995389</v>
      </c>
      <c r="AX45" s="19">
        <v>5.544837627821303E-2</v>
      </c>
      <c r="AY45" s="19">
        <v>1.0886809129734212</v>
      </c>
      <c r="AZ45" s="19">
        <v>-1.1042012857310708</v>
      </c>
      <c r="BA45" s="19">
        <v>1.2827137816019722</v>
      </c>
      <c r="BB45" s="19">
        <v>-1.0534401734341341</v>
      </c>
      <c r="BC45" s="19">
        <v>-1.1573517488674201</v>
      </c>
      <c r="BD45" s="19">
        <v>1.0391820212780771</v>
      </c>
      <c r="BE45" s="14" t="s">
        <v>4857</v>
      </c>
    </row>
    <row r="46" spans="1:105" s="30" customFormat="1" ht="17.100000000000001" customHeight="1">
      <c r="A46" s="14">
        <v>35</v>
      </c>
      <c r="B46" s="14" t="s">
        <v>4711</v>
      </c>
      <c r="C46" s="32">
        <v>1.2719404635488665</v>
      </c>
      <c r="D46" s="32">
        <v>1.5396038660622433</v>
      </c>
      <c r="E46" s="32">
        <v>-1.0305253606287654</v>
      </c>
      <c r="F46" s="24">
        <v>28726.5</v>
      </c>
      <c r="G46" s="52" t="s">
        <v>2</v>
      </c>
      <c r="H46" s="32">
        <v>46.532495456517573</v>
      </c>
      <c r="I46" s="32">
        <v>35.447475692744248</v>
      </c>
      <c r="J46" s="12" t="s">
        <v>4702</v>
      </c>
      <c r="K46" s="15" t="s">
        <v>4703</v>
      </c>
      <c r="L46" s="14" t="s">
        <v>5249</v>
      </c>
      <c r="M46" s="12" t="s">
        <v>4704</v>
      </c>
      <c r="N46" s="15" t="s">
        <v>4705</v>
      </c>
      <c r="O46" s="12" t="s">
        <v>4706</v>
      </c>
      <c r="P46" s="12" t="s">
        <v>4712</v>
      </c>
      <c r="Q46" s="14">
        <v>2</v>
      </c>
      <c r="R46" s="21">
        <v>581.79229999999995</v>
      </c>
      <c r="S46" s="14">
        <v>1</v>
      </c>
      <c r="T46" s="52" t="s">
        <v>2</v>
      </c>
      <c r="U46" s="53">
        <v>26.2520375</v>
      </c>
      <c r="V46" s="24">
        <v>16572</v>
      </c>
      <c r="W46" s="24">
        <v>19031</v>
      </c>
      <c r="X46" s="24">
        <v>10882</v>
      </c>
      <c r="Y46" s="24">
        <v>10262</v>
      </c>
      <c r="Z46" s="24">
        <v>28809</v>
      </c>
      <c r="AA46" s="24">
        <v>28644</v>
      </c>
      <c r="AB46" s="24">
        <v>9489</v>
      </c>
      <c r="AC46" s="24">
        <v>15837</v>
      </c>
      <c r="AD46" s="24">
        <v>14186.75</v>
      </c>
      <c r="AE46" s="24">
        <v>20694.75</v>
      </c>
      <c r="AF46" s="24">
        <v>17801.5</v>
      </c>
      <c r="AG46" s="24">
        <v>10572</v>
      </c>
      <c r="AH46" s="24">
        <v>28726.5</v>
      </c>
      <c r="AI46" s="24">
        <v>12663</v>
      </c>
      <c r="AJ46" s="32">
        <v>30.313035073157113</v>
      </c>
      <c r="AK46" s="32">
        <v>46.532495456517573</v>
      </c>
      <c r="AL46" s="32">
        <v>9.7675789958021539</v>
      </c>
      <c r="AM46" s="32">
        <v>4.1468615620096436</v>
      </c>
      <c r="AN46" s="32">
        <v>0.40614978815999281</v>
      </c>
      <c r="AO46" s="32">
        <v>35.447475692744248</v>
      </c>
      <c r="AP46" s="19">
        <v>1.4587379068497013</v>
      </c>
      <c r="AQ46" s="19">
        <v>1.6137123276128416</v>
      </c>
      <c r="AR46" s="19">
        <v>1.1977866061293985</v>
      </c>
      <c r="AS46" s="19">
        <v>0.54472069582960203</v>
      </c>
      <c r="AT46" s="19">
        <v>0.69038341596591035</v>
      </c>
      <c r="AU46" s="19">
        <v>0.26037090503727534</v>
      </c>
      <c r="AV46" s="19">
        <v>0.34703114314350147</v>
      </c>
      <c r="AW46" s="19">
        <v>0.62255919898276069</v>
      </c>
      <c r="AX46" s="19">
        <v>-4.3380009198517588E-2</v>
      </c>
      <c r="AY46" s="19">
        <v>1.4587379068497013</v>
      </c>
      <c r="AZ46" s="19">
        <v>1.6137123276128416</v>
      </c>
      <c r="BA46" s="19">
        <v>1.1977866061293985</v>
      </c>
      <c r="BB46" s="19">
        <v>1.2719404635488665</v>
      </c>
      <c r="BC46" s="19">
        <v>1.5396038660622433</v>
      </c>
      <c r="BD46" s="19">
        <v>-1.0305253606287654</v>
      </c>
      <c r="BE46" s="14" t="s">
        <v>4857</v>
      </c>
    </row>
    <row r="47" spans="1:105" s="30" customFormat="1" ht="17.100000000000001" customHeight="1">
      <c r="A47" s="14">
        <v>36</v>
      </c>
      <c r="B47" s="14" t="s">
        <v>4713</v>
      </c>
      <c r="C47" s="32">
        <v>-1.0920194928925442</v>
      </c>
      <c r="D47" s="32">
        <v>1.0364308517158409</v>
      </c>
      <c r="E47" s="32">
        <v>-1.2096253726844681</v>
      </c>
      <c r="F47" s="24">
        <v>59535.5</v>
      </c>
      <c r="G47" s="52" t="s">
        <v>2</v>
      </c>
      <c r="H47" s="32">
        <v>12.015665130292051</v>
      </c>
      <c r="I47" s="32">
        <v>9.207373128142482</v>
      </c>
      <c r="J47" s="12" t="s">
        <v>4702</v>
      </c>
      <c r="K47" s="15" t="s">
        <v>4703</v>
      </c>
      <c r="L47" s="14" t="s">
        <v>5126</v>
      </c>
      <c r="M47" s="12" t="s">
        <v>4704</v>
      </c>
      <c r="N47" s="15" t="s">
        <v>4705</v>
      </c>
      <c r="O47" s="12" t="s">
        <v>4706</v>
      </c>
      <c r="P47" s="12" t="s">
        <v>4714</v>
      </c>
      <c r="Q47" s="14">
        <v>2</v>
      </c>
      <c r="R47" s="21">
        <v>773.90160000000003</v>
      </c>
      <c r="S47" s="14">
        <v>8</v>
      </c>
      <c r="T47" s="52" t="s">
        <v>2</v>
      </c>
      <c r="U47" s="53">
        <v>40.417712499999993</v>
      </c>
      <c r="V47" s="24">
        <v>50330</v>
      </c>
      <c r="W47" s="24">
        <v>45929</v>
      </c>
      <c r="X47" s="24">
        <v>60435</v>
      </c>
      <c r="Y47" s="24">
        <v>56251</v>
      </c>
      <c r="Z47" s="24">
        <v>55688</v>
      </c>
      <c r="AA47" s="24">
        <v>48880</v>
      </c>
      <c r="AB47" s="24">
        <v>59934</v>
      </c>
      <c r="AC47" s="24">
        <v>59137</v>
      </c>
      <c r="AD47" s="24">
        <v>53236.25</v>
      </c>
      <c r="AE47" s="24">
        <v>55909.75</v>
      </c>
      <c r="AF47" s="24">
        <v>48129.5</v>
      </c>
      <c r="AG47" s="24">
        <v>58343</v>
      </c>
      <c r="AH47" s="24">
        <v>52284</v>
      </c>
      <c r="AI47" s="24">
        <v>59535.5</v>
      </c>
      <c r="AJ47" s="32">
        <v>12.015665130292051</v>
      </c>
      <c r="AK47" s="32">
        <v>9.0069236513646249</v>
      </c>
      <c r="AL47" s="32">
        <v>6.4658409998067619</v>
      </c>
      <c r="AM47" s="32">
        <v>5.0709335695533566</v>
      </c>
      <c r="AN47" s="32">
        <v>9.207373128142482</v>
      </c>
      <c r="AO47" s="32">
        <v>0.94660178314732946</v>
      </c>
      <c r="AP47" s="19">
        <v>1.0502195402568739</v>
      </c>
      <c r="AQ47" s="19">
        <v>1.0863192013214349</v>
      </c>
      <c r="AR47" s="19">
        <v>1.0204394700306807</v>
      </c>
      <c r="AS47" s="19">
        <v>7.069094363675224E-2</v>
      </c>
      <c r="AT47" s="19">
        <v>0.11944808334418364</v>
      </c>
      <c r="AU47" s="19">
        <v>2.9190607773374309E-2</v>
      </c>
      <c r="AV47" s="19">
        <v>-0.12699860904934832</v>
      </c>
      <c r="AW47" s="19">
        <v>5.1623866361033929E-2</v>
      </c>
      <c r="AX47" s="19">
        <v>-0.27456030646241864</v>
      </c>
      <c r="AY47" s="19">
        <v>1.0502195402568739</v>
      </c>
      <c r="AZ47" s="19">
        <v>1.0863192013214349</v>
      </c>
      <c r="BA47" s="19">
        <v>1.0204394700306807</v>
      </c>
      <c r="BB47" s="19">
        <v>-1.0920194928925442</v>
      </c>
      <c r="BC47" s="19">
        <v>1.0364308517158409</v>
      </c>
      <c r="BD47" s="19">
        <v>-1.2096253726844681</v>
      </c>
      <c r="BE47" s="14" t="s">
        <v>4857</v>
      </c>
      <c r="BF47" s="28"/>
      <c r="BG47" s="28"/>
      <c r="BH47" s="28"/>
      <c r="BI47" s="28"/>
      <c r="BJ47" s="28"/>
      <c r="BK47" s="28"/>
      <c r="BL47" s="28"/>
      <c r="BM47" s="28"/>
      <c r="BN47" s="28"/>
      <c r="BO47" s="28"/>
      <c r="BP47" s="28"/>
      <c r="BQ47" s="28"/>
      <c r="BR47" s="28"/>
      <c r="BS47" s="28"/>
      <c r="BT47" s="28"/>
      <c r="BU47" s="28"/>
      <c r="BV47" s="28"/>
      <c r="BW47" s="28"/>
      <c r="BX47" s="28"/>
      <c r="BY47" s="28"/>
      <c r="BZ47" s="28"/>
      <c r="CA47" s="28"/>
      <c r="CB47" s="28"/>
      <c r="CC47" s="28"/>
      <c r="CD47" s="28"/>
      <c r="CE47" s="28"/>
      <c r="CF47" s="28"/>
      <c r="CG47" s="28"/>
      <c r="CH47" s="28"/>
      <c r="CI47" s="28"/>
      <c r="CJ47" s="28"/>
      <c r="CK47" s="28"/>
      <c r="CL47" s="28"/>
      <c r="CM47" s="28"/>
      <c r="CN47" s="28"/>
      <c r="CO47" s="28"/>
      <c r="CP47" s="28"/>
      <c r="CQ47" s="28"/>
      <c r="CR47" s="28"/>
      <c r="CS47" s="28"/>
      <c r="CT47" s="28"/>
      <c r="CU47" s="28"/>
      <c r="CV47" s="28"/>
      <c r="CW47" s="28"/>
      <c r="CX47" s="28"/>
      <c r="CY47" s="28"/>
      <c r="CZ47" s="28"/>
      <c r="DA47" s="28"/>
    </row>
    <row r="48" spans="1:105" ht="17.100000000000001" customHeight="1">
      <c r="A48" s="31">
        <v>37</v>
      </c>
      <c r="B48" s="11" t="s">
        <v>4715</v>
      </c>
      <c r="C48" s="57"/>
      <c r="D48" s="57"/>
      <c r="E48" s="57"/>
      <c r="F48" s="27"/>
      <c r="G48" s="54"/>
      <c r="H48" s="57"/>
      <c r="I48" s="57"/>
      <c r="J48" s="13"/>
      <c r="K48" s="13"/>
      <c r="L48" s="13"/>
      <c r="M48" s="13"/>
      <c r="N48" s="13"/>
      <c r="O48" s="13"/>
      <c r="P48" s="13"/>
      <c r="Q48" s="13"/>
      <c r="R48" s="22"/>
      <c r="S48" s="18"/>
      <c r="T48" s="54"/>
      <c r="U48" s="5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57"/>
      <c r="AK48" s="57"/>
      <c r="AL48" s="57"/>
      <c r="AM48" s="57"/>
      <c r="AN48" s="57"/>
      <c r="AO48" s="5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13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</row>
    <row r="49" spans="1:57" s="30" customFormat="1" ht="17.100000000000001" customHeight="1">
      <c r="A49" s="14">
        <v>38</v>
      </c>
      <c r="B49" s="14" t="s">
        <v>4724</v>
      </c>
      <c r="C49" s="32">
        <v>-1.3011869372122715</v>
      </c>
      <c r="D49" s="32">
        <v>1.1889021490482872</v>
      </c>
      <c r="E49" s="32">
        <v>-1.9191889614237874</v>
      </c>
      <c r="F49" s="24">
        <v>163173.5</v>
      </c>
      <c r="G49" s="52" t="s">
        <v>2</v>
      </c>
      <c r="H49" s="32">
        <v>24.538138872499481</v>
      </c>
      <c r="I49" s="32">
        <v>14.732766898934745</v>
      </c>
      <c r="J49" s="12" t="s">
        <v>4717</v>
      </c>
      <c r="K49" s="15" t="s">
        <v>4718</v>
      </c>
      <c r="L49" s="14" t="s">
        <v>4958</v>
      </c>
      <c r="M49" s="12" t="s">
        <v>4719</v>
      </c>
      <c r="N49" s="15" t="s">
        <v>4720</v>
      </c>
      <c r="O49" s="12" t="s">
        <v>4721</v>
      </c>
      <c r="P49" s="12" t="s">
        <v>4723</v>
      </c>
      <c r="Q49" s="14">
        <v>3</v>
      </c>
      <c r="R49" s="21">
        <v>556.95529999999997</v>
      </c>
      <c r="S49" s="14">
        <v>9</v>
      </c>
      <c r="T49" s="52" t="s">
        <v>2</v>
      </c>
      <c r="U49" s="53">
        <v>105.622</v>
      </c>
      <c r="V49" s="24">
        <v>112789</v>
      </c>
      <c r="W49" s="24">
        <v>100371</v>
      </c>
      <c r="X49" s="24">
        <v>164928</v>
      </c>
      <c r="Y49" s="24">
        <v>161419</v>
      </c>
      <c r="Z49" s="24">
        <v>130352</v>
      </c>
      <c r="AA49" s="24">
        <v>135273</v>
      </c>
      <c r="AB49" s="24">
        <v>115880</v>
      </c>
      <c r="AC49" s="24">
        <v>94014</v>
      </c>
      <c r="AD49" s="24">
        <v>134876.75</v>
      </c>
      <c r="AE49" s="24">
        <v>118879.75</v>
      </c>
      <c r="AF49" s="24">
        <v>106580</v>
      </c>
      <c r="AG49" s="24">
        <v>163173.5</v>
      </c>
      <c r="AH49" s="24">
        <v>132812.5</v>
      </c>
      <c r="AI49" s="24">
        <v>104947</v>
      </c>
      <c r="AJ49" s="32">
        <v>24.538138872499481</v>
      </c>
      <c r="AK49" s="32">
        <v>15.568802135816986</v>
      </c>
      <c r="AL49" s="32">
        <v>8.2387427366997077</v>
      </c>
      <c r="AM49" s="32">
        <v>1.5206131480807823</v>
      </c>
      <c r="AN49" s="32">
        <v>2.6199886834590123</v>
      </c>
      <c r="AO49" s="32">
        <v>14.732766898934745</v>
      </c>
      <c r="AP49" s="19">
        <v>0.88139542211685851</v>
      </c>
      <c r="AQ49" s="19">
        <v>1.2461296678551324</v>
      </c>
      <c r="AR49" s="19">
        <v>0.64316203305070985</v>
      </c>
      <c r="AS49" s="19">
        <v>-0.18213869147198783</v>
      </c>
      <c r="AT49" s="19">
        <v>0.31745419792711677</v>
      </c>
      <c r="AU49" s="19">
        <v>-0.63674585060023081</v>
      </c>
      <c r="AV49" s="19">
        <v>-0.37982824415808836</v>
      </c>
      <c r="AW49" s="19">
        <v>0.24962998094396704</v>
      </c>
      <c r="AX49" s="19">
        <v>-0.94049676483602374</v>
      </c>
      <c r="AY49" s="19">
        <v>-1.1345645494712093</v>
      </c>
      <c r="AZ49" s="19">
        <v>1.2461296678551324</v>
      </c>
      <c r="BA49" s="19">
        <v>-1.5548181463024193</v>
      </c>
      <c r="BB49" s="19">
        <v>-1.3011869372122715</v>
      </c>
      <c r="BC49" s="19">
        <v>1.1889021490482872</v>
      </c>
      <c r="BD49" s="19">
        <v>-1.9191889614237874</v>
      </c>
      <c r="BE49" s="14" t="s">
        <v>4857</v>
      </c>
    </row>
    <row r="50" spans="1:57" s="30" customFormat="1" ht="17.100000000000001" customHeight="1">
      <c r="A50" s="14">
        <v>39</v>
      </c>
      <c r="B50" s="14" t="s">
        <v>4594</v>
      </c>
      <c r="C50" s="32">
        <v>1.4879590940394305</v>
      </c>
      <c r="D50" s="32">
        <v>1.4841820500748801</v>
      </c>
      <c r="E50" s="32">
        <v>1.4879567431096057</v>
      </c>
      <c r="F50" s="24">
        <v>50998.5</v>
      </c>
      <c r="G50" s="52" t="s">
        <v>2</v>
      </c>
      <c r="H50" s="32">
        <v>23.567133057886817</v>
      </c>
      <c r="I50" s="32">
        <v>31.288481473727252</v>
      </c>
      <c r="J50" s="12" t="s">
        <v>4717</v>
      </c>
      <c r="K50" s="15" t="s">
        <v>4718</v>
      </c>
      <c r="L50" s="14" t="s">
        <v>5326</v>
      </c>
      <c r="M50" s="12" t="s">
        <v>4719</v>
      </c>
      <c r="N50" s="15" t="s">
        <v>4720</v>
      </c>
      <c r="O50" s="12" t="s">
        <v>4721</v>
      </c>
      <c r="P50" s="12" t="s">
        <v>4595</v>
      </c>
      <c r="Q50" s="14">
        <v>3</v>
      </c>
      <c r="R50" s="21">
        <v>402.92380000000003</v>
      </c>
      <c r="S50" s="14">
        <v>1</v>
      </c>
      <c r="T50" s="52" t="s">
        <v>2</v>
      </c>
      <c r="U50" s="53">
        <v>39.277437499999998</v>
      </c>
      <c r="V50" s="24">
        <v>19341</v>
      </c>
      <c r="W50" s="24">
        <v>28580</v>
      </c>
      <c r="X50" s="24">
        <v>23155</v>
      </c>
      <c r="Y50" s="24">
        <v>32379</v>
      </c>
      <c r="Z50" s="24">
        <v>45520</v>
      </c>
      <c r="AA50" s="24">
        <v>29027</v>
      </c>
      <c r="AB50" s="24">
        <v>50687</v>
      </c>
      <c r="AC50" s="24">
        <v>51310</v>
      </c>
      <c r="AD50" s="24">
        <v>25863.75</v>
      </c>
      <c r="AE50" s="24">
        <v>44136</v>
      </c>
      <c r="AF50" s="24">
        <v>23960.5</v>
      </c>
      <c r="AG50" s="24">
        <v>27767</v>
      </c>
      <c r="AH50" s="24">
        <v>37273.5</v>
      </c>
      <c r="AI50" s="24">
        <v>50998.5</v>
      </c>
      <c r="AJ50" s="32">
        <v>22.290378070909412</v>
      </c>
      <c r="AK50" s="32">
        <v>23.567133057886817</v>
      </c>
      <c r="AL50" s="32">
        <v>27.265539330909256</v>
      </c>
      <c r="AM50" s="32">
        <v>23.489584577609087</v>
      </c>
      <c r="AN50" s="32">
        <v>31.288481473727252</v>
      </c>
      <c r="AO50" s="32">
        <v>0.86380486618080743</v>
      </c>
      <c r="AP50" s="19">
        <v>1.7064810787298825</v>
      </c>
      <c r="AQ50" s="19">
        <v>1.5556227958515056</v>
      </c>
      <c r="AR50" s="19">
        <v>1.8366586235459359</v>
      </c>
      <c r="AS50" s="19">
        <v>0.77102441808523925</v>
      </c>
      <c r="AT50" s="19">
        <v>0.63749228106562483</v>
      </c>
      <c r="AU50" s="19">
        <v>0.87708350021912473</v>
      </c>
      <c r="AV50" s="19">
        <v>0.57333486539913869</v>
      </c>
      <c r="AW50" s="19">
        <v>0.56966806408247517</v>
      </c>
      <c r="AX50" s="19">
        <v>0.57333258598333181</v>
      </c>
      <c r="AY50" s="19">
        <v>1.7064810787298825</v>
      </c>
      <c r="AZ50" s="19">
        <v>1.5556227958515056</v>
      </c>
      <c r="BA50" s="19">
        <v>1.8366586235459359</v>
      </c>
      <c r="BB50" s="19">
        <v>1.4879590940394305</v>
      </c>
      <c r="BC50" s="19">
        <v>1.4841820500748801</v>
      </c>
      <c r="BD50" s="19">
        <v>1.4879567431096057</v>
      </c>
      <c r="BE50" s="14" t="s">
        <v>4857</v>
      </c>
    </row>
    <row r="51" spans="1:57" s="30" customFormat="1" ht="17.100000000000001" customHeight="1">
      <c r="A51" s="14">
        <v>40</v>
      </c>
      <c r="B51" s="14" t="s">
        <v>4823</v>
      </c>
      <c r="C51" s="32">
        <v>1.0607198028275999</v>
      </c>
      <c r="D51" s="32">
        <v>1.2043732472818995</v>
      </c>
      <c r="E51" s="32">
        <v>-1.0494505311289037</v>
      </c>
      <c r="F51" s="24">
        <v>191742.5</v>
      </c>
      <c r="G51" s="52" t="s">
        <v>2</v>
      </c>
      <c r="H51" s="32">
        <v>15.291213766644857</v>
      </c>
      <c r="I51" s="32">
        <v>21.754028724515578</v>
      </c>
      <c r="J51" s="12" t="s">
        <v>4596</v>
      </c>
      <c r="K51" s="15" t="s">
        <v>4597</v>
      </c>
      <c r="L51" s="14" t="s">
        <v>5235</v>
      </c>
      <c r="M51" s="12" t="s">
        <v>4719</v>
      </c>
      <c r="N51" s="15" t="s">
        <v>4598</v>
      </c>
      <c r="O51" s="12" t="s">
        <v>4721</v>
      </c>
      <c r="P51" s="12" t="s">
        <v>4600</v>
      </c>
      <c r="Q51" s="14">
        <v>3</v>
      </c>
      <c r="R51" s="21">
        <v>882.11580000000004</v>
      </c>
      <c r="S51" s="14">
        <v>4</v>
      </c>
      <c r="T51" s="52" t="s">
        <v>2</v>
      </c>
      <c r="U51" s="53">
        <v>85.262450000000001</v>
      </c>
      <c r="V51" s="24">
        <v>142811</v>
      </c>
      <c r="W51" s="24">
        <v>143853</v>
      </c>
      <c r="X51" s="24">
        <v>188097</v>
      </c>
      <c r="Y51" s="24">
        <v>137944</v>
      </c>
      <c r="Z51" s="24">
        <v>196974</v>
      </c>
      <c r="AA51" s="24">
        <v>164895</v>
      </c>
      <c r="AB51" s="24">
        <v>169283</v>
      </c>
      <c r="AC51" s="24">
        <v>214202</v>
      </c>
      <c r="AD51" s="24">
        <v>153176.25</v>
      </c>
      <c r="AE51" s="24">
        <v>186338.5</v>
      </c>
      <c r="AF51" s="24">
        <v>143332</v>
      </c>
      <c r="AG51" s="24">
        <v>163020.5</v>
      </c>
      <c r="AH51" s="24">
        <v>180934.5</v>
      </c>
      <c r="AI51" s="24">
        <v>191742.5</v>
      </c>
      <c r="AJ51" s="32">
        <v>15.291213766644857</v>
      </c>
      <c r="AK51" s="32">
        <v>12.54831699035544</v>
      </c>
      <c r="AL51" s="32">
        <v>0.5140549674855458</v>
      </c>
      <c r="AM51" s="32">
        <v>21.754028724515578</v>
      </c>
      <c r="AN51" s="32">
        <v>12.536734803856234</v>
      </c>
      <c r="AO51" s="32">
        <v>16.565200466312124</v>
      </c>
      <c r="AP51" s="19">
        <v>1.2164973355856408</v>
      </c>
      <c r="AQ51" s="19">
        <v>1.2623454636787319</v>
      </c>
      <c r="AR51" s="19">
        <v>1.1761864305409442</v>
      </c>
      <c r="AS51" s="19">
        <v>0.28273316043943914</v>
      </c>
      <c r="AT51" s="19">
        <v>0.3361067839591112</v>
      </c>
      <c r="AU51" s="19">
        <v>0.23411675158577552</v>
      </c>
      <c r="AV51" s="19">
        <v>8.5043607753338579E-2</v>
      </c>
      <c r="AW51" s="19">
        <v>0.26828256697596148</v>
      </c>
      <c r="AX51" s="19">
        <v>-6.96341626500174E-2</v>
      </c>
      <c r="AY51" s="19">
        <v>1.2164973355856408</v>
      </c>
      <c r="AZ51" s="19">
        <v>1.2623454636787319</v>
      </c>
      <c r="BA51" s="19">
        <v>1.1761864305409442</v>
      </c>
      <c r="BB51" s="19">
        <v>1.0607198028275999</v>
      </c>
      <c r="BC51" s="19">
        <v>1.2043732472818995</v>
      </c>
      <c r="BD51" s="19">
        <v>-1.0494505311289037</v>
      </c>
      <c r="BE51" s="14" t="s">
        <v>4857</v>
      </c>
    </row>
    <row r="52" spans="1:57" s="30" customFormat="1" ht="17.100000000000001" customHeight="1">
      <c r="A52" s="14">
        <v>41</v>
      </c>
      <c r="B52" s="14" t="s">
        <v>4601</v>
      </c>
      <c r="C52" s="32">
        <v>-1.3099352613072275</v>
      </c>
      <c r="D52" s="32">
        <v>-1.368889780049148</v>
      </c>
      <c r="E52" s="32">
        <v>-1.2626375456698926</v>
      </c>
      <c r="F52" s="24">
        <v>477081</v>
      </c>
      <c r="G52" s="52" t="s">
        <v>2</v>
      </c>
      <c r="H52" s="32">
        <v>21.527682815854146</v>
      </c>
      <c r="I52" s="32">
        <v>17.205076118469016</v>
      </c>
      <c r="J52" s="12" t="s">
        <v>4602</v>
      </c>
      <c r="K52" s="12" t="s">
        <v>4603</v>
      </c>
      <c r="L52" s="14" t="s">
        <v>5029</v>
      </c>
      <c r="M52" s="12" t="s">
        <v>4604</v>
      </c>
      <c r="N52" s="15" t="s">
        <v>4605</v>
      </c>
      <c r="O52" s="12" t="s">
        <v>4606</v>
      </c>
      <c r="P52" s="12" t="s">
        <v>4607</v>
      </c>
      <c r="Q52" s="14">
        <v>2</v>
      </c>
      <c r="R52" s="21">
        <v>508.2928</v>
      </c>
      <c r="S52" s="14">
        <v>8</v>
      </c>
      <c r="T52" s="52" t="s">
        <v>2</v>
      </c>
      <c r="U52" s="53">
        <v>38.653612499999994</v>
      </c>
      <c r="V52" s="24">
        <v>446494</v>
      </c>
      <c r="W52" s="24">
        <v>440426</v>
      </c>
      <c r="X52" s="24">
        <v>437306</v>
      </c>
      <c r="Y52" s="24">
        <v>516856</v>
      </c>
      <c r="Z52" s="24">
        <v>334613</v>
      </c>
      <c r="AA52" s="24">
        <v>344486</v>
      </c>
      <c r="AB52" s="24">
        <v>523133</v>
      </c>
      <c r="AC52" s="24">
        <v>409652</v>
      </c>
      <c r="AD52" s="24">
        <v>460270.5</v>
      </c>
      <c r="AE52" s="24">
        <v>402971</v>
      </c>
      <c r="AF52" s="24">
        <v>443460</v>
      </c>
      <c r="AG52" s="24">
        <v>477081</v>
      </c>
      <c r="AH52" s="24">
        <v>339549.5</v>
      </c>
      <c r="AI52" s="24">
        <v>466392.5</v>
      </c>
      <c r="AJ52" s="32">
        <v>8.2377779356578831</v>
      </c>
      <c r="AK52" s="32">
        <v>21.527682815854146</v>
      </c>
      <c r="AL52" s="32">
        <v>0.96755602494925586</v>
      </c>
      <c r="AM52" s="32">
        <v>11.790522876280937</v>
      </c>
      <c r="AN52" s="32">
        <v>2.0560375587814983</v>
      </c>
      <c r="AO52" s="32">
        <v>17.205076118469016</v>
      </c>
      <c r="AP52" s="19">
        <v>0.87550907564138913</v>
      </c>
      <c r="AQ52" s="19">
        <v>0.76568236143056867</v>
      </c>
      <c r="AR52" s="19">
        <v>0.97759604763132468</v>
      </c>
      <c r="AS52" s="19">
        <v>-0.19180596098585548</v>
      </c>
      <c r="AT52" s="19">
        <v>-0.38518207170320579</v>
      </c>
      <c r="AU52" s="19">
        <v>-3.2689642458025706E-2</v>
      </c>
      <c r="AV52" s="19">
        <v>-0.38949551367195601</v>
      </c>
      <c r="AW52" s="19">
        <v>-0.45300628868635551</v>
      </c>
      <c r="AX52" s="19">
        <v>-0.33644055669381862</v>
      </c>
      <c r="AY52" s="19">
        <v>-1.1421926143568644</v>
      </c>
      <c r="AZ52" s="19">
        <v>-1.3060246002423801</v>
      </c>
      <c r="BA52" s="19">
        <v>-1.0229173925395456</v>
      </c>
      <c r="BB52" s="19">
        <v>-1.3099352613072275</v>
      </c>
      <c r="BC52" s="19">
        <v>-1.368889780049148</v>
      </c>
      <c r="BD52" s="19">
        <v>-1.2626375456698926</v>
      </c>
      <c r="BE52" s="14" t="s">
        <v>4857</v>
      </c>
    </row>
    <row r="53" spans="1:57" s="30" customFormat="1" ht="17.100000000000001" customHeight="1">
      <c r="A53" s="14">
        <v>42</v>
      </c>
      <c r="B53" s="14" t="s">
        <v>4608</v>
      </c>
      <c r="C53" s="32">
        <v>-1.0727316508822904</v>
      </c>
      <c r="D53" s="32">
        <v>-1.3291118100425756</v>
      </c>
      <c r="E53" s="32">
        <v>1.1094511847575372</v>
      </c>
      <c r="F53" s="24">
        <v>158025</v>
      </c>
      <c r="G53" s="52" t="s">
        <v>2</v>
      </c>
      <c r="H53" s="32">
        <v>30.115401730609442</v>
      </c>
      <c r="I53" s="32">
        <v>20.736554420978294</v>
      </c>
      <c r="J53" s="12" t="s">
        <v>4609</v>
      </c>
      <c r="K53" s="15" t="s">
        <v>4610</v>
      </c>
      <c r="L53" s="14" t="s">
        <v>5063</v>
      </c>
      <c r="M53" s="12" t="s">
        <v>4611</v>
      </c>
      <c r="N53" s="15" t="s">
        <v>4612</v>
      </c>
      <c r="O53" s="12" t="s">
        <v>4613</v>
      </c>
      <c r="P53" s="12" t="s">
        <v>4614</v>
      </c>
      <c r="Q53" s="14">
        <v>2</v>
      </c>
      <c r="R53" s="21">
        <v>673.29899999999998</v>
      </c>
      <c r="S53" s="14">
        <v>8</v>
      </c>
      <c r="T53" s="52" t="s">
        <v>2</v>
      </c>
      <c r="U53" s="53">
        <v>34.953949999999999</v>
      </c>
      <c r="V53" s="24">
        <v>122086</v>
      </c>
      <c r="W53" s="24">
        <v>125026</v>
      </c>
      <c r="X53" s="24">
        <v>127354</v>
      </c>
      <c r="Y53" s="24">
        <v>103432</v>
      </c>
      <c r="Z53" s="24">
        <v>111723</v>
      </c>
      <c r="AA53" s="24">
        <v>83149</v>
      </c>
      <c r="AB53" s="24">
        <v>144613</v>
      </c>
      <c r="AC53" s="24">
        <v>171437</v>
      </c>
      <c r="AD53" s="24">
        <v>119474.5</v>
      </c>
      <c r="AE53" s="24">
        <v>127730.5</v>
      </c>
      <c r="AF53" s="24">
        <v>123556</v>
      </c>
      <c r="AG53" s="24">
        <v>115393</v>
      </c>
      <c r="AH53" s="24">
        <v>97436</v>
      </c>
      <c r="AI53" s="24">
        <v>158025</v>
      </c>
      <c r="AJ53" s="32">
        <v>9.1316954874075389</v>
      </c>
      <c r="AK53" s="32">
        <v>30.115401730609442</v>
      </c>
      <c r="AL53" s="32">
        <v>1.6825519899385295</v>
      </c>
      <c r="AM53" s="32">
        <v>14.658955412845312</v>
      </c>
      <c r="AN53" s="32">
        <v>20.736554420978294</v>
      </c>
      <c r="AO53" s="32">
        <v>12.002804808446735</v>
      </c>
      <c r="AP53" s="19">
        <v>1.0691026118544125</v>
      </c>
      <c r="AQ53" s="19">
        <v>0.78859788274142895</v>
      </c>
      <c r="AR53" s="19">
        <v>1.369450486597974</v>
      </c>
      <c r="AS53" s="19">
        <v>9.6400328745014821E-2</v>
      </c>
      <c r="AT53" s="19">
        <v>-0.34263825784074686</v>
      </c>
      <c r="AU53" s="19">
        <v>0.45359710537816211</v>
      </c>
      <c r="AV53" s="19">
        <v>-0.10128922394108573</v>
      </c>
      <c r="AW53" s="19">
        <v>-0.41046247482389658</v>
      </c>
      <c r="AX53" s="19">
        <v>0.14984619114236919</v>
      </c>
      <c r="AY53" s="19">
        <v>1.0691026118544125</v>
      </c>
      <c r="AZ53" s="19">
        <v>-1.268073402027998</v>
      </c>
      <c r="BA53" s="19">
        <v>1.369450486597974</v>
      </c>
      <c r="BB53" s="19">
        <v>-1.0727316508822904</v>
      </c>
      <c r="BC53" s="19">
        <v>-1.3291118100425756</v>
      </c>
      <c r="BD53" s="19">
        <v>1.1094511847575372</v>
      </c>
      <c r="BE53" s="14" t="s">
        <v>4857</v>
      </c>
    </row>
    <row r="54" spans="1:57" s="30" customFormat="1" ht="17.100000000000001" customHeight="1">
      <c r="A54" s="14">
        <v>43</v>
      </c>
      <c r="B54" s="14" t="s">
        <v>4622</v>
      </c>
      <c r="C54" s="32">
        <v>1.106249159266024</v>
      </c>
      <c r="D54" s="32">
        <v>1.3246286609645583</v>
      </c>
      <c r="E54" s="32">
        <v>-1.0539055273040177</v>
      </c>
      <c r="F54" s="24">
        <v>3287160</v>
      </c>
      <c r="G54" s="52" t="s">
        <v>2</v>
      </c>
      <c r="H54" s="32">
        <v>17.50074483816822</v>
      </c>
      <c r="I54" s="32">
        <v>19.698087092885661</v>
      </c>
      <c r="J54" s="12" t="s">
        <v>4615</v>
      </c>
      <c r="K54" s="15" t="s">
        <v>4616</v>
      </c>
      <c r="L54" s="14" t="s">
        <v>5120</v>
      </c>
      <c r="M54" s="12" t="s">
        <v>4617</v>
      </c>
      <c r="N54" s="15" t="s">
        <v>4618</v>
      </c>
      <c r="O54" s="12" t="s">
        <v>4619</v>
      </c>
      <c r="P54" s="12" t="s">
        <v>4620</v>
      </c>
      <c r="Q54" s="14">
        <v>3</v>
      </c>
      <c r="R54" s="21">
        <v>482.25040000000001</v>
      </c>
      <c r="S54" s="14">
        <v>27</v>
      </c>
      <c r="T54" s="52" t="s">
        <v>2</v>
      </c>
      <c r="U54" s="53">
        <v>46.424700000000001</v>
      </c>
      <c r="V54" s="24">
        <v>2187250</v>
      </c>
      <c r="W54" s="24">
        <v>2385790</v>
      </c>
      <c r="X54" s="24">
        <v>2415700</v>
      </c>
      <c r="Y54" s="24">
        <v>3197550</v>
      </c>
      <c r="Z54" s="24">
        <v>3376540</v>
      </c>
      <c r="AA54" s="24">
        <v>2972620</v>
      </c>
      <c r="AB54" s="24">
        <v>3564910</v>
      </c>
      <c r="AC54" s="24">
        <v>3009410</v>
      </c>
      <c r="AD54" s="24">
        <v>2546572.5</v>
      </c>
      <c r="AE54" s="24">
        <v>3230870</v>
      </c>
      <c r="AF54" s="24">
        <v>2286520</v>
      </c>
      <c r="AG54" s="24">
        <v>2806625</v>
      </c>
      <c r="AH54" s="24">
        <v>3174580</v>
      </c>
      <c r="AI54" s="24">
        <v>3287160</v>
      </c>
      <c r="AJ54" s="32">
        <v>17.50074483816822</v>
      </c>
      <c r="AK54" s="32">
        <v>8.9087770885680229</v>
      </c>
      <c r="AL54" s="32">
        <v>6.1398535913430514</v>
      </c>
      <c r="AM54" s="32">
        <v>19.698087092885661</v>
      </c>
      <c r="AN54" s="32">
        <v>8.9969246658414743</v>
      </c>
      <c r="AO54" s="32">
        <v>11.949458406318133</v>
      </c>
      <c r="AP54" s="19">
        <v>1.2687131428616307</v>
      </c>
      <c r="AQ54" s="19">
        <v>1.3883893427566782</v>
      </c>
      <c r="AR54" s="19">
        <v>1.1712145370329132</v>
      </c>
      <c r="AS54" s="19">
        <v>0.34336591145398543</v>
      </c>
      <c r="AT54" s="19">
        <v>0.4734121962291396</v>
      </c>
      <c r="AU54" s="19">
        <v>0.22800536547566033</v>
      </c>
      <c r="AV54" s="19">
        <v>0.14567635876788487</v>
      </c>
      <c r="AW54" s="19">
        <v>0.40558797924598988</v>
      </c>
      <c r="AX54" s="19">
        <v>-7.5745548760132592E-2</v>
      </c>
      <c r="AY54" s="19">
        <v>1.2687131428616307</v>
      </c>
      <c r="AZ54" s="19">
        <v>1.3883893427566782</v>
      </c>
      <c r="BA54" s="19">
        <v>1.1712145370329132</v>
      </c>
      <c r="BB54" s="19">
        <v>1.106249159266024</v>
      </c>
      <c r="BC54" s="19">
        <v>1.3246286609645583</v>
      </c>
      <c r="BD54" s="19">
        <v>-1.0539055273040177</v>
      </c>
      <c r="BE54" s="14" t="s">
        <v>4857</v>
      </c>
    </row>
    <row r="55" spans="1:57" s="30" customFormat="1" ht="17.100000000000001" customHeight="1">
      <c r="A55" s="14">
        <v>44</v>
      </c>
      <c r="B55" s="14" t="s">
        <v>4624</v>
      </c>
      <c r="C55" s="32">
        <v>-1.09351787443868</v>
      </c>
      <c r="D55" s="32">
        <v>1.0931710299841209</v>
      </c>
      <c r="E55" s="32">
        <v>-1.2725580564154135</v>
      </c>
      <c r="F55" s="24">
        <v>59950</v>
      </c>
      <c r="G55" s="52" t="s">
        <v>2</v>
      </c>
      <c r="H55" s="32">
        <v>12.842718481296592</v>
      </c>
      <c r="I55" s="32">
        <v>12.925607828141192</v>
      </c>
      <c r="J55" s="12" t="s">
        <v>4625</v>
      </c>
      <c r="K55" s="15" t="s">
        <v>4626</v>
      </c>
      <c r="L55" s="14" t="s">
        <v>5087</v>
      </c>
      <c r="M55" s="12" t="s">
        <v>4627</v>
      </c>
      <c r="N55" s="15" t="s">
        <v>4628</v>
      </c>
      <c r="O55" s="12" t="s">
        <v>4629</v>
      </c>
      <c r="P55" s="12" t="s">
        <v>4630</v>
      </c>
      <c r="Q55" s="14">
        <v>2</v>
      </c>
      <c r="R55" s="21">
        <v>483.75380000000001</v>
      </c>
      <c r="S55" s="14">
        <v>1</v>
      </c>
      <c r="T55" s="52" t="s">
        <v>2</v>
      </c>
      <c r="U55" s="53">
        <v>29.72</v>
      </c>
      <c r="V55" s="24">
        <v>51800</v>
      </c>
      <c r="W55" s="24">
        <v>45600</v>
      </c>
      <c r="X55" s="24">
        <v>60300</v>
      </c>
      <c r="Y55" s="24">
        <v>59600</v>
      </c>
      <c r="Z55" s="24">
        <v>60900</v>
      </c>
      <c r="AA55" s="24">
        <v>50700</v>
      </c>
      <c r="AB55" s="24">
        <v>60600</v>
      </c>
      <c r="AC55" s="24">
        <v>55700</v>
      </c>
      <c r="AD55" s="24">
        <v>54325</v>
      </c>
      <c r="AE55" s="24">
        <v>56975</v>
      </c>
      <c r="AF55" s="24">
        <v>48700</v>
      </c>
      <c r="AG55" s="24">
        <v>59950</v>
      </c>
      <c r="AH55" s="24">
        <v>55800</v>
      </c>
      <c r="AI55" s="24">
        <v>58150</v>
      </c>
      <c r="AJ55" s="32">
        <v>12.842718481296592</v>
      </c>
      <c r="AK55" s="32">
        <v>8.4507606299992322</v>
      </c>
      <c r="AL55" s="32">
        <v>9.0021807871798654</v>
      </c>
      <c r="AM55" s="32">
        <v>0.82564594967570182</v>
      </c>
      <c r="AN55" s="32">
        <v>12.925607828141192</v>
      </c>
      <c r="AO55" s="32">
        <v>5.9584234356218104</v>
      </c>
      <c r="AP55" s="19">
        <v>1.0487804878048781</v>
      </c>
      <c r="AQ55" s="19">
        <v>1.1457905544147844</v>
      </c>
      <c r="AR55" s="19">
        <v>0.96997497914929109</v>
      </c>
      <c r="AS55" s="19">
        <v>6.8712750084014312E-2</v>
      </c>
      <c r="AT55" s="19">
        <v>0.19634334974684542</v>
      </c>
      <c r="AU55" s="19">
        <v>-4.3980561941005213E-2</v>
      </c>
      <c r="AV55" s="19">
        <v>-0.12897680260208624</v>
      </c>
      <c r="AW55" s="19">
        <v>0.1285191327636957</v>
      </c>
      <c r="AX55" s="19">
        <v>-0.34773147617679812</v>
      </c>
      <c r="AY55" s="19">
        <v>1.0487804878048781</v>
      </c>
      <c r="AZ55" s="19">
        <v>1.1457905544147844</v>
      </c>
      <c r="BA55" s="19">
        <v>-1.0309544282029235</v>
      </c>
      <c r="BB55" s="19">
        <v>-1.09351787443868</v>
      </c>
      <c r="BC55" s="19">
        <v>1.0931710299841209</v>
      </c>
      <c r="BD55" s="19">
        <v>-1.2725580564154135</v>
      </c>
      <c r="BE55" s="14" t="s">
        <v>4857</v>
      </c>
    </row>
    <row r="56" spans="1:57" s="30" customFormat="1" ht="17.100000000000001" customHeight="1">
      <c r="A56" s="14">
        <v>45</v>
      </c>
      <c r="B56" s="14" t="s">
        <v>4631</v>
      </c>
      <c r="C56" s="32">
        <v>1.1252556258232425</v>
      </c>
      <c r="D56" s="32">
        <v>-1.4336481591298977</v>
      </c>
      <c r="E56" s="32">
        <v>1.7020232623650811</v>
      </c>
      <c r="F56" s="24">
        <v>54671.5</v>
      </c>
      <c r="G56" s="52" t="s">
        <v>2</v>
      </c>
      <c r="H56" s="32">
        <v>38.508390002693496</v>
      </c>
      <c r="I56" s="32">
        <v>19.798427151466299</v>
      </c>
      <c r="J56" s="12" t="s">
        <v>4632</v>
      </c>
      <c r="K56" s="12" t="s">
        <v>4633</v>
      </c>
      <c r="L56" s="14" t="s">
        <v>5026</v>
      </c>
      <c r="M56" s="12" t="s">
        <v>4634</v>
      </c>
      <c r="N56" s="15" t="s">
        <v>4635</v>
      </c>
      <c r="O56" s="12" t="s">
        <v>4636</v>
      </c>
      <c r="P56" s="12" t="s">
        <v>4637</v>
      </c>
      <c r="Q56" s="14">
        <v>2</v>
      </c>
      <c r="R56" s="21">
        <v>647.30709999999999</v>
      </c>
      <c r="S56" s="14">
        <v>1</v>
      </c>
      <c r="T56" s="52" t="s">
        <v>2</v>
      </c>
      <c r="U56" s="53">
        <v>36.165399999999998</v>
      </c>
      <c r="V56" s="24">
        <v>42975</v>
      </c>
      <c r="W56" s="24">
        <v>32420</v>
      </c>
      <c r="X56" s="24">
        <v>24286</v>
      </c>
      <c r="Y56" s="24">
        <v>27760</v>
      </c>
      <c r="Z56" s="24">
        <v>30145</v>
      </c>
      <c r="AA56" s="24">
        <v>24976</v>
      </c>
      <c r="AB56" s="24">
        <v>56031</v>
      </c>
      <c r="AC56" s="24">
        <v>53312</v>
      </c>
      <c r="AD56" s="24">
        <v>31860.25</v>
      </c>
      <c r="AE56" s="24">
        <v>41116</v>
      </c>
      <c r="AF56" s="24">
        <v>37697.5</v>
      </c>
      <c r="AG56" s="24">
        <v>26023</v>
      </c>
      <c r="AH56" s="24">
        <v>27560.5</v>
      </c>
      <c r="AI56" s="24">
        <v>54671.5</v>
      </c>
      <c r="AJ56" s="32">
        <v>25.501058640548479</v>
      </c>
      <c r="AK56" s="32">
        <v>38.508390002693496</v>
      </c>
      <c r="AL56" s="32">
        <v>19.798427151466299</v>
      </c>
      <c r="AM56" s="32">
        <v>9.4396839635786272</v>
      </c>
      <c r="AN56" s="32">
        <v>13.261860096708203</v>
      </c>
      <c r="AO56" s="32">
        <v>3.5166829848206516</v>
      </c>
      <c r="AP56" s="19">
        <v>1.2905109030845647</v>
      </c>
      <c r="AQ56" s="19">
        <v>0.73109622654022155</v>
      </c>
      <c r="AR56" s="19">
        <v>2.1008915190408484</v>
      </c>
      <c r="AS56" s="19">
        <v>0.36794233031958823</v>
      </c>
      <c r="AT56" s="19">
        <v>-0.45186678937189073</v>
      </c>
      <c r="AU56" s="19">
        <v>1.0710016693967996</v>
      </c>
      <c r="AV56" s="19">
        <v>0.17025277763348767</v>
      </c>
      <c r="AW56" s="19">
        <v>-0.5196910063550404</v>
      </c>
      <c r="AX56" s="19">
        <v>0.76725075516100671</v>
      </c>
      <c r="AY56" s="19">
        <v>1.2905109030845647</v>
      </c>
      <c r="AZ56" s="19">
        <v>-1.3678090020137514</v>
      </c>
      <c r="BA56" s="19">
        <v>2.1008915190408484</v>
      </c>
      <c r="BB56" s="19">
        <v>1.1252556258232425</v>
      </c>
      <c r="BC56" s="19">
        <v>-1.4336481591298977</v>
      </c>
      <c r="BD56" s="19">
        <v>1.7020232623650811</v>
      </c>
      <c r="BE56" s="14" t="s">
        <v>4857</v>
      </c>
    </row>
    <row r="57" spans="1:57" s="30" customFormat="1" ht="17.100000000000001" customHeight="1">
      <c r="A57" s="14">
        <v>46</v>
      </c>
      <c r="B57" s="14" t="s">
        <v>4638</v>
      </c>
      <c r="C57" s="32">
        <v>1.2065613716249632</v>
      </c>
      <c r="D57" s="32">
        <v>-1.1315294710441952</v>
      </c>
      <c r="E57" s="32">
        <v>1.5080686762470192</v>
      </c>
      <c r="F57" s="24">
        <v>112596.5</v>
      </c>
      <c r="G57" s="52" t="s">
        <v>2</v>
      </c>
      <c r="H57" s="32">
        <v>49.695325261061875</v>
      </c>
      <c r="I57" s="32">
        <v>81.54450675208534</v>
      </c>
      <c r="J57" s="12" t="s">
        <v>4639</v>
      </c>
      <c r="K57" s="12" t="s">
        <v>4639</v>
      </c>
      <c r="L57" s="14" t="s">
        <v>4640</v>
      </c>
      <c r="M57" s="12" t="s">
        <v>4641</v>
      </c>
      <c r="N57" s="15" t="s">
        <v>4642</v>
      </c>
      <c r="O57" s="12" t="s">
        <v>4643</v>
      </c>
      <c r="P57" s="12" t="s">
        <v>4645</v>
      </c>
      <c r="Q57" s="14">
        <v>4</v>
      </c>
      <c r="R57" s="21">
        <v>844.44979999999998</v>
      </c>
      <c r="S57" s="14">
        <v>1</v>
      </c>
      <c r="T57" s="52" t="s">
        <v>2</v>
      </c>
      <c r="U57" s="53">
        <v>105.35875</v>
      </c>
      <c r="V57" s="24">
        <v>49166</v>
      </c>
      <c r="W57" s="24">
        <v>77169</v>
      </c>
      <c r="X57" s="24">
        <v>25610</v>
      </c>
      <c r="Y57" s="24">
        <v>95365</v>
      </c>
      <c r="Z57" s="24">
        <v>54959</v>
      </c>
      <c r="AA57" s="24">
        <v>62065</v>
      </c>
      <c r="AB57" s="24">
        <v>134261</v>
      </c>
      <c r="AC57" s="24">
        <v>90932</v>
      </c>
      <c r="AD57" s="24">
        <v>61827.5</v>
      </c>
      <c r="AE57" s="24">
        <v>85554.25</v>
      </c>
      <c r="AF57" s="24">
        <v>63167.5</v>
      </c>
      <c r="AG57" s="24">
        <v>60487.5</v>
      </c>
      <c r="AH57" s="24">
        <v>58512</v>
      </c>
      <c r="AI57" s="24">
        <v>112596.5</v>
      </c>
      <c r="AJ57" s="32">
        <v>49.695325261061875</v>
      </c>
      <c r="AK57" s="32">
        <v>42.084418190252173</v>
      </c>
      <c r="AL57" s="32">
        <v>31.346992034775617</v>
      </c>
      <c r="AM57" s="32">
        <v>81.54450675208534</v>
      </c>
      <c r="AN57" s="32">
        <v>8.5874705822935571</v>
      </c>
      <c r="AO57" s="32">
        <v>27.210641291720361</v>
      </c>
      <c r="AP57" s="19">
        <v>1.3837572277708139</v>
      </c>
      <c r="AQ57" s="19">
        <v>0.92629912534135439</v>
      </c>
      <c r="AR57" s="19">
        <v>1.8614837776400082</v>
      </c>
      <c r="AS57" s="19">
        <v>0.46859085264684708</v>
      </c>
      <c r="AT57" s="19">
        <v>-0.11044994356121512</v>
      </c>
      <c r="AU57" s="19">
        <v>0.89645304352206556</v>
      </c>
      <c r="AV57" s="19">
        <v>0.27090129996074652</v>
      </c>
      <c r="AW57" s="19">
        <v>-0.17827416054436485</v>
      </c>
      <c r="AX57" s="19">
        <v>0.59270212928627264</v>
      </c>
      <c r="AY57" s="19">
        <v>1.3837572277708139</v>
      </c>
      <c r="AZ57" s="19">
        <v>-1.0795648755810774</v>
      </c>
      <c r="BA57" s="19">
        <v>1.8614837776400082</v>
      </c>
      <c r="BB57" s="19">
        <v>1.2065613716249632</v>
      </c>
      <c r="BC57" s="19">
        <v>-1.1315294710441952</v>
      </c>
      <c r="BD57" s="19">
        <v>1.5080686762470192</v>
      </c>
      <c r="BE57" s="14" t="s">
        <v>4857</v>
      </c>
    </row>
    <row r="58" spans="1:57" s="30" customFormat="1" ht="17.100000000000001" customHeight="1">
      <c r="A58" s="14">
        <v>47</v>
      </c>
      <c r="B58" s="14" t="s">
        <v>4646</v>
      </c>
      <c r="C58" s="32">
        <v>1.0981438455631465</v>
      </c>
      <c r="D58" s="32">
        <v>1.1051323545500247</v>
      </c>
      <c r="E58" s="32">
        <v>1.1040645819835881</v>
      </c>
      <c r="F58" s="24">
        <v>463760</v>
      </c>
      <c r="G58" s="52" t="s">
        <v>2</v>
      </c>
      <c r="H58" s="32">
        <v>23.290322135798842</v>
      </c>
      <c r="I58" s="32">
        <v>38.385889408105179</v>
      </c>
      <c r="J58" s="12" t="s">
        <v>4647</v>
      </c>
      <c r="K58" s="12" t="s">
        <v>4648</v>
      </c>
      <c r="L58" s="14" t="s">
        <v>5255</v>
      </c>
      <c r="M58" s="12" t="s">
        <v>4649</v>
      </c>
      <c r="N58" s="15" t="s">
        <v>4650</v>
      </c>
      <c r="O58" s="12" t="s">
        <v>4651</v>
      </c>
      <c r="P58" s="12" t="s">
        <v>4652</v>
      </c>
      <c r="Q58" s="14">
        <v>2</v>
      </c>
      <c r="R58" s="21">
        <v>537.29060000000004</v>
      </c>
      <c r="S58" s="14">
        <v>3</v>
      </c>
      <c r="T58" s="52" t="s">
        <v>2</v>
      </c>
      <c r="U58" s="53">
        <v>53.437212500000001</v>
      </c>
      <c r="V58" s="24">
        <v>341029</v>
      </c>
      <c r="W58" s="24">
        <v>355015</v>
      </c>
      <c r="X58" s="24">
        <v>369864</v>
      </c>
      <c r="Y58" s="24">
        <v>310734</v>
      </c>
      <c r="Z58" s="24">
        <v>293704</v>
      </c>
      <c r="AA58" s="24">
        <v>512543</v>
      </c>
      <c r="AB58" s="24">
        <v>502170</v>
      </c>
      <c r="AC58" s="24">
        <v>425350</v>
      </c>
      <c r="AD58" s="24">
        <v>344160.5</v>
      </c>
      <c r="AE58" s="24">
        <v>433441.75</v>
      </c>
      <c r="AF58" s="24">
        <v>348022</v>
      </c>
      <c r="AG58" s="24">
        <v>340299</v>
      </c>
      <c r="AH58" s="24">
        <v>403123.5</v>
      </c>
      <c r="AI58" s="24">
        <v>463760</v>
      </c>
      <c r="AJ58" s="32">
        <v>7.3231398673900046</v>
      </c>
      <c r="AK58" s="32">
        <v>23.290322135798842</v>
      </c>
      <c r="AL58" s="32">
        <v>2.8416581255423661</v>
      </c>
      <c r="AM58" s="32">
        <v>12.286613822421035</v>
      </c>
      <c r="AN58" s="32">
        <v>38.385889408105179</v>
      </c>
      <c r="AO58" s="32">
        <v>11.712942670939835</v>
      </c>
      <c r="AP58" s="19">
        <v>1.259417481088039</v>
      </c>
      <c r="AQ58" s="19">
        <v>1.1583276344598905</v>
      </c>
      <c r="AR58" s="19">
        <v>1.362801536296022</v>
      </c>
      <c r="AS58" s="19">
        <v>0.33275659763774756</v>
      </c>
      <c r="AT58" s="19">
        <v>0.21204337919555319</v>
      </c>
      <c r="AU58" s="19">
        <v>0.44657547890836091</v>
      </c>
      <c r="AV58" s="19">
        <v>0.13506704495164701</v>
      </c>
      <c r="AW58" s="19">
        <v>0.1442191622124035</v>
      </c>
      <c r="AX58" s="19">
        <v>0.14282456467256799</v>
      </c>
      <c r="AY58" s="19">
        <v>1.259417481088039</v>
      </c>
      <c r="AZ58" s="19">
        <v>1.1583276344598905</v>
      </c>
      <c r="BA58" s="19">
        <v>1.362801536296022</v>
      </c>
      <c r="BB58" s="19">
        <v>1.0981438455631465</v>
      </c>
      <c r="BC58" s="19">
        <v>1.1051323545500247</v>
      </c>
      <c r="BD58" s="19">
        <v>1.1040645819835881</v>
      </c>
      <c r="BE58" s="14" t="s">
        <v>4857</v>
      </c>
    </row>
    <row r="59" spans="1:57" s="30" customFormat="1" ht="17.100000000000001" customHeight="1">
      <c r="A59" s="14">
        <v>48</v>
      </c>
      <c r="B59" s="14" t="s">
        <v>4653</v>
      </c>
      <c r="C59" s="32">
        <v>1.2725914991520162</v>
      </c>
      <c r="D59" s="32">
        <v>1.0157802477451165</v>
      </c>
      <c r="E59" s="32">
        <v>1.576123956481237</v>
      </c>
      <c r="F59" s="24">
        <v>63865.5</v>
      </c>
      <c r="G59" s="52" t="s">
        <v>2</v>
      </c>
      <c r="H59" s="32">
        <v>24.147951249535719</v>
      </c>
      <c r="I59" s="32">
        <v>15.12904041113311</v>
      </c>
      <c r="J59" s="15" t="s">
        <v>4654</v>
      </c>
      <c r="K59" s="15" t="s">
        <v>4655</v>
      </c>
      <c r="L59" s="14" t="s">
        <v>4517</v>
      </c>
      <c r="M59" s="12" t="s">
        <v>4518</v>
      </c>
      <c r="N59" s="15" t="s">
        <v>4519</v>
      </c>
      <c r="O59" s="12" t="s">
        <v>4520</v>
      </c>
      <c r="P59" s="12" t="s">
        <v>4522</v>
      </c>
      <c r="Q59" s="14">
        <v>2</v>
      </c>
      <c r="R59" s="21">
        <v>634.83140000000003</v>
      </c>
      <c r="S59" s="14">
        <v>5</v>
      </c>
      <c r="T59" s="52" t="s">
        <v>2</v>
      </c>
      <c r="U59" s="53">
        <v>44.323250000000002</v>
      </c>
      <c r="V59" s="24">
        <v>44733</v>
      </c>
      <c r="W59" s="24">
        <v>36087</v>
      </c>
      <c r="X59" s="24">
        <v>35832</v>
      </c>
      <c r="Y59" s="24">
        <v>29823</v>
      </c>
      <c r="Z59" s="24">
        <v>46012</v>
      </c>
      <c r="AA59" s="24">
        <v>40035</v>
      </c>
      <c r="AB59" s="24">
        <v>58996</v>
      </c>
      <c r="AC59" s="24">
        <v>68735</v>
      </c>
      <c r="AD59" s="24">
        <v>36618.75</v>
      </c>
      <c r="AE59" s="24">
        <v>53444.5</v>
      </c>
      <c r="AF59" s="24">
        <v>40410</v>
      </c>
      <c r="AG59" s="24">
        <v>32827.5</v>
      </c>
      <c r="AH59" s="24">
        <v>43023.5</v>
      </c>
      <c r="AI59" s="24">
        <v>63865.5</v>
      </c>
      <c r="AJ59" s="32">
        <v>16.754478558263518</v>
      </c>
      <c r="AK59" s="32">
        <v>24.147951249535719</v>
      </c>
      <c r="AL59" s="32">
        <v>15.12904041113311</v>
      </c>
      <c r="AM59" s="32">
        <v>12.943430502322636</v>
      </c>
      <c r="AN59" s="32">
        <v>9.8234156476158248</v>
      </c>
      <c r="AO59" s="32">
        <v>10.782837278304854</v>
      </c>
      <c r="AP59" s="19">
        <v>1.459484553678102</v>
      </c>
      <c r="AQ59" s="19">
        <v>1.064674585498639</v>
      </c>
      <c r="AR59" s="19">
        <v>1.9454877770162211</v>
      </c>
      <c r="AS59" s="19">
        <v>0.54545894228935932</v>
      </c>
      <c r="AT59" s="19">
        <v>9.0412542538756122E-2</v>
      </c>
      <c r="AU59" s="19">
        <v>0.96013191626888861</v>
      </c>
      <c r="AV59" s="19">
        <v>0.34776938960325876</v>
      </c>
      <c r="AW59" s="19">
        <v>2.2588325555606414E-2</v>
      </c>
      <c r="AX59" s="19">
        <v>0.65638100203309568</v>
      </c>
      <c r="AY59" s="19">
        <v>1.459484553678102</v>
      </c>
      <c r="AZ59" s="19">
        <v>1.064674585498639</v>
      </c>
      <c r="BA59" s="19">
        <v>1.9454877770162211</v>
      </c>
      <c r="BB59" s="19">
        <v>1.2725914991520162</v>
      </c>
      <c r="BC59" s="19">
        <v>1.0157802477451165</v>
      </c>
      <c r="BD59" s="19">
        <v>1.576123956481237</v>
      </c>
      <c r="BE59" s="14" t="s">
        <v>4857</v>
      </c>
    </row>
    <row r="60" spans="1:57" s="30" customFormat="1" ht="17.100000000000001" customHeight="1">
      <c r="A60" s="14">
        <v>49</v>
      </c>
      <c r="B60" s="14" t="s">
        <v>4523</v>
      </c>
      <c r="C60" s="32">
        <v>1.3736630185180669</v>
      </c>
      <c r="D60" s="32">
        <v>1.3422517908365388</v>
      </c>
      <c r="E60" s="32">
        <v>1.3775105826981144</v>
      </c>
      <c r="F60" s="42">
        <v>613889.5</v>
      </c>
      <c r="G60" s="52" t="s">
        <v>4894</v>
      </c>
      <c r="H60" s="32">
        <v>34.281449317717652</v>
      </c>
      <c r="I60" s="32">
        <v>42.196887982956319</v>
      </c>
      <c r="J60" s="15" t="s">
        <v>4524</v>
      </c>
      <c r="K60" s="15" t="s">
        <v>4525</v>
      </c>
      <c r="L60" s="14" t="s">
        <v>5325</v>
      </c>
      <c r="M60" s="12" t="s">
        <v>4518</v>
      </c>
      <c r="N60" s="15" t="s">
        <v>4526</v>
      </c>
      <c r="O60" s="12" t="s">
        <v>4520</v>
      </c>
      <c r="P60" s="12" t="s">
        <v>4527</v>
      </c>
      <c r="Q60" s="14">
        <v>4</v>
      </c>
      <c r="R60" s="21">
        <v>619.06799999999998</v>
      </c>
      <c r="S60" s="14">
        <v>1</v>
      </c>
      <c r="T60" s="52" t="s">
        <v>4894</v>
      </c>
      <c r="U60" s="53">
        <v>46.107824999999998</v>
      </c>
      <c r="V60" s="42">
        <v>305691</v>
      </c>
      <c r="W60" s="42">
        <v>229556</v>
      </c>
      <c r="X60" s="42">
        <v>468768</v>
      </c>
      <c r="Y60" s="42">
        <v>253315</v>
      </c>
      <c r="Z60" s="42">
        <v>338955</v>
      </c>
      <c r="AA60" s="42">
        <v>414063</v>
      </c>
      <c r="AB60" s="42">
        <v>712739</v>
      </c>
      <c r="AC60" s="42">
        <v>515040</v>
      </c>
      <c r="AD60" s="42">
        <v>314332.5</v>
      </c>
      <c r="AE60" s="42">
        <v>495199.25</v>
      </c>
      <c r="AF60" s="42">
        <v>267623.5</v>
      </c>
      <c r="AG60" s="42">
        <v>361041.5</v>
      </c>
      <c r="AH60" s="42">
        <v>376509</v>
      </c>
      <c r="AI60" s="42">
        <v>613889.5</v>
      </c>
      <c r="AJ60" s="32">
        <v>34.281449317717652</v>
      </c>
      <c r="AK60" s="32">
        <v>32.710064389402248</v>
      </c>
      <c r="AL60" s="32">
        <v>20.116161243552153</v>
      </c>
      <c r="AM60" s="32">
        <v>42.196887982956319</v>
      </c>
      <c r="AN60" s="32">
        <v>14.105738806073481</v>
      </c>
      <c r="AO60" s="32">
        <v>22.771900078727398</v>
      </c>
      <c r="AP60" s="19">
        <v>1.5753994575807464</v>
      </c>
      <c r="AQ60" s="19">
        <v>1.4068607577436212</v>
      </c>
      <c r="AR60" s="19">
        <v>1.7003294635104276</v>
      </c>
      <c r="AS60" s="19">
        <v>0.65571768410588849</v>
      </c>
      <c r="AT60" s="19">
        <v>0.49247954673112165</v>
      </c>
      <c r="AU60" s="19">
        <v>0.76581431655124022</v>
      </c>
      <c r="AV60" s="19">
        <v>0.45802813141978793</v>
      </c>
      <c r="AW60" s="19">
        <v>0.42465532974797193</v>
      </c>
      <c r="AX60" s="19">
        <v>0.46206340231544729</v>
      </c>
      <c r="AY60" s="19">
        <v>1.5753994575807464</v>
      </c>
      <c r="AZ60" s="19">
        <v>1.4068607577436212</v>
      </c>
      <c r="BA60" s="19">
        <v>1.7003294635104276</v>
      </c>
      <c r="BB60" s="19">
        <v>1.3736630185180669</v>
      </c>
      <c r="BC60" s="19">
        <v>1.3422517908365388</v>
      </c>
      <c r="BD60" s="19">
        <v>1.3775105826981144</v>
      </c>
      <c r="BE60" s="14" t="s">
        <v>4857</v>
      </c>
    </row>
    <row r="61" spans="1:57" s="30" customFormat="1" ht="17.100000000000001" customHeight="1">
      <c r="A61" s="14">
        <v>50</v>
      </c>
      <c r="B61" s="14" t="s">
        <v>4528</v>
      </c>
      <c r="C61" s="32">
        <v>-1.1325369381957064</v>
      </c>
      <c r="D61" s="32">
        <v>-1.2868989740884593</v>
      </c>
      <c r="E61" s="32">
        <v>-1.0064252605183366</v>
      </c>
      <c r="F61" s="24">
        <v>114426.5</v>
      </c>
      <c r="G61" s="52" t="s">
        <v>2</v>
      </c>
      <c r="H61" s="32">
        <v>22.514235603448054</v>
      </c>
      <c r="I61" s="32">
        <v>27.066755466045635</v>
      </c>
      <c r="J61" s="15" t="s">
        <v>4524</v>
      </c>
      <c r="K61" s="15" t="s">
        <v>4525</v>
      </c>
      <c r="L61" s="14" t="s">
        <v>5081</v>
      </c>
      <c r="M61" s="12" t="s">
        <v>4518</v>
      </c>
      <c r="N61" s="15" t="s">
        <v>4526</v>
      </c>
      <c r="O61" s="12" t="s">
        <v>4520</v>
      </c>
      <c r="P61" s="12" t="s">
        <v>4529</v>
      </c>
      <c r="Q61" s="14">
        <v>3</v>
      </c>
      <c r="R61" s="21">
        <v>611.61260000000004</v>
      </c>
      <c r="S61" s="14">
        <v>12</v>
      </c>
      <c r="T61" s="52" t="s">
        <v>2</v>
      </c>
      <c r="U61" s="53">
        <v>38.542587500000003</v>
      </c>
      <c r="V61" s="24">
        <v>119926</v>
      </c>
      <c r="W61" s="24">
        <v>81395</v>
      </c>
      <c r="X61" s="24">
        <v>80033</v>
      </c>
      <c r="Y61" s="24">
        <v>106562</v>
      </c>
      <c r="Z61" s="24">
        <v>74433</v>
      </c>
      <c r="AA61" s="24">
        <v>89536</v>
      </c>
      <c r="AB61" s="24">
        <v>126675</v>
      </c>
      <c r="AC61" s="24">
        <v>102178</v>
      </c>
      <c r="AD61" s="24">
        <v>96979</v>
      </c>
      <c r="AE61" s="24">
        <v>98205.5</v>
      </c>
      <c r="AF61" s="24">
        <v>100660.5</v>
      </c>
      <c r="AG61" s="24">
        <v>93297.5</v>
      </c>
      <c r="AH61" s="24">
        <v>81984.5</v>
      </c>
      <c r="AI61" s="24">
        <v>114426.5</v>
      </c>
      <c r="AJ61" s="32">
        <v>20.174988965786078</v>
      </c>
      <c r="AK61" s="32">
        <v>22.514235603448054</v>
      </c>
      <c r="AL61" s="32">
        <v>27.066755466045635</v>
      </c>
      <c r="AM61" s="32">
        <v>20.106472089925155</v>
      </c>
      <c r="AN61" s="32">
        <v>13.026161916289578</v>
      </c>
      <c r="AO61" s="32">
        <v>15.138097222869575</v>
      </c>
      <c r="AP61" s="19">
        <v>1.0126470679219213</v>
      </c>
      <c r="AQ61" s="19">
        <v>0.81446545566533046</v>
      </c>
      <c r="AR61" s="19">
        <v>1.2264690908116509</v>
      </c>
      <c r="AS61" s="19">
        <v>1.8131447507121656E-2</v>
      </c>
      <c r="AT61" s="19">
        <v>-0.29607458459228853</v>
      </c>
      <c r="AU61" s="19">
        <v>0.29451087588927793</v>
      </c>
      <c r="AV61" s="19">
        <v>-0.17955810517897891</v>
      </c>
      <c r="AW61" s="19">
        <v>-0.36389880157543825</v>
      </c>
      <c r="AX61" s="19">
        <v>-9.2400383465149893E-3</v>
      </c>
      <c r="AY61" s="19">
        <v>1.0126470679219213</v>
      </c>
      <c r="AZ61" s="19">
        <v>-1.2277991571577556</v>
      </c>
      <c r="BA61" s="19">
        <v>1.2264690908116509</v>
      </c>
      <c r="BB61" s="19">
        <v>-1.1325369381957064</v>
      </c>
      <c r="BC61" s="19">
        <v>-1.2868989740884593</v>
      </c>
      <c r="BD61" s="19">
        <v>-1.0064252605183366</v>
      </c>
      <c r="BE61" s="14" t="s">
        <v>4857</v>
      </c>
    </row>
    <row r="62" spans="1:57" s="30" customFormat="1" ht="17.100000000000001" customHeight="1">
      <c r="A62" s="14">
        <v>51</v>
      </c>
      <c r="B62" s="14" t="s">
        <v>4533</v>
      </c>
      <c r="C62" s="32">
        <v>-1.1481720381840612</v>
      </c>
      <c r="D62" s="32">
        <v>-1.1362935833076633</v>
      </c>
      <c r="E62" s="32">
        <v>-1.1458590530679513</v>
      </c>
      <c r="F62" s="24">
        <v>251165</v>
      </c>
      <c r="G62" s="52" t="s">
        <v>2</v>
      </c>
      <c r="H62" s="32">
        <v>18.144999884048264</v>
      </c>
      <c r="I62" s="32">
        <v>20.512895622723796</v>
      </c>
      <c r="J62" s="15" t="s">
        <v>4524</v>
      </c>
      <c r="K62" s="15" t="s">
        <v>4525</v>
      </c>
      <c r="L62" s="14" t="s">
        <v>4841</v>
      </c>
      <c r="M62" s="12" t="s">
        <v>4518</v>
      </c>
      <c r="N62" s="15" t="s">
        <v>4526</v>
      </c>
      <c r="O62" s="12" t="s">
        <v>4520</v>
      </c>
      <c r="P62" s="12" t="s">
        <v>4534</v>
      </c>
      <c r="Q62" s="14">
        <v>2</v>
      </c>
      <c r="R62" s="21">
        <v>676.35</v>
      </c>
      <c r="S62" s="14">
        <v>8</v>
      </c>
      <c r="T62" s="52" t="s">
        <v>2</v>
      </c>
      <c r="U62" s="53">
        <v>63.657387499999992</v>
      </c>
      <c r="V62" s="24">
        <v>231265</v>
      </c>
      <c r="W62" s="24">
        <v>246807</v>
      </c>
      <c r="X62" s="24">
        <v>248591</v>
      </c>
      <c r="Y62" s="24">
        <v>217727</v>
      </c>
      <c r="Z62" s="24">
        <v>251295</v>
      </c>
      <c r="AA62" s="24">
        <v>189686</v>
      </c>
      <c r="AB62" s="24">
        <v>214734</v>
      </c>
      <c r="AC62" s="24">
        <v>287596</v>
      </c>
      <c r="AD62" s="24">
        <v>236097.5</v>
      </c>
      <c r="AE62" s="24">
        <v>235827.75</v>
      </c>
      <c r="AF62" s="24">
        <v>239036</v>
      </c>
      <c r="AG62" s="24">
        <v>233159</v>
      </c>
      <c r="AH62" s="24">
        <v>220490.5</v>
      </c>
      <c r="AI62" s="24">
        <v>251165</v>
      </c>
      <c r="AJ62" s="32">
        <v>6.1457123344644771</v>
      </c>
      <c r="AK62" s="32">
        <v>18.144999884048264</v>
      </c>
      <c r="AL62" s="32">
        <v>4.5975725803650169</v>
      </c>
      <c r="AM62" s="32">
        <v>9.3601978454795223</v>
      </c>
      <c r="AN62" s="32">
        <v>19.757831599149174</v>
      </c>
      <c r="AO62" s="32">
        <v>20.512895622723796</v>
      </c>
      <c r="AP62" s="19">
        <v>0.99885746354789862</v>
      </c>
      <c r="AQ62" s="19">
        <v>0.92241545206579767</v>
      </c>
      <c r="AR62" s="19">
        <v>1.077226270484948</v>
      </c>
      <c r="AS62" s="19">
        <v>-1.6492740308460662E-3</v>
      </c>
      <c r="AT62" s="19">
        <v>-0.11651141403994049</v>
      </c>
      <c r="AU62" s="19">
        <v>0.10732131861005038</v>
      </c>
      <c r="AV62" s="19">
        <v>-0.19933882671694661</v>
      </c>
      <c r="AW62" s="19">
        <v>-0.1843356310230902</v>
      </c>
      <c r="AX62" s="19">
        <v>-0.19642959562574253</v>
      </c>
      <c r="AY62" s="19">
        <v>-1.001143843334807</v>
      </c>
      <c r="AZ62" s="19">
        <v>-1.0841101997591733</v>
      </c>
      <c r="BA62" s="19">
        <v>1.077226270484948</v>
      </c>
      <c r="BB62" s="19">
        <v>-1.1481720381840612</v>
      </c>
      <c r="BC62" s="19">
        <v>-1.1362935833076633</v>
      </c>
      <c r="BD62" s="19">
        <v>-1.1458590530679513</v>
      </c>
      <c r="BE62" s="14" t="s">
        <v>4857</v>
      </c>
    </row>
    <row r="63" spans="1:57" s="30" customFormat="1" ht="17.100000000000001" customHeight="1">
      <c r="A63" s="14">
        <v>52</v>
      </c>
      <c r="B63" s="14" t="s">
        <v>4537</v>
      </c>
      <c r="C63" s="32">
        <v>-1.5592091774345567</v>
      </c>
      <c r="D63" s="32">
        <v>-1.5915129298214949</v>
      </c>
      <c r="E63" s="32">
        <v>-1.3672274368946737</v>
      </c>
      <c r="F63" s="24">
        <v>23470</v>
      </c>
      <c r="G63" s="52" t="s">
        <v>2</v>
      </c>
      <c r="H63" s="32">
        <v>38.19137183637833</v>
      </c>
      <c r="I63" s="32">
        <v>49.612625939172062</v>
      </c>
      <c r="J63" s="15" t="s">
        <v>4524</v>
      </c>
      <c r="K63" s="15" t="s">
        <v>4525</v>
      </c>
      <c r="L63" s="14" t="s">
        <v>4670</v>
      </c>
      <c r="M63" s="12" t="s">
        <v>4518</v>
      </c>
      <c r="N63" s="15" t="s">
        <v>4526</v>
      </c>
      <c r="O63" s="12" t="s">
        <v>4520</v>
      </c>
      <c r="P63" s="12" t="s">
        <v>4538</v>
      </c>
      <c r="Q63" s="14">
        <v>2</v>
      </c>
      <c r="R63" s="21">
        <v>546.74429999999995</v>
      </c>
      <c r="S63" s="14">
        <v>2</v>
      </c>
      <c r="T63" s="52" t="s">
        <v>2</v>
      </c>
      <c r="U63" s="53">
        <v>28.698857142857143</v>
      </c>
      <c r="V63" s="24">
        <v>24501</v>
      </c>
      <c r="W63" s="24">
        <v>19509</v>
      </c>
      <c r="X63" s="24">
        <v>22922</v>
      </c>
      <c r="Y63" s="24">
        <v>24018</v>
      </c>
      <c r="Z63" s="24">
        <v>9408</v>
      </c>
      <c r="AA63" s="24">
        <v>19576</v>
      </c>
      <c r="AB63" s="24">
        <v>21189</v>
      </c>
      <c r="AC63" s="24"/>
      <c r="AD63" s="24">
        <v>22737.5</v>
      </c>
      <c r="AE63" s="24">
        <v>16724.333333333332</v>
      </c>
      <c r="AF63" s="24">
        <v>22005</v>
      </c>
      <c r="AG63" s="24">
        <v>23470</v>
      </c>
      <c r="AH63" s="24">
        <v>14492</v>
      </c>
      <c r="AI63" s="24">
        <v>21189</v>
      </c>
      <c r="AJ63" s="32">
        <v>9.9018537107616087</v>
      </c>
      <c r="AK63" s="32">
        <v>38.19137183637833</v>
      </c>
      <c r="AL63" s="32">
        <v>16.041249950844104</v>
      </c>
      <c r="AM63" s="32">
        <v>3.3020410403939335</v>
      </c>
      <c r="AN63" s="32">
        <v>49.612625939172062</v>
      </c>
      <c r="AO63" s="32" t="s">
        <v>4854</v>
      </c>
      <c r="AP63" s="19">
        <v>0.73553967381345053</v>
      </c>
      <c r="AQ63" s="19">
        <v>0.65857759600090893</v>
      </c>
      <c r="AR63" s="19">
        <v>0.9028121005538986</v>
      </c>
      <c r="AS63" s="19">
        <v>-0.44312493468496</v>
      </c>
      <c r="AT63" s="19">
        <v>-0.60257466082862088</v>
      </c>
      <c r="AU63" s="19">
        <v>-0.14750233952541508</v>
      </c>
      <c r="AV63" s="19">
        <v>-0.64081448737106061</v>
      </c>
      <c r="AW63" s="19">
        <v>-0.67039887781177054</v>
      </c>
      <c r="AX63" s="19">
        <v>-0.45125325376120801</v>
      </c>
      <c r="AY63" s="19">
        <v>-1.359545970940546</v>
      </c>
      <c r="AZ63" s="19">
        <v>-1.5184239580458183</v>
      </c>
      <c r="BA63" s="19">
        <v>-1.1076501958563405</v>
      </c>
      <c r="BB63" s="19">
        <v>-1.5592091774345567</v>
      </c>
      <c r="BC63" s="19">
        <v>-1.5915129298214949</v>
      </c>
      <c r="BD63" s="19">
        <v>-1.3672274368946737</v>
      </c>
      <c r="BE63" s="14" t="s">
        <v>4857</v>
      </c>
    </row>
    <row r="64" spans="1:57" s="30" customFormat="1" ht="17.100000000000001" customHeight="1">
      <c r="A64" s="14">
        <v>53</v>
      </c>
      <c r="B64" s="14" t="s">
        <v>4539</v>
      </c>
      <c r="C64" s="32">
        <v>-1.0068607546485986</v>
      </c>
      <c r="D64" s="32">
        <v>-1.1410490542949803</v>
      </c>
      <c r="E64" s="32">
        <v>1.0916218794828016</v>
      </c>
      <c r="F64" s="24">
        <v>162363.5</v>
      </c>
      <c r="G64" s="52" t="s">
        <v>2</v>
      </c>
      <c r="H64" s="32">
        <v>29.624729059924238</v>
      </c>
      <c r="I64" s="32">
        <v>39.541906377985008</v>
      </c>
      <c r="J64" s="12" t="s">
        <v>4540</v>
      </c>
      <c r="K64" s="12" t="s">
        <v>4541</v>
      </c>
      <c r="L64" s="14" t="s">
        <v>4542</v>
      </c>
      <c r="M64" s="12" t="s">
        <v>4543</v>
      </c>
      <c r="N64" s="15" t="s">
        <v>4544</v>
      </c>
      <c r="O64" s="12" t="s">
        <v>4545</v>
      </c>
      <c r="P64" s="12" t="s">
        <v>4547</v>
      </c>
      <c r="Q64" s="14">
        <v>2</v>
      </c>
      <c r="R64" s="21">
        <v>702.42899999999997</v>
      </c>
      <c r="S64" s="14">
        <v>3</v>
      </c>
      <c r="T64" s="52" t="s">
        <v>2</v>
      </c>
      <c r="U64" s="53">
        <v>98.197175000000001</v>
      </c>
      <c r="V64" s="24">
        <v>82051</v>
      </c>
      <c r="W64" s="24">
        <v>145743</v>
      </c>
      <c r="X64" s="24">
        <v>148286</v>
      </c>
      <c r="Y64" s="24">
        <v>92709</v>
      </c>
      <c r="Z64" s="24">
        <v>92606</v>
      </c>
      <c r="AA64" s="24">
        <v>116639</v>
      </c>
      <c r="AB64" s="24">
        <v>163319</v>
      </c>
      <c r="AC64" s="24">
        <v>161408</v>
      </c>
      <c r="AD64" s="24">
        <v>117197.25</v>
      </c>
      <c r="AE64" s="24">
        <v>133493</v>
      </c>
      <c r="AF64" s="24">
        <v>113897</v>
      </c>
      <c r="AG64" s="24">
        <v>120497.5</v>
      </c>
      <c r="AH64" s="24">
        <v>104622.5</v>
      </c>
      <c r="AI64" s="24">
        <v>162363.5</v>
      </c>
      <c r="AJ64" s="32">
        <v>29.624729059924238</v>
      </c>
      <c r="AK64" s="32">
        <v>26.038347217916684</v>
      </c>
      <c r="AL64" s="32">
        <v>39.541906377985008</v>
      </c>
      <c r="AM64" s="32">
        <v>32.613849729666384</v>
      </c>
      <c r="AN64" s="32">
        <v>16.243061743177901</v>
      </c>
      <c r="AO64" s="32">
        <v>0.83225667027841377</v>
      </c>
      <c r="AP64" s="19">
        <v>1.1390454980812263</v>
      </c>
      <c r="AQ64" s="19">
        <v>0.91857116517555337</v>
      </c>
      <c r="AR64" s="19">
        <v>1.3474428930060789</v>
      </c>
      <c r="AS64" s="19">
        <v>0.18782537526830501</v>
      </c>
      <c r="AT64" s="19">
        <v>-0.1225365981902045</v>
      </c>
      <c r="AU64" s="19">
        <v>0.43022413032636786</v>
      </c>
      <c r="AV64" s="19">
        <v>-9.8641774177955499E-3</v>
      </c>
      <c r="AW64" s="19">
        <v>-0.19036081517335421</v>
      </c>
      <c r="AX64" s="19">
        <v>0.12647321609057494</v>
      </c>
      <c r="AY64" s="19">
        <v>1.1390454980812263</v>
      </c>
      <c r="AZ64" s="19">
        <v>-1.0886472795048865</v>
      </c>
      <c r="BA64" s="19">
        <v>1.3474428930060789</v>
      </c>
      <c r="BB64" s="19">
        <v>-1.0068607546485986</v>
      </c>
      <c r="BC64" s="19">
        <v>-1.1410490542949803</v>
      </c>
      <c r="BD64" s="19">
        <v>1.0916218794828016</v>
      </c>
      <c r="BE64" s="14" t="s">
        <v>4857</v>
      </c>
    </row>
    <row r="65" spans="1:105" s="30" customFormat="1" ht="17.100000000000001" customHeight="1">
      <c r="A65" s="14">
        <v>54</v>
      </c>
      <c r="B65" s="14" t="s">
        <v>4548</v>
      </c>
      <c r="C65" s="32">
        <v>-1.011779676985848</v>
      </c>
      <c r="D65" s="32">
        <v>-1.3695067396406506</v>
      </c>
      <c r="E65" s="32">
        <v>1.3119730126515008</v>
      </c>
      <c r="F65" s="24">
        <v>400000</v>
      </c>
      <c r="G65" s="52" t="s">
        <v>2</v>
      </c>
      <c r="H65" s="32">
        <v>29.99465698855283</v>
      </c>
      <c r="I65" s="32">
        <v>17.324116139070416</v>
      </c>
      <c r="J65" s="12" t="s">
        <v>4549</v>
      </c>
      <c r="K65" s="15" t="s">
        <v>4550</v>
      </c>
      <c r="L65" s="14" t="s">
        <v>5051</v>
      </c>
      <c r="M65" s="12" t="s">
        <v>4551</v>
      </c>
      <c r="N65" s="15" t="s">
        <v>4552</v>
      </c>
      <c r="O65" s="12" t="s">
        <v>4553</v>
      </c>
      <c r="P65" s="12" t="s">
        <v>4555</v>
      </c>
      <c r="Q65" s="14">
        <v>2</v>
      </c>
      <c r="R65" s="21">
        <v>549.30309999999997</v>
      </c>
      <c r="S65" s="14">
        <v>6</v>
      </c>
      <c r="T65" s="52" t="s">
        <v>2</v>
      </c>
      <c r="U65" s="53">
        <v>52.28</v>
      </c>
      <c r="V65" s="24">
        <v>329000</v>
      </c>
      <c r="W65" s="24">
        <v>323000</v>
      </c>
      <c r="X65" s="24">
        <v>256000</v>
      </c>
      <c r="Y65" s="24">
        <v>238000</v>
      </c>
      <c r="Z65" s="24">
        <v>227000</v>
      </c>
      <c r="AA65" s="24">
        <v>272000</v>
      </c>
      <c r="AB65" s="24">
        <v>351000</v>
      </c>
      <c r="AC65" s="24">
        <v>449000</v>
      </c>
      <c r="AD65" s="24">
        <v>286500</v>
      </c>
      <c r="AE65" s="24">
        <v>324750</v>
      </c>
      <c r="AF65" s="24">
        <v>326000</v>
      </c>
      <c r="AG65" s="24">
        <v>247000</v>
      </c>
      <c r="AH65" s="24">
        <v>249500</v>
      </c>
      <c r="AI65" s="24">
        <v>400000</v>
      </c>
      <c r="AJ65" s="32">
        <v>16.147901116499938</v>
      </c>
      <c r="AK65" s="32">
        <v>29.99465698855283</v>
      </c>
      <c r="AL65" s="32">
        <v>1.3014235236562224</v>
      </c>
      <c r="AM65" s="32">
        <v>5.1530048831408317</v>
      </c>
      <c r="AN65" s="32">
        <v>12.753428919196248</v>
      </c>
      <c r="AO65" s="32">
        <v>17.324116139070416</v>
      </c>
      <c r="AP65" s="19">
        <v>1.1335078534031413</v>
      </c>
      <c r="AQ65" s="19">
        <v>0.76533742331288346</v>
      </c>
      <c r="AR65" s="19">
        <v>1.6194331983805668</v>
      </c>
      <c r="AS65" s="19">
        <v>0.18079438669097614</v>
      </c>
      <c r="AT65" s="19">
        <v>-0.38583214889381701</v>
      </c>
      <c r="AU65" s="19">
        <v>0.69548895819004708</v>
      </c>
      <c r="AV65" s="19">
        <v>-1.6895165995124417E-2</v>
      </c>
      <c r="AW65" s="19">
        <v>-0.45365636587696673</v>
      </c>
      <c r="AX65" s="19">
        <v>0.39173804395425416</v>
      </c>
      <c r="AY65" s="19">
        <v>1.1335078534031413</v>
      </c>
      <c r="AZ65" s="19">
        <v>-1.3066132264529058</v>
      </c>
      <c r="BA65" s="19">
        <v>1.6194331983805668</v>
      </c>
      <c r="BB65" s="19">
        <v>-1.011779676985848</v>
      </c>
      <c r="BC65" s="19">
        <v>-1.3695067396406506</v>
      </c>
      <c r="BD65" s="19">
        <v>1.3119730126515008</v>
      </c>
      <c r="BE65" s="14" t="s">
        <v>4857</v>
      </c>
    </row>
    <row r="66" spans="1:105" s="30" customFormat="1" ht="17.100000000000001" customHeight="1">
      <c r="A66" s="14">
        <v>55</v>
      </c>
      <c r="B66" s="14" t="s">
        <v>4559</v>
      </c>
      <c r="C66" s="32">
        <v>1.448757820382083</v>
      </c>
      <c r="D66" s="32">
        <v>1.0998063172544261</v>
      </c>
      <c r="E66" s="32">
        <v>1.7181461766988551</v>
      </c>
      <c r="F66" s="24">
        <v>313292</v>
      </c>
      <c r="G66" s="52" t="s">
        <v>2</v>
      </c>
      <c r="H66" s="32">
        <v>45.148864891359835</v>
      </c>
      <c r="I66" s="32">
        <v>28.212768806199467</v>
      </c>
      <c r="J66" s="12" t="s">
        <v>4549</v>
      </c>
      <c r="K66" s="15" t="s">
        <v>4550</v>
      </c>
      <c r="L66" s="14" t="s">
        <v>4557</v>
      </c>
      <c r="M66" s="12" t="s">
        <v>4551</v>
      </c>
      <c r="N66" s="15" t="s">
        <v>4552</v>
      </c>
      <c r="O66" s="12" t="s">
        <v>4553</v>
      </c>
      <c r="P66" s="12" t="s">
        <v>4558</v>
      </c>
      <c r="Q66" s="14">
        <v>3</v>
      </c>
      <c r="R66" s="21">
        <v>565.64189999999996</v>
      </c>
      <c r="S66" s="14">
        <v>9</v>
      </c>
      <c r="T66" s="52" t="s">
        <v>2</v>
      </c>
      <c r="U66" s="53">
        <v>78.762037499999991</v>
      </c>
      <c r="V66" s="24">
        <v>140669</v>
      </c>
      <c r="W66" s="24">
        <v>126030</v>
      </c>
      <c r="X66" s="24">
        <v>132780</v>
      </c>
      <c r="Y66" s="24">
        <v>162668</v>
      </c>
      <c r="Z66" s="24">
        <v>159499</v>
      </c>
      <c r="AA66" s="24">
        <v>147937</v>
      </c>
      <c r="AB66" s="24">
        <v>250792</v>
      </c>
      <c r="AC66" s="24">
        <v>375792</v>
      </c>
      <c r="AD66" s="24">
        <v>140536.75</v>
      </c>
      <c r="AE66" s="24">
        <v>233505</v>
      </c>
      <c r="AF66" s="24">
        <v>133349.5</v>
      </c>
      <c r="AG66" s="24">
        <v>147724</v>
      </c>
      <c r="AH66" s="24">
        <v>153718</v>
      </c>
      <c r="AI66" s="24">
        <v>313292</v>
      </c>
      <c r="AJ66" s="32">
        <v>11.328619708296827</v>
      </c>
      <c r="AK66" s="32">
        <v>45.148864891359835</v>
      </c>
      <c r="AL66" s="32">
        <v>7.7625609168312364</v>
      </c>
      <c r="AM66" s="32">
        <v>14.306414310540964</v>
      </c>
      <c r="AN66" s="32">
        <v>5.318549944755242</v>
      </c>
      <c r="AO66" s="32">
        <v>28.212768806199467</v>
      </c>
      <c r="AP66" s="19">
        <v>1.6615226977996858</v>
      </c>
      <c r="AQ66" s="19">
        <v>1.152745229640906</v>
      </c>
      <c r="AR66" s="19">
        <v>2.1207928298719234</v>
      </c>
      <c r="AS66" s="19">
        <v>0.73250600159411883</v>
      </c>
      <c r="AT66" s="19">
        <v>0.20507369551548929</v>
      </c>
      <c r="AU66" s="19">
        <v>1.0846036977594802</v>
      </c>
      <c r="AV66" s="19">
        <v>0.53481644890801827</v>
      </c>
      <c r="AW66" s="19">
        <v>0.1372494785323396</v>
      </c>
      <c r="AX66" s="19">
        <v>0.78085278352368725</v>
      </c>
      <c r="AY66" s="19">
        <v>1.6615226977996858</v>
      </c>
      <c r="AZ66" s="19">
        <v>1.152745229640906</v>
      </c>
      <c r="BA66" s="19">
        <v>2.1207928298719234</v>
      </c>
      <c r="BB66" s="19">
        <v>1.448757820382083</v>
      </c>
      <c r="BC66" s="19">
        <v>1.0998063172544261</v>
      </c>
      <c r="BD66" s="19">
        <v>1.7181461766988551</v>
      </c>
      <c r="BE66" s="14" t="s">
        <v>4857</v>
      </c>
    </row>
    <row r="67" spans="1:105" s="30" customFormat="1" ht="17.100000000000001" customHeight="1">
      <c r="A67" s="14">
        <v>56</v>
      </c>
      <c r="B67" s="14" t="s">
        <v>4667</v>
      </c>
      <c r="C67" s="32">
        <v>1.0196637347223967</v>
      </c>
      <c r="D67" s="32">
        <v>1.0207361087051023</v>
      </c>
      <c r="E67" s="32">
        <v>1.0416128596872452</v>
      </c>
      <c r="F67" s="24">
        <v>37800</v>
      </c>
      <c r="G67" s="52" t="s">
        <v>2</v>
      </c>
      <c r="H67" s="32">
        <v>13.330872514167202</v>
      </c>
      <c r="I67" s="32">
        <v>13.792184669431931</v>
      </c>
      <c r="J67" s="12" t="s">
        <v>4549</v>
      </c>
      <c r="K67" s="15" t="s">
        <v>4550</v>
      </c>
      <c r="L67" s="14" t="s">
        <v>4560</v>
      </c>
      <c r="M67" s="12" t="s">
        <v>4551</v>
      </c>
      <c r="N67" s="15" t="s">
        <v>4552</v>
      </c>
      <c r="O67" s="12" t="s">
        <v>4553</v>
      </c>
      <c r="P67" s="12" t="s">
        <v>4561</v>
      </c>
      <c r="Q67" s="14">
        <v>2</v>
      </c>
      <c r="R67" s="21">
        <v>512.76020000000005</v>
      </c>
      <c r="S67" s="14">
        <v>5</v>
      </c>
      <c r="T67" s="52" t="s">
        <v>2</v>
      </c>
      <c r="U67" s="53">
        <v>26.965</v>
      </c>
      <c r="V67" s="24">
        <v>37700</v>
      </c>
      <c r="W67" s="24">
        <v>31000</v>
      </c>
      <c r="X67" s="24">
        <v>31300</v>
      </c>
      <c r="Y67" s="24">
        <v>27500</v>
      </c>
      <c r="Z67" s="24">
        <v>40100</v>
      </c>
      <c r="AA67" s="24">
        <v>33400</v>
      </c>
      <c r="AB67" s="24">
        <v>37900</v>
      </c>
      <c r="AC67" s="24">
        <v>37700</v>
      </c>
      <c r="AD67" s="24">
        <v>31875</v>
      </c>
      <c r="AE67" s="24">
        <v>37275</v>
      </c>
      <c r="AF67" s="24">
        <v>34350</v>
      </c>
      <c r="AG67" s="24">
        <v>29400</v>
      </c>
      <c r="AH67" s="24">
        <v>36750</v>
      </c>
      <c r="AI67" s="24">
        <v>37800</v>
      </c>
      <c r="AJ67" s="32">
        <v>13.330872514167202</v>
      </c>
      <c r="AK67" s="32">
        <v>7.5193184570817113</v>
      </c>
      <c r="AL67" s="32">
        <v>13.792184669431931</v>
      </c>
      <c r="AM67" s="32">
        <v>9.1394754030914314</v>
      </c>
      <c r="AN67" s="32">
        <v>12.891470568571069</v>
      </c>
      <c r="AO67" s="32">
        <v>0.37413057205637434</v>
      </c>
      <c r="AP67" s="19">
        <v>1.1694117647058824</v>
      </c>
      <c r="AQ67" s="19">
        <v>1.0698689956331877</v>
      </c>
      <c r="AR67" s="19">
        <v>1.2857142857142858</v>
      </c>
      <c r="AS67" s="19">
        <v>0.22578301053722208</v>
      </c>
      <c r="AT67" s="19">
        <v>9.7434150905626543E-2</v>
      </c>
      <c r="AU67" s="19">
        <v>0.36257007938470842</v>
      </c>
      <c r="AV67" s="19">
        <v>2.8093457851121523E-2</v>
      </c>
      <c r="AW67" s="19">
        <v>2.9609933922476836E-2</v>
      </c>
      <c r="AX67" s="19">
        <v>5.8819165148915498E-2</v>
      </c>
      <c r="AY67" s="19">
        <v>1.1694117647058824</v>
      </c>
      <c r="AZ67" s="19">
        <v>1.0698689956331877</v>
      </c>
      <c r="BA67" s="19">
        <v>1.2857142857142858</v>
      </c>
      <c r="BB67" s="19">
        <v>1.0196637347223967</v>
      </c>
      <c r="BC67" s="19">
        <v>1.0207361087051023</v>
      </c>
      <c r="BD67" s="19">
        <v>1.0416128596872452</v>
      </c>
      <c r="BE67" s="14" t="s">
        <v>4857</v>
      </c>
    </row>
    <row r="68" spans="1:105" s="30" customFormat="1" ht="17.100000000000001" customHeight="1">
      <c r="A68" s="14">
        <v>57</v>
      </c>
      <c r="B68" s="14" t="s">
        <v>4562</v>
      </c>
      <c r="C68" s="32">
        <v>-1.374009326093186</v>
      </c>
      <c r="D68" s="32">
        <v>-1.1334831645913654</v>
      </c>
      <c r="E68" s="32">
        <v>-1.638883903192045</v>
      </c>
      <c r="F68" s="24">
        <v>151516</v>
      </c>
      <c r="G68" s="52" t="s">
        <v>2</v>
      </c>
      <c r="H68" s="32">
        <v>24.796029616133549</v>
      </c>
      <c r="I68" s="32">
        <v>38.628741598592612</v>
      </c>
      <c r="J68" s="12" t="s">
        <v>4563</v>
      </c>
      <c r="K68" s="12" t="s">
        <v>4564</v>
      </c>
      <c r="L68" s="14" t="s">
        <v>4565</v>
      </c>
      <c r="M68" s="12" t="s">
        <v>4566</v>
      </c>
      <c r="N68" s="15" t="s">
        <v>4567</v>
      </c>
      <c r="O68" s="12" t="s">
        <v>4568</v>
      </c>
      <c r="P68" s="12" t="s">
        <v>4570</v>
      </c>
      <c r="Q68" s="14">
        <v>2</v>
      </c>
      <c r="R68" s="21">
        <v>657.83609999999999</v>
      </c>
      <c r="S68" s="14">
        <v>3</v>
      </c>
      <c r="T68" s="52" t="s">
        <v>2</v>
      </c>
      <c r="U68" s="53">
        <v>23.193550000000002</v>
      </c>
      <c r="V68" s="24">
        <v>117614</v>
      </c>
      <c r="W68" s="24">
        <v>156791</v>
      </c>
      <c r="X68" s="24">
        <v>177319</v>
      </c>
      <c r="Y68" s="24">
        <v>125713</v>
      </c>
      <c r="Z68" s="24">
        <v>161526</v>
      </c>
      <c r="AA68" s="24">
        <v>92217</v>
      </c>
      <c r="AB68" s="24">
        <v>106584</v>
      </c>
      <c r="AC68" s="24">
        <v>121649</v>
      </c>
      <c r="AD68" s="24">
        <v>144359.25</v>
      </c>
      <c r="AE68" s="24">
        <v>120494</v>
      </c>
      <c r="AF68" s="24">
        <v>137202.5</v>
      </c>
      <c r="AG68" s="24">
        <v>151516</v>
      </c>
      <c r="AH68" s="24">
        <v>126871.5</v>
      </c>
      <c r="AI68" s="24">
        <v>114116.5</v>
      </c>
      <c r="AJ68" s="32">
        <v>19.19663525355962</v>
      </c>
      <c r="AK68" s="32">
        <v>24.796029616133549</v>
      </c>
      <c r="AL68" s="32">
        <v>20.190829151469817</v>
      </c>
      <c r="AM68" s="32">
        <v>24.083893813137209</v>
      </c>
      <c r="AN68" s="32">
        <v>38.628741598592612</v>
      </c>
      <c r="AO68" s="32">
        <v>9.3348145610628936</v>
      </c>
      <c r="AP68" s="19">
        <v>0.83468153235764253</v>
      </c>
      <c r="AQ68" s="19">
        <v>0.92470253821905579</v>
      </c>
      <c r="AR68" s="19">
        <v>0.75316468227777922</v>
      </c>
      <c r="AS68" s="19">
        <v>-0.26070224380086476</v>
      </c>
      <c r="AT68" s="19">
        <v>-0.11293874618119293</v>
      </c>
      <c r="AU68" s="19">
        <v>-0.40896274482546646</v>
      </c>
      <c r="AV68" s="19">
        <v>-0.45839179648696532</v>
      </c>
      <c r="AW68" s="19">
        <v>-0.18076296316434265</v>
      </c>
      <c r="AX68" s="19">
        <v>-0.71271365906125939</v>
      </c>
      <c r="AY68" s="19">
        <v>-1.1980617292147326</v>
      </c>
      <c r="AZ68" s="19">
        <v>-1.0814288472982505</v>
      </c>
      <c r="BA68" s="19">
        <v>-1.3277308715216467</v>
      </c>
      <c r="BB68" s="19">
        <v>-1.374009326093186</v>
      </c>
      <c r="BC68" s="19">
        <v>-1.1334831645913654</v>
      </c>
      <c r="BD68" s="19">
        <v>-1.638883903192045</v>
      </c>
      <c r="BE68" s="14" t="s">
        <v>4857</v>
      </c>
    </row>
    <row r="69" spans="1:105" s="30" customFormat="1" ht="17.100000000000001" customHeight="1">
      <c r="A69" s="14">
        <v>58</v>
      </c>
      <c r="B69" s="14" t="s">
        <v>4571</v>
      </c>
      <c r="C69" s="32">
        <v>1.2144216828038952</v>
      </c>
      <c r="D69" s="32">
        <v>-1.0356939906695126</v>
      </c>
      <c r="E69" s="32">
        <v>1.5333943255122431</v>
      </c>
      <c r="F69" s="24">
        <v>120000</v>
      </c>
      <c r="G69" s="52" t="s">
        <v>2</v>
      </c>
      <c r="H69" s="32">
        <v>23.467319679351267</v>
      </c>
      <c r="I69" s="32">
        <v>16.49915822768611</v>
      </c>
      <c r="J69" s="12" t="s">
        <v>4572</v>
      </c>
      <c r="K69" s="12" t="s">
        <v>4573</v>
      </c>
      <c r="L69" s="14" t="s">
        <v>4574</v>
      </c>
      <c r="M69" s="12" t="s">
        <v>4575</v>
      </c>
      <c r="N69" s="15" t="s">
        <v>4576</v>
      </c>
      <c r="O69" s="12" t="s">
        <v>4577</v>
      </c>
      <c r="P69" s="12" t="s">
        <v>4579</v>
      </c>
      <c r="Q69" s="14">
        <v>2</v>
      </c>
      <c r="R69" s="21">
        <v>551.81640000000004</v>
      </c>
      <c r="S69" s="14">
        <v>2</v>
      </c>
      <c r="T69" s="52" t="s">
        <v>2</v>
      </c>
      <c r="U69" s="53">
        <v>44.13</v>
      </c>
      <c r="V69" s="24">
        <v>78600</v>
      </c>
      <c r="W69" s="24">
        <v>87900</v>
      </c>
      <c r="X69" s="24">
        <v>65000</v>
      </c>
      <c r="Y69" s="24">
        <v>61800</v>
      </c>
      <c r="Z69" s="24">
        <v>89400</v>
      </c>
      <c r="AA69" s="24">
        <v>79100</v>
      </c>
      <c r="AB69" s="24">
        <v>134000</v>
      </c>
      <c r="AC69" s="24">
        <v>106000</v>
      </c>
      <c r="AD69" s="24">
        <v>73325</v>
      </c>
      <c r="AE69" s="24">
        <v>102125</v>
      </c>
      <c r="AF69" s="24">
        <v>83250</v>
      </c>
      <c r="AG69" s="24">
        <v>63400</v>
      </c>
      <c r="AH69" s="24">
        <v>84250</v>
      </c>
      <c r="AI69" s="24">
        <v>120000</v>
      </c>
      <c r="AJ69" s="32">
        <v>16.561082649552759</v>
      </c>
      <c r="AK69" s="32">
        <v>23.467319679351267</v>
      </c>
      <c r="AL69" s="32">
        <v>7.899210888930801</v>
      </c>
      <c r="AM69" s="32">
        <v>3.56899321734535</v>
      </c>
      <c r="AN69" s="32">
        <v>8.644747591954232</v>
      </c>
      <c r="AO69" s="32">
        <v>16.49915822768611</v>
      </c>
      <c r="AP69" s="19">
        <v>1.3927719058983976</v>
      </c>
      <c r="AQ69" s="19">
        <v>1.012012012012012</v>
      </c>
      <c r="AR69" s="19">
        <v>1.8927444794952681</v>
      </c>
      <c r="AS69" s="19">
        <v>0.47795900727609014</v>
      </c>
      <c r="AT69" s="19">
        <v>1.722641411059625E-2</v>
      </c>
      <c r="AU69" s="19">
        <v>0.92047966035647366</v>
      </c>
      <c r="AV69" s="19">
        <v>0.28026945458998959</v>
      </c>
      <c r="AW69" s="19">
        <v>-5.0597802872553457E-2</v>
      </c>
      <c r="AX69" s="19">
        <v>0.61672874612068074</v>
      </c>
      <c r="AY69" s="19">
        <v>1.3927719058983976</v>
      </c>
      <c r="AZ69" s="19">
        <v>1.012012012012012</v>
      </c>
      <c r="BA69" s="19">
        <v>1.8927444794952681</v>
      </c>
      <c r="BB69" s="19">
        <v>1.2144216828038952</v>
      </c>
      <c r="BC69" s="19">
        <v>-1.0356939906695126</v>
      </c>
      <c r="BD69" s="19">
        <v>1.5333943255122431</v>
      </c>
      <c r="BE69" s="14" t="s">
        <v>4857</v>
      </c>
    </row>
    <row r="70" spans="1:105" s="30" customFormat="1" ht="17.100000000000001" customHeight="1">
      <c r="A70" s="14">
        <v>59</v>
      </c>
      <c r="B70" s="14" t="s">
        <v>4580</v>
      </c>
      <c r="C70" s="32">
        <v>-1.2033822974510784</v>
      </c>
      <c r="D70" s="32">
        <v>-1.0651195053613915</v>
      </c>
      <c r="E70" s="32">
        <v>-1.3327626789723483</v>
      </c>
      <c r="F70" s="24">
        <v>56614.5</v>
      </c>
      <c r="G70" s="52" t="s">
        <v>2</v>
      </c>
      <c r="H70" s="32">
        <v>16.864789808395038</v>
      </c>
      <c r="I70" s="32">
        <v>24.75908306519073</v>
      </c>
      <c r="J70" s="12" t="s">
        <v>4572</v>
      </c>
      <c r="K70" s="12" t="s">
        <v>4573</v>
      </c>
      <c r="L70" s="14" t="s">
        <v>4581</v>
      </c>
      <c r="M70" s="12" t="s">
        <v>4575</v>
      </c>
      <c r="N70" s="15" t="s">
        <v>4576</v>
      </c>
      <c r="O70" s="12" t="s">
        <v>4577</v>
      </c>
      <c r="P70" s="12" t="s">
        <v>4582</v>
      </c>
      <c r="Q70" s="14">
        <v>3</v>
      </c>
      <c r="R70" s="21">
        <v>698.00670000000002</v>
      </c>
      <c r="S70" s="14">
        <v>2</v>
      </c>
      <c r="T70" s="52" t="s">
        <v>2</v>
      </c>
      <c r="U70" s="53">
        <v>53.745325000000001</v>
      </c>
      <c r="V70" s="24">
        <v>40454</v>
      </c>
      <c r="W70" s="24">
        <v>57625</v>
      </c>
      <c r="X70" s="24">
        <v>60696</v>
      </c>
      <c r="Y70" s="24">
        <v>52533</v>
      </c>
      <c r="Z70" s="24">
        <v>55507</v>
      </c>
      <c r="AA70" s="24">
        <v>41008</v>
      </c>
      <c r="AB70" s="24">
        <v>56464</v>
      </c>
      <c r="AC70" s="24">
        <v>48404</v>
      </c>
      <c r="AD70" s="24">
        <v>52827</v>
      </c>
      <c r="AE70" s="24">
        <v>50345.75</v>
      </c>
      <c r="AF70" s="24">
        <v>49039.5</v>
      </c>
      <c r="AG70" s="24">
        <v>56614.5</v>
      </c>
      <c r="AH70" s="24">
        <v>48257.5</v>
      </c>
      <c r="AI70" s="24">
        <v>52434</v>
      </c>
      <c r="AJ70" s="32">
        <v>16.864789808395038</v>
      </c>
      <c r="AK70" s="32">
        <v>14.27881177306722</v>
      </c>
      <c r="AL70" s="32">
        <v>24.75908306519073</v>
      </c>
      <c r="AM70" s="32">
        <v>10.195466982532366</v>
      </c>
      <c r="AN70" s="32">
        <v>21.245073243379274</v>
      </c>
      <c r="AO70" s="32">
        <v>10.869437114016808</v>
      </c>
      <c r="AP70" s="19">
        <v>0.95303064720692066</v>
      </c>
      <c r="AQ70" s="19">
        <v>0.98405367102029995</v>
      </c>
      <c r="AR70" s="19">
        <v>0.92615849296558306</v>
      </c>
      <c r="AS70" s="19">
        <v>-6.9405486352862922E-2</v>
      </c>
      <c r="AT70" s="19">
        <v>-2.3191091514698892E-2</v>
      </c>
      <c r="AU70" s="19">
        <v>-0.11066899270922094</v>
      </c>
      <c r="AV70" s="19">
        <v>-0.26709503903896348</v>
      </c>
      <c r="AW70" s="19">
        <v>-9.1015308497848599E-2</v>
      </c>
      <c r="AX70" s="19">
        <v>-0.41441990694501385</v>
      </c>
      <c r="AY70" s="19">
        <v>-1.0492841997586688</v>
      </c>
      <c r="AZ70" s="19">
        <v>-1.0162047350152825</v>
      </c>
      <c r="BA70" s="19">
        <v>-1.0797288019224167</v>
      </c>
      <c r="BB70" s="19">
        <v>-1.2033822974510784</v>
      </c>
      <c r="BC70" s="19">
        <v>-1.0651195053613915</v>
      </c>
      <c r="BD70" s="19">
        <v>-1.3327626789723483</v>
      </c>
      <c r="BE70" s="14" t="s">
        <v>4857</v>
      </c>
    </row>
    <row r="71" spans="1:105" s="30" customFormat="1" ht="17.100000000000001" customHeight="1">
      <c r="A71" s="14">
        <v>60</v>
      </c>
      <c r="B71" s="14" t="s">
        <v>4675</v>
      </c>
      <c r="C71" s="32">
        <v>1.0085217586035735</v>
      </c>
      <c r="D71" s="32">
        <v>-1.2282166749264494</v>
      </c>
      <c r="E71" s="32">
        <v>1.2187291242134533</v>
      </c>
      <c r="F71" s="24">
        <v>355566</v>
      </c>
      <c r="G71" s="52" t="s">
        <v>2</v>
      </c>
      <c r="H71" s="32">
        <v>26.740245293652187</v>
      </c>
      <c r="I71" s="32">
        <v>15.307660849196298</v>
      </c>
      <c r="J71" s="12" t="s">
        <v>4583</v>
      </c>
      <c r="K71" s="15" t="s">
        <v>4584</v>
      </c>
      <c r="L71" s="14" t="s">
        <v>5115</v>
      </c>
      <c r="M71" s="12" t="s">
        <v>4585</v>
      </c>
      <c r="N71" s="15" t="s">
        <v>4586</v>
      </c>
      <c r="O71" s="12" t="s">
        <v>4587</v>
      </c>
      <c r="P71" s="12" t="s">
        <v>4589</v>
      </c>
      <c r="Q71" s="14">
        <v>3</v>
      </c>
      <c r="R71" s="21">
        <v>753.00829999999996</v>
      </c>
      <c r="S71" s="14">
        <v>9</v>
      </c>
      <c r="T71" s="52" t="s">
        <v>2</v>
      </c>
      <c r="U71" s="53">
        <v>35.197612499999998</v>
      </c>
      <c r="V71" s="24">
        <v>242493</v>
      </c>
      <c r="W71" s="24">
        <v>299518</v>
      </c>
      <c r="X71" s="24">
        <v>258875</v>
      </c>
      <c r="Y71" s="24">
        <v>213846</v>
      </c>
      <c r="Z71" s="24">
        <v>236581</v>
      </c>
      <c r="AA71" s="24">
        <v>225960</v>
      </c>
      <c r="AB71" s="24">
        <v>317079</v>
      </c>
      <c r="AC71" s="24">
        <v>394053</v>
      </c>
      <c r="AD71" s="24">
        <v>253683</v>
      </c>
      <c r="AE71" s="24">
        <v>293418.25</v>
      </c>
      <c r="AF71" s="24">
        <v>271005.5</v>
      </c>
      <c r="AG71" s="24">
        <v>236360.5</v>
      </c>
      <c r="AH71" s="24">
        <v>231270.5</v>
      </c>
      <c r="AI71" s="24">
        <v>355566</v>
      </c>
      <c r="AJ71" s="32">
        <v>14.103081058626914</v>
      </c>
      <c r="AK71" s="32">
        <v>26.740245293652187</v>
      </c>
      <c r="AL71" s="32">
        <v>14.878946809995689</v>
      </c>
      <c r="AM71" s="32">
        <v>13.471079664347066</v>
      </c>
      <c r="AN71" s="32">
        <v>3.2473580171194865</v>
      </c>
      <c r="AO71" s="32">
        <v>15.307660849196298</v>
      </c>
      <c r="AP71" s="19">
        <v>1.156633475636917</v>
      </c>
      <c r="AQ71" s="19">
        <v>0.85337935945949439</v>
      </c>
      <c r="AR71" s="19">
        <v>1.5043376537111743</v>
      </c>
      <c r="AS71" s="19">
        <v>0.20993176275580802</v>
      </c>
      <c r="AT71" s="19">
        <v>-0.22874087814438157</v>
      </c>
      <c r="AU71" s="19">
        <v>0.58912842117872488</v>
      </c>
      <c r="AV71" s="19">
        <v>1.2242210069707465E-2</v>
      </c>
      <c r="AW71" s="19">
        <v>-0.29656509512753126</v>
      </c>
      <c r="AX71" s="19">
        <v>0.28537750694293196</v>
      </c>
      <c r="AY71" s="19">
        <v>1.156633475636917</v>
      </c>
      <c r="AZ71" s="19">
        <v>-1.1718117961434771</v>
      </c>
      <c r="BA71" s="19">
        <v>1.5043376537111743</v>
      </c>
      <c r="BB71" s="19">
        <v>1.0085217586035735</v>
      </c>
      <c r="BC71" s="19">
        <v>-1.2282166749264494</v>
      </c>
      <c r="BD71" s="19">
        <v>1.2187291242134533</v>
      </c>
      <c r="BE71" s="14" t="s">
        <v>4857</v>
      </c>
    </row>
    <row r="72" spans="1:105" s="30" customFormat="1" ht="17.100000000000001" customHeight="1">
      <c r="A72" s="14">
        <v>61</v>
      </c>
      <c r="B72" s="14" t="s">
        <v>4590</v>
      </c>
      <c r="C72" s="32">
        <v>1.1252096683495936</v>
      </c>
      <c r="D72" s="32">
        <v>1.0567497184819845</v>
      </c>
      <c r="E72" s="32">
        <v>1.2210028732487961</v>
      </c>
      <c r="F72" s="24">
        <v>246505.5</v>
      </c>
      <c r="G72" s="52" t="s">
        <v>2</v>
      </c>
      <c r="H72" s="32">
        <v>14.742171889359856</v>
      </c>
      <c r="I72" s="32">
        <v>19.977581334959492</v>
      </c>
      <c r="J72" s="12" t="s">
        <v>4583</v>
      </c>
      <c r="K72" s="15" t="s">
        <v>4584</v>
      </c>
      <c r="L72" s="14" t="s">
        <v>5283</v>
      </c>
      <c r="M72" s="12" t="s">
        <v>4585</v>
      </c>
      <c r="N72" s="15" t="s">
        <v>4586</v>
      </c>
      <c r="O72" s="12" t="s">
        <v>4587</v>
      </c>
      <c r="P72" s="12" t="s">
        <v>4591</v>
      </c>
      <c r="Q72" s="14">
        <v>3</v>
      </c>
      <c r="R72" s="21">
        <v>897.76239999999996</v>
      </c>
      <c r="S72" s="14">
        <v>9</v>
      </c>
      <c r="T72" s="52" t="s">
        <v>2</v>
      </c>
      <c r="U72" s="53">
        <v>73.096550000000008</v>
      </c>
      <c r="V72" s="24">
        <v>173115</v>
      </c>
      <c r="W72" s="24">
        <v>214550</v>
      </c>
      <c r="X72" s="24">
        <v>175947</v>
      </c>
      <c r="Y72" s="24">
        <v>151169</v>
      </c>
      <c r="Z72" s="24">
        <v>245020</v>
      </c>
      <c r="AA72" s="24">
        <v>184364</v>
      </c>
      <c r="AB72" s="24">
        <v>236711</v>
      </c>
      <c r="AC72" s="24">
        <v>256300</v>
      </c>
      <c r="AD72" s="24">
        <v>178695.25</v>
      </c>
      <c r="AE72" s="24">
        <v>230598.75</v>
      </c>
      <c r="AF72" s="24">
        <v>193832.5</v>
      </c>
      <c r="AG72" s="24">
        <v>163558</v>
      </c>
      <c r="AH72" s="24">
        <v>214692</v>
      </c>
      <c r="AI72" s="24">
        <v>246505.5</v>
      </c>
      <c r="AJ72" s="32">
        <v>14.742171889359856</v>
      </c>
      <c r="AK72" s="32">
        <v>13.81248493633327</v>
      </c>
      <c r="AL72" s="32">
        <v>15.115612437782413</v>
      </c>
      <c r="AM72" s="32">
        <v>10.712219410998101</v>
      </c>
      <c r="AN72" s="32">
        <v>19.977581334959492</v>
      </c>
      <c r="AO72" s="32">
        <v>5.6191503786581958</v>
      </c>
      <c r="AP72" s="19">
        <v>1.2904581962866948</v>
      </c>
      <c r="AQ72" s="19">
        <v>1.1076161118491481</v>
      </c>
      <c r="AR72" s="19">
        <v>1.5071442546374987</v>
      </c>
      <c r="AS72" s="19">
        <v>0.36788340684317994</v>
      </c>
      <c r="AT72" s="19">
        <v>0.14745794501809736</v>
      </c>
      <c r="AU72" s="19">
        <v>0.59181750949715517</v>
      </c>
      <c r="AV72" s="19">
        <v>0.17019385415707938</v>
      </c>
      <c r="AW72" s="19">
        <v>7.9633728034947657E-2</v>
      </c>
      <c r="AX72" s="19">
        <v>0.28806659526136225</v>
      </c>
      <c r="AY72" s="19">
        <v>1.2904581962866948</v>
      </c>
      <c r="AZ72" s="19">
        <v>1.1076161118491481</v>
      </c>
      <c r="BA72" s="19">
        <v>1.5071442546374987</v>
      </c>
      <c r="BB72" s="19">
        <v>1.1252096683495936</v>
      </c>
      <c r="BC72" s="19">
        <v>1.0567497184819845</v>
      </c>
      <c r="BD72" s="19">
        <v>1.2210028732487961</v>
      </c>
      <c r="BE72" s="14" t="s">
        <v>4857</v>
      </c>
    </row>
    <row r="73" spans="1:105" s="30" customFormat="1" ht="17.100000000000001" customHeight="1">
      <c r="A73" s="14">
        <v>62</v>
      </c>
      <c r="B73" s="14" t="s">
        <v>4593</v>
      </c>
      <c r="C73" s="32">
        <v>-1.0177086964231703</v>
      </c>
      <c r="D73" s="32">
        <v>1.2378824291486228</v>
      </c>
      <c r="E73" s="32">
        <v>-1.2379336295098515</v>
      </c>
      <c r="F73" s="24">
        <v>11052.5</v>
      </c>
      <c r="G73" s="52" t="s">
        <v>2</v>
      </c>
      <c r="H73" s="32">
        <v>49.396331718386662</v>
      </c>
      <c r="I73" s="32">
        <v>71.379238703445466</v>
      </c>
      <c r="J73" s="12" t="s">
        <v>4583</v>
      </c>
      <c r="K73" s="15" t="s">
        <v>4584</v>
      </c>
      <c r="L73" s="14" t="s">
        <v>5109</v>
      </c>
      <c r="M73" s="12" t="s">
        <v>4585</v>
      </c>
      <c r="N73" s="15" t="s">
        <v>4586</v>
      </c>
      <c r="O73" s="12" t="s">
        <v>4587</v>
      </c>
      <c r="P73" s="12" t="s">
        <v>4460</v>
      </c>
      <c r="Q73" s="14">
        <v>3</v>
      </c>
      <c r="R73" s="21">
        <v>864.41920000000005</v>
      </c>
      <c r="S73" s="14">
        <v>1</v>
      </c>
      <c r="T73" s="52" t="s">
        <v>2</v>
      </c>
      <c r="U73" s="53">
        <v>22.17</v>
      </c>
      <c r="V73" s="24">
        <v>8644</v>
      </c>
      <c r="W73" s="24">
        <v>8178</v>
      </c>
      <c r="X73" s="24">
        <v>5474</v>
      </c>
      <c r="Y73" s="24">
        <v>16631</v>
      </c>
      <c r="Z73" s="24">
        <v>8670</v>
      </c>
      <c r="AA73" s="24">
        <v>13156</v>
      </c>
      <c r="AB73" s="24">
        <v>9565</v>
      </c>
      <c r="AC73" s="24">
        <v>12476</v>
      </c>
      <c r="AD73" s="24">
        <v>9731.75</v>
      </c>
      <c r="AE73" s="24">
        <v>10966.75</v>
      </c>
      <c r="AF73" s="24">
        <v>8411</v>
      </c>
      <c r="AG73" s="24">
        <v>11052.5</v>
      </c>
      <c r="AH73" s="24">
        <v>10913</v>
      </c>
      <c r="AI73" s="24">
        <v>11020.5</v>
      </c>
      <c r="AJ73" s="32">
        <v>49.396331718386662</v>
      </c>
      <c r="AK73" s="32">
        <v>19.915470661121049</v>
      </c>
      <c r="AL73" s="32">
        <v>3.9176288197946869</v>
      </c>
      <c r="AM73" s="32">
        <v>71.379238703445466</v>
      </c>
      <c r="AN73" s="32">
        <v>29.066993680957136</v>
      </c>
      <c r="AO73" s="32">
        <v>18.677808085241505</v>
      </c>
      <c r="AP73" s="19">
        <v>1.1269042053073701</v>
      </c>
      <c r="AQ73" s="19">
        <v>1.2974676019498277</v>
      </c>
      <c r="AR73" s="19">
        <v>0.99710472743723144</v>
      </c>
      <c r="AS73" s="19">
        <v>0.17236488161313135</v>
      </c>
      <c r="AT73" s="19">
        <v>0.37569851462178927</v>
      </c>
      <c r="AU73" s="19">
        <v>-4.1830538351380576E-3</v>
      </c>
      <c r="AV73" s="19">
        <v>-2.5324671072969207E-2</v>
      </c>
      <c r="AW73" s="19">
        <v>0.30787429763863955</v>
      </c>
      <c r="AX73" s="19">
        <v>-0.30793396807093099</v>
      </c>
      <c r="AY73" s="19">
        <v>1.1269042053073701</v>
      </c>
      <c r="AZ73" s="19">
        <v>1.2974676019498277</v>
      </c>
      <c r="BA73" s="19">
        <v>-1.0029036795063744</v>
      </c>
      <c r="BB73" s="19">
        <v>-1.0177086964231703</v>
      </c>
      <c r="BC73" s="19">
        <v>1.2378824291486228</v>
      </c>
      <c r="BD73" s="19">
        <v>-1.2379336295098515</v>
      </c>
      <c r="BE73" s="14" t="s">
        <v>4857</v>
      </c>
    </row>
    <row r="74" spans="1:105" s="30" customFormat="1" ht="17.100000000000001" customHeight="1">
      <c r="A74" s="14">
        <v>63</v>
      </c>
      <c r="B74" s="14" t="s">
        <v>4461</v>
      </c>
      <c r="C74" s="32">
        <v>-1.0836984392922138</v>
      </c>
      <c r="D74" s="32">
        <v>-1.0026099004857716</v>
      </c>
      <c r="E74" s="32">
        <v>-1.1545140907046987</v>
      </c>
      <c r="F74" s="24">
        <v>58551.5</v>
      </c>
      <c r="G74" s="52" t="s">
        <v>2</v>
      </c>
      <c r="H74" s="32">
        <v>24.710391895775068</v>
      </c>
      <c r="I74" s="32">
        <v>30.939205019885335</v>
      </c>
      <c r="J74" s="12" t="s">
        <v>4583</v>
      </c>
      <c r="K74" s="15" t="s">
        <v>4584</v>
      </c>
      <c r="L74" s="14" t="s">
        <v>5158</v>
      </c>
      <c r="M74" s="12" t="s">
        <v>4585</v>
      </c>
      <c r="N74" s="15" t="s">
        <v>4586</v>
      </c>
      <c r="O74" s="12" t="s">
        <v>4587</v>
      </c>
      <c r="P74" s="12" t="s">
        <v>4462</v>
      </c>
      <c r="Q74" s="14">
        <v>3</v>
      </c>
      <c r="R74" s="21">
        <v>596.3184</v>
      </c>
      <c r="S74" s="14">
        <v>7</v>
      </c>
      <c r="T74" s="52" t="s">
        <v>2</v>
      </c>
      <c r="U74" s="53">
        <v>32.070949999999996</v>
      </c>
      <c r="V74" s="24">
        <v>48262</v>
      </c>
      <c r="W74" s="24">
        <v>44170</v>
      </c>
      <c r="X74" s="24">
        <v>49238</v>
      </c>
      <c r="Y74" s="24">
        <v>60291</v>
      </c>
      <c r="Z74" s="24">
        <v>41605</v>
      </c>
      <c r="AA74" s="24">
        <v>55024</v>
      </c>
      <c r="AB74" s="24">
        <v>71361</v>
      </c>
      <c r="AC74" s="24">
        <v>45742</v>
      </c>
      <c r="AD74" s="24">
        <v>50490.25</v>
      </c>
      <c r="AE74" s="24">
        <v>53433</v>
      </c>
      <c r="AF74" s="24">
        <v>46216</v>
      </c>
      <c r="AG74" s="24">
        <v>54764.5</v>
      </c>
      <c r="AH74" s="24">
        <v>48314.5</v>
      </c>
      <c r="AI74" s="24">
        <v>58551.5</v>
      </c>
      <c r="AJ74" s="32">
        <v>13.651812323296095</v>
      </c>
      <c r="AK74" s="32">
        <v>24.710391895775068</v>
      </c>
      <c r="AL74" s="32">
        <v>6.2607775415772737</v>
      </c>
      <c r="AM74" s="32">
        <v>14.271382469400635</v>
      </c>
      <c r="AN74" s="32">
        <v>19.639375129086055</v>
      </c>
      <c r="AO74" s="32">
        <v>30.939205019885335</v>
      </c>
      <c r="AP74" s="19">
        <v>1.0582835299884632</v>
      </c>
      <c r="AQ74" s="19">
        <v>1.0454063527782587</v>
      </c>
      <c r="AR74" s="19">
        <v>1.0691506359046463</v>
      </c>
      <c r="AS74" s="19">
        <v>8.1726198820992246E-2</v>
      </c>
      <c r="AT74" s="19">
        <v>6.4063831479356598E-2</v>
      </c>
      <c r="AU74" s="19">
        <v>9.6465133098007194E-2</v>
      </c>
      <c r="AV74" s="19">
        <v>-0.11596335386510831</v>
      </c>
      <c r="AW74" s="19">
        <v>-3.7603855037931094E-3</v>
      </c>
      <c r="AX74" s="19">
        <v>-0.20728578113778573</v>
      </c>
      <c r="AY74" s="19">
        <v>1.0582835299884632</v>
      </c>
      <c r="AZ74" s="19">
        <v>1.0454063527782587</v>
      </c>
      <c r="BA74" s="19">
        <v>1.0691506359046463</v>
      </c>
      <c r="BB74" s="19">
        <v>-1.0836984392922138</v>
      </c>
      <c r="BC74" s="19">
        <v>-1.0026099004857716</v>
      </c>
      <c r="BD74" s="19">
        <v>-1.1545140907046987</v>
      </c>
      <c r="BE74" s="14" t="s">
        <v>4857</v>
      </c>
    </row>
    <row r="75" spans="1:105" s="30" customFormat="1" ht="17.100000000000001" customHeight="1">
      <c r="A75" s="14">
        <v>64</v>
      </c>
      <c r="B75" s="14" t="s">
        <v>4464</v>
      </c>
      <c r="C75" s="32">
        <v>1.3860715833506265</v>
      </c>
      <c r="D75" s="32">
        <v>1.1263212560242011</v>
      </c>
      <c r="E75" s="32">
        <v>1.6097276596910364</v>
      </c>
      <c r="F75" s="24">
        <v>331046.5</v>
      </c>
      <c r="G75" s="52" t="s">
        <v>2</v>
      </c>
      <c r="H75" s="32">
        <v>32.611967630032026</v>
      </c>
      <c r="I75" s="32">
        <v>18.708881950113973</v>
      </c>
      <c r="J75" s="12" t="s">
        <v>4465</v>
      </c>
      <c r="K75" s="15" t="s">
        <v>4466</v>
      </c>
      <c r="L75" s="14" t="s">
        <v>5302</v>
      </c>
      <c r="M75" s="12" t="s">
        <v>4585</v>
      </c>
      <c r="N75" s="15" t="s">
        <v>4467</v>
      </c>
      <c r="O75" s="12" t="s">
        <v>4587</v>
      </c>
      <c r="P75" s="12" t="s">
        <v>4470</v>
      </c>
      <c r="Q75" s="14">
        <v>3</v>
      </c>
      <c r="R75" s="21">
        <v>388.20240000000001</v>
      </c>
      <c r="S75" s="14">
        <v>4</v>
      </c>
      <c r="T75" s="52" t="s">
        <v>2</v>
      </c>
      <c r="U75" s="53">
        <v>29.807449999999999</v>
      </c>
      <c r="V75" s="24">
        <v>155487</v>
      </c>
      <c r="W75" s="24">
        <v>168154</v>
      </c>
      <c r="X75" s="24">
        <v>188650</v>
      </c>
      <c r="Y75" s="24">
        <v>144568</v>
      </c>
      <c r="Z75" s="24">
        <v>214879</v>
      </c>
      <c r="AA75" s="24">
        <v>167191</v>
      </c>
      <c r="AB75" s="24">
        <v>308671</v>
      </c>
      <c r="AC75" s="24">
        <v>353422</v>
      </c>
      <c r="AD75" s="24">
        <v>164214.75</v>
      </c>
      <c r="AE75" s="24">
        <v>261040.75</v>
      </c>
      <c r="AF75" s="24">
        <v>161820.5</v>
      </c>
      <c r="AG75" s="24">
        <v>166609</v>
      </c>
      <c r="AH75" s="24">
        <v>191035</v>
      </c>
      <c r="AI75" s="24">
        <v>331046.5</v>
      </c>
      <c r="AJ75" s="32">
        <v>11.526155639587754</v>
      </c>
      <c r="AK75" s="32">
        <v>32.611967630032026</v>
      </c>
      <c r="AL75" s="32">
        <v>5.5350969730596544</v>
      </c>
      <c r="AM75" s="32">
        <v>18.708881950113973</v>
      </c>
      <c r="AN75" s="32">
        <v>17.651481760527691</v>
      </c>
      <c r="AO75" s="32">
        <v>9.5586981179016206</v>
      </c>
      <c r="AP75" s="19">
        <v>1.5896303468476491</v>
      </c>
      <c r="AQ75" s="19">
        <v>1.1805364586069131</v>
      </c>
      <c r="AR75" s="19">
        <v>1.9869664904056803</v>
      </c>
      <c r="AS75" s="19">
        <v>0.66869131974142881</v>
      </c>
      <c r="AT75" s="19">
        <v>0.23944259712706267</v>
      </c>
      <c r="AU75" s="19">
        <v>0.99056754217329035</v>
      </c>
      <c r="AV75" s="19">
        <v>0.47100176705532826</v>
      </c>
      <c r="AW75" s="19">
        <v>0.17161838014391295</v>
      </c>
      <c r="AX75" s="19">
        <v>0.68681662793749743</v>
      </c>
      <c r="AY75" s="19">
        <v>1.5896303468476491</v>
      </c>
      <c r="AZ75" s="19">
        <v>1.1805364586069131</v>
      </c>
      <c r="BA75" s="19">
        <v>1.9869664904056803</v>
      </c>
      <c r="BB75" s="19">
        <v>1.3860715833506265</v>
      </c>
      <c r="BC75" s="19">
        <v>1.1263212560242011</v>
      </c>
      <c r="BD75" s="19">
        <v>1.6097276596910364</v>
      </c>
      <c r="BE75" s="14" t="s">
        <v>4857</v>
      </c>
    </row>
    <row r="76" spans="1:105" s="30" customFormat="1" ht="17.100000000000001" customHeight="1">
      <c r="A76" s="14">
        <v>65</v>
      </c>
      <c r="B76" s="14" t="s">
        <v>4471</v>
      </c>
      <c r="C76" s="32">
        <v>1.1046166908116157</v>
      </c>
      <c r="D76" s="32">
        <v>1.3442362333035287</v>
      </c>
      <c r="E76" s="32">
        <v>-1.0519125715841497</v>
      </c>
      <c r="F76" s="24">
        <v>100490.5</v>
      </c>
      <c r="G76" s="52" t="s">
        <v>2</v>
      </c>
      <c r="H76" s="32">
        <v>27.556221943748945</v>
      </c>
      <c r="I76" s="32">
        <v>28.162398140549794</v>
      </c>
      <c r="J76" s="12" t="s">
        <v>4465</v>
      </c>
      <c r="K76" s="15" t="s">
        <v>4466</v>
      </c>
      <c r="L76" s="14" t="s">
        <v>5233</v>
      </c>
      <c r="M76" s="12" t="s">
        <v>4585</v>
      </c>
      <c r="N76" s="15" t="s">
        <v>4467</v>
      </c>
      <c r="O76" s="12" t="s">
        <v>4587</v>
      </c>
      <c r="P76" s="12" t="s">
        <v>4472</v>
      </c>
      <c r="Q76" s="14">
        <v>3</v>
      </c>
      <c r="R76" s="21">
        <v>674.63670000000002</v>
      </c>
      <c r="S76" s="14">
        <v>4</v>
      </c>
      <c r="T76" s="52" t="s">
        <v>2</v>
      </c>
      <c r="U76" s="53">
        <v>31.026362499999998</v>
      </c>
      <c r="V76" s="24">
        <v>63490</v>
      </c>
      <c r="W76" s="24">
        <v>49096</v>
      </c>
      <c r="X76" s="24">
        <v>76085</v>
      </c>
      <c r="Y76" s="24">
        <v>95191</v>
      </c>
      <c r="Z76" s="24">
        <v>69508</v>
      </c>
      <c r="AA76" s="24">
        <v>89119</v>
      </c>
      <c r="AB76" s="24">
        <v>120502</v>
      </c>
      <c r="AC76" s="24">
        <v>80479</v>
      </c>
      <c r="AD76" s="24">
        <v>70965.5</v>
      </c>
      <c r="AE76" s="24">
        <v>89902</v>
      </c>
      <c r="AF76" s="24">
        <v>56293</v>
      </c>
      <c r="AG76" s="24">
        <v>85638</v>
      </c>
      <c r="AH76" s="24">
        <v>79313.5</v>
      </c>
      <c r="AI76" s="24">
        <v>100490.5</v>
      </c>
      <c r="AJ76" s="32">
        <v>27.556221943748945</v>
      </c>
      <c r="AK76" s="32">
        <v>24.383982894452757</v>
      </c>
      <c r="AL76" s="32">
        <v>18.080569535109454</v>
      </c>
      <c r="AM76" s="32">
        <v>15.77568621564046</v>
      </c>
      <c r="AN76" s="32">
        <v>17.483872336801912</v>
      </c>
      <c r="AO76" s="32">
        <v>28.162398140549794</v>
      </c>
      <c r="AP76" s="19">
        <v>1.2668409297475534</v>
      </c>
      <c r="AQ76" s="19">
        <v>1.4089407208711562</v>
      </c>
      <c r="AR76" s="19">
        <v>1.1734335225016932</v>
      </c>
      <c r="AS76" s="19">
        <v>0.34123538456424324</v>
      </c>
      <c r="AT76" s="19">
        <v>0.49461091363173226</v>
      </c>
      <c r="AU76" s="19">
        <v>0.23073611244161391</v>
      </c>
      <c r="AV76" s="19">
        <v>0.14354583187814268</v>
      </c>
      <c r="AW76" s="19">
        <v>0.42678669664858254</v>
      </c>
      <c r="AX76" s="19">
        <v>-7.3014801794179018E-2</v>
      </c>
      <c r="AY76" s="19">
        <v>1.2668409297475534</v>
      </c>
      <c r="AZ76" s="19">
        <v>1.4089407208711562</v>
      </c>
      <c r="BA76" s="19">
        <v>1.1734335225016932</v>
      </c>
      <c r="BB76" s="19">
        <v>1.1046166908116157</v>
      </c>
      <c r="BC76" s="19">
        <v>1.3442362333035287</v>
      </c>
      <c r="BD76" s="19">
        <v>-1.0519125715841497</v>
      </c>
      <c r="BE76" s="14" t="s">
        <v>4857</v>
      </c>
    </row>
    <row r="77" spans="1:105" s="30" customFormat="1" ht="17.100000000000001" customHeight="1">
      <c r="A77" s="14">
        <v>66</v>
      </c>
      <c r="B77" s="14" t="s">
        <v>4473</v>
      </c>
      <c r="C77" s="32">
        <v>1.1051751107883907</v>
      </c>
      <c r="D77" s="32">
        <v>1.0462715998446568</v>
      </c>
      <c r="E77" s="32">
        <v>1.1451896864153288</v>
      </c>
      <c r="F77" s="24">
        <v>71896</v>
      </c>
      <c r="G77" s="52" t="s">
        <v>2</v>
      </c>
      <c r="H77" s="32">
        <v>28.59835084180294</v>
      </c>
      <c r="I77" s="32">
        <v>33.748093426631982</v>
      </c>
      <c r="J77" s="12" t="s">
        <v>4583</v>
      </c>
      <c r="K77" s="15" t="s">
        <v>4584</v>
      </c>
      <c r="L77" s="14" t="s">
        <v>5278</v>
      </c>
      <c r="M77" s="12" t="s">
        <v>4585</v>
      </c>
      <c r="N77" s="15" t="s">
        <v>4586</v>
      </c>
      <c r="O77" s="12" t="s">
        <v>4587</v>
      </c>
      <c r="P77" s="12" t="s">
        <v>4474</v>
      </c>
      <c r="Q77" s="14">
        <v>4</v>
      </c>
      <c r="R77" s="21">
        <v>735.34640000000002</v>
      </c>
      <c r="S77" s="14">
        <v>2</v>
      </c>
      <c r="T77" s="52" t="s">
        <v>2</v>
      </c>
      <c r="U77" s="53">
        <v>51.103837499999997</v>
      </c>
      <c r="V77" s="24">
        <v>33111</v>
      </c>
      <c r="W77" s="24">
        <v>53867</v>
      </c>
      <c r="X77" s="24">
        <v>62615</v>
      </c>
      <c r="Y77" s="24">
        <v>39108</v>
      </c>
      <c r="Z77" s="24">
        <v>44766</v>
      </c>
      <c r="AA77" s="24">
        <v>50617</v>
      </c>
      <c r="AB77" s="24">
        <v>74382</v>
      </c>
      <c r="AC77" s="24">
        <v>69410</v>
      </c>
      <c r="AD77" s="24">
        <v>47175.25</v>
      </c>
      <c r="AE77" s="24">
        <v>59793.75</v>
      </c>
      <c r="AF77" s="24">
        <v>43489</v>
      </c>
      <c r="AG77" s="24">
        <v>50861.5</v>
      </c>
      <c r="AH77" s="24">
        <v>47691.5</v>
      </c>
      <c r="AI77" s="24">
        <v>71896</v>
      </c>
      <c r="AJ77" s="32">
        <v>28.59835084180294</v>
      </c>
      <c r="AK77" s="32">
        <v>23.951874135858265</v>
      </c>
      <c r="AL77" s="32">
        <v>33.748093426631982</v>
      </c>
      <c r="AM77" s="32">
        <v>32.680827551983668</v>
      </c>
      <c r="AN77" s="32">
        <v>8.6750925777601662</v>
      </c>
      <c r="AO77" s="32">
        <v>4.8900285357454027</v>
      </c>
      <c r="AP77" s="19">
        <v>1.2674813593992613</v>
      </c>
      <c r="AQ77" s="19">
        <v>1.0966336314930212</v>
      </c>
      <c r="AR77" s="19">
        <v>1.4135642873293159</v>
      </c>
      <c r="AS77" s="19">
        <v>0.34196452995051185</v>
      </c>
      <c r="AT77" s="19">
        <v>0.13308162390892889</v>
      </c>
      <c r="AU77" s="19">
        <v>0.49933749682465872</v>
      </c>
      <c r="AV77" s="19">
        <v>0.1442749772644113</v>
      </c>
      <c r="AW77" s="19">
        <v>6.5257406925779179E-2</v>
      </c>
      <c r="AX77" s="19">
        <v>0.1955865825888658</v>
      </c>
      <c r="AY77" s="19">
        <v>1.2674813593992613</v>
      </c>
      <c r="AZ77" s="19">
        <v>1.0966336314930212</v>
      </c>
      <c r="BA77" s="19">
        <v>1.4135642873293159</v>
      </c>
      <c r="BB77" s="19">
        <v>1.1051751107883907</v>
      </c>
      <c r="BC77" s="19">
        <v>1.0462715998446568</v>
      </c>
      <c r="BD77" s="19">
        <v>1.1451896864153288</v>
      </c>
      <c r="BE77" s="14" t="s">
        <v>4857</v>
      </c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8"/>
      <c r="BR77" s="28"/>
      <c r="BS77" s="28"/>
      <c r="BT77" s="28"/>
      <c r="BU77" s="28"/>
      <c r="BV77" s="28"/>
      <c r="BW77" s="28"/>
      <c r="BX77" s="28"/>
      <c r="BY77" s="28"/>
      <c r="BZ77" s="28"/>
      <c r="CA77" s="28"/>
      <c r="CB77" s="28"/>
      <c r="CC77" s="28"/>
      <c r="CD77" s="28"/>
      <c r="CE77" s="28"/>
      <c r="CF77" s="28"/>
      <c r="CG77" s="28"/>
      <c r="CH77" s="28"/>
      <c r="CI77" s="28"/>
      <c r="CJ77" s="28"/>
      <c r="CK77" s="28"/>
      <c r="CL77" s="28"/>
      <c r="CM77" s="28"/>
      <c r="CN77" s="28"/>
      <c r="CO77" s="28"/>
      <c r="CP77" s="28"/>
      <c r="CQ77" s="28"/>
      <c r="CR77" s="28"/>
      <c r="CS77" s="28"/>
      <c r="CT77" s="28"/>
      <c r="CU77" s="28"/>
      <c r="CV77" s="28"/>
      <c r="CW77" s="28"/>
      <c r="CX77" s="28"/>
      <c r="CY77" s="28"/>
      <c r="CZ77" s="28"/>
      <c r="DA77" s="28"/>
    </row>
    <row r="78" spans="1:105" s="30" customFormat="1" ht="17.100000000000001" customHeight="1">
      <c r="A78" s="14">
        <v>67</v>
      </c>
      <c r="B78" s="14" t="s">
        <v>4475</v>
      </c>
      <c r="C78" s="32">
        <v>-1.137013492061157</v>
      </c>
      <c r="D78" s="32">
        <v>1</v>
      </c>
      <c r="E78" s="32">
        <v>-1.2563945569843318</v>
      </c>
      <c r="F78" s="24">
        <v>50210</v>
      </c>
      <c r="G78" s="52" t="s">
        <v>2</v>
      </c>
      <c r="H78" s="32">
        <v>29.001656962664768</v>
      </c>
      <c r="I78" s="32">
        <v>23.360858964991934</v>
      </c>
      <c r="J78" s="12" t="s">
        <v>4583</v>
      </c>
      <c r="K78" s="15" t="s">
        <v>4584</v>
      </c>
      <c r="L78" s="14" t="s">
        <v>5098</v>
      </c>
      <c r="M78" s="12" t="s">
        <v>4585</v>
      </c>
      <c r="N78" s="15" t="s">
        <v>4586</v>
      </c>
      <c r="O78" s="12" t="s">
        <v>4587</v>
      </c>
      <c r="P78" s="12" t="s">
        <v>4476</v>
      </c>
      <c r="Q78" s="14">
        <v>3</v>
      </c>
      <c r="R78" s="21">
        <v>1011.4683</v>
      </c>
      <c r="S78" s="14">
        <v>2</v>
      </c>
      <c r="T78" s="52" t="s">
        <v>2</v>
      </c>
      <c r="U78" s="53">
        <v>64.998462500000002</v>
      </c>
      <c r="V78" s="24">
        <v>30343</v>
      </c>
      <c r="W78" s="24">
        <v>36324</v>
      </c>
      <c r="X78" s="24">
        <v>58504</v>
      </c>
      <c r="Y78" s="24">
        <v>41916</v>
      </c>
      <c r="Z78" s="24">
        <v>33300</v>
      </c>
      <c r="AA78" s="24">
        <v>36576</v>
      </c>
      <c r="AB78" s="24">
        <v>49926</v>
      </c>
      <c r="AC78" s="24">
        <v>48732</v>
      </c>
      <c r="AD78" s="24">
        <v>41771.75</v>
      </c>
      <c r="AE78" s="24">
        <v>42133.5</v>
      </c>
      <c r="AF78" s="24">
        <v>33333.5</v>
      </c>
      <c r="AG78" s="24">
        <v>50210</v>
      </c>
      <c r="AH78" s="24">
        <v>34938</v>
      </c>
      <c r="AI78" s="24">
        <v>49329</v>
      </c>
      <c r="AJ78" s="32">
        <v>29.001656962664768</v>
      </c>
      <c r="AK78" s="32">
        <v>20.007132459886186</v>
      </c>
      <c r="AL78" s="32">
        <v>12.687553537062538</v>
      </c>
      <c r="AM78" s="32">
        <v>23.360858964991934</v>
      </c>
      <c r="AN78" s="32">
        <v>6.6302645118985915</v>
      </c>
      <c r="AO78" s="32">
        <v>1.711539858372839</v>
      </c>
      <c r="AP78" s="19">
        <v>1.0086601590788034</v>
      </c>
      <c r="AQ78" s="19">
        <v>1.0481347593262034</v>
      </c>
      <c r="AR78" s="19">
        <v>0.98245369448317066</v>
      </c>
      <c r="AS78" s="19">
        <v>1.2440179006305238E-2</v>
      </c>
      <c r="AT78" s="19">
        <v>6.7824216983149707E-2</v>
      </c>
      <c r="AU78" s="19">
        <v>-2.5538683764269446E-2</v>
      </c>
      <c r="AV78" s="19">
        <v>-0.18524937367979533</v>
      </c>
      <c r="AW78" s="19">
        <v>0</v>
      </c>
      <c r="AX78" s="19">
        <v>-0.32928959800006236</v>
      </c>
      <c r="AY78" s="19">
        <v>1.0086601590788034</v>
      </c>
      <c r="AZ78" s="19">
        <v>1.0481347593262034</v>
      </c>
      <c r="BA78" s="19">
        <v>-1.0178596768635082</v>
      </c>
      <c r="BB78" s="19">
        <v>-1.137013492061157</v>
      </c>
      <c r="BC78" s="19">
        <v>1</v>
      </c>
      <c r="BD78" s="19">
        <v>-1.2563945569843318</v>
      </c>
      <c r="BE78" s="14" t="s">
        <v>4857</v>
      </c>
    </row>
    <row r="79" spans="1:105" s="30" customFormat="1" ht="17.100000000000001" customHeight="1">
      <c r="A79" s="14">
        <v>68</v>
      </c>
      <c r="B79" s="14" t="s">
        <v>4477</v>
      </c>
      <c r="C79" s="32">
        <v>1.1482024822021251</v>
      </c>
      <c r="D79" s="32">
        <v>-1.0368998058214218</v>
      </c>
      <c r="E79" s="32">
        <v>1.275706582767854</v>
      </c>
      <c r="F79" s="24">
        <v>743434.5</v>
      </c>
      <c r="G79" s="52" t="s">
        <v>2</v>
      </c>
      <c r="H79" s="32">
        <v>35.394608252835447</v>
      </c>
      <c r="I79" s="32">
        <v>10.343501054532156</v>
      </c>
      <c r="J79" s="12" t="s">
        <v>4465</v>
      </c>
      <c r="K79" s="15" t="s">
        <v>4466</v>
      </c>
      <c r="L79" s="14" t="s">
        <v>5244</v>
      </c>
      <c r="M79" s="12" t="s">
        <v>4585</v>
      </c>
      <c r="N79" s="15" t="s">
        <v>4467</v>
      </c>
      <c r="O79" s="12" t="s">
        <v>4587</v>
      </c>
      <c r="P79" s="12" t="s">
        <v>4478</v>
      </c>
      <c r="Q79" s="14">
        <v>3</v>
      </c>
      <c r="R79" s="21">
        <v>695.99369999999999</v>
      </c>
      <c r="S79" s="14">
        <v>9</v>
      </c>
      <c r="T79" s="52" t="s">
        <v>2</v>
      </c>
      <c r="U79" s="53">
        <v>62.06678749999999</v>
      </c>
      <c r="V79" s="24">
        <v>424091</v>
      </c>
      <c r="W79" s="24">
        <v>371561</v>
      </c>
      <c r="X79" s="24">
        <v>453784</v>
      </c>
      <c r="Y79" s="24">
        <v>490459</v>
      </c>
      <c r="Z79" s="24">
        <v>423434</v>
      </c>
      <c r="AA79" s="24">
        <v>380839</v>
      </c>
      <c r="AB79" s="24">
        <v>689060</v>
      </c>
      <c r="AC79" s="24">
        <v>797809</v>
      </c>
      <c r="AD79" s="24">
        <v>434973.75</v>
      </c>
      <c r="AE79" s="24">
        <v>572785.5</v>
      </c>
      <c r="AF79" s="24">
        <v>397826</v>
      </c>
      <c r="AG79" s="24">
        <v>472121.5</v>
      </c>
      <c r="AH79" s="24">
        <v>402136.5</v>
      </c>
      <c r="AI79" s="24">
        <v>743434.5</v>
      </c>
      <c r="AJ79" s="32">
        <v>11.550028303139801</v>
      </c>
      <c r="AK79" s="32">
        <v>35.394608252835447</v>
      </c>
      <c r="AL79" s="32">
        <v>9.3368254502544676</v>
      </c>
      <c r="AM79" s="32">
        <v>5.4928956211518924</v>
      </c>
      <c r="AN79" s="32">
        <v>7.4897984501881805</v>
      </c>
      <c r="AO79" s="32">
        <v>10.343501054532156</v>
      </c>
      <c r="AP79" s="19">
        <v>1.3168277396049761</v>
      </c>
      <c r="AQ79" s="19">
        <v>1.0108351389803583</v>
      </c>
      <c r="AR79" s="19">
        <v>1.5746677497212052</v>
      </c>
      <c r="AS79" s="19">
        <v>0.39706663225204747</v>
      </c>
      <c r="AT79" s="19">
        <v>1.5547721701973315E-2</v>
      </c>
      <c r="AU79" s="19">
        <v>0.65504745629812722</v>
      </c>
      <c r="AV79" s="19">
        <v>0.19937707956594691</v>
      </c>
      <c r="AW79" s="19">
        <v>-5.2276495281176394E-2</v>
      </c>
      <c r="AX79" s="19">
        <v>0.35129654206233429</v>
      </c>
      <c r="AY79" s="19">
        <v>1.3168277396049761</v>
      </c>
      <c r="AZ79" s="19">
        <v>1.0108351389803583</v>
      </c>
      <c r="BA79" s="19">
        <v>1.5746677497212052</v>
      </c>
      <c r="BB79" s="19">
        <v>1.1482024822021251</v>
      </c>
      <c r="BC79" s="19">
        <v>-1.0368998058214218</v>
      </c>
      <c r="BD79" s="19">
        <v>1.275706582767854</v>
      </c>
      <c r="BE79" s="14" t="s">
        <v>4857</v>
      </c>
    </row>
    <row r="80" spans="1:105" s="30" customFormat="1" ht="17.100000000000001" customHeight="1">
      <c r="A80" s="14">
        <v>69</v>
      </c>
      <c r="B80" s="14" t="s">
        <v>4480</v>
      </c>
      <c r="C80" s="32">
        <v>1.2183731909783815</v>
      </c>
      <c r="D80" s="32">
        <v>-1.0824942188157654</v>
      </c>
      <c r="E80" s="32">
        <v>1.4937956337058553</v>
      </c>
      <c r="F80" s="24">
        <v>173576</v>
      </c>
      <c r="G80" s="52" t="s">
        <v>2</v>
      </c>
      <c r="H80" s="32">
        <v>34.139370329346121</v>
      </c>
      <c r="I80" s="32">
        <v>26.606218280172534</v>
      </c>
      <c r="J80" s="12" t="s">
        <v>4481</v>
      </c>
      <c r="K80" s="15" t="s">
        <v>4482</v>
      </c>
      <c r="L80" s="14" t="s">
        <v>5208</v>
      </c>
      <c r="M80" s="12" t="s">
        <v>4483</v>
      </c>
      <c r="N80" s="15" t="s">
        <v>4484</v>
      </c>
      <c r="O80" s="12" t="s">
        <v>4485</v>
      </c>
      <c r="P80" s="12" t="s">
        <v>4487</v>
      </c>
      <c r="Q80" s="14">
        <v>2</v>
      </c>
      <c r="R80" s="21">
        <v>644.33259999999996</v>
      </c>
      <c r="S80" s="14">
        <v>7</v>
      </c>
      <c r="T80" s="52" t="s">
        <v>2</v>
      </c>
      <c r="U80" s="53">
        <v>33.003250000000001</v>
      </c>
      <c r="V80" s="24">
        <v>116414</v>
      </c>
      <c r="W80" s="24">
        <v>79547</v>
      </c>
      <c r="X80" s="24">
        <v>99936</v>
      </c>
      <c r="Y80" s="24">
        <v>88338</v>
      </c>
      <c r="Z80" s="24">
        <v>95223</v>
      </c>
      <c r="AA80" s="24">
        <v>94518</v>
      </c>
      <c r="AB80" s="24">
        <v>166350</v>
      </c>
      <c r="AC80" s="24">
        <v>180802</v>
      </c>
      <c r="AD80" s="24">
        <v>96058.75</v>
      </c>
      <c r="AE80" s="24">
        <v>134223.25</v>
      </c>
      <c r="AF80" s="24">
        <v>97980.5</v>
      </c>
      <c r="AG80" s="24">
        <v>94137</v>
      </c>
      <c r="AH80" s="24">
        <v>94870.5</v>
      </c>
      <c r="AI80" s="24">
        <v>173576</v>
      </c>
      <c r="AJ80" s="32">
        <v>16.587112718932197</v>
      </c>
      <c r="AK80" s="32">
        <v>34.139370329346121</v>
      </c>
      <c r="AL80" s="32">
        <v>26.606218280172534</v>
      </c>
      <c r="AM80" s="32">
        <v>8.71179711293283</v>
      </c>
      <c r="AN80" s="32">
        <v>0.52546395427083858</v>
      </c>
      <c r="AO80" s="32">
        <v>5.8873964152348162</v>
      </c>
      <c r="AP80" s="19">
        <v>1.3973037333923251</v>
      </c>
      <c r="AQ80" s="19">
        <v>0.96825899030929619</v>
      </c>
      <c r="AR80" s="19">
        <v>1.8438658550835485</v>
      </c>
      <c r="AS80" s="19">
        <v>0.48264565498502104</v>
      </c>
      <c r="AT80" s="19">
        <v>-4.6535103111485801E-2</v>
      </c>
      <c r="AU80" s="19">
        <v>0.88273370064501211</v>
      </c>
      <c r="AV80" s="19">
        <v>0.28495610229892049</v>
      </c>
      <c r="AW80" s="19">
        <v>-0.11435932009463551</v>
      </c>
      <c r="AX80" s="19">
        <v>0.57898278640921919</v>
      </c>
      <c r="AY80" s="19">
        <v>1.3973037333923251</v>
      </c>
      <c r="AZ80" s="19">
        <v>-1.0327815285046458</v>
      </c>
      <c r="BA80" s="19">
        <v>1.8438658550835485</v>
      </c>
      <c r="BB80" s="19">
        <v>1.2183731909783815</v>
      </c>
      <c r="BC80" s="19">
        <v>-1.0824942188157654</v>
      </c>
      <c r="BD80" s="19">
        <v>1.4937956337058553</v>
      </c>
      <c r="BE80" s="14" t="s">
        <v>4857</v>
      </c>
    </row>
    <row r="81" spans="1:57" s="30" customFormat="1" ht="17.100000000000001" customHeight="1">
      <c r="A81" s="14">
        <v>70</v>
      </c>
      <c r="B81" s="14" t="s">
        <v>4754</v>
      </c>
      <c r="C81" s="32">
        <v>1.7721492036089794</v>
      </c>
      <c r="D81" s="32">
        <v>1.7847607183269023</v>
      </c>
      <c r="E81" s="32">
        <v>1.7342326420518361</v>
      </c>
      <c r="F81" s="24">
        <v>692500</v>
      </c>
      <c r="G81" s="52" t="s">
        <v>2</v>
      </c>
      <c r="H81" s="32">
        <v>34.699314958866431</v>
      </c>
      <c r="I81" s="32">
        <v>22.77036999344406</v>
      </c>
      <c r="J81" s="12" t="s">
        <v>4488</v>
      </c>
      <c r="K81" s="12" t="s">
        <v>4489</v>
      </c>
      <c r="L81" s="14" t="s">
        <v>4490</v>
      </c>
      <c r="M81" s="12" t="s">
        <v>4489</v>
      </c>
      <c r="N81" s="15" t="s">
        <v>4491</v>
      </c>
      <c r="O81" s="12" t="s">
        <v>4492</v>
      </c>
      <c r="P81" s="12" t="s">
        <v>4494</v>
      </c>
      <c r="Q81" s="14">
        <v>4</v>
      </c>
      <c r="R81" s="21">
        <v>474.27440000000001</v>
      </c>
      <c r="S81" s="14">
        <v>1</v>
      </c>
      <c r="T81" s="52" t="s">
        <v>2</v>
      </c>
      <c r="U81" s="53">
        <v>63</v>
      </c>
      <c r="V81" s="24">
        <v>197000</v>
      </c>
      <c r="W81" s="24">
        <v>236000</v>
      </c>
      <c r="X81" s="24">
        <v>275000</v>
      </c>
      <c r="Y81" s="24">
        <v>372000</v>
      </c>
      <c r="Z81" s="24">
        <v>380000</v>
      </c>
      <c r="AA81" s="24">
        <v>430000</v>
      </c>
      <c r="AB81" s="24">
        <v>581000</v>
      </c>
      <c r="AC81" s="24">
        <v>804000</v>
      </c>
      <c r="AD81" s="24">
        <v>270000</v>
      </c>
      <c r="AE81" s="24">
        <v>548750</v>
      </c>
      <c r="AF81" s="24">
        <v>216500</v>
      </c>
      <c r="AG81" s="24">
        <v>323500</v>
      </c>
      <c r="AH81" s="24">
        <v>405000</v>
      </c>
      <c r="AI81" s="24">
        <v>692500</v>
      </c>
      <c r="AJ81" s="32">
        <v>27.809858018656492</v>
      </c>
      <c r="AK81" s="32">
        <v>34.699314958866431</v>
      </c>
      <c r="AL81" s="32">
        <v>12.737720307748432</v>
      </c>
      <c r="AM81" s="32">
        <v>21.202274428159228</v>
      </c>
      <c r="AN81" s="32">
        <v>8.7297133479820701</v>
      </c>
      <c r="AO81" s="32">
        <v>22.77036999344406</v>
      </c>
      <c r="AP81" s="19">
        <v>2.0324074074074074</v>
      </c>
      <c r="AQ81" s="19">
        <v>1.8706697459584296</v>
      </c>
      <c r="AR81" s="19">
        <v>2.1406491499227203</v>
      </c>
      <c r="AS81" s="19">
        <v>1.0231896273718897</v>
      </c>
      <c r="AT81" s="19">
        <v>0.90355488304526221</v>
      </c>
      <c r="AU81" s="19">
        <v>1.0980483589440433</v>
      </c>
      <c r="AV81" s="19">
        <v>0.82550007468578912</v>
      </c>
      <c r="AW81" s="19">
        <v>0.83573066606211255</v>
      </c>
      <c r="AX81" s="19">
        <v>0.79429744470825037</v>
      </c>
      <c r="AY81" s="19">
        <v>2.0324074074074074</v>
      </c>
      <c r="AZ81" s="19">
        <v>1.8706697459584296</v>
      </c>
      <c r="BA81" s="19">
        <v>2.1406491499227203</v>
      </c>
      <c r="BB81" s="19">
        <v>1.7721492036089794</v>
      </c>
      <c r="BC81" s="19">
        <v>1.7847607183269023</v>
      </c>
      <c r="BD81" s="19">
        <v>1.7342326420518361</v>
      </c>
      <c r="BE81" s="14" t="s">
        <v>4857</v>
      </c>
    </row>
    <row r="82" spans="1:57" s="30" customFormat="1" ht="17.100000000000001" customHeight="1">
      <c r="A82" s="14">
        <v>71</v>
      </c>
      <c r="B82" s="14" t="s">
        <v>4495</v>
      </c>
      <c r="C82" s="32">
        <v>-1.1798900884170387</v>
      </c>
      <c r="D82" s="32">
        <v>1.1222899229370911</v>
      </c>
      <c r="E82" s="32">
        <v>-1.4516405062941595</v>
      </c>
      <c r="F82" s="24">
        <v>5748580</v>
      </c>
      <c r="G82" s="52" t="s">
        <v>2</v>
      </c>
      <c r="H82" s="32">
        <v>33.587894357631441</v>
      </c>
      <c r="I82" s="32">
        <v>37.806502416392675</v>
      </c>
      <c r="J82" s="12" t="s">
        <v>4496</v>
      </c>
      <c r="K82" s="12" t="s">
        <v>4497</v>
      </c>
      <c r="L82" s="14" t="s">
        <v>4498</v>
      </c>
      <c r="M82" s="12" t="s">
        <v>4499</v>
      </c>
      <c r="N82" s="15" t="s">
        <v>4500</v>
      </c>
      <c r="O82" s="12" t="s">
        <v>4501</v>
      </c>
      <c r="P82" s="12" t="s">
        <v>4503</v>
      </c>
      <c r="Q82" s="14">
        <v>4</v>
      </c>
      <c r="R82" s="21">
        <v>856.40959999999995</v>
      </c>
      <c r="S82" s="14">
        <v>1</v>
      </c>
      <c r="T82" s="52" t="s">
        <v>2</v>
      </c>
      <c r="U82" s="53">
        <v>96.173650000000009</v>
      </c>
      <c r="V82" s="24">
        <v>2508720</v>
      </c>
      <c r="W82" s="24">
        <v>4339460</v>
      </c>
      <c r="X82" s="24">
        <v>5889880</v>
      </c>
      <c r="Y82" s="24">
        <v>5607280</v>
      </c>
      <c r="Z82" s="24">
        <v>3359910</v>
      </c>
      <c r="AA82" s="24">
        <v>4695680</v>
      </c>
      <c r="AB82" s="24">
        <v>4488580</v>
      </c>
      <c r="AC82" s="24">
        <v>5287610</v>
      </c>
      <c r="AD82" s="24">
        <v>4586335</v>
      </c>
      <c r="AE82" s="24">
        <v>4457945</v>
      </c>
      <c r="AF82" s="24">
        <v>3424090</v>
      </c>
      <c r="AG82" s="24">
        <v>5748580</v>
      </c>
      <c r="AH82" s="24">
        <v>4027795</v>
      </c>
      <c r="AI82" s="24">
        <v>4888095</v>
      </c>
      <c r="AJ82" s="32">
        <v>33.587894357631441</v>
      </c>
      <c r="AK82" s="32">
        <v>18.092011884635419</v>
      </c>
      <c r="AL82" s="32">
        <v>37.806502416392675</v>
      </c>
      <c r="AM82" s="32">
        <v>3.4761345647676176</v>
      </c>
      <c r="AN82" s="32">
        <v>23.450350008020632</v>
      </c>
      <c r="AO82" s="32">
        <v>11.558685569152953</v>
      </c>
      <c r="AP82" s="19">
        <v>0.97200596990843446</v>
      </c>
      <c r="AQ82" s="19">
        <v>1.1763110782718913</v>
      </c>
      <c r="AR82" s="19">
        <v>0.85031346871749203</v>
      </c>
      <c r="AS82" s="19">
        <v>-4.0962920222104696E-2</v>
      </c>
      <c r="AT82" s="19">
        <v>0.23426963477718388</v>
      </c>
      <c r="AU82" s="19">
        <v>-0.23393330493739367</v>
      </c>
      <c r="AV82" s="19">
        <v>-0.23865247290820524</v>
      </c>
      <c r="AW82" s="19">
        <v>0.16644541779403416</v>
      </c>
      <c r="AX82" s="19">
        <v>-0.53768421917318654</v>
      </c>
      <c r="AY82" s="19">
        <v>-1.0288002655932273</v>
      </c>
      <c r="AZ82" s="19">
        <v>1.1763110782718913</v>
      </c>
      <c r="BA82" s="19">
        <v>-1.1760368814435889</v>
      </c>
      <c r="BB82" s="19">
        <v>-1.1798900884170387</v>
      </c>
      <c r="BC82" s="19">
        <v>1.1222899229370911</v>
      </c>
      <c r="BD82" s="19">
        <v>-1.4516405062941595</v>
      </c>
      <c r="BE82" s="14" t="s">
        <v>4857</v>
      </c>
    </row>
    <row r="83" spans="1:57" s="30" customFormat="1" ht="17.100000000000001" customHeight="1">
      <c r="A83" s="14">
        <v>72</v>
      </c>
      <c r="B83" s="14" t="s">
        <v>4644</v>
      </c>
      <c r="C83" s="32">
        <v>1.1114830296450198</v>
      </c>
      <c r="D83" s="32">
        <v>1.7177715788182655</v>
      </c>
      <c r="E83" s="32">
        <v>-1.3027703439708349</v>
      </c>
      <c r="F83" s="24">
        <v>789500</v>
      </c>
      <c r="G83" s="52" t="s">
        <v>2</v>
      </c>
      <c r="H83" s="32">
        <v>39.147290967877467</v>
      </c>
      <c r="I83" s="32">
        <v>43.080223147654131</v>
      </c>
      <c r="J83" s="12" t="s">
        <v>4504</v>
      </c>
      <c r="K83" s="12" t="s">
        <v>4505</v>
      </c>
      <c r="L83" s="14" t="s">
        <v>4506</v>
      </c>
      <c r="M83" s="12" t="s">
        <v>4507</v>
      </c>
      <c r="N83" s="15" t="s">
        <v>4508</v>
      </c>
      <c r="O83" s="12" t="s">
        <v>4509</v>
      </c>
      <c r="P83" s="12" t="s">
        <v>4511</v>
      </c>
      <c r="Q83" s="14">
        <v>3</v>
      </c>
      <c r="R83" s="21">
        <v>512.95330000000001</v>
      </c>
      <c r="S83" s="14">
        <v>1</v>
      </c>
      <c r="T83" s="52" t="s">
        <v>2</v>
      </c>
      <c r="U83" s="53">
        <v>84</v>
      </c>
      <c r="V83" s="24">
        <v>352000</v>
      </c>
      <c r="W83" s="24">
        <v>525000</v>
      </c>
      <c r="X83" s="24">
        <v>525000</v>
      </c>
      <c r="Y83" s="24">
        <v>884000</v>
      </c>
      <c r="Z83" s="24">
        <v>549000</v>
      </c>
      <c r="AA83" s="24">
        <v>1030000</v>
      </c>
      <c r="AB83" s="24">
        <v>682000</v>
      </c>
      <c r="AC83" s="24">
        <v>653000</v>
      </c>
      <c r="AD83" s="24">
        <v>571500</v>
      </c>
      <c r="AE83" s="24">
        <v>728500</v>
      </c>
      <c r="AF83" s="24">
        <v>438500</v>
      </c>
      <c r="AG83" s="24">
        <v>704500</v>
      </c>
      <c r="AH83" s="24">
        <v>789500</v>
      </c>
      <c r="AI83" s="24">
        <v>667500</v>
      </c>
      <c r="AJ83" s="32">
        <v>39.147290967877467</v>
      </c>
      <c r="AK83" s="32">
        <v>28.682737527444218</v>
      </c>
      <c r="AL83" s="32">
        <v>27.897257273722403</v>
      </c>
      <c r="AM83" s="32">
        <v>36.032836685020662</v>
      </c>
      <c r="AN83" s="32">
        <v>43.080223147654131</v>
      </c>
      <c r="AO83" s="32">
        <v>3.0720744051550382</v>
      </c>
      <c r="AP83" s="19">
        <v>1.2747156605424321</v>
      </c>
      <c r="AQ83" s="19">
        <v>1.8004561003420751</v>
      </c>
      <c r="AR83" s="19">
        <v>0.94748048261178142</v>
      </c>
      <c r="AS83" s="19">
        <v>0.35017547385003428</v>
      </c>
      <c r="AT83" s="19">
        <v>0.84836242341550372</v>
      </c>
      <c r="AU83" s="19">
        <v>-7.7831869734720283E-2</v>
      </c>
      <c r="AV83" s="19">
        <v>0.15248592116393372</v>
      </c>
      <c r="AW83" s="19">
        <v>0.78053820643235405</v>
      </c>
      <c r="AX83" s="19">
        <v>-0.38158278397051321</v>
      </c>
      <c r="AY83" s="19">
        <v>1.2747156605424321</v>
      </c>
      <c r="AZ83" s="19">
        <v>1.8004561003420751</v>
      </c>
      <c r="BA83" s="19">
        <v>-1.0554307116104868</v>
      </c>
      <c r="BB83" s="19">
        <v>1.1114830296450198</v>
      </c>
      <c r="BC83" s="19">
        <v>1.7177715788182655</v>
      </c>
      <c r="BD83" s="19">
        <v>-1.3027703439708349</v>
      </c>
      <c r="BE83" s="14" t="s">
        <v>4857</v>
      </c>
    </row>
    <row r="84" spans="1:57" s="30" customFormat="1" ht="17.100000000000001" customHeight="1">
      <c r="A84" s="14">
        <v>73</v>
      </c>
      <c r="B84" s="14" t="s">
        <v>4512</v>
      </c>
      <c r="C84" s="32">
        <v>-1.357200415064381</v>
      </c>
      <c r="D84" s="32">
        <v>1.4041418314718916</v>
      </c>
      <c r="E84" s="32">
        <v>-2.7328355465620437</v>
      </c>
      <c r="F84" s="42">
        <v>947384.5</v>
      </c>
      <c r="G84" s="52" t="s">
        <v>4894</v>
      </c>
      <c r="H84" s="32">
        <v>39.80181198845726</v>
      </c>
      <c r="I84" s="32">
        <v>20.461343226247482</v>
      </c>
      <c r="J84" s="12" t="s">
        <v>4513</v>
      </c>
      <c r="K84" s="15" t="s">
        <v>4514</v>
      </c>
      <c r="L84" s="14" t="s">
        <v>4949</v>
      </c>
      <c r="M84" s="12" t="s">
        <v>4515</v>
      </c>
      <c r="N84" s="15" t="s">
        <v>4516</v>
      </c>
      <c r="O84" s="12" t="s">
        <v>4402</v>
      </c>
      <c r="P84" s="12" t="s">
        <v>4404</v>
      </c>
      <c r="Q84" s="14">
        <v>2</v>
      </c>
      <c r="R84" s="21">
        <v>500.2484</v>
      </c>
      <c r="S84" s="14">
        <v>4</v>
      </c>
      <c r="T84" s="52" t="s">
        <v>4894</v>
      </c>
      <c r="U84" s="53">
        <v>33.036125000000006</v>
      </c>
      <c r="V84" s="42">
        <v>508581</v>
      </c>
      <c r="W84" s="42">
        <v>680642</v>
      </c>
      <c r="X84" s="42">
        <v>1039581</v>
      </c>
      <c r="Y84" s="42">
        <v>855188</v>
      </c>
      <c r="Z84" s="42">
        <v>862081</v>
      </c>
      <c r="AA84" s="42">
        <v>888134</v>
      </c>
      <c r="AB84" s="42">
        <v>454383</v>
      </c>
      <c r="AC84" s="42">
        <v>401434</v>
      </c>
      <c r="AD84" s="42">
        <v>770998</v>
      </c>
      <c r="AE84" s="42">
        <v>651508</v>
      </c>
      <c r="AF84" s="42">
        <v>594611.5</v>
      </c>
      <c r="AG84" s="42">
        <v>947384.5</v>
      </c>
      <c r="AH84" s="42">
        <v>875107.5</v>
      </c>
      <c r="AI84" s="42">
        <v>427908.5</v>
      </c>
      <c r="AJ84" s="32">
        <v>29.600459896797055</v>
      </c>
      <c r="AK84" s="32">
        <v>39.80181198845726</v>
      </c>
      <c r="AL84" s="32">
        <v>20.461343226247482</v>
      </c>
      <c r="AM84" s="32">
        <v>13.762684602010172</v>
      </c>
      <c r="AN84" s="32">
        <v>2.1051417077619745</v>
      </c>
      <c r="AO84" s="32">
        <v>8.7496735767217775</v>
      </c>
      <c r="AP84" s="19">
        <v>0.84501905322711601</v>
      </c>
      <c r="AQ84" s="19">
        <v>1.4717298605896456</v>
      </c>
      <c r="AR84" s="19">
        <v>0.45167352854094617</v>
      </c>
      <c r="AS84" s="19">
        <v>-0.24294422368617888</v>
      </c>
      <c r="AT84" s="19">
        <v>0.55751288569296409</v>
      </c>
      <c r="AU84" s="19">
        <v>-1.1466477313926455</v>
      </c>
      <c r="AV84" s="19">
        <v>-0.44063377637227941</v>
      </c>
      <c r="AW84" s="19">
        <v>0.48968866870981437</v>
      </c>
      <c r="AX84" s="19">
        <v>-1.4503986456284386</v>
      </c>
      <c r="AY84" s="19">
        <v>-1.1834052690066739</v>
      </c>
      <c r="AZ84" s="19">
        <v>1.4717298605896456</v>
      </c>
      <c r="BA84" s="19">
        <v>-2.2139885045517906</v>
      </c>
      <c r="BB84" s="19">
        <v>-1.357200415064381</v>
      </c>
      <c r="BC84" s="19">
        <v>1.4041418314718916</v>
      </c>
      <c r="BD84" s="19">
        <v>-2.7328355465620437</v>
      </c>
      <c r="BE84" s="14" t="s">
        <v>4857</v>
      </c>
    </row>
    <row r="85" spans="1:57" s="30" customFormat="1" ht="17.100000000000001" customHeight="1">
      <c r="A85" s="14">
        <v>74</v>
      </c>
      <c r="B85" s="14" t="s">
        <v>4405</v>
      </c>
      <c r="C85" s="32">
        <v>-1.0122937780692762</v>
      </c>
      <c r="D85" s="32">
        <v>-1.1729217622168489</v>
      </c>
      <c r="E85" s="32">
        <v>1.1285880175509122</v>
      </c>
      <c r="F85" s="42">
        <v>4920772</v>
      </c>
      <c r="G85" s="52" t="s">
        <v>4894</v>
      </c>
      <c r="H85" s="32">
        <v>22.44979083118097</v>
      </c>
      <c r="I85" s="32">
        <v>17.645066374983973</v>
      </c>
      <c r="J85" s="12" t="s">
        <v>4406</v>
      </c>
      <c r="K85" s="12" t="s">
        <v>4407</v>
      </c>
      <c r="L85" s="14" t="s">
        <v>4408</v>
      </c>
      <c r="M85" s="12" t="s">
        <v>4407</v>
      </c>
      <c r="N85" s="15" t="s">
        <v>4409</v>
      </c>
      <c r="O85" s="12" t="s">
        <v>4410</v>
      </c>
      <c r="P85" s="12" t="s">
        <v>4412</v>
      </c>
      <c r="Q85" s="14">
        <v>3</v>
      </c>
      <c r="R85" s="21">
        <v>830.12329999999997</v>
      </c>
      <c r="S85" s="14">
        <v>1</v>
      </c>
      <c r="T85" s="52" t="s">
        <v>4894</v>
      </c>
      <c r="U85" s="53">
        <v>96</v>
      </c>
      <c r="V85" s="42">
        <v>3573606</v>
      </c>
      <c r="W85" s="42">
        <v>4105555</v>
      </c>
      <c r="X85" s="42">
        <v>3543234</v>
      </c>
      <c r="Y85" s="42">
        <v>3521400</v>
      </c>
      <c r="Z85" s="42">
        <v>3002993</v>
      </c>
      <c r="AA85" s="42">
        <v>3859183</v>
      </c>
      <c r="AB85" s="42">
        <v>5080396</v>
      </c>
      <c r="AC85" s="42">
        <v>4761148</v>
      </c>
      <c r="AD85" s="42">
        <v>3685948.75</v>
      </c>
      <c r="AE85" s="42">
        <v>4175930</v>
      </c>
      <c r="AF85" s="42">
        <v>3839580.5</v>
      </c>
      <c r="AG85" s="42">
        <v>3532317</v>
      </c>
      <c r="AH85" s="42">
        <v>3431088</v>
      </c>
      <c r="AI85" s="42">
        <v>4920772</v>
      </c>
      <c r="AJ85" s="32">
        <v>7.6114855019305105</v>
      </c>
      <c r="AK85" s="32">
        <v>22.44979083118097</v>
      </c>
      <c r="AL85" s="32">
        <v>9.7965062887834442</v>
      </c>
      <c r="AM85" s="32">
        <v>0.43707768754692966</v>
      </c>
      <c r="AN85" s="32">
        <v>17.645066374983973</v>
      </c>
      <c r="AO85" s="32">
        <v>4.5875408509120703</v>
      </c>
      <c r="AP85" s="19">
        <v>1.1329321928309501</v>
      </c>
      <c r="AQ85" s="19">
        <v>0.89361012225163661</v>
      </c>
      <c r="AR85" s="19">
        <v>1.3930720260950531</v>
      </c>
      <c r="AS85" s="19">
        <v>0.18006151694489597</v>
      </c>
      <c r="AT85" s="19">
        <v>-0.1622825670344315</v>
      </c>
      <c r="AU85" s="19">
        <v>0.47826985162461094</v>
      </c>
      <c r="AV85" s="19">
        <v>-1.7628035741204584E-2</v>
      </c>
      <c r="AW85" s="19">
        <v>-0.23010678401758122</v>
      </c>
      <c r="AX85" s="19">
        <v>0.17451893738881802</v>
      </c>
      <c r="AY85" s="19">
        <v>1.1329321928309501</v>
      </c>
      <c r="AZ85" s="19">
        <v>-1.1190562585395654</v>
      </c>
      <c r="BA85" s="19">
        <v>1.3930720260950531</v>
      </c>
      <c r="BB85" s="19">
        <v>-1.0122937780692762</v>
      </c>
      <c r="BC85" s="19">
        <v>-1.1729217622168489</v>
      </c>
      <c r="BD85" s="19">
        <v>1.1285880175509122</v>
      </c>
      <c r="BE85" s="14" t="s">
        <v>4857</v>
      </c>
    </row>
    <row r="86" spans="1:57" s="30" customFormat="1" ht="17.100000000000001" customHeight="1">
      <c r="A86" s="14">
        <v>75</v>
      </c>
      <c r="B86" s="14" t="s">
        <v>4413</v>
      </c>
      <c r="C86" s="32">
        <v>1.2287599265470988</v>
      </c>
      <c r="D86" s="32">
        <v>1.279640249490847</v>
      </c>
      <c r="E86" s="32">
        <v>1.1790429873058155</v>
      </c>
      <c r="F86" s="24">
        <v>241573</v>
      </c>
      <c r="G86" s="52" t="s">
        <v>2</v>
      </c>
      <c r="H86" s="32">
        <v>26.772776199339766</v>
      </c>
      <c r="I86" s="32">
        <v>14.277155014525606</v>
      </c>
      <c r="J86" s="12" t="s">
        <v>4414</v>
      </c>
      <c r="K86" s="12" t="s">
        <v>4415</v>
      </c>
      <c r="L86" s="14" t="s">
        <v>4416</v>
      </c>
      <c r="M86" s="12" t="s">
        <v>4417</v>
      </c>
      <c r="N86" s="15" t="s">
        <v>4418</v>
      </c>
      <c r="O86" s="12" t="s">
        <v>4419</v>
      </c>
      <c r="P86" s="12" t="s">
        <v>4421</v>
      </c>
      <c r="Q86" s="14">
        <v>4</v>
      </c>
      <c r="R86" s="21">
        <v>436.23239999999998</v>
      </c>
      <c r="S86" s="14">
        <v>1</v>
      </c>
      <c r="T86" s="52" t="s">
        <v>2</v>
      </c>
      <c r="U86" s="53">
        <v>49.538137499999998</v>
      </c>
      <c r="V86" s="24">
        <v>124022</v>
      </c>
      <c r="W86" s="24">
        <v>101277</v>
      </c>
      <c r="X86" s="24">
        <v>156654</v>
      </c>
      <c r="Y86" s="24">
        <v>175325</v>
      </c>
      <c r="Z86" s="24">
        <v>158209</v>
      </c>
      <c r="AA86" s="24">
        <v>143970</v>
      </c>
      <c r="AB86" s="24">
        <v>241384</v>
      </c>
      <c r="AC86" s="24">
        <v>241762</v>
      </c>
      <c r="AD86" s="24">
        <v>139319.5</v>
      </c>
      <c r="AE86" s="24">
        <v>196331.25</v>
      </c>
      <c r="AF86" s="24">
        <v>112649.5</v>
      </c>
      <c r="AG86" s="24">
        <v>165989.5</v>
      </c>
      <c r="AH86" s="24">
        <v>151089.5</v>
      </c>
      <c r="AI86" s="24">
        <v>241573</v>
      </c>
      <c r="AJ86" s="32">
        <v>23.726861877813867</v>
      </c>
      <c r="AK86" s="32">
        <v>26.772776199339766</v>
      </c>
      <c r="AL86" s="32">
        <v>14.277155014525606</v>
      </c>
      <c r="AM86" s="32">
        <v>7.9537505152639341</v>
      </c>
      <c r="AN86" s="32">
        <v>6.663926650968631</v>
      </c>
      <c r="AO86" s="32">
        <v>0.11064413791628822</v>
      </c>
      <c r="AP86" s="19">
        <v>1.4092158671255639</v>
      </c>
      <c r="AQ86" s="19">
        <v>1.3412354249242118</v>
      </c>
      <c r="AR86" s="19">
        <v>1.4553510914847023</v>
      </c>
      <c r="AS86" s="19">
        <v>0.49489262412270019</v>
      </c>
      <c r="AT86" s="19">
        <v>0.42356249343934715</v>
      </c>
      <c r="AU86" s="19">
        <v>0.54136723343755921</v>
      </c>
      <c r="AV86" s="19">
        <v>0.29720307143659963</v>
      </c>
      <c r="AW86" s="19">
        <v>0.35573827645619743</v>
      </c>
      <c r="AX86" s="19">
        <v>0.23761631920176629</v>
      </c>
      <c r="AY86" s="19">
        <v>1.4092158671255639</v>
      </c>
      <c r="AZ86" s="19">
        <v>1.3412354249242118</v>
      </c>
      <c r="BA86" s="19">
        <v>1.4553510914847023</v>
      </c>
      <c r="BB86" s="19">
        <v>1.2287599265470988</v>
      </c>
      <c r="BC86" s="19">
        <v>1.279640249490847</v>
      </c>
      <c r="BD86" s="19">
        <v>1.1790429873058155</v>
      </c>
      <c r="BE86" s="14" t="s">
        <v>4857</v>
      </c>
    </row>
    <row r="87" spans="1:57" s="30" customFormat="1" ht="17.100000000000001" customHeight="1">
      <c r="A87" s="14">
        <v>76</v>
      </c>
      <c r="B87" s="14" t="s">
        <v>4422</v>
      </c>
      <c r="C87" s="32">
        <v>1.1434818289256472</v>
      </c>
      <c r="D87" s="32">
        <v>-1.0388484572004371</v>
      </c>
      <c r="E87" s="32">
        <v>1.334750386616067</v>
      </c>
      <c r="F87" s="24">
        <v>612329.5</v>
      </c>
      <c r="G87" s="52" t="s">
        <v>2</v>
      </c>
      <c r="H87" s="32">
        <v>23.463876420598222</v>
      </c>
      <c r="I87" s="32">
        <v>18.753518776938659</v>
      </c>
      <c r="J87" s="12" t="s">
        <v>4423</v>
      </c>
      <c r="K87" s="12" t="s">
        <v>4424</v>
      </c>
      <c r="L87" s="14" t="s">
        <v>5242</v>
      </c>
      <c r="M87" s="12" t="s">
        <v>4425</v>
      </c>
      <c r="N87" s="15" t="s">
        <v>4426</v>
      </c>
      <c r="O87" s="12" t="s">
        <v>4427</v>
      </c>
      <c r="P87" s="12" t="s">
        <v>4429</v>
      </c>
      <c r="Q87" s="14">
        <v>2</v>
      </c>
      <c r="R87" s="21">
        <v>531.29060000000004</v>
      </c>
      <c r="S87" s="14">
        <v>10</v>
      </c>
      <c r="T87" s="52" t="s">
        <v>2</v>
      </c>
      <c r="U87" s="53">
        <v>32.802949999999996</v>
      </c>
      <c r="V87" s="24">
        <v>399402</v>
      </c>
      <c r="W87" s="24">
        <v>426638</v>
      </c>
      <c r="X87" s="24">
        <v>420946</v>
      </c>
      <c r="Y87" s="24">
        <v>322376</v>
      </c>
      <c r="Z87" s="24">
        <v>462984</v>
      </c>
      <c r="AA87" s="24">
        <v>370440</v>
      </c>
      <c r="AB87" s="24">
        <v>636581</v>
      </c>
      <c r="AC87" s="24">
        <v>588078</v>
      </c>
      <c r="AD87" s="24">
        <v>392340.5</v>
      </c>
      <c r="AE87" s="24">
        <v>514520.75</v>
      </c>
      <c r="AF87" s="24">
        <v>413020</v>
      </c>
      <c r="AG87" s="24">
        <v>371661</v>
      </c>
      <c r="AH87" s="24">
        <v>416712</v>
      </c>
      <c r="AI87" s="24">
        <v>612329.5</v>
      </c>
      <c r="AJ87" s="32">
        <v>12.258574841545206</v>
      </c>
      <c r="AK87" s="32">
        <v>23.463876420598222</v>
      </c>
      <c r="AL87" s="32">
        <v>4.6629122784361066</v>
      </c>
      <c r="AM87" s="32">
        <v>18.753518776938659</v>
      </c>
      <c r="AN87" s="32">
        <v>15.70352904599048</v>
      </c>
      <c r="AO87" s="32">
        <v>5.601036730696646</v>
      </c>
      <c r="AP87" s="19">
        <v>1.3114138101980295</v>
      </c>
      <c r="AQ87" s="19">
        <v>1.0089390344293254</v>
      </c>
      <c r="AR87" s="19">
        <v>1.6475484379582468</v>
      </c>
      <c r="AS87" s="19">
        <v>0.39112299274513151</v>
      </c>
      <c r="AT87" s="19">
        <v>1.2839001615950519E-2</v>
      </c>
      <c r="AU87" s="19">
        <v>0.72032088112096837</v>
      </c>
      <c r="AV87" s="19">
        <v>0.19343344005903096</v>
      </c>
      <c r="AW87" s="19">
        <v>-5.4985215367199192E-2</v>
      </c>
      <c r="AX87" s="19">
        <v>0.41656996688517545</v>
      </c>
      <c r="AY87" s="19">
        <v>1.3114138101980295</v>
      </c>
      <c r="AZ87" s="19">
        <v>1.0089390344293254</v>
      </c>
      <c r="BA87" s="19">
        <v>1.6475484379582468</v>
      </c>
      <c r="BB87" s="19">
        <v>1.1434818289256472</v>
      </c>
      <c r="BC87" s="19">
        <v>-1.0388484572004371</v>
      </c>
      <c r="BD87" s="19">
        <v>1.334750386616067</v>
      </c>
      <c r="BE87" s="14" t="s">
        <v>4857</v>
      </c>
    </row>
    <row r="88" spans="1:57" s="30" customFormat="1" ht="17.100000000000001" customHeight="1">
      <c r="A88" s="14">
        <v>77</v>
      </c>
      <c r="B88" s="14" t="s">
        <v>4430</v>
      </c>
      <c r="C88" s="32">
        <v>-1.058701622582799</v>
      </c>
      <c r="D88" s="32">
        <v>1.3238971213020543</v>
      </c>
      <c r="E88" s="32">
        <v>-1.5078966942153069</v>
      </c>
      <c r="F88" s="24">
        <v>323020.5</v>
      </c>
      <c r="G88" s="52" t="s">
        <v>2</v>
      </c>
      <c r="H88" s="32">
        <v>33.996063034126728</v>
      </c>
      <c r="I88" s="32">
        <v>51.207388794328068</v>
      </c>
      <c r="J88" s="12" t="s">
        <v>4423</v>
      </c>
      <c r="K88" s="12" t="s">
        <v>4424</v>
      </c>
      <c r="L88" s="14" t="s">
        <v>5005</v>
      </c>
      <c r="M88" s="12" t="s">
        <v>4425</v>
      </c>
      <c r="N88" s="15" t="s">
        <v>4426</v>
      </c>
      <c r="O88" s="12" t="s">
        <v>4427</v>
      </c>
      <c r="P88" s="12" t="s">
        <v>4431</v>
      </c>
      <c r="Q88" s="14">
        <v>2</v>
      </c>
      <c r="R88" s="21">
        <v>687.32389999999998</v>
      </c>
      <c r="S88" s="14">
        <v>1</v>
      </c>
      <c r="T88" s="52" t="s">
        <v>2</v>
      </c>
      <c r="U88" s="53">
        <v>60.897762499999999</v>
      </c>
      <c r="V88" s="24">
        <v>211237</v>
      </c>
      <c r="W88" s="24">
        <v>254337</v>
      </c>
      <c r="X88" s="24">
        <v>318002</v>
      </c>
      <c r="Y88" s="24">
        <v>217355</v>
      </c>
      <c r="Z88" s="24">
        <v>290686</v>
      </c>
      <c r="AA88" s="24">
        <v>355355</v>
      </c>
      <c r="AB88" s="24">
        <v>298460</v>
      </c>
      <c r="AC88" s="24">
        <v>139778</v>
      </c>
      <c r="AD88" s="24">
        <v>250232.75</v>
      </c>
      <c r="AE88" s="24">
        <v>271069.75</v>
      </c>
      <c r="AF88" s="24">
        <v>232787</v>
      </c>
      <c r="AG88" s="24">
        <v>267678.5</v>
      </c>
      <c r="AH88" s="24">
        <v>323020.5</v>
      </c>
      <c r="AI88" s="24">
        <v>219119</v>
      </c>
      <c r="AJ88" s="32">
        <v>19.592818655031039</v>
      </c>
      <c r="AK88" s="32">
        <v>33.996063034126728</v>
      </c>
      <c r="AL88" s="32">
        <v>13.091926211145896</v>
      </c>
      <c r="AM88" s="32">
        <v>26.587184329739767</v>
      </c>
      <c r="AN88" s="32">
        <v>14.156342533230196</v>
      </c>
      <c r="AO88" s="32">
        <v>51.207388794328068</v>
      </c>
      <c r="AP88" s="19">
        <v>1.0832704751876003</v>
      </c>
      <c r="AQ88" s="19">
        <v>1.3876225906085822</v>
      </c>
      <c r="AR88" s="19">
        <v>0.81859021176523328</v>
      </c>
      <c r="AS88" s="19">
        <v>0.1153935056358089</v>
      </c>
      <c r="AT88" s="19">
        <v>0.47261523312067155</v>
      </c>
      <c r="AU88" s="19">
        <v>-0.28878667892750398</v>
      </c>
      <c r="AV88" s="19">
        <v>-8.2296047050291657E-2</v>
      </c>
      <c r="AW88" s="19">
        <v>0.40479101613752183</v>
      </c>
      <c r="AX88" s="19">
        <v>-0.59253759316329691</v>
      </c>
      <c r="AY88" s="19">
        <v>1.0832704751876003</v>
      </c>
      <c r="AZ88" s="19">
        <v>1.3876225906085822</v>
      </c>
      <c r="BA88" s="19">
        <v>-1.2216124571579827</v>
      </c>
      <c r="BB88" s="19">
        <v>-1.058701622582799</v>
      </c>
      <c r="BC88" s="19">
        <v>1.3238971213020543</v>
      </c>
      <c r="BD88" s="19">
        <v>-1.5078966942153069</v>
      </c>
      <c r="BE88" s="14" t="s">
        <v>4857</v>
      </c>
    </row>
    <row r="89" spans="1:57" s="30" customFormat="1" ht="17.100000000000001" customHeight="1">
      <c r="A89" s="14">
        <v>78</v>
      </c>
      <c r="B89" s="14" t="s">
        <v>4432</v>
      </c>
      <c r="C89" s="32">
        <v>-1.0971942814574378</v>
      </c>
      <c r="D89" s="32">
        <v>-1.6307979144233706</v>
      </c>
      <c r="E89" s="32">
        <v>1.2542842761352775</v>
      </c>
      <c r="F89" s="24">
        <v>140768.5</v>
      </c>
      <c r="G89" s="52" t="s">
        <v>2</v>
      </c>
      <c r="H89" s="32">
        <v>56.104024986267135</v>
      </c>
      <c r="I89" s="32">
        <v>53.531622887413867</v>
      </c>
      <c r="J89" s="12" t="s">
        <v>4433</v>
      </c>
      <c r="K89" s="12" t="s">
        <v>4469</v>
      </c>
      <c r="L89" s="14" t="s">
        <v>4984</v>
      </c>
      <c r="M89" s="12" t="s">
        <v>4434</v>
      </c>
      <c r="N89" s="15" t="s">
        <v>4435</v>
      </c>
      <c r="O89" s="12" t="s">
        <v>4436</v>
      </c>
      <c r="P89" s="12" t="s">
        <v>4438</v>
      </c>
      <c r="Q89" s="14">
        <v>3</v>
      </c>
      <c r="R89" s="21">
        <v>881.10270000000003</v>
      </c>
      <c r="S89" s="14">
        <v>5</v>
      </c>
      <c r="T89" s="52" t="s">
        <v>2</v>
      </c>
      <c r="U89" s="53">
        <v>75.740499999999997</v>
      </c>
      <c r="V89" s="24">
        <v>139175</v>
      </c>
      <c r="W89" s="24">
        <v>88026</v>
      </c>
      <c r="X89" s="24">
        <v>62227</v>
      </c>
      <c r="Y89" s="24">
        <v>119618</v>
      </c>
      <c r="Z89" s="24">
        <v>89134</v>
      </c>
      <c r="AA89" s="24">
        <v>56891</v>
      </c>
      <c r="AB89" s="24">
        <v>87484</v>
      </c>
      <c r="AC89" s="24">
        <v>194053</v>
      </c>
      <c r="AD89" s="24">
        <v>102261.5</v>
      </c>
      <c r="AE89" s="24">
        <v>106890.5</v>
      </c>
      <c r="AF89" s="24">
        <v>113600.5</v>
      </c>
      <c r="AG89" s="24">
        <v>90922.5</v>
      </c>
      <c r="AH89" s="24">
        <v>73012.5</v>
      </c>
      <c r="AI89" s="24">
        <v>140768.5</v>
      </c>
      <c r="AJ89" s="32">
        <v>33.254158718346993</v>
      </c>
      <c r="AK89" s="32">
        <v>56.104024986267135</v>
      </c>
      <c r="AL89" s="32">
        <v>31.837716164022801</v>
      </c>
      <c r="AM89" s="32">
        <v>44.633138419068054</v>
      </c>
      <c r="AN89" s="32">
        <v>31.226494019240334</v>
      </c>
      <c r="AO89" s="32">
        <v>53.531622887413867</v>
      </c>
      <c r="AP89" s="19">
        <v>1.0452663025674374</v>
      </c>
      <c r="AQ89" s="19">
        <v>0.64271284017235841</v>
      </c>
      <c r="AR89" s="19">
        <v>1.5482251367923232</v>
      </c>
      <c r="AS89" s="19">
        <v>6.3870544649481095E-2</v>
      </c>
      <c r="AT89" s="19">
        <v>-0.63775379993940173</v>
      </c>
      <c r="AU89" s="19">
        <v>0.63061527775934056</v>
      </c>
      <c r="AV89" s="19">
        <v>-0.13381900803661945</v>
      </c>
      <c r="AW89" s="19">
        <v>-0.7055780169225514</v>
      </c>
      <c r="AX89" s="19">
        <v>0.32686436352354764</v>
      </c>
      <c r="AY89" s="19">
        <v>1.0452663025674374</v>
      </c>
      <c r="AZ89" s="19">
        <v>-1.555904810820065</v>
      </c>
      <c r="BA89" s="19">
        <v>1.5482251367923232</v>
      </c>
      <c r="BB89" s="19">
        <v>-1.0971942814574378</v>
      </c>
      <c r="BC89" s="19">
        <v>-1.6307979144233706</v>
      </c>
      <c r="BD89" s="19">
        <v>1.2542842761352775</v>
      </c>
      <c r="BE89" s="14" t="s">
        <v>4857</v>
      </c>
    </row>
    <row r="90" spans="1:57" s="30" customFormat="1" ht="17.100000000000001" customHeight="1">
      <c r="A90" s="14">
        <v>79</v>
      </c>
      <c r="B90" s="14" t="s">
        <v>4443</v>
      </c>
      <c r="C90" s="32">
        <v>-1.1398629924938872</v>
      </c>
      <c r="D90" s="32">
        <v>-1.1607335916193413</v>
      </c>
      <c r="E90" s="32">
        <v>-1.0450015258227872</v>
      </c>
      <c r="F90" s="24">
        <v>68217</v>
      </c>
      <c r="G90" s="52" t="s">
        <v>2</v>
      </c>
      <c r="H90" s="32">
        <v>47.172354472199032</v>
      </c>
      <c r="I90" s="32">
        <v>66.320496567427952</v>
      </c>
      <c r="J90" s="12" t="s">
        <v>4433</v>
      </c>
      <c r="K90" s="12" t="s">
        <v>4469</v>
      </c>
      <c r="L90" s="14" t="s">
        <v>5154</v>
      </c>
      <c r="M90" s="12" t="s">
        <v>4434</v>
      </c>
      <c r="N90" s="15" t="s">
        <v>4435</v>
      </c>
      <c r="O90" s="12" t="s">
        <v>4436</v>
      </c>
      <c r="P90" s="12" t="s">
        <v>4442</v>
      </c>
      <c r="Q90" s="14">
        <v>4</v>
      </c>
      <c r="R90" s="21">
        <v>631.30460000000005</v>
      </c>
      <c r="S90" s="14">
        <v>14</v>
      </c>
      <c r="T90" s="52" t="s">
        <v>2</v>
      </c>
      <c r="U90" s="53">
        <v>23.2099875</v>
      </c>
      <c r="V90" s="24">
        <v>50691</v>
      </c>
      <c r="W90" s="24">
        <v>85743</v>
      </c>
      <c r="X90" s="24">
        <v>49020</v>
      </c>
      <c r="Y90" s="24">
        <v>31369</v>
      </c>
      <c r="Z90" s="24">
        <v>90487</v>
      </c>
      <c r="AA90" s="24">
        <v>32712</v>
      </c>
      <c r="AB90" s="24">
        <v>39821</v>
      </c>
      <c r="AC90" s="24">
        <v>55134</v>
      </c>
      <c r="AD90" s="24">
        <v>54205.75</v>
      </c>
      <c r="AE90" s="24">
        <v>54538.5</v>
      </c>
      <c r="AF90" s="24">
        <v>68217</v>
      </c>
      <c r="AG90" s="24">
        <v>40194.5</v>
      </c>
      <c r="AH90" s="24">
        <v>61599.5</v>
      </c>
      <c r="AI90" s="24">
        <v>47477.5</v>
      </c>
      <c r="AJ90" s="32">
        <v>42.005831283338132</v>
      </c>
      <c r="AK90" s="32">
        <v>47.172354472199032</v>
      </c>
      <c r="AL90" s="32">
        <v>36.333328780437228</v>
      </c>
      <c r="AM90" s="32">
        <v>31.051864794247347</v>
      </c>
      <c r="AN90" s="32">
        <v>66.320496567427952</v>
      </c>
      <c r="AO90" s="32">
        <v>22.80643702871803</v>
      </c>
      <c r="AP90" s="19">
        <v>1.0061386476526937</v>
      </c>
      <c r="AQ90" s="19">
        <v>0.902993388744741</v>
      </c>
      <c r="AR90" s="19">
        <v>1.1811939444451356</v>
      </c>
      <c r="AS90" s="19">
        <v>8.8291247243093667E-3</v>
      </c>
      <c r="AT90" s="19">
        <v>-0.14721266981699005</v>
      </c>
      <c r="AU90" s="19">
        <v>0.24024586542689677</v>
      </c>
      <c r="AV90" s="19">
        <v>-0.1888604279617912</v>
      </c>
      <c r="AW90" s="19">
        <v>-0.21503688680013977</v>
      </c>
      <c r="AX90" s="19">
        <v>-6.3505048808896153E-2</v>
      </c>
      <c r="AY90" s="19">
        <v>1.0061386476526937</v>
      </c>
      <c r="AZ90" s="19">
        <v>-1.1074278200310068</v>
      </c>
      <c r="BA90" s="19">
        <v>1.1811939444451356</v>
      </c>
      <c r="BB90" s="19">
        <v>-1.1398629924938872</v>
      </c>
      <c r="BC90" s="19">
        <v>-1.1607335916193413</v>
      </c>
      <c r="BD90" s="19">
        <v>-1.0450015258227872</v>
      </c>
      <c r="BE90" s="14" t="s">
        <v>4857</v>
      </c>
    </row>
    <row r="91" spans="1:57" s="30" customFormat="1" ht="17.100000000000001" customHeight="1">
      <c r="A91" s="14">
        <v>80</v>
      </c>
      <c r="B91" s="14" t="s">
        <v>4444</v>
      </c>
      <c r="C91" s="32">
        <v>-1.3805307477632267</v>
      </c>
      <c r="D91" s="32">
        <v>-1.1814544740835617</v>
      </c>
      <c r="E91" s="32">
        <v>-1.590804240476992</v>
      </c>
      <c r="F91" s="24">
        <v>44358.5</v>
      </c>
      <c r="G91" s="52" t="s">
        <v>2</v>
      </c>
      <c r="H91" s="32">
        <v>19.937818794151244</v>
      </c>
      <c r="I91" s="32">
        <v>30.542899624698279</v>
      </c>
      <c r="J91" s="12" t="s">
        <v>4433</v>
      </c>
      <c r="K91" s="12" t="s">
        <v>4469</v>
      </c>
      <c r="L91" s="14" t="s">
        <v>4990</v>
      </c>
      <c r="M91" s="12" t="s">
        <v>4434</v>
      </c>
      <c r="N91" s="15" t="s">
        <v>4435</v>
      </c>
      <c r="O91" s="12" t="s">
        <v>4436</v>
      </c>
      <c r="P91" s="12" t="s">
        <v>4445</v>
      </c>
      <c r="Q91" s="14">
        <v>3</v>
      </c>
      <c r="R91" s="21">
        <v>803.37350000000004</v>
      </c>
      <c r="S91" s="14">
        <v>8</v>
      </c>
      <c r="T91" s="52" t="s">
        <v>2</v>
      </c>
      <c r="U91" s="53">
        <v>31.927037500000001</v>
      </c>
      <c r="V91" s="24">
        <v>49318</v>
      </c>
      <c r="W91" s="24">
        <v>36872</v>
      </c>
      <c r="X91" s="24">
        <v>35728</v>
      </c>
      <c r="Y91" s="24">
        <v>52989</v>
      </c>
      <c r="Z91" s="24">
        <v>46489</v>
      </c>
      <c r="AA91" s="24">
        <v>29975</v>
      </c>
      <c r="AB91" s="24">
        <v>33467</v>
      </c>
      <c r="AC91" s="24">
        <v>35371</v>
      </c>
      <c r="AD91" s="24">
        <v>43726.75</v>
      </c>
      <c r="AE91" s="24">
        <v>36325.5</v>
      </c>
      <c r="AF91" s="24">
        <v>43095</v>
      </c>
      <c r="AG91" s="24">
        <v>44358.5</v>
      </c>
      <c r="AH91" s="24">
        <v>38232</v>
      </c>
      <c r="AI91" s="24">
        <v>34419</v>
      </c>
      <c r="AJ91" s="32">
        <v>19.937818794151244</v>
      </c>
      <c r="AK91" s="32">
        <v>19.64075617807973</v>
      </c>
      <c r="AL91" s="32">
        <v>20.421512933397771</v>
      </c>
      <c r="AM91" s="32">
        <v>27.515290530700987</v>
      </c>
      <c r="AN91" s="32">
        <v>30.542899624698279</v>
      </c>
      <c r="AO91" s="32">
        <v>3.9115933390836064</v>
      </c>
      <c r="AP91" s="19">
        <v>0.83073862109578234</v>
      </c>
      <c r="AQ91" s="19">
        <v>0.88715628263139579</v>
      </c>
      <c r="AR91" s="19">
        <v>0.77592795067461706</v>
      </c>
      <c r="AS91" s="19">
        <v>-0.26753346791030802</v>
      </c>
      <c r="AT91" s="19">
        <v>-0.17273982089457621</v>
      </c>
      <c r="AU91" s="19">
        <v>-0.3660053986994849</v>
      </c>
      <c r="AV91" s="19">
        <v>-0.46522302059640858</v>
      </c>
      <c r="AW91" s="19">
        <v>-0.2405640378777259</v>
      </c>
      <c r="AX91" s="19">
        <v>-0.66975631293527782</v>
      </c>
      <c r="AY91" s="19">
        <v>-1.2037480557734925</v>
      </c>
      <c r="AZ91" s="19">
        <v>-1.1271971123666038</v>
      </c>
      <c r="BA91" s="19">
        <v>-1.2887794532089833</v>
      </c>
      <c r="BB91" s="19">
        <v>-1.3805307477632267</v>
      </c>
      <c r="BC91" s="19">
        <v>-1.1814544740835617</v>
      </c>
      <c r="BD91" s="19">
        <v>-1.590804240476992</v>
      </c>
      <c r="BE91" s="14" t="s">
        <v>4857</v>
      </c>
    </row>
    <row r="92" spans="1:57" s="30" customFormat="1" ht="17.100000000000001" customHeight="1">
      <c r="A92" s="14">
        <v>81</v>
      </c>
      <c r="B92" s="14" t="s">
        <v>4446</v>
      </c>
      <c r="C92" s="32">
        <v>-1.6973792156098604</v>
      </c>
      <c r="D92" s="32">
        <v>-1.9362190260709335</v>
      </c>
      <c r="E92" s="32">
        <v>-1.4751942152048383</v>
      </c>
      <c r="F92" s="24">
        <v>60270</v>
      </c>
      <c r="G92" s="52" t="s">
        <v>2</v>
      </c>
      <c r="H92" s="32">
        <v>20.656064040507268</v>
      </c>
      <c r="I92" s="32">
        <v>26.791434776731155</v>
      </c>
      <c r="J92" s="12" t="s">
        <v>4433</v>
      </c>
      <c r="K92" s="12" t="s">
        <v>4469</v>
      </c>
      <c r="L92" s="14" t="s">
        <v>4957</v>
      </c>
      <c r="M92" s="12" t="s">
        <v>4434</v>
      </c>
      <c r="N92" s="15" t="s">
        <v>4435</v>
      </c>
      <c r="O92" s="12" t="s">
        <v>4436</v>
      </c>
      <c r="P92" s="12" t="s">
        <v>4447</v>
      </c>
      <c r="Q92" s="14">
        <v>3</v>
      </c>
      <c r="R92" s="21">
        <v>860.07529999999997</v>
      </c>
      <c r="S92" s="14">
        <v>9</v>
      </c>
      <c r="T92" s="52" t="s">
        <v>2</v>
      </c>
      <c r="U92" s="53">
        <v>34.562237499999995</v>
      </c>
      <c r="V92" s="24">
        <v>63665</v>
      </c>
      <c r="W92" s="24">
        <v>56875</v>
      </c>
      <c r="X92" s="24">
        <v>40743</v>
      </c>
      <c r="Y92" s="24">
        <v>59788</v>
      </c>
      <c r="Z92" s="24">
        <v>36884</v>
      </c>
      <c r="AA92" s="24">
        <v>28368</v>
      </c>
      <c r="AB92" s="24">
        <v>36899</v>
      </c>
      <c r="AC92" s="24">
        <v>47219</v>
      </c>
      <c r="AD92" s="24">
        <v>55267.75</v>
      </c>
      <c r="AE92" s="24">
        <v>37342.5</v>
      </c>
      <c r="AF92" s="24">
        <v>60270</v>
      </c>
      <c r="AG92" s="24">
        <v>50265.5</v>
      </c>
      <c r="AH92" s="24">
        <v>32626</v>
      </c>
      <c r="AI92" s="24">
        <v>42059</v>
      </c>
      <c r="AJ92" s="32">
        <v>18.228875108144862</v>
      </c>
      <c r="AK92" s="32">
        <v>20.656064040507268</v>
      </c>
      <c r="AL92" s="32">
        <v>7.96624364402963</v>
      </c>
      <c r="AM92" s="32">
        <v>26.791434776731155</v>
      </c>
      <c r="AN92" s="32">
        <v>18.456817717724018</v>
      </c>
      <c r="AO92" s="32">
        <v>17.350250794943221</v>
      </c>
      <c r="AP92" s="19">
        <v>0.67566528400378156</v>
      </c>
      <c r="AQ92" s="19">
        <v>0.54133067861290862</v>
      </c>
      <c r="AR92" s="19">
        <v>0.83673692691806512</v>
      </c>
      <c r="AS92" s="19">
        <v>-0.56561936420484238</v>
      </c>
      <c r="AT92" s="19">
        <v>-0.88541794324988266</v>
      </c>
      <c r="AU92" s="19">
        <v>-0.25715398930159594</v>
      </c>
      <c r="AV92" s="19">
        <v>-0.76330891689094293</v>
      </c>
      <c r="AW92" s="19">
        <v>-0.95324216023303232</v>
      </c>
      <c r="AX92" s="19">
        <v>-0.56090490353738887</v>
      </c>
      <c r="AY92" s="19">
        <v>-1.4800227622681932</v>
      </c>
      <c r="AZ92" s="19">
        <v>-1.8472996996260649</v>
      </c>
      <c r="BA92" s="19">
        <v>-1.1951187617394612</v>
      </c>
      <c r="BB92" s="19">
        <v>-1.6973792156098604</v>
      </c>
      <c r="BC92" s="19">
        <v>-1.9362190260709335</v>
      </c>
      <c r="BD92" s="19">
        <v>-1.4751942152048383</v>
      </c>
      <c r="BE92" s="14" t="s">
        <v>4857</v>
      </c>
    </row>
    <row r="93" spans="1:57" s="30" customFormat="1" ht="17.100000000000001" customHeight="1">
      <c r="A93" s="14">
        <v>82</v>
      </c>
      <c r="B93" s="14" t="s">
        <v>4449</v>
      </c>
      <c r="C93" s="32">
        <v>1.2024959100316532</v>
      </c>
      <c r="D93" s="32">
        <v>1.3007011091173935</v>
      </c>
      <c r="E93" s="32">
        <v>1.1274434006382406</v>
      </c>
      <c r="F93" s="24">
        <v>418390.5</v>
      </c>
      <c r="G93" s="52" t="s">
        <v>2</v>
      </c>
      <c r="H93" s="32">
        <v>24.432685152560307</v>
      </c>
      <c r="I93" s="32">
        <v>35.128410578895767</v>
      </c>
      <c r="J93" s="12" t="s">
        <v>4450</v>
      </c>
      <c r="K93" s="12" t="s">
        <v>4451</v>
      </c>
      <c r="L93" s="14" t="s">
        <v>5303</v>
      </c>
      <c r="M93" s="12" t="s">
        <v>4452</v>
      </c>
      <c r="N93" s="15" t="s">
        <v>4453</v>
      </c>
      <c r="O93" s="12" t="s">
        <v>4454</v>
      </c>
      <c r="P93" s="12" t="s">
        <v>4455</v>
      </c>
      <c r="Q93" s="14">
        <v>3</v>
      </c>
      <c r="R93" s="21">
        <v>637.01080000000002</v>
      </c>
      <c r="S93" s="14">
        <v>2</v>
      </c>
      <c r="T93" s="52" t="s">
        <v>2</v>
      </c>
      <c r="U93" s="53">
        <v>56.302249999999994</v>
      </c>
      <c r="V93" s="24">
        <v>179865</v>
      </c>
      <c r="W93" s="24">
        <v>298751</v>
      </c>
      <c r="X93" s="24">
        <v>284796</v>
      </c>
      <c r="Y93" s="24">
        <v>316487</v>
      </c>
      <c r="Z93" s="24">
        <v>269280</v>
      </c>
      <c r="AA93" s="24">
        <v>383222</v>
      </c>
      <c r="AB93" s="24">
        <v>348232</v>
      </c>
      <c r="AC93" s="24">
        <v>488549</v>
      </c>
      <c r="AD93" s="24">
        <v>269974.75</v>
      </c>
      <c r="AE93" s="24">
        <v>372320.75</v>
      </c>
      <c r="AF93" s="24">
        <v>239308</v>
      </c>
      <c r="AG93" s="24">
        <v>300641.5</v>
      </c>
      <c r="AH93" s="24">
        <v>326251</v>
      </c>
      <c r="AI93" s="24">
        <v>418390.5</v>
      </c>
      <c r="AJ93" s="32">
        <v>22.763990664061421</v>
      </c>
      <c r="AK93" s="32">
        <v>24.432685152560307</v>
      </c>
      <c r="AL93" s="32">
        <v>35.128410578895767</v>
      </c>
      <c r="AM93" s="32">
        <v>7.4537018351035629</v>
      </c>
      <c r="AN93" s="32">
        <v>24.695452538676541</v>
      </c>
      <c r="AO93" s="32">
        <v>23.714473014027039</v>
      </c>
      <c r="AP93" s="19">
        <v>1.3790947116350696</v>
      </c>
      <c r="AQ93" s="19">
        <v>1.3633100439600849</v>
      </c>
      <c r="AR93" s="19">
        <v>1.3916591688106932</v>
      </c>
      <c r="AS93" s="19">
        <v>0.46372153974829039</v>
      </c>
      <c r="AT93" s="19">
        <v>0.44711369715226518</v>
      </c>
      <c r="AU93" s="19">
        <v>0.47680592406402234</v>
      </c>
      <c r="AV93" s="19">
        <v>0.26603198706218983</v>
      </c>
      <c r="AW93" s="19">
        <v>0.37928948016911546</v>
      </c>
      <c r="AX93" s="19">
        <v>0.17305500982822941</v>
      </c>
      <c r="AY93" s="19">
        <v>1.3790947116350696</v>
      </c>
      <c r="AZ93" s="19">
        <v>1.3633100439600849</v>
      </c>
      <c r="BA93" s="19">
        <v>1.3916591688106932</v>
      </c>
      <c r="BB93" s="19">
        <v>1.2024959100316532</v>
      </c>
      <c r="BC93" s="19">
        <v>1.3007011091173935</v>
      </c>
      <c r="BD93" s="19">
        <v>1.1274434006382406</v>
      </c>
      <c r="BE93" s="14" t="s">
        <v>4857</v>
      </c>
    </row>
    <row r="94" spans="1:57" s="30" customFormat="1" ht="17.100000000000001" customHeight="1">
      <c r="A94" s="14">
        <v>83</v>
      </c>
      <c r="B94" s="14" t="s">
        <v>4456</v>
      </c>
      <c r="C94" s="32">
        <v>-1.2024612770072993</v>
      </c>
      <c r="D94" s="32">
        <v>1.0738797663365129</v>
      </c>
      <c r="E94" s="32">
        <v>-1.5361633687942182</v>
      </c>
      <c r="F94" s="42">
        <v>21877003</v>
      </c>
      <c r="G94" s="52" t="s">
        <v>4894</v>
      </c>
      <c r="H94" s="32">
        <v>19.941136809041389</v>
      </c>
      <c r="I94" s="32">
        <v>29.802721313925428</v>
      </c>
      <c r="J94" s="12" t="s">
        <v>4457</v>
      </c>
      <c r="K94" s="12" t="s">
        <v>4458</v>
      </c>
      <c r="L94" s="14" t="s">
        <v>4459</v>
      </c>
      <c r="M94" s="12" t="s">
        <v>4357</v>
      </c>
      <c r="N94" s="15" t="s">
        <v>4358</v>
      </c>
      <c r="O94" s="12" t="s">
        <v>4359</v>
      </c>
      <c r="P94" s="12" t="s">
        <v>4361</v>
      </c>
      <c r="Q94" s="14">
        <v>4</v>
      </c>
      <c r="R94" s="21">
        <v>726.38220000000001</v>
      </c>
      <c r="S94" s="14">
        <v>1</v>
      </c>
      <c r="T94" s="52" t="s">
        <v>4894</v>
      </c>
      <c r="U94" s="53">
        <v>104</v>
      </c>
      <c r="V94" s="42">
        <v>20258096</v>
      </c>
      <c r="W94" s="42">
        <v>18001017</v>
      </c>
      <c r="X94" s="42">
        <v>22459523</v>
      </c>
      <c r="Y94" s="42">
        <v>21294483</v>
      </c>
      <c r="Z94" s="42">
        <v>22660179</v>
      </c>
      <c r="AA94" s="42">
        <v>20403158</v>
      </c>
      <c r="AB94" s="42">
        <v>21283272</v>
      </c>
      <c r="AC94" s="42">
        <v>13874274</v>
      </c>
      <c r="AD94" s="42">
        <v>20503279.75</v>
      </c>
      <c r="AE94" s="42">
        <v>19555220.75</v>
      </c>
      <c r="AF94" s="42">
        <v>19129556.5</v>
      </c>
      <c r="AG94" s="42">
        <v>21877003</v>
      </c>
      <c r="AH94" s="42">
        <v>21531668.5</v>
      </c>
      <c r="AI94" s="42">
        <v>17578773</v>
      </c>
      <c r="AJ94" s="32">
        <v>9.2429595947507917</v>
      </c>
      <c r="AK94" s="32">
        <v>19.941136809041389</v>
      </c>
      <c r="AL94" s="32">
        <v>8.3430886992793134</v>
      </c>
      <c r="AM94" s="32">
        <v>3.7656331827242302</v>
      </c>
      <c r="AN94" s="32">
        <v>7.4121281143653253</v>
      </c>
      <c r="AO94" s="32">
        <v>29.802721313925428</v>
      </c>
      <c r="AP94" s="19">
        <v>0.95376061724954031</v>
      </c>
      <c r="AQ94" s="19">
        <v>1.1255707104344004</v>
      </c>
      <c r="AR94" s="19">
        <v>0.80352747586129603</v>
      </c>
      <c r="AS94" s="19">
        <v>-6.8300882790257103E-2</v>
      </c>
      <c r="AT94" s="19">
        <v>0.17065669241058495</v>
      </c>
      <c r="AU94" s="19">
        <v>-0.31558073855250141</v>
      </c>
      <c r="AV94" s="19">
        <v>-0.26599043547635765</v>
      </c>
      <c r="AW94" s="19">
        <v>0.10283247542743525</v>
      </c>
      <c r="AX94" s="19">
        <v>-0.61933165278829438</v>
      </c>
      <c r="AY94" s="19">
        <v>-1.0484811198053083</v>
      </c>
      <c r="AZ94" s="19">
        <v>1.1255707104344004</v>
      </c>
      <c r="BA94" s="19">
        <v>-1.2445125151795293</v>
      </c>
      <c r="BB94" s="19">
        <v>-1.2024612770072993</v>
      </c>
      <c r="BC94" s="19">
        <v>1.0738797663365129</v>
      </c>
      <c r="BD94" s="19">
        <v>-1.5361633687942182</v>
      </c>
      <c r="BE94" s="14" t="s">
        <v>4857</v>
      </c>
    </row>
    <row r="95" spans="1:57" s="30" customFormat="1" ht="17.100000000000001" customHeight="1">
      <c r="A95" s="14">
        <v>84</v>
      </c>
      <c r="B95" s="14" t="s">
        <v>4362</v>
      </c>
      <c r="C95" s="32">
        <v>1.0373775093665749</v>
      </c>
      <c r="D95" s="32">
        <v>-1.1263677458287646</v>
      </c>
      <c r="E95" s="32">
        <v>1.2431647091503493</v>
      </c>
      <c r="F95" s="24">
        <v>62448</v>
      </c>
      <c r="G95" s="52" t="s">
        <v>2</v>
      </c>
      <c r="H95" s="32">
        <v>21.68480524904939</v>
      </c>
      <c r="I95" s="32">
        <v>21.753996092998896</v>
      </c>
      <c r="J95" s="12" t="s">
        <v>4363</v>
      </c>
      <c r="K95" s="15" t="s">
        <v>4364</v>
      </c>
      <c r="L95" s="14" t="s">
        <v>4562</v>
      </c>
      <c r="M95" s="12" t="s">
        <v>4365</v>
      </c>
      <c r="N95" s="15" t="s">
        <v>4366</v>
      </c>
      <c r="O95" s="12" t="s">
        <v>4367</v>
      </c>
      <c r="P95" s="12" t="s">
        <v>4368</v>
      </c>
      <c r="Q95" s="14">
        <v>2</v>
      </c>
      <c r="R95" s="21">
        <v>827.38049999999998</v>
      </c>
      <c r="S95" s="14">
        <v>8</v>
      </c>
      <c r="T95" s="52" t="s">
        <v>2</v>
      </c>
      <c r="U95" s="53">
        <v>38.550600000000003</v>
      </c>
      <c r="V95" s="24">
        <v>53273</v>
      </c>
      <c r="W95" s="24">
        <v>54997</v>
      </c>
      <c r="X95" s="24">
        <v>38184</v>
      </c>
      <c r="Y95" s="24">
        <v>43208</v>
      </c>
      <c r="Z95" s="24">
        <v>42674</v>
      </c>
      <c r="AA95" s="24">
        <v>58076</v>
      </c>
      <c r="AB95" s="24">
        <v>72054</v>
      </c>
      <c r="AC95" s="24">
        <v>52842</v>
      </c>
      <c r="AD95" s="24">
        <v>47415.5</v>
      </c>
      <c r="AE95" s="24">
        <v>56411.5</v>
      </c>
      <c r="AF95" s="24">
        <v>54135</v>
      </c>
      <c r="AG95" s="24">
        <v>40696</v>
      </c>
      <c r="AH95" s="24">
        <v>50375</v>
      </c>
      <c r="AI95" s="24">
        <v>62448</v>
      </c>
      <c r="AJ95" s="32">
        <v>16.990909250252471</v>
      </c>
      <c r="AK95" s="32">
        <v>21.68480524904939</v>
      </c>
      <c r="AL95" s="32">
        <v>2.251874186322357</v>
      </c>
      <c r="AM95" s="32">
        <v>8.7293701314163918</v>
      </c>
      <c r="AN95" s="32">
        <v>21.619570508854004</v>
      </c>
      <c r="AO95" s="32">
        <v>21.753996092998896</v>
      </c>
      <c r="AP95" s="19">
        <v>1.1897269880102499</v>
      </c>
      <c r="AQ95" s="19">
        <v>0.93054401034450906</v>
      </c>
      <c r="AR95" s="19">
        <v>1.5344997051307254</v>
      </c>
      <c r="AS95" s="19">
        <v>0.25063054980870914</v>
      </c>
      <c r="AT95" s="19">
        <v>-0.10385371031569683</v>
      </c>
      <c r="AU95" s="19">
        <v>0.61776836857632278</v>
      </c>
      <c r="AV95" s="19">
        <v>5.294099712260858E-2</v>
      </c>
      <c r="AW95" s="19">
        <v>-0.17167792729884654</v>
      </c>
      <c r="AX95" s="19">
        <v>0.31401745434052986</v>
      </c>
      <c r="AY95" s="19">
        <v>1.1897269880102499</v>
      </c>
      <c r="AZ95" s="19">
        <v>-1.0746401985111662</v>
      </c>
      <c r="BA95" s="19">
        <v>1.5344997051307254</v>
      </c>
      <c r="BB95" s="19">
        <v>1.0373775093665749</v>
      </c>
      <c r="BC95" s="19">
        <v>-1.1263677458287646</v>
      </c>
      <c r="BD95" s="19">
        <v>1.2431647091503493</v>
      </c>
      <c r="BE95" s="14" t="s">
        <v>4857</v>
      </c>
    </row>
    <row r="96" spans="1:57" s="30" customFormat="1" ht="17.100000000000001" customHeight="1">
      <c r="A96" s="14">
        <v>85</v>
      </c>
      <c r="B96" s="14" t="s">
        <v>4387</v>
      </c>
      <c r="C96" s="32">
        <v>1.0024743767899376</v>
      </c>
      <c r="D96" s="32">
        <v>1.1308317096583382</v>
      </c>
      <c r="E96" s="32">
        <v>-1.0957315950048656</v>
      </c>
      <c r="F96" s="24">
        <v>1418740</v>
      </c>
      <c r="G96" s="52" t="s">
        <v>2</v>
      </c>
      <c r="H96" s="32">
        <v>28.490830916825111</v>
      </c>
      <c r="I96" s="32">
        <v>32.274236089675902</v>
      </c>
      <c r="J96" s="12" t="s">
        <v>4378</v>
      </c>
      <c r="K96" s="15" t="s">
        <v>4379</v>
      </c>
      <c r="L96" s="14" t="s">
        <v>5199</v>
      </c>
      <c r="M96" s="12" t="s">
        <v>4372</v>
      </c>
      <c r="N96" s="15" t="s">
        <v>4380</v>
      </c>
      <c r="O96" s="12" t="s">
        <v>4374</v>
      </c>
      <c r="P96" s="12" t="s">
        <v>4385</v>
      </c>
      <c r="Q96" s="14">
        <v>3</v>
      </c>
      <c r="R96" s="21">
        <v>543.91600000000005</v>
      </c>
      <c r="S96" s="14">
        <v>65</v>
      </c>
      <c r="T96" s="52" t="s">
        <v>2</v>
      </c>
      <c r="U96" s="53">
        <v>47.057412499999998</v>
      </c>
      <c r="V96" s="24">
        <v>633792</v>
      </c>
      <c r="W96" s="24">
        <v>1008610</v>
      </c>
      <c r="X96" s="24">
        <v>1284610</v>
      </c>
      <c r="Y96" s="24">
        <v>1234220</v>
      </c>
      <c r="Z96" s="24">
        <v>1015150</v>
      </c>
      <c r="AA96" s="24">
        <v>931530</v>
      </c>
      <c r="AB96" s="24">
        <v>1336750</v>
      </c>
      <c r="AC96" s="24">
        <v>1500730</v>
      </c>
      <c r="AD96" s="24">
        <v>1040308</v>
      </c>
      <c r="AE96" s="24">
        <v>1196040</v>
      </c>
      <c r="AF96" s="24">
        <v>821201</v>
      </c>
      <c r="AG96" s="24">
        <v>1259415</v>
      </c>
      <c r="AH96" s="24">
        <v>973340</v>
      </c>
      <c r="AI96" s="24">
        <v>1418740</v>
      </c>
      <c r="AJ96" s="32">
        <v>28.490830916825111</v>
      </c>
      <c r="AK96" s="32">
        <v>22.399478306225198</v>
      </c>
      <c r="AL96" s="32">
        <v>32.274236089675902</v>
      </c>
      <c r="AM96" s="32">
        <v>2.8291794765021963</v>
      </c>
      <c r="AN96" s="32">
        <v>6.0747805538474839</v>
      </c>
      <c r="AO96" s="32">
        <v>8.1728413929944921</v>
      </c>
      <c r="AP96" s="19">
        <v>1.1496979740615278</v>
      </c>
      <c r="AQ96" s="19">
        <v>1.1852640218411814</v>
      </c>
      <c r="AR96" s="19">
        <v>1.1265071481600584</v>
      </c>
      <c r="AS96" s="19">
        <v>0.20125491460268957</v>
      </c>
      <c r="AT96" s="19">
        <v>0.24520846045184572</v>
      </c>
      <c r="AU96" s="19">
        <v>0.17185646810716132</v>
      </c>
      <c r="AV96" s="19">
        <v>3.565361916589016E-3</v>
      </c>
      <c r="AW96" s="19">
        <v>0.17738424346869602</v>
      </c>
      <c r="AX96" s="19">
        <v>-0.1318944461286316</v>
      </c>
      <c r="AY96" s="19">
        <v>1.1496979740615278</v>
      </c>
      <c r="AZ96" s="19">
        <v>1.1852640218411814</v>
      </c>
      <c r="BA96" s="19">
        <v>1.1265071481600584</v>
      </c>
      <c r="BB96" s="19">
        <v>1.0024743767899376</v>
      </c>
      <c r="BC96" s="19">
        <v>1.1308317096583382</v>
      </c>
      <c r="BD96" s="19">
        <v>-1.0957315950048656</v>
      </c>
      <c r="BE96" s="14" t="s">
        <v>4857</v>
      </c>
    </row>
    <row r="97" spans="1:57" s="30" customFormat="1" ht="17.100000000000001" customHeight="1">
      <c r="A97" s="14">
        <v>86</v>
      </c>
      <c r="B97" s="14" t="s">
        <v>4400</v>
      </c>
      <c r="C97" s="32">
        <v>-1.0348596333410038</v>
      </c>
      <c r="D97" s="32">
        <v>1.0975234666547211</v>
      </c>
      <c r="E97" s="32">
        <v>-1.1444604390548374</v>
      </c>
      <c r="F97" s="24">
        <v>1055525</v>
      </c>
      <c r="G97" s="52" t="s">
        <v>2</v>
      </c>
      <c r="H97" s="32">
        <v>21.705876856396628</v>
      </c>
      <c r="I97" s="32">
        <v>12.137218286466608</v>
      </c>
      <c r="J97" s="12" t="s">
        <v>4393</v>
      </c>
      <c r="K97" s="15" t="s">
        <v>4394</v>
      </c>
      <c r="L97" s="14" t="s">
        <v>5167</v>
      </c>
      <c r="M97" s="12" t="s">
        <v>4372</v>
      </c>
      <c r="N97" s="15" t="s">
        <v>4395</v>
      </c>
      <c r="O97" s="12" t="s">
        <v>4374</v>
      </c>
      <c r="P97" s="12" t="s">
        <v>4399</v>
      </c>
      <c r="Q97" s="14">
        <v>3</v>
      </c>
      <c r="R97" s="21">
        <v>480.23939999999999</v>
      </c>
      <c r="S97" s="14">
        <v>12</v>
      </c>
      <c r="T97" s="52" t="s">
        <v>2</v>
      </c>
      <c r="U97" s="53">
        <v>50.631699999999995</v>
      </c>
      <c r="V97" s="24">
        <v>708601</v>
      </c>
      <c r="W97" s="24">
        <v>670711</v>
      </c>
      <c r="X97" s="24">
        <v>894667</v>
      </c>
      <c r="Y97" s="24">
        <v>1062650</v>
      </c>
      <c r="Z97" s="24">
        <v>754533</v>
      </c>
      <c r="AA97" s="24">
        <v>832162</v>
      </c>
      <c r="AB97" s="24">
        <v>1101680</v>
      </c>
      <c r="AC97" s="24">
        <v>1009370</v>
      </c>
      <c r="AD97" s="24">
        <v>834157.25</v>
      </c>
      <c r="AE97" s="24">
        <v>924436.25</v>
      </c>
      <c r="AF97" s="24">
        <v>689656</v>
      </c>
      <c r="AG97" s="24">
        <v>978658.5</v>
      </c>
      <c r="AH97" s="24">
        <v>793347.5</v>
      </c>
      <c r="AI97" s="24">
        <v>1055525</v>
      </c>
      <c r="AJ97" s="32">
        <v>21.705876856396628</v>
      </c>
      <c r="AK97" s="32">
        <v>17.218681263902489</v>
      </c>
      <c r="AL97" s="32">
        <v>3.8848753493275323</v>
      </c>
      <c r="AM97" s="32">
        <v>12.137218286466608</v>
      </c>
      <c r="AN97" s="32">
        <v>6.9190351411872477</v>
      </c>
      <c r="AO97" s="32">
        <v>6.1839394586892968</v>
      </c>
      <c r="AP97" s="19">
        <v>1.1082277951789066</v>
      </c>
      <c r="AQ97" s="19">
        <v>1.1503524945770065</v>
      </c>
      <c r="AR97" s="19">
        <v>1.0785427194470798</v>
      </c>
      <c r="AS97" s="19">
        <v>0.14825445647457122</v>
      </c>
      <c r="AT97" s="19">
        <v>0.20207600400068776</v>
      </c>
      <c r="AU97" s="19">
        <v>0.10908332060024675</v>
      </c>
      <c r="AV97" s="19">
        <v>-4.9435096211529334E-2</v>
      </c>
      <c r="AW97" s="19">
        <v>0.13425178701753804</v>
      </c>
      <c r="AX97" s="19">
        <v>-0.19466759363554617</v>
      </c>
      <c r="AY97" s="19">
        <v>1.1082277951789066</v>
      </c>
      <c r="AZ97" s="19">
        <v>1.1503524945770065</v>
      </c>
      <c r="BA97" s="19">
        <v>1.0785427194470798</v>
      </c>
      <c r="BB97" s="19">
        <v>-1.0348596333410038</v>
      </c>
      <c r="BC97" s="19">
        <v>1.0975234666547211</v>
      </c>
      <c r="BD97" s="19">
        <v>-1.1444604390548374</v>
      </c>
      <c r="BE97" s="14" t="s">
        <v>4857</v>
      </c>
    </row>
    <row r="98" spans="1:57" s="30" customFormat="1" ht="17.100000000000001" customHeight="1">
      <c r="A98" s="14">
        <v>87</v>
      </c>
      <c r="B98" s="14" t="s">
        <v>4299</v>
      </c>
      <c r="C98" s="32">
        <v>-1.0007828620110641</v>
      </c>
      <c r="D98" s="32">
        <v>1.1174016943141378</v>
      </c>
      <c r="E98" s="32">
        <v>-1.0978722768322331</v>
      </c>
      <c r="F98" s="24">
        <v>160239</v>
      </c>
      <c r="G98" s="52" t="s">
        <v>2</v>
      </c>
      <c r="H98" s="32">
        <v>21.944048947691265</v>
      </c>
      <c r="I98" s="32">
        <v>32.116049564114732</v>
      </c>
      <c r="J98" s="12" t="s">
        <v>4370</v>
      </c>
      <c r="K98" s="15" t="s">
        <v>4371</v>
      </c>
      <c r="L98" s="14" t="s">
        <v>5198</v>
      </c>
      <c r="M98" s="12" t="s">
        <v>4372</v>
      </c>
      <c r="N98" s="15" t="s">
        <v>4373</v>
      </c>
      <c r="O98" s="12" t="s">
        <v>4374</v>
      </c>
      <c r="P98" s="12" t="s">
        <v>4300</v>
      </c>
      <c r="Q98" s="14">
        <v>3</v>
      </c>
      <c r="R98" s="21">
        <v>532.2731</v>
      </c>
      <c r="S98" s="14">
        <v>1</v>
      </c>
      <c r="T98" s="52" t="s">
        <v>2</v>
      </c>
      <c r="U98" s="53">
        <v>43.12</v>
      </c>
      <c r="V98" s="24">
        <v>118395</v>
      </c>
      <c r="W98" s="24">
        <v>126284</v>
      </c>
      <c r="X98" s="24">
        <v>174888</v>
      </c>
      <c r="Y98" s="24">
        <v>110156</v>
      </c>
      <c r="Z98" s="24">
        <v>171276</v>
      </c>
      <c r="AA98" s="24">
        <v>115289</v>
      </c>
      <c r="AB98" s="24">
        <v>177006</v>
      </c>
      <c r="AC98" s="24">
        <v>143472</v>
      </c>
      <c r="AD98" s="24">
        <v>132430.75</v>
      </c>
      <c r="AE98" s="24">
        <v>151760.75</v>
      </c>
      <c r="AF98" s="24">
        <v>122339.5</v>
      </c>
      <c r="AG98" s="24">
        <v>142522</v>
      </c>
      <c r="AH98" s="24">
        <v>143282.5</v>
      </c>
      <c r="AI98" s="24">
        <v>160239</v>
      </c>
      <c r="AJ98" s="32">
        <v>21.944048947691265</v>
      </c>
      <c r="AK98" s="32">
        <v>18.703530151492252</v>
      </c>
      <c r="AL98" s="32">
        <v>4.5597418632417765</v>
      </c>
      <c r="AM98" s="32">
        <v>32.116049564114732</v>
      </c>
      <c r="AN98" s="32">
        <v>27.629883173654306</v>
      </c>
      <c r="AO98" s="32">
        <v>14.79796978283045</v>
      </c>
      <c r="AP98" s="19">
        <v>1.1459630788166646</v>
      </c>
      <c r="AQ98" s="19">
        <v>1.1711875559406406</v>
      </c>
      <c r="AR98" s="19">
        <v>1.1243106327444183</v>
      </c>
      <c r="AS98" s="19">
        <v>0.19656056340880795</v>
      </c>
      <c r="AT98" s="19">
        <v>0.22797212994522945</v>
      </c>
      <c r="AU98" s="19">
        <v>0.16904068894439422</v>
      </c>
      <c r="AV98" s="19">
        <v>-1.1289892772926025E-3</v>
      </c>
      <c r="AW98" s="19">
        <v>0.16014791296207975</v>
      </c>
      <c r="AX98" s="19">
        <v>-0.1347102252913987</v>
      </c>
      <c r="AY98" s="19">
        <v>1.1459630788166646</v>
      </c>
      <c r="AZ98" s="19">
        <v>1.1711875559406406</v>
      </c>
      <c r="BA98" s="19">
        <v>1.1243106327444183</v>
      </c>
      <c r="BB98" s="19">
        <v>-1.0007828620110641</v>
      </c>
      <c r="BC98" s="19">
        <v>1.1174016943141378</v>
      </c>
      <c r="BD98" s="19">
        <v>-1.0978722768322331</v>
      </c>
      <c r="BE98" s="14" t="s">
        <v>4857</v>
      </c>
    </row>
    <row r="99" spans="1:57" s="30" customFormat="1" ht="17.100000000000001" customHeight="1">
      <c r="A99" s="14">
        <v>88</v>
      </c>
      <c r="B99" s="14" t="s">
        <v>4301</v>
      </c>
      <c r="C99" s="32">
        <v>-1.1117062329845753</v>
      </c>
      <c r="D99" s="32">
        <v>1.0876076765371943</v>
      </c>
      <c r="E99" s="32">
        <v>-1.2748954470971448</v>
      </c>
      <c r="F99" s="24">
        <v>875740.5</v>
      </c>
      <c r="G99" s="52" t="s">
        <v>2</v>
      </c>
      <c r="H99" s="32">
        <v>47.678484457356433</v>
      </c>
      <c r="I99" s="32">
        <v>49.53143959246998</v>
      </c>
      <c r="J99" s="12" t="s">
        <v>4370</v>
      </c>
      <c r="K99" s="15" t="s">
        <v>4371</v>
      </c>
      <c r="L99" s="14" t="s">
        <v>4302</v>
      </c>
      <c r="M99" s="12" t="s">
        <v>4372</v>
      </c>
      <c r="N99" s="15" t="s">
        <v>4373</v>
      </c>
      <c r="O99" s="12" t="s">
        <v>4374</v>
      </c>
      <c r="P99" s="12" t="s">
        <v>4303</v>
      </c>
      <c r="Q99" s="14">
        <v>3</v>
      </c>
      <c r="R99" s="21">
        <v>819.74339999999995</v>
      </c>
      <c r="S99" s="14">
        <v>14</v>
      </c>
      <c r="T99" s="52" t="s">
        <v>2</v>
      </c>
      <c r="U99" s="53">
        <v>69.754675000000006</v>
      </c>
      <c r="V99" s="24">
        <v>578677</v>
      </c>
      <c r="W99" s="24">
        <v>446706</v>
      </c>
      <c r="X99" s="24">
        <v>1182460</v>
      </c>
      <c r="Y99" s="24">
        <v>569021</v>
      </c>
      <c r="Z99" s="24">
        <v>732709</v>
      </c>
      <c r="AA99" s="24">
        <v>436186</v>
      </c>
      <c r="AB99" s="24">
        <v>681508</v>
      </c>
      <c r="AC99" s="24">
        <v>1014270</v>
      </c>
      <c r="AD99" s="24">
        <v>694216</v>
      </c>
      <c r="AE99" s="24">
        <v>716168.25</v>
      </c>
      <c r="AF99" s="24">
        <v>512691.5</v>
      </c>
      <c r="AG99" s="24">
        <v>875740.5</v>
      </c>
      <c r="AH99" s="24">
        <v>584447.5</v>
      </c>
      <c r="AI99" s="24">
        <v>847889</v>
      </c>
      <c r="AJ99" s="32">
        <v>47.678484457356433</v>
      </c>
      <c r="AK99" s="32">
        <v>33.114637328018169</v>
      </c>
      <c r="AL99" s="32">
        <v>18.201508903496521</v>
      </c>
      <c r="AM99" s="32">
        <v>49.53143959246998</v>
      </c>
      <c r="AN99" s="32">
        <v>35.875493363865637</v>
      </c>
      <c r="AO99" s="32">
        <v>27.751069623641527</v>
      </c>
      <c r="AP99" s="19">
        <v>1.0316216422554363</v>
      </c>
      <c r="AQ99" s="19">
        <v>1.1399594102886434</v>
      </c>
      <c r="AR99" s="19">
        <v>0.9681966290242372</v>
      </c>
      <c r="AS99" s="19">
        <v>4.4913944667717233E-2</v>
      </c>
      <c r="AT99" s="19">
        <v>0.18898245630422814</v>
      </c>
      <c r="AU99" s="19">
        <v>-4.6628023719457311E-2</v>
      </c>
      <c r="AV99" s="19">
        <v>-0.15277560801838333</v>
      </c>
      <c r="AW99" s="19">
        <v>0.12115823932107843</v>
      </c>
      <c r="AX99" s="19">
        <v>-0.35037893795525021</v>
      </c>
      <c r="AY99" s="19">
        <v>1.0316216422554363</v>
      </c>
      <c r="AZ99" s="19">
        <v>1.1399594102886434</v>
      </c>
      <c r="BA99" s="19">
        <v>-1.0328480496857491</v>
      </c>
      <c r="BB99" s="19">
        <v>-1.1117062329845753</v>
      </c>
      <c r="BC99" s="19">
        <v>1.0876076765371943</v>
      </c>
      <c r="BD99" s="19">
        <v>-1.2748954470971448</v>
      </c>
      <c r="BE99" s="14" t="s">
        <v>4857</v>
      </c>
    </row>
    <row r="100" spans="1:57" s="30" customFormat="1" ht="17.100000000000001" customHeight="1">
      <c r="A100" s="14">
        <v>89</v>
      </c>
      <c r="B100" s="14" t="s">
        <v>4306</v>
      </c>
      <c r="C100" s="32">
        <v>-1.0257935506243843</v>
      </c>
      <c r="D100" s="32">
        <v>1.0670242036973143</v>
      </c>
      <c r="E100" s="32">
        <v>-1.1043513547198673</v>
      </c>
      <c r="F100" s="24">
        <v>89748</v>
      </c>
      <c r="G100" s="52" t="s">
        <v>2</v>
      </c>
      <c r="H100" s="32">
        <v>19.101022116025508</v>
      </c>
      <c r="I100" s="32">
        <v>27.578012977720746</v>
      </c>
      <c r="J100" s="12" t="s">
        <v>4307</v>
      </c>
      <c r="K100" s="15" t="s">
        <v>4308</v>
      </c>
      <c r="L100" s="14" t="s">
        <v>4975</v>
      </c>
      <c r="M100" s="12" t="s">
        <v>4309</v>
      </c>
      <c r="N100" s="15" t="s">
        <v>4310</v>
      </c>
      <c r="O100" s="12" t="s">
        <v>4311</v>
      </c>
      <c r="P100" s="12" t="s">
        <v>4312</v>
      </c>
      <c r="Q100" s="14">
        <v>2</v>
      </c>
      <c r="R100" s="21">
        <v>617.31970000000001</v>
      </c>
      <c r="S100" s="14">
        <v>5</v>
      </c>
      <c r="T100" s="52" t="s">
        <v>2</v>
      </c>
      <c r="U100" s="53">
        <v>31.752225000000003</v>
      </c>
      <c r="V100" s="24">
        <v>68090</v>
      </c>
      <c r="W100" s="24">
        <v>68270</v>
      </c>
      <c r="X100" s="24">
        <v>78676</v>
      </c>
      <c r="Y100" s="24">
        <v>81916</v>
      </c>
      <c r="Z100" s="24">
        <v>61382</v>
      </c>
      <c r="AA100" s="24">
        <v>91121</v>
      </c>
      <c r="AB100" s="24">
        <v>97800</v>
      </c>
      <c r="AC100" s="24">
        <v>81696</v>
      </c>
      <c r="AD100" s="24">
        <v>74238</v>
      </c>
      <c r="AE100" s="24">
        <v>82999.75</v>
      </c>
      <c r="AF100" s="24">
        <v>68180</v>
      </c>
      <c r="AG100" s="24">
        <v>80296</v>
      </c>
      <c r="AH100" s="24">
        <v>76251.5</v>
      </c>
      <c r="AI100" s="24">
        <v>89748</v>
      </c>
      <c r="AJ100" s="32">
        <v>9.5901215050464028</v>
      </c>
      <c r="AK100" s="32">
        <v>19.101022116025508</v>
      </c>
      <c r="AL100" s="32">
        <v>0.18668116839773916</v>
      </c>
      <c r="AM100" s="32">
        <v>2.8532255293469335</v>
      </c>
      <c r="AN100" s="32">
        <v>27.578012977720746</v>
      </c>
      <c r="AO100" s="32">
        <v>12.688023804684406</v>
      </c>
      <c r="AP100" s="19">
        <v>1.1180224413373205</v>
      </c>
      <c r="AQ100" s="19">
        <v>1.1183851569375183</v>
      </c>
      <c r="AR100" s="19">
        <v>1.1177144565109096</v>
      </c>
      <c r="AS100" s="19">
        <v>0.16094914675098662</v>
      </c>
      <c r="AT100" s="19">
        <v>0.16141711869192465</v>
      </c>
      <c r="AU100" s="19">
        <v>0.16055166868908199</v>
      </c>
      <c r="AV100" s="19">
        <v>-3.6740405935113934E-2</v>
      </c>
      <c r="AW100" s="19">
        <v>9.3592901708774948E-2</v>
      </c>
      <c r="AX100" s="19">
        <v>-0.14319924554671093</v>
      </c>
      <c r="AY100" s="19">
        <v>1.1180224413373205</v>
      </c>
      <c r="AZ100" s="19">
        <v>1.1183851569375183</v>
      </c>
      <c r="BA100" s="19">
        <v>1.1177144565109096</v>
      </c>
      <c r="BB100" s="19">
        <v>-1.0257935506243843</v>
      </c>
      <c r="BC100" s="19">
        <v>1.0670242036973143</v>
      </c>
      <c r="BD100" s="19">
        <v>-1.1043513547198673</v>
      </c>
      <c r="BE100" s="14" t="s">
        <v>4857</v>
      </c>
    </row>
    <row r="101" spans="1:57" s="30" customFormat="1" ht="17.100000000000001" customHeight="1">
      <c r="A101" s="14">
        <v>90</v>
      </c>
      <c r="B101" s="14" t="s">
        <v>4313</v>
      </c>
      <c r="C101" s="32">
        <v>1.1500196908844169</v>
      </c>
      <c r="D101" s="32">
        <v>-1.0430232351510451</v>
      </c>
      <c r="E101" s="32">
        <v>1.3053187467859519</v>
      </c>
      <c r="F101" s="24">
        <v>116021.5</v>
      </c>
      <c r="G101" s="52" t="s">
        <v>2</v>
      </c>
      <c r="H101" s="32">
        <v>30.995508305990395</v>
      </c>
      <c r="I101" s="32">
        <v>10.37775777733107</v>
      </c>
      <c r="J101" s="12" t="s">
        <v>4314</v>
      </c>
      <c r="K101" s="15" t="s">
        <v>4315</v>
      </c>
      <c r="L101" s="14" t="s">
        <v>4463</v>
      </c>
      <c r="M101" s="12" t="s">
        <v>4316</v>
      </c>
      <c r="N101" s="15" t="s">
        <v>4317</v>
      </c>
      <c r="O101" s="12" t="s">
        <v>4318</v>
      </c>
      <c r="P101" s="12" t="s">
        <v>4319</v>
      </c>
      <c r="Q101" s="14">
        <v>2</v>
      </c>
      <c r="R101" s="21">
        <v>487.79270000000002</v>
      </c>
      <c r="S101" s="14">
        <v>1</v>
      </c>
      <c r="T101" s="52" t="s">
        <v>2</v>
      </c>
      <c r="U101" s="53">
        <v>41.879437500000002</v>
      </c>
      <c r="V101" s="24">
        <v>62939</v>
      </c>
      <c r="W101" s="24">
        <v>71124</v>
      </c>
      <c r="X101" s="24">
        <v>73705</v>
      </c>
      <c r="Y101" s="24">
        <v>70312</v>
      </c>
      <c r="Z101" s="24">
        <v>72303</v>
      </c>
      <c r="AA101" s="24">
        <v>62417</v>
      </c>
      <c r="AB101" s="24">
        <v>117794</v>
      </c>
      <c r="AC101" s="24">
        <v>114249</v>
      </c>
      <c r="AD101" s="24">
        <v>69520</v>
      </c>
      <c r="AE101" s="24">
        <v>91690.75</v>
      </c>
      <c r="AF101" s="24">
        <v>67031.5</v>
      </c>
      <c r="AG101" s="24">
        <v>72008.5</v>
      </c>
      <c r="AH101" s="24">
        <v>67360</v>
      </c>
      <c r="AI101" s="24">
        <v>116021.5</v>
      </c>
      <c r="AJ101" s="32">
        <v>6.6450852464635499</v>
      </c>
      <c r="AK101" s="32">
        <v>30.995508305990395</v>
      </c>
      <c r="AL101" s="32">
        <v>8.6342525588893153</v>
      </c>
      <c r="AM101" s="32">
        <v>3.3318473632501102</v>
      </c>
      <c r="AN101" s="32">
        <v>10.37775777733107</v>
      </c>
      <c r="AO101" s="32">
        <v>2.1605422609656926</v>
      </c>
      <c r="AP101" s="19">
        <v>1.3189118239355582</v>
      </c>
      <c r="AQ101" s="19">
        <v>1.0049006810231011</v>
      </c>
      <c r="AR101" s="19">
        <v>1.6112195088079879</v>
      </c>
      <c r="AS101" s="19">
        <v>0.3993481162019199</v>
      </c>
      <c r="AT101" s="19">
        <v>7.0529202339922386E-3</v>
      </c>
      <c r="AU101" s="19">
        <v>0.68815305685985784</v>
      </c>
      <c r="AV101" s="19">
        <v>0.20165856351581934</v>
      </c>
      <c r="AW101" s="19">
        <v>-6.0771296749157468E-2</v>
      </c>
      <c r="AX101" s="19">
        <v>0.38440214262406491</v>
      </c>
      <c r="AY101" s="19">
        <v>1.3189118239355582</v>
      </c>
      <c r="AZ101" s="19">
        <v>1.0049006810231011</v>
      </c>
      <c r="BA101" s="19">
        <v>1.6112195088079879</v>
      </c>
      <c r="BB101" s="19">
        <v>1.1500196908844169</v>
      </c>
      <c r="BC101" s="19">
        <v>-1.0430232351510451</v>
      </c>
      <c r="BD101" s="19">
        <v>1.3053187467859519</v>
      </c>
      <c r="BE101" s="14" t="s">
        <v>4857</v>
      </c>
    </row>
    <row r="102" spans="1:57" s="30" customFormat="1" ht="17.100000000000001" customHeight="1">
      <c r="A102" s="14">
        <v>91</v>
      </c>
      <c r="B102" s="14" t="s">
        <v>4320</v>
      </c>
      <c r="C102" s="32">
        <v>1.0282815301781851</v>
      </c>
      <c r="D102" s="32">
        <v>1.0538022390810668</v>
      </c>
      <c r="E102" s="32">
        <v>1.001494168117991</v>
      </c>
      <c r="F102" s="24">
        <v>368039</v>
      </c>
      <c r="G102" s="52" t="s">
        <v>2</v>
      </c>
      <c r="H102" s="32">
        <v>23.447061779907109</v>
      </c>
      <c r="I102" s="32">
        <v>11.290607001760316</v>
      </c>
      <c r="J102" s="12" t="s">
        <v>4321</v>
      </c>
      <c r="K102" s="15" t="s">
        <v>4322</v>
      </c>
      <c r="L102" s="14" t="s">
        <v>4675</v>
      </c>
      <c r="M102" s="12" t="s">
        <v>4323</v>
      </c>
      <c r="N102" s="15" t="s">
        <v>4324</v>
      </c>
      <c r="O102" s="12" t="s">
        <v>4325</v>
      </c>
      <c r="P102" s="12" t="s">
        <v>4326</v>
      </c>
      <c r="Q102" s="14">
        <v>4</v>
      </c>
      <c r="R102" s="21">
        <v>666.34860000000003</v>
      </c>
      <c r="S102" s="14">
        <v>1</v>
      </c>
      <c r="T102" s="52" t="s">
        <v>2</v>
      </c>
      <c r="U102" s="53">
        <v>96.775762499999999</v>
      </c>
      <c r="V102" s="24">
        <v>238656</v>
      </c>
      <c r="W102" s="24">
        <v>214472</v>
      </c>
      <c r="X102" s="24">
        <v>318837</v>
      </c>
      <c r="Y102" s="24">
        <v>276602</v>
      </c>
      <c r="Z102" s="24">
        <v>241295</v>
      </c>
      <c r="AA102" s="24">
        <v>259197</v>
      </c>
      <c r="AB102" s="24">
        <v>338656</v>
      </c>
      <c r="AC102" s="24">
        <v>397422</v>
      </c>
      <c r="AD102" s="24">
        <v>262141.75</v>
      </c>
      <c r="AE102" s="24">
        <v>309142.5</v>
      </c>
      <c r="AF102" s="24">
        <v>226564</v>
      </c>
      <c r="AG102" s="24">
        <v>297719.5</v>
      </c>
      <c r="AH102" s="24">
        <v>250246</v>
      </c>
      <c r="AI102" s="24">
        <v>368039</v>
      </c>
      <c r="AJ102" s="32">
        <v>17.408208373608165</v>
      </c>
      <c r="AK102" s="32">
        <v>23.447061779907109</v>
      </c>
      <c r="AL102" s="32">
        <v>7.5478321340616619</v>
      </c>
      <c r="AM102" s="32">
        <v>10.031138337735296</v>
      </c>
      <c r="AN102" s="32">
        <v>5.0584727015822732</v>
      </c>
      <c r="AO102" s="32">
        <v>11.290607001760316</v>
      </c>
      <c r="AP102" s="19">
        <v>1.1792951714101245</v>
      </c>
      <c r="AQ102" s="19">
        <v>1.1045267562366483</v>
      </c>
      <c r="AR102" s="19">
        <v>1.2361937998686683</v>
      </c>
      <c r="AS102" s="19">
        <v>0.23792486253489242</v>
      </c>
      <c r="AT102" s="19">
        <v>0.14342836719692881</v>
      </c>
      <c r="AU102" s="19">
        <v>0.30590493433623839</v>
      </c>
      <c r="AV102" s="19">
        <v>4.0235309848791867E-2</v>
      </c>
      <c r="AW102" s="19">
        <v>7.56041502137791E-2</v>
      </c>
      <c r="AX102" s="19">
        <v>2.154020100445464E-3</v>
      </c>
      <c r="AY102" s="19">
        <v>1.1792951714101245</v>
      </c>
      <c r="AZ102" s="19">
        <v>1.1045267562366483</v>
      </c>
      <c r="BA102" s="19">
        <v>1.2361937998686683</v>
      </c>
      <c r="BB102" s="19">
        <v>1.0282815301781851</v>
      </c>
      <c r="BC102" s="19">
        <v>1.0538022390810668</v>
      </c>
      <c r="BD102" s="19">
        <v>1.001494168117991</v>
      </c>
      <c r="BE102" s="14" t="s">
        <v>4857</v>
      </c>
    </row>
    <row r="103" spans="1:57" s="30" customFormat="1" ht="17.100000000000001" customHeight="1">
      <c r="A103" s="14">
        <v>92</v>
      </c>
      <c r="B103" s="14" t="s">
        <v>4327</v>
      </c>
      <c r="C103" s="32">
        <v>-1.0566576389348519</v>
      </c>
      <c r="D103" s="32">
        <v>-1.3158784608408305</v>
      </c>
      <c r="E103" s="32">
        <v>1.1142556793420737</v>
      </c>
      <c r="F103" s="24">
        <v>98844.5</v>
      </c>
      <c r="G103" s="52" t="s">
        <v>2</v>
      </c>
      <c r="H103" s="32">
        <v>31.99413086506155</v>
      </c>
      <c r="I103" s="32">
        <v>17.554200219201512</v>
      </c>
      <c r="J103" s="12" t="s">
        <v>4328</v>
      </c>
      <c r="K103" s="12" t="s">
        <v>4329</v>
      </c>
      <c r="L103" s="14" t="s">
        <v>4330</v>
      </c>
      <c r="M103" s="12" t="s">
        <v>4331</v>
      </c>
      <c r="N103" s="15" t="s">
        <v>4332</v>
      </c>
      <c r="O103" s="12" t="s">
        <v>4333</v>
      </c>
      <c r="P103" s="12" t="s">
        <v>4335</v>
      </c>
      <c r="Q103" s="14">
        <v>2</v>
      </c>
      <c r="R103" s="21">
        <v>707.31380000000001</v>
      </c>
      <c r="S103" s="14">
        <v>7</v>
      </c>
      <c r="T103" s="52" t="s">
        <v>2</v>
      </c>
      <c r="U103" s="53">
        <v>39.095512499999998</v>
      </c>
      <c r="V103" s="24">
        <v>81117</v>
      </c>
      <c r="W103" s="24">
        <v>63203</v>
      </c>
      <c r="X103" s="24">
        <v>80125</v>
      </c>
      <c r="Y103" s="24">
        <v>63609</v>
      </c>
      <c r="Z103" s="24">
        <v>64326</v>
      </c>
      <c r="AA103" s="24">
        <v>50629</v>
      </c>
      <c r="AB103" s="24">
        <v>92886</v>
      </c>
      <c r="AC103" s="24">
        <v>104803</v>
      </c>
      <c r="AD103" s="24">
        <v>72013.5</v>
      </c>
      <c r="AE103" s="24">
        <v>78161</v>
      </c>
      <c r="AF103" s="24">
        <v>72160</v>
      </c>
      <c r="AG103" s="24">
        <v>71867</v>
      </c>
      <c r="AH103" s="24">
        <v>57477.5</v>
      </c>
      <c r="AI103" s="24">
        <v>98844.5</v>
      </c>
      <c r="AJ103" s="32">
        <v>13.815066710898128</v>
      </c>
      <c r="AK103" s="32">
        <v>31.99413086506155</v>
      </c>
      <c r="AL103" s="32">
        <v>17.554200219201512</v>
      </c>
      <c r="AM103" s="32">
        <v>16.250261730804148</v>
      </c>
      <c r="AN103" s="32">
        <v>16.850492074137083</v>
      </c>
      <c r="AO103" s="32">
        <v>8.525099030699824</v>
      </c>
      <c r="AP103" s="19">
        <v>1.0853659383310075</v>
      </c>
      <c r="AQ103" s="19">
        <v>0.79652854767184034</v>
      </c>
      <c r="AR103" s="19">
        <v>1.375380911962375</v>
      </c>
      <c r="AS103" s="19">
        <v>0.11818153889704468</v>
      </c>
      <c r="AT103" s="19">
        <v>-0.32820202585926789</v>
      </c>
      <c r="AU103" s="19">
        <v>0.4598312285969629</v>
      </c>
      <c r="AV103" s="19">
        <v>-7.9508013789055879E-2</v>
      </c>
      <c r="AW103" s="19">
        <v>-0.39602624284241761</v>
      </c>
      <c r="AX103" s="19">
        <v>0.15608031436116998</v>
      </c>
      <c r="AY103" s="19">
        <v>1.0853659383310075</v>
      </c>
      <c r="AZ103" s="19">
        <v>-1.2554477839154452</v>
      </c>
      <c r="BA103" s="19">
        <v>1.375380911962375</v>
      </c>
      <c r="BB103" s="19">
        <v>-1.0566576389348519</v>
      </c>
      <c r="BC103" s="19">
        <v>-1.3158784608408305</v>
      </c>
      <c r="BD103" s="19">
        <v>1.1142556793420737</v>
      </c>
      <c r="BE103" s="14" t="s">
        <v>4857</v>
      </c>
    </row>
    <row r="104" spans="1:57" s="30" customFormat="1" ht="17.100000000000001" customHeight="1">
      <c r="A104" s="14">
        <v>93</v>
      </c>
      <c r="B104" s="14" t="s">
        <v>4336</v>
      </c>
      <c r="C104" s="32">
        <v>-1.0618119363737639</v>
      </c>
      <c r="D104" s="32">
        <v>-1.1905281395595844</v>
      </c>
      <c r="E104" s="32">
        <v>1.0969593637369406</v>
      </c>
      <c r="F104" s="24">
        <v>246314.5</v>
      </c>
      <c r="G104" s="52" t="s">
        <v>2</v>
      </c>
      <c r="H104" s="32">
        <v>20.800005432705202</v>
      </c>
      <c r="I104" s="32">
        <v>14.565886689831183</v>
      </c>
      <c r="J104" s="12" t="s">
        <v>4328</v>
      </c>
      <c r="K104" s="12" t="s">
        <v>4329</v>
      </c>
      <c r="L104" s="14" t="s">
        <v>4337</v>
      </c>
      <c r="M104" s="12" t="s">
        <v>4331</v>
      </c>
      <c r="N104" s="15" t="s">
        <v>4332</v>
      </c>
      <c r="O104" s="12" t="s">
        <v>4333</v>
      </c>
      <c r="P104" s="12" t="s">
        <v>4338</v>
      </c>
      <c r="Q104" s="14">
        <v>3</v>
      </c>
      <c r="R104" s="21">
        <v>894.78959999999995</v>
      </c>
      <c r="S104" s="14">
        <v>8</v>
      </c>
      <c r="T104" s="52" t="s">
        <v>2</v>
      </c>
      <c r="U104" s="53">
        <v>80.173537500000009</v>
      </c>
      <c r="V104" s="24">
        <v>220945</v>
      </c>
      <c r="W104" s="24">
        <v>271684</v>
      </c>
      <c r="X104" s="24">
        <v>171115</v>
      </c>
      <c r="Y104" s="24">
        <v>188020</v>
      </c>
      <c r="Z104" s="24">
        <v>212662</v>
      </c>
      <c r="AA104" s="24">
        <v>221046</v>
      </c>
      <c r="AB104" s="24">
        <v>245236</v>
      </c>
      <c r="AC104" s="24">
        <v>241044</v>
      </c>
      <c r="AD104" s="24">
        <v>212941</v>
      </c>
      <c r="AE104" s="24">
        <v>229997</v>
      </c>
      <c r="AF104" s="24">
        <v>246314.5</v>
      </c>
      <c r="AG104" s="24">
        <v>179567.5</v>
      </c>
      <c r="AH104" s="24">
        <v>216854</v>
      </c>
      <c r="AI104" s="24">
        <v>243140</v>
      </c>
      <c r="AJ104" s="32">
        <v>20.800005432705202</v>
      </c>
      <c r="AK104" s="32">
        <v>6.8049850482429326</v>
      </c>
      <c r="AL104" s="32">
        <v>14.565886689831183</v>
      </c>
      <c r="AM104" s="32">
        <v>6.6569062530572545</v>
      </c>
      <c r="AN104" s="32">
        <v>2.7338131892738957</v>
      </c>
      <c r="AO104" s="32">
        <v>1.2191295659842096</v>
      </c>
      <c r="AP104" s="19">
        <v>1.0800973039480419</v>
      </c>
      <c r="AQ104" s="19">
        <v>0.88039477984446712</v>
      </c>
      <c r="AR104" s="19">
        <v>1.3540312138889277</v>
      </c>
      <c r="AS104" s="19">
        <v>0.11116128794413888</v>
      </c>
      <c r="AT104" s="19">
        <v>-0.18377750385465166</v>
      </c>
      <c r="AU104" s="19">
        <v>0.4372609971135788</v>
      </c>
      <c r="AV104" s="19">
        <v>-8.652826474196168E-2</v>
      </c>
      <c r="AW104" s="19">
        <v>-0.25160172083780136</v>
      </c>
      <c r="AX104" s="19">
        <v>0.13351008287778587</v>
      </c>
      <c r="AY104" s="19">
        <v>1.0800973039480419</v>
      </c>
      <c r="AZ104" s="19">
        <v>-1.1358540769365564</v>
      </c>
      <c r="BA104" s="19">
        <v>1.3540312138889277</v>
      </c>
      <c r="BB104" s="19">
        <v>-1.0618119363737639</v>
      </c>
      <c r="BC104" s="19">
        <v>-1.1905281395595844</v>
      </c>
      <c r="BD104" s="19">
        <v>1.0969593637369406</v>
      </c>
      <c r="BE104" s="14" t="s">
        <v>4857</v>
      </c>
    </row>
    <row r="105" spans="1:57" s="30" customFormat="1" ht="17.100000000000001" customHeight="1">
      <c r="A105" s="14">
        <v>94</v>
      </c>
      <c r="B105" s="14" t="s">
        <v>4339</v>
      </c>
      <c r="C105" s="32">
        <v>1.0385885158548323</v>
      </c>
      <c r="D105" s="32">
        <v>-1.3067714199780804</v>
      </c>
      <c r="E105" s="32">
        <v>1.3130005656302493</v>
      </c>
      <c r="F105" s="24">
        <v>248849</v>
      </c>
      <c r="G105" s="52" t="s">
        <v>2</v>
      </c>
      <c r="H105" s="32">
        <v>33.866127254795828</v>
      </c>
      <c r="I105" s="32">
        <v>8.8125849038619375</v>
      </c>
      <c r="J105" s="12" t="s">
        <v>4328</v>
      </c>
      <c r="K105" s="12" t="s">
        <v>4329</v>
      </c>
      <c r="L105" s="14" t="s">
        <v>4340</v>
      </c>
      <c r="M105" s="12" t="s">
        <v>4331</v>
      </c>
      <c r="N105" s="15" t="s">
        <v>4332</v>
      </c>
      <c r="O105" s="12" t="s">
        <v>4333</v>
      </c>
      <c r="P105" s="12" t="s">
        <v>4341</v>
      </c>
      <c r="Q105" s="14">
        <v>2</v>
      </c>
      <c r="R105" s="21">
        <v>576.30510000000004</v>
      </c>
      <c r="S105" s="14">
        <v>3</v>
      </c>
      <c r="T105" s="52" t="s">
        <v>2</v>
      </c>
      <c r="U105" s="53">
        <v>75.845749999999995</v>
      </c>
      <c r="V105" s="24">
        <v>163065</v>
      </c>
      <c r="W105" s="24">
        <v>176031</v>
      </c>
      <c r="X105" s="24">
        <v>143976</v>
      </c>
      <c r="Y105" s="24">
        <v>163112</v>
      </c>
      <c r="Z105" s="24">
        <v>136078</v>
      </c>
      <c r="AA105" s="24">
        <v>135904</v>
      </c>
      <c r="AB105" s="24">
        <v>249982</v>
      </c>
      <c r="AC105" s="24">
        <v>247716</v>
      </c>
      <c r="AD105" s="24">
        <v>161546</v>
      </c>
      <c r="AE105" s="24">
        <v>192420</v>
      </c>
      <c r="AF105" s="24">
        <v>169548</v>
      </c>
      <c r="AG105" s="24">
        <v>153544</v>
      </c>
      <c r="AH105" s="24">
        <v>135991</v>
      </c>
      <c r="AI105" s="24">
        <v>248849</v>
      </c>
      <c r="AJ105" s="32">
        <v>8.1754217501246629</v>
      </c>
      <c r="AK105" s="32">
        <v>33.866127254795828</v>
      </c>
      <c r="AL105" s="32">
        <v>5.4075226631188658</v>
      </c>
      <c r="AM105" s="32">
        <v>8.8125849038619375</v>
      </c>
      <c r="AN105" s="32">
        <v>9.0474060729356542E-2</v>
      </c>
      <c r="AO105" s="32">
        <v>0.64388603778545095</v>
      </c>
      <c r="AP105" s="19">
        <v>1.1911158431654141</v>
      </c>
      <c r="AQ105" s="19">
        <v>0.80207964706159907</v>
      </c>
      <c r="AR105" s="19">
        <v>1.6207015578596364</v>
      </c>
      <c r="AS105" s="19">
        <v>0.25231373077799624</v>
      </c>
      <c r="AT105" s="19">
        <v>-0.31818259048215664</v>
      </c>
      <c r="AU105" s="19">
        <v>0.69661845196832917</v>
      </c>
      <c r="AV105" s="19">
        <v>5.4624178091895681E-2</v>
      </c>
      <c r="AW105" s="19">
        <v>-0.38600680746530636</v>
      </c>
      <c r="AX105" s="19">
        <v>0.39286753773253624</v>
      </c>
      <c r="AY105" s="19">
        <v>1.1911158431654141</v>
      </c>
      <c r="AZ105" s="19">
        <v>-1.2467589766969873</v>
      </c>
      <c r="BA105" s="19">
        <v>1.6207015578596364</v>
      </c>
      <c r="BB105" s="19">
        <v>1.0385885158548323</v>
      </c>
      <c r="BC105" s="19">
        <v>-1.3067714199780804</v>
      </c>
      <c r="BD105" s="19">
        <v>1.3130005656302493</v>
      </c>
      <c r="BE105" s="14" t="s">
        <v>4857</v>
      </c>
    </row>
    <row r="106" spans="1:57" s="30" customFormat="1" ht="17.100000000000001" customHeight="1">
      <c r="A106" s="14">
        <v>95</v>
      </c>
      <c r="B106" s="14" t="s">
        <v>4342</v>
      </c>
      <c r="C106" s="32">
        <v>1.647030301513259</v>
      </c>
      <c r="D106" s="32">
        <v>1.7183805969795916</v>
      </c>
      <c r="E106" s="32">
        <v>1.5774049873661717</v>
      </c>
      <c r="F106" s="42">
        <v>6233264</v>
      </c>
      <c r="G106" s="52" t="s">
        <v>4894</v>
      </c>
      <c r="H106" s="32">
        <v>39.418220410807088</v>
      </c>
      <c r="I106" s="32">
        <v>37.656668254949288</v>
      </c>
      <c r="J106" s="12" t="s">
        <v>4343</v>
      </c>
      <c r="K106" s="12" t="s">
        <v>4344</v>
      </c>
      <c r="L106" s="14" t="s">
        <v>4345</v>
      </c>
      <c r="M106" s="12" t="s">
        <v>4346</v>
      </c>
      <c r="N106" s="15" t="s">
        <v>4347</v>
      </c>
      <c r="O106" s="12" t="s">
        <v>4348</v>
      </c>
      <c r="P106" s="12" t="s">
        <v>4350</v>
      </c>
      <c r="Q106" s="14">
        <v>4</v>
      </c>
      <c r="R106" s="21">
        <v>848.16359999999997</v>
      </c>
      <c r="S106" s="14">
        <v>1</v>
      </c>
      <c r="T106" s="52" t="s">
        <v>4894</v>
      </c>
      <c r="U106" s="53">
        <v>101.53149999999999</v>
      </c>
      <c r="V106" s="42">
        <v>2245928</v>
      </c>
      <c r="W106" s="42">
        <v>1994074</v>
      </c>
      <c r="X106" s="42">
        <v>3678618</v>
      </c>
      <c r="Y106" s="42">
        <v>2724097</v>
      </c>
      <c r="Z106" s="42">
        <v>4283367</v>
      </c>
      <c r="AA106" s="42">
        <v>3353277</v>
      </c>
      <c r="AB106" s="42">
        <v>7893013</v>
      </c>
      <c r="AC106" s="42">
        <v>4573515</v>
      </c>
      <c r="AD106" s="42">
        <v>2660679.25</v>
      </c>
      <c r="AE106" s="42">
        <v>5025793</v>
      </c>
      <c r="AF106" s="42">
        <v>2120001</v>
      </c>
      <c r="AG106" s="42">
        <v>3201357.5</v>
      </c>
      <c r="AH106" s="42">
        <v>3818322</v>
      </c>
      <c r="AI106" s="42">
        <v>6233264</v>
      </c>
      <c r="AJ106" s="32">
        <v>27.929037929338296</v>
      </c>
      <c r="AK106" s="32">
        <v>39.418220410807088</v>
      </c>
      <c r="AL106" s="32">
        <v>8.4003578898763127</v>
      </c>
      <c r="AM106" s="32">
        <v>21.083189612061901</v>
      </c>
      <c r="AN106" s="32">
        <v>17.224135264490421</v>
      </c>
      <c r="AO106" s="32">
        <v>37.656668254949288</v>
      </c>
      <c r="AP106" s="19">
        <v>1.8889135171028226</v>
      </c>
      <c r="AQ106" s="19">
        <v>1.8010944334460219</v>
      </c>
      <c r="AR106" s="19">
        <v>1.9470690168155227</v>
      </c>
      <c r="AS106" s="19">
        <v>0.91755665021592581</v>
      </c>
      <c r="AT106" s="19">
        <v>0.84887382538224154</v>
      </c>
      <c r="AU106" s="19">
        <v>0.96130402347924671</v>
      </c>
      <c r="AV106" s="19">
        <v>0.71986709752982525</v>
      </c>
      <c r="AW106" s="19">
        <v>0.78104960839909188</v>
      </c>
      <c r="AX106" s="19">
        <v>0.65755310924345378</v>
      </c>
      <c r="AY106" s="19">
        <v>1.8889135171028226</v>
      </c>
      <c r="AZ106" s="19">
        <v>1.8010944334460219</v>
      </c>
      <c r="BA106" s="19">
        <v>1.9470690168155227</v>
      </c>
      <c r="BB106" s="19">
        <v>1.647030301513259</v>
      </c>
      <c r="BC106" s="19">
        <v>1.7183805969795916</v>
      </c>
      <c r="BD106" s="19">
        <v>1.5774049873661717</v>
      </c>
      <c r="BE106" s="14" t="s">
        <v>4857</v>
      </c>
    </row>
    <row r="107" spans="1:57" s="30" customFormat="1" ht="17.100000000000001" customHeight="1">
      <c r="A107" s="14">
        <v>96</v>
      </c>
      <c r="B107" s="14" t="s">
        <v>4351</v>
      </c>
      <c r="C107" s="32">
        <v>-1.0302272434643813</v>
      </c>
      <c r="D107" s="32">
        <v>-1.3215323233841196</v>
      </c>
      <c r="E107" s="32">
        <v>1.2245434698677227</v>
      </c>
      <c r="F107" s="24">
        <v>164251</v>
      </c>
      <c r="G107" s="52" t="s">
        <v>2</v>
      </c>
      <c r="H107" s="32">
        <v>25.628283809382559</v>
      </c>
      <c r="I107" s="32">
        <v>12.228078105166405</v>
      </c>
      <c r="J107" s="12" t="s">
        <v>4352</v>
      </c>
      <c r="K107" s="15" t="s">
        <v>4353</v>
      </c>
      <c r="L107" s="14" t="s">
        <v>4354</v>
      </c>
      <c r="M107" s="12" t="s">
        <v>4355</v>
      </c>
      <c r="N107" s="15" t="s">
        <v>4356</v>
      </c>
      <c r="O107" s="12" t="s">
        <v>4230</v>
      </c>
      <c r="P107" s="12" t="s">
        <v>4232</v>
      </c>
      <c r="Q107" s="14">
        <v>2</v>
      </c>
      <c r="R107" s="21">
        <v>869.4307</v>
      </c>
      <c r="S107" s="14">
        <v>20</v>
      </c>
      <c r="T107" s="52" t="s">
        <v>2</v>
      </c>
      <c r="U107" s="53">
        <v>35.149574999999999</v>
      </c>
      <c r="V107" s="24">
        <v>127435</v>
      </c>
      <c r="W107" s="24">
        <v>143003</v>
      </c>
      <c r="X107" s="24">
        <v>112457</v>
      </c>
      <c r="Y107" s="24">
        <v>104876</v>
      </c>
      <c r="Z107" s="24">
        <v>116518</v>
      </c>
      <c r="AA107" s="24">
        <v>97972</v>
      </c>
      <c r="AB107" s="24">
        <v>154020</v>
      </c>
      <c r="AC107" s="24">
        <v>174482</v>
      </c>
      <c r="AD107" s="24">
        <v>121942.75</v>
      </c>
      <c r="AE107" s="24">
        <v>135748</v>
      </c>
      <c r="AF107" s="24">
        <v>135219</v>
      </c>
      <c r="AG107" s="24">
        <v>108666.5</v>
      </c>
      <c r="AH107" s="24">
        <v>107245</v>
      </c>
      <c r="AI107" s="24">
        <v>164251</v>
      </c>
      <c r="AJ107" s="32">
        <v>13.843768960028335</v>
      </c>
      <c r="AK107" s="32">
        <v>25.628283809382559</v>
      </c>
      <c r="AL107" s="32">
        <v>8.1410440614944424</v>
      </c>
      <c r="AM107" s="32">
        <v>4.933053432451783</v>
      </c>
      <c r="AN107" s="32">
        <v>12.228078105166405</v>
      </c>
      <c r="AO107" s="32">
        <v>8.8089685643552471</v>
      </c>
      <c r="AP107" s="19">
        <v>1.1132109124978731</v>
      </c>
      <c r="AQ107" s="19">
        <v>0.79312078923819873</v>
      </c>
      <c r="AR107" s="19">
        <v>1.5115145882125587</v>
      </c>
      <c r="AS107" s="19">
        <v>0.1547269561908903</v>
      </c>
      <c r="AT107" s="19">
        <v>-0.33438749533320272</v>
      </c>
      <c r="AU107" s="19">
        <v>0.59599490304127378</v>
      </c>
      <c r="AV107" s="19">
        <v>-4.2962596495210253E-2</v>
      </c>
      <c r="AW107" s="19">
        <v>-0.40221171231635244</v>
      </c>
      <c r="AX107" s="19">
        <v>0.29224398880548086</v>
      </c>
      <c r="AY107" s="19">
        <v>1.1132109124978731</v>
      </c>
      <c r="AZ107" s="19">
        <v>-1.2608419972959113</v>
      </c>
      <c r="BA107" s="19">
        <v>1.5115145882125587</v>
      </c>
      <c r="BB107" s="19">
        <v>-1.0302272434643813</v>
      </c>
      <c r="BC107" s="19">
        <v>-1.3215323233841196</v>
      </c>
      <c r="BD107" s="19">
        <v>1.2245434698677227</v>
      </c>
      <c r="BE107" s="14" t="s">
        <v>4857</v>
      </c>
    </row>
    <row r="108" spans="1:57" s="30" customFormat="1" ht="17.100000000000001" customHeight="1">
      <c r="A108" s="14">
        <v>97</v>
      </c>
      <c r="B108" s="14" t="s">
        <v>4235</v>
      </c>
      <c r="C108" s="32">
        <v>1.2729850464683741</v>
      </c>
      <c r="D108" s="32">
        <v>-1.0836647511677697</v>
      </c>
      <c r="E108" s="32">
        <v>1.5644147164651345</v>
      </c>
      <c r="F108" s="24">
        <v>308000</v>
      </c>
      <c r="G108" s="52" t="s">
        <v>2</v>
      </c>
      <c r="H108" s="32">
        <v>40.929938358741339</v>
      </c>
      <c r="I108" s="32">
        <v>12.519267601335596</v>
      </c>
      <c r="J108" s="12" t="s">
        <v>4352</v>
      </c>
      <c r="K108" s="15" t="s">
        <v>4353</v>
      </c>
      <c r="L108" s="14" t="s">
        <v>4236</v>
      </c>
      <c r="M108" s="12" t="s">
        <v>4355</v>
      </c>
      <c r="N108" s="15" t="s">
        <v>4356</v>
      </c>
      <c r="O108" s="12" t="s">
        <v>4230</v>
      </c>
      <c r="P108" s="12" t="s">
        <v>4237</v>
      </c>
      <c r="Q108" s="14">
        <v>2</v>
      </c>
      <c r="R108" s="21">
        <v>510.78489999999999</v>
      </c>
      <c r="S108" s="14">
        <v>1</v>
      </c>
      <c r="T108" s="52" t="s">
        <v>2</v>
      </c>
      <c r="U108" s="53">
        <v>34</v>
      </c>
      <c r="V108" s="24">
        <v>166000</v>
      </c>
      <c r="W108" s="24">
        <v>139000</v>
      </c>
      <c r="X108" s="24">
        <v>162000</v>
      </c>
      <c r="Y108" s="24">
        <v>157000</v>
      </c>
      <c r="Z108" s="24">
        <v>138000</v>
      </c>
      <c r="AA108" s="24">
        <v>157000</v>
      </c>
      <c r="AB108" s="24">
        <v>316000</v>
      </c>
      <c r="AC108" s="24">
        <v>300000</v>
      </c>
      <c r="AD108" s="24">
        <v>156000</v>
      </c>
      <c r="AE108" s="24">
        <v>227750</v>
      </c>
      <c r="AF108" s="24">
        <v>152500</v>
      </c>
      <c r="AG108" s="24">
        <v>159500</v>
      </c>
      <c r="AH108" s="24">
        <v>147500</v>
      </c>
      <c r="AI108" s="24">
        <v>308000</v>
      </c>
      <c r="AJ108" s="32">
        <v>7.638702107572426</v>
      </c>
      <c r="AK108" s="32">
        <v>40.929938358741339</v>
      </c>
      <c r="AL108" s="32">
        <v>12.519267601335596</v>
      </c>
      <c r="AM108" s="32">
        <v>2.2166356777007756</v>
      </c>
      <c r="AN108" s="32">
        <v>9.1084941305385794</v>
      </c>
      <c r="AO108" s="32">
        <v>3.6732819801898575</v>
      </c>
      <c r="AP108" s="19">
        <v>1.4599358974358974</v>
      </c>
      <c r="AQ108" s="19">
        <v>0.96721311475409832</v>
      </c>
      <c r="AR108" s="19">
        <v>1.9310344827586208</v>
      </c>
      <c r="AS108" s="19">
        <v>0.54590502493980231</v>
      </c>
      <c r="AT108" s="19">
        <v>-4.8094288201045075E-2</v>
      </c>
      <c r="AU108" s="19">
        <v>0.94937392693003209</v>
      </c>
      <c r="AV108" s="19">
        <v>0.34821547225370175</v>
      </c>
      <c r="AW108" s="19">
        <v>-0.11591850518419478</v>
      </c>
      <c r="AX108" s="19">
        <v>0.64562301269423916</v>
      </c>
      <c r="AY108" s="19">
        <v>1.4599358974358974</v>
      </c>
      <c r="AZ108" s="19">
        <v>-1.0338983050847459</v>
      </c>
      <c r="BA108" s="19">
        <v>1.9310344827586208</v>
      </c>
      <c r="BB108" s="19">
        <v>1.2729850464683741</v>
      </c>
      <c r="BC108" s="19">
        <v>-1.0836647511677697</v>
      </c>
      <c r="BD108" s="19">
        <v>1.5644147164651345</v>
      </c>
      <c r="BE108" s="14" t="s">
        <v>4857</v>
      </c>
    </row>
    <row r="109" spans="1:57" s="30" customFormat="1" ht="17.100000000000001" customHeight="1">
      <c r="A109" s="14">
        <v>98</v>
      </c>
      <c r="B109" s="14" t="s">
        <v>4238</v>
      </c>
      <c r="C109" s="32">
        <v>-1.2184582492769163</v>
      </c>
      <c r="D109" s="32">
        <v>-1.1608070096102152</v>
      </c>
      <c r="E109" s="32">
        <v>-1.2621186655057</v>
      </c>
      <c r="F109" s="24">
        <v>45973</v>
      </c>
      <c r="G109" s="52" t="s">
        <v>2</v>
      </c>
      <c r="H109" s="32">
        <v>21.025740632157884</v>
      </c>
      <c r="I109" s="32">
        <v>30.581033462345381</v>
      </c>
      <c r="J109" s="12" t="s">
        <v>4239</v>
      </c>
      <c r="K109" s="12" t="s">
        <v>4240</v>
      </c>
      <c r="L109" s="14" t="s">
        <v>5093</v>
      </c>
      <c r="M109" s="12" t="s">
        <v>4241</v>
      </c>
      <c r="N109" s="15" t="s">
        <v>4242</v>
      </c>
      <c r="O109" s="12" t="s">
        <v>4243</v>
      </c>
      <c r="P109" s="12" t="s">
        <v>4245</v>
      </c>
      <c r="Q109" s="14">
        <v>3</v>
      </c>
      <c r="R109" s="21">
        <v>451.55799999999999</v>
      </c>
      <c r="S109" s="14">
        <v>2</v>
      </c>
      <c r="T109" s="52" t="s">
        <v>2</v>
      </c>
      <c r="U109" s="53">
        <v>23.089650000000002</v>
      </c>
      <c r="V109" s="24">
        <v>47377</v>
      </c>
      <c r="W109" s="24">
        <v>40864</v>
      </c>
      <c r="X109" s="24">
        <v>44889</v>
      </c>
      <c r="Y109" s="24">
        <v>47057</v>
      </c>
      <c r="Z109" s="24">
        <v>36438</v>
      </c>
      <c r="AA109" s="24">
        <v>43238</v>
      </c>
      <c r="AB109" s="24">
        <v>35239</v>
      </c>
      <c r="AC109" s="24">
        <v>54684</v>
      </c>
      <c r="AD109" s="24">
        <v>45046.75</v>
      </c>
      <c r="AE109" s="24">
        <v>42399.75</v>
      </c>
      <c r="AF109" s="24">
        <v>44120.5</v>
      </c>
      <c r="AG109" s="24">
        <v>45973</v>
      </c>
      <c r="AH109" s="24">
        <v>39838</v>
      </c>
      <c r="AI109" s="24">
        <v>44961.5</v>
      </c>
      <c r="AJ109" s="32">
        <v>6.6586937241684403</v>
      </c>
      <c r="AK109" s="32">
        <v>21.025740632157884</v>
      </c>
      <c r="AL109" s="32">
        <v>10.438200985637026</v>
      </c>
      <c r="AM109" s="32">
        <v>3.3345822583090836</v>
      </c>
      <c r="AN109" s="32">
        <v>12.069697555270151</v>
      </c>
      <c r="AO109" s="32">
        <v>30.581033462345381</v>
      </c>
      <c r="AP109" s="19">
        <v>0.94123882411050741</v>
      </c>
      <c r="AQ109" s="19">
        <v>0.90293627678743438</v>
      </c>
      <c r="AR109" s="19">
        <v>0.97799795532160183</v>
      </c>
      <c r="AS109" s="19">
        <v>-8.736726497909876E-2</v>
      </c>
      <c r="AT109" s="19">
        <v>-0.14730391937026091</v>
      </c>
      <c r="AU109" s="19">
        <v>-3.2096645916876665E-2</v>
      </c>
      <c r="AV109" s="19">
        <v>-0.2850568176651993</v>
      </c>
      <c r="AW109" s="19">
        <v>-0.2151281363534106</v>
      </c>
      <c r="AX109" s="19">
        <v>-0.33584756015266959</v>
      </c>
      <c r="AY109" s="19">
        <v>-1.0624296133821545</v>
      </c>
      <c r="AZ109" s="19">
        <v>-1.1074978663587529</v>
      </c>
      <c r="BA109" s="19">
        <v>-1.022497025232699</v>
      </c>
      <c r="BB109" s="19">
        <v>-1.2184582492769163</v>
      </c>
      <c r="BC109" s="19">
        <v>-1.1608070096102152</v>
      </c>
      <c r="BD109" s="19">
        <v>-1.2621186655057</v>
      </c>
      <c r="BE109" s="14" t="s">
        <v>4857</v>
      </c>
    </row>
    <row r="110" spans="1:57" s="30" customFormat="1" ht="17.100000000000001" customHeight="1">
      <c r="A110" s="14">
        <v>99</v>
      </c>
      <c r="B110" s="14" t="s">
        <v>4569</v>
      </c>
      <c r="C110" s="32">
        <v>1.3554839380622925</v>
      </c>
      <c r="D110" s="32">
        <v>1.2333297145815572</v>
      </c>
      <c r="E110" s="32">
        <v>1.5063215531188976</v>
      </c>
      <c r="F110" s="24">
        <v>15200000</v>
      </c>
      <c r="G110" s="52" t="s">
        <v>2</v>
      </c>
      <c r="H110" s="32">
        <v>17.429274635654487</v>
      </c>
      <c r="I110" s="32">
        <v>24.145109601491864</v>
      </c>
      <c r="J110" s="12" t="s">
        <v>4239</v>
      </c>
      <c r="K110" s="12" t="s">
        <v>4240</v>
      </c>
      <c r="L110" s="14" t="s">
        <v>4724</v>
      </c>
      <c r="M110" s="12" t="s">
        <v>4241</v>
      </c>
      <c r="N110" s="15" t="s">
        <v>4242</v>
      </c>
      <c r="O110" s="12" t="s">
        <v>4243</v>
      </c>
      <c r="P110" s="12" t="s">
        <v>4246</v>
      </c>
      <c r="Q110" s="14">
        <v>2</v>
      </c>
      <c r="R110" s="21">
        <v>454.26600000000002</v>
      </c>
      <c r="S110" s="14">
        <v>2</v>
      </c>
      <c r="T110" s="52" t="s">
        <v>2</v>
      </c>
      <c r="U110" s="53">
        <v>52.5</v>
      </c>
      <c r="V110" s="24">
        <v>9080000</v>
      </c>
      <c r="W110" s="24">
        <v>9950000</v>
      </c>
      <c r="X110" s="24">
        <v>8990000</v>
      </c>
      <c r="Y110" s="24">
        <v>7360000</v>
      </c>
      <c r="Z110" s="24">
        <v>14400000</v>
      </c>
      <c r="AA110" s="24">
        <v>10200000</v>
      </c>
      <c r="AB110" s="24">
        <v>15200000</v>
      </c>
      <c r="AC110" s="24">
        <v>15200000</v>
      </c>
      <c r="AD110" s="24">
        <v>8845000</v>
      </c>
      <c r="AE110" s="24">
        <v>13750000</v>
      </c>
      <c r="AF110" s="24">
        <v>9515000</v>
      </c>
      <c r="AG110" s="24">
        <v>8175000</v>
      </c>
      <c r="AH110" s="24">
        <v>12300000</v>
      </c>
      <c r="AI110" s="24">
        <v>15200000</v>
      </c>
      <c r="AJ110" s="32">
        <v>12.216044536446754</v>
      </c>
      <c r="AK110" s="32">
        <v>17.429274635654487</v>
      </c>
      <c r="AL110" s="32">
        <v>6.4654009420104712</v>
      </c>
      <c r="AM110" s="32">
        <v>14.098887502557462</v>
      </c>
      <c r="AN110" s="32">
        <v>24.145109601491864</v>
      </c>
      <c r="AO110" s="32">
        <v>0</v>
      </c>
      <c r="AP110" s="19">
        <v>1.5545505935556811</v>
      </c>
      <c r="AQ110" s="19">
        <v>1.2926957435627955</v>
      </c>
      <c r="AR110" s="19">
        <v>1.8593272171253823</v>
      </c>
      <c r="AS110" s="19">
        <v>0.63649757060892587</v>
      </c>
      <c r="AT110" s="19">
        <v>0.37038275395258019</v>
      </c>
      <c r="AU110" s="19">
        <v>0.89478068794550303</v>
      </c>
      <c r="AV110" s="19">
        <v>0.43880801792282531</v>
      </c>
      <c r="AW110" s="19">
        <v>0.30255853696943047</v>
      </c>
      <c r="AX110" s="19">
        <v>0.5910297737097101</v>
      </c>
      <c r="AY110" s="19">
        <v>1.5545505935556811</v>
      </c>
      <c r="AZ110" s="19">
        <v>1.2926957435627955</v>
      </c>
      <c r="BA110" s="19">
        <v>1.8593272171253823</v>
      </c>
      <c r="BB110" s="19">
        <v>1.3554839380622925</v>
      </c>
      <c r="BC110" s="19">
        <v>1.2333297145815572</v>
      </c>
      <c r="BD110" s="19">
        <v>1.5063215531188976</v>
      </c>
      <c r="BE110" s="14" t="s">
        <v>4857</v>
      </c>
    </row>
    <row r="111" spans="1:57" s="30" customFormat="1" ht="17.100000000000001" customHeight="1">
      <c r="A111" s="14">
        <v>100</v>
      </c>
      <c r="B111" s="14" t="s">
        <v>4546</v>
      </c>
      <c r="C111" s="32">
        <v>1.0209744585009595</v>
      </c>
      <c r="D111" s="32">
        <v>1.020692885090267</v>
      </c>
      <c r="E111" s="32">
        <v>1.0325175101615611</v>
      </c>
      <c r="F111" s="24">
        <v>112889</v>
      </c>
      <c r="G111" s="52" t="s">
        <v>2</v>
      </c>
      <c r="H111" s="32">
        <v>20.434861951948985</v>
      </c>
      <c r="I111" s="32">
        <v>35.115847510424778</v>
      </c>
      <c r="J111" s="12" t="s">
        <v>4247</v>
      </c>
      <c r="K111" s="15" t="s">
        <v>4248</v>
      </c>
      <c r="L111" s="14" t="s">
        <v>5270</v>
      </c>
      <c r="M111" s="12" t="s">
        <v>4249</v>
      </c>
      <c r="N111" s="15" t="s">
        <v>4250</v>
      </c>
      <c r="O111" s="12" t="s">
        <v>4251</v>
      </c>
      <c r="P111" s="12" t="s">
        <v>4253</v>
      </c>
      <c r="Q111" s="14">
        <v>2</v>
      </c>
      <c r="R111" s="21">
        <v>751.87959999999998</v>
      </c>
      <c r="S111" s="14">
        <v>8</v>
      </c>
      <c r="T111" s="52" t="s">
        <v>2</v>
      </c>
      <c r="U111" s="53">
        <v>53.383787499999997</v>
      </c>
      <c r="V111" s="24">
        <v>94930</v>
      </c>
      <c r="W111" s="24">
        <v>86570</v>
      </c>
      <c r="X111" s="24">
        <v>110570</v>
      </c>
      <c r="Y111" s="24">
        <v>66582</v>
      </c>
      <c r="Z111" s="24">
        <v>110976</v>
      </c>
      <c r="AA111" s="24">
        <v>83197</v>
      </c>
      <c r="AB111" s="24">
        <v>115610</v>
      </c>
      <c r="AC111" s="24">
        <v>110168</v>
      </c>
      <c r="AD111" s="24">
        <v>89663</v>
      </c>
      <c r="AE111" s="24">
        <v>104987.75</v>
      </c>
      <c r="AF111" s="24">
        <v>90750</v>
      </c>
      <c r="AG111" s="24">
        <v>88576</v>
      </c>
      <c r="AH111" s="24">
        <v>97086.5</v>
      </c>
      <c r="AI111" s="24">
        <v>112889</v>
      </c>
      <c r="AJ111" s="32">
        <v>20.434861951948985</v>
      </c>
      <c r="AK111" s="32">
        <v>14.024219270190139</v>
      </c>
      <c r="AL111" s="32">
        <v>6.5139533782033476</v>
      </c>
      <c r="AM111" s="32">
        <v>35.115847510424778</v>
      </c>
      <c r="AN111" s="32">
        <v>20.232183954083322</v>
      </c>
      <c r="AO111" s="32">
        <v>3.4087245907193719</v>
      </c>
      <c r="AP111" s="19">
        <v>1.1709149816535249</v>
      </c>
      <c r="AQ111" s="19">
        <v>1.0698236914600552</v>
      </c>
      <c r="AR111" s="19">
        <v>1.2744874458092486</v>
      </c>
      <c r="AS111" s="19">
        <v>0.22763632776085971</v>
      </c>
      <c r="AT111" s="19">
        <v>9.7373057921279871E-2</v>
      </c>
      <c r="AU111" s="19">
        <v>0.34991716232995107</v>
      </c>
      <c r="AV111" s="19">
        <v>2.9946775074759152E-2</v>
      </c>
      <c r="AW111" s="19">
        <v>2.9548840938130164E-2</v>
      </c>
      <c r="AX111" s="19">
        <v>4.6166248094158147E-2</v>
      </c>
      <c r="AY111" s="19">
        <v>1.1709149816535249</v>
      </c>
      <c r="AZ111" s="19">
        <v>1.0698236914600552</v>
      </c>
      <c r="BA111" s="19">
        <v>1.2744874458092486</v>
      </c>
      <c r="BB111" s="19">
        <v>1.0209744585009595</v>
      </c>
      <c r="BC111" s="19">
        <v>1.020692885090267</v>
      </c>
      <c r="BD111" s="19">
        <v>1.0325175101615611</v>
      </c>
      <c r="BE111" s="14" t="s">
        <v>4857</v>
      </c>
    </row>
    <row r="112" spans="1:57" s="30" customFormat="1" ht="17.100000000000001" customHeight="1">
      <c r="A112" s="14">
        <v>101</v>
      </c>
      <c r="B112" s="14" t="s">
        <v>4658</v>
      </c>
      <c r="C112" s="32">
        <v>-1.3002036176580962</v>
      </c>
      <c r="D112" s="32">
        <v>-1.5670018388310334</v>
      </c>
      <c r="E112" s="32">
        <v>-1.1453004811829364</v>
      </c>
      <c r="F112" s="24">
        <v>41924</v>
      </c>
      <c r="G112" s="52" t="s">
        <v>2</v>
      </c>
      <c r="H112" s="32">
        <v>32.832169042245624</v>
      </c>
      <c r="I112" s="32">
        <v>26.664994082765759</v>
      </c>
      <c r="J112" s="12" t="s">
        <v>4254</v>
      </c>
      <c r="K112" s="12" t="s">
        <v>4255</v>
      </c>
      <c r="L112" s="14" t="s">
        <v>4339</v>
      </c>
      <c r="M112" s="12" t="s">
        <v>4256</v>
      </c>
      <c r="N112" s="15" t="s">
        <v>4257</v>
      </c>
      <c r="O112" s="12" t="s">
        <v>4258</v>
      </c>
      <c r="P112" s="12" t="s">
        <v>4259</v>
      </c>
      <c r="Q112" s="14">
        <v>2</v>
      </c>
      <c r="R112" s="21">
        <v>580.7921</v>
      </c>
      <c r="S112" s="14">
        <v>2</v>
      </c>
      <c r="T112" s="52" t="s">
        <v>2</v>
      </c>
      <c r="U112" s="53">
        <v>39.697412499999999</v>
      </c>
      <c r="V112" s="24">
        <v>32116</v>
      </c>
      <c r="W112" s="24">
        <v>39299</v>
      </c>
      <c r="X112" s="24">
        <v>31565</v>
      </c>
      <c r="Y112" s="24">
        <v>46234</v>
      </c>
      <c r="Z112" s="24">
        <v>21249</v>
      </c>
      <c r="AA112" s="24">
        <v>26519</v>
      </c>
      <c r="AB112" s="24">
        <v>44247</v>
      </c>
      <c r="AC112" s="24">
        <v>39601</v>
      </c>
      <c r="AD112" s="24">
        <v>37303.5</v>
      </c>
      <c r="AE112" s="24">
        <v>32904</v>
      </c>
      <c r="AF112" s="24">
        <v>35707.5</v>
      </c>
      <c r="AG112" s="24">
        <v>38899.5</v>
      </c>
      <c r="AH112" s="24">
        <v>23884</v>
      </c>
      <c r="AI112" s="24">
        <v>41924</v>
      </c>
      <c r="AJ112" s="32">
        <v>18.545190740562944</v>
      </c>
      <c r="AK112" s="32">
        <v>32.832169042245624</v>
      </c>
      <c r="AL112" s="32">
        <v>14.224317046175091</v>
      </c>
      <c r="AM112" s="32">
        <v>26.664994082765759</v>
      </c>
      <c r="AN112" s="32">
        <v>15.602297508177463</v>
      </c>
      <c r="AO112" s="32">
        <v>7.8361275293213906</v>
      </c>
      <c r="AP112" s="19">
        <v>0.88206200490570585</v>
      </c>
      <c r="AQ112" s="19">
        <v>0.66887908702653509</v>
      </c>
      <c r="AR112" s="19">
        <v>1.0777516420519544</v>
      </c>
      <c r="AS112" s="19">
        <v>-0.18104802070797871</v>
      </c>
      <c r="AT112" s="19">
        <v>-0.58018265578896222</v>
      </c>
      <c r="AU112" s="19">
        <v>0.10802476059425925</v>
      </c>
      <c r="AV112" s="19">
        <v>-0.37873757339407926</v>
      </c>
      <c r="AW112" s="19">
        <v>-0.64800687277211189</v>
      </c>
      <c r="AX112" s="19">
        <v>-0.19572615364153367</v>
      </c>
      <c r="AY112" s="19">
        <v>-1.1337071480671044</v>
      </c>
      <c r="AZ112" s="19">
        <v>-1.4950385195109697</v>
      </c>
      <c r="BA112" s="19">
        <v>1.0777516420519544</v>
      </c>
      <c r="BB112" s="19">
        <v>-1.3002036176580962</v>
      </c>
      <c r="BC112" s="19">
        <v>-1.5670018388310334</v>
      </c>
      <c r="BD112" s="19">
        <v>-1.1453004811829364</v>
      </c>
      <c r="BE112" s="14" t="s">
        <v>4857</v>
      </c>
    </row>
    <row r="113" spans="1:57" s="30" customFormat="1" ht="17.100000000000001" customHeight="1">
      <c r="A113" s="14">
        <v>102</v>
      </c>
      <c r="B113" s="14" t="s">
        <v>4260</v>
      </c>
      <c r="C113" s="32">
        <v>-1.4511056284199995</v>
      </c>
      <c r="D113" s="32">
        <v>-1.8657714700529053</v>
      </c>
      <c r="E113" s="32">
        <v>-1.2197587585217078</v>
      </c>
      <c r="F113" s="24">
        <v>157522</v>
      </c>
      <c r="G113" s="52" t="s">
        <v>2</v>
      </c>
      <c r="H113" s="32">
        <v>35.837789374779554</v>
      </c>
      <c r="I113" s="32">
        <v>19.925171853118442</v>
      </c>
      <c r="J113" s="12" t="s">
        <v>4261</v>
      </c>
      <c r="K113" s="15" t="s">
        <v>4262</v>
      </c>
      <c r="L113" s="14" t="s">
        <v>4263</v>
      </c>
      <c r="M113" s="12" t="s">
        <v>4264</v>
      </c>
      <c r="N113" s="15" t="s">
        <v>4265</v>
      </c>
      <c r="O113" s="12" t="s">
        <v>4266</v>
      </c>
      <c r="P113" s="12" t="s">
        <v>4268</v>
      </c>
      <c r="Q113" s="14">
        <v>3</v>
      </c>
      <c r="R113" s="21">
        <v>798.40800000000002</v>
      </c>
      <c r="S113" s="14">
        <v>13</v>
      </c>
      <c r="T113" s="52" t="s">
        <v>2</v>
      </c>
      <c r="U113" s="53">
        <v>55.746400000000001</v>
      </c>
      <c r="V113" s="24">
        <v>172200</v>
      </c>
      <c r="W113" s="24">
        <v>129669</v>
      </c>
      <c r="X113" s="24">
        <v>141644</v>
      </c>
      <c r="Y113" s="24">
        <v>169676</v>
      </c>
      <c r="Z113" s="24">
        <v>75270</v>
      </c>
      <c r="AA113" s="24">
        <v>94311</v>
      </c>
      <c r="AB113" s="24">
        <v>167131</v>
      </c>
      <c r="AC113" s="24">
        <v>147913</v>
      </c>
      <c r="AD113" s="24">
        <v>153297.25</v>
      </c>
      <c r="AE113" s="24">
        <v>121156.25</v>
      </c>
      <c r="AF113" s="24">
        <v>150934.5</v>
      </c>
      <c r="AG113" s="24">
        <v>155660</v>
      </c>
      <c r="AH113" s="24">
        <v>84790.5</v>
      </c>
      <c r="AI113" s="24">
        <v>157522</v>
      </c>
      <c r="AJ113" s="32">
        <v>13.681624117716543</v>
      </c>
      <c r="AK113" s="32">
        <v>35.837789374779554</v>
      </c>
      <c r="AL113" s="32">
        <v>19.925171853118442</v>
      </c>
      <c r="AM113" s="32">
        <v>12.733918341398754</v>
      </c>
      <c r="AN113" s="32">
        <v>15.879161251051771</v>
      </c>
      <c r="AO113" s="32">
        <v>8.6268445809747654</v>
      </c>
      <c r="AP113" s="19">
        <v>0.79033544306893955</v>
      </c>
      <c r="AQ113" s="19">
        <v>0.56177017182950217</v>
      </c>
      <c r="AR113" s="19">
        <v>1.0119619683926506</v>
      </c>
      <c r="AS113" s="19">
        <v>-0.33946298674007863</v>
      </c>
      <c r="AT113" s="19">
        <v>-0.83194807080769118</v>
      </c>
      <c r="AU113" s="19">
        <v>1.7155071610945129E-2</v>
      </c>
      <c r="AV113" s="19">
        <v>-0.53715253942617913</v>
      </c>
      <c r="AW113" s="19">
        <v>-0.89977228779084084</v>
      </c>
      <c r="AX113" s="19">
        <v>-0.28659584262484777</v>
      </c>
      <c r="AY113" s="19">
        <v>-1.2652855300490071</v>
      </c>
      <c r="AZ113" s="19">
        <v>-1.7800873918658342</v>
      </c>
      <c r="BA113" s="19">
        <v>1.0119619683926506</v>
      </c>
      <c r="BB113" s="19">
        <v>-1.4511056284199995</v>
      </c>
      <c r="BC113" s="19">
        <v>-1.8657714700529053</v>
      </c>
      <c r="BD113" s="19">
        <v>-1.2197587585217078</v>
      </c>
      <c r="BE113" s="14" t="s">
        <v>4857</v>
      </c>
    </row>
    <row r="114" spans="1:57" s="30" customFormat="1" ht="17.100000000000001" customHeight="1">
      <c r="A114" s="14">
        <v>103</v>
      </c>
      <c r="B114" s="14" t="s">
        <v>4270</v>
      </c>
      <c r="C114" s="32">
        <v>1.3934796768815083</v>
      </c>
      <c r="D114" s="32">
        <v>1.3978927129023442</v>
      </c>
      <c r="E114" s="32">
        <v>1.3994199215903447</v>
      </c>
      <c r="F114" s="42">
        <v>2518362.5</v>
      </c>
      <c r="G114" s="52" t="s">
        <v>4894</v>
      </c>
      <c r="H114" s="32">
        <v>16.434051071991572</v>
      </c>
      <c r="I114" s="32">
        <v>19.117578006614544</v>
      </c>
      <c r="J114" s="12" t="s">
        <v>4271</v>
      </c>
      <c r="K114" s="15" t="s">
        <v>4272</v>
      </c>
      <c r="L114" s="14" t="s">
        <v>4273</v>
      </c>
      <c r="M114" s="12" t="s">
        <v>4274</v>
      </c>
      <c r="N114" s="15" t="s">
        <v>4275</v>
      </c>
      <c r="O114" s="12" t="s">
        <v>4276</v>
      </c>
      <c r="P114" s="12" t="s">
        <v>4278</v>
      </c>
      <c r="Q114" s="14">
        <v>3</v>
      </c>
      <c r="R114" s="21">
        <v>710.72460000000001</v>
      </c>
      <c r="S114" s="14">
        <v>1</v>
      </c>
      <c r="T114" s="52" t="s">
        <v>4894</v>
      </c>
      <c r="U114" s="53">
        <v>98.4</v>
      </c>
      <c r="V114" s="42">
        <v>1348197</v>
      </c>
      <c r="W114" s="42">
        <v>1486491</v>
      </c>
      <c r="X114" s="42">
        <v>1554750</v>
      </c>
      <c r="Y114" s="42">
        <v>1361079</v>
      </c>
      <c r="Z114" s="42">
        <v>2096613</v>
      </c>
      <c r="AA114" s="42">
        <v>2056715</v>
      </c>
      <c r="AB114" s="42">
        <v>2858799</v>
      </c>
      <c r="AC114" s="42">
        <v>2177926</v>
      </c>
      <c r="AD114" s="42">
        <v>1437629.25</v>
      </c>
      <c r="AE114" s="42">
        <v>2297513.25</v>
      </c>
      <c r="AF114" s="42">
        <v>1417344</v>
      </c>
      <c r="AG114" s="42">
        <v>1457914.5</v>
      </c>
      <c r="AH114" s="42">
        <v>2076664</v>
      </c>
      <c r="AI114" s="42">
        <v>2518362.5</v>
      </c>
      <c r="AJ114" s="32">
        <v>6.9515833417019115</v>
      </c>
      <c r="AK114" s="32">
        <v>16.434051071991572</v>
      </c>
      <c r="AL114" s="32">
        <v>6.8994277463630844</v>
      </c>
      <c r="AM114" s="32">
        <v>9.393285917602153</v>
      </c>
      <c r="AN114" s="32">
        <v>1.3585320666116847</v>
      </c>
      <c r="AO114" s="32">
        <v>19.117578006614544</v>
      </c>
      <c r="AP114" s="19">
        <v>1.5981263945485249</v>
      </c>
      <c r="AQ114" s="19">
        <v>1.465179942201752</v>
      </c>
      <c r="AR114" s="19">
        <v>1.7273732444529497</v>
      </c>
      <c r="AS114" s="19">
        <v>0.67638151438432015</v>
      </c>
      <c r="AT114" s="19">
        <v>0.55107785630643924</v>
      </c>
      <c r="AU114" s="19">
        <v>0.78857984878516707</v>
      </c>
      <c r="AV114" s="19">
        <v>0.47869196169821959</v>
      </c>
      <c r="AW114" s="19">
        <v>0.48325363932328952</v>
      </c>
      <c r="AX114" s="19">
        <v>0.48482893454937415</v>
      </c>
      <c r="AY114" s="19">
        <v>1.5981263945485249</v>
      </c>
      <c r="AZ114" s="19">
        <v>1.465179942201752</v>
      </c>
      <c r="BA114" s="19">
        <v>1.7273732444529497</v>
      </c>
      <c r="BB114" s="19">
        <v>1.3934796768815083</v>
      </c>
      <c r="BC114" s="19">
        <v>1.3978927129023442</v>
      </c>
      <c r="BD114" s="19">
        <v>1.3994199215903447</v>
      </c>
      <c r="BE114" s="14" t="s">
        <v>4857</v>
      </c>
    </row>
    <row r="115" spans="1:57" s="30" customFormat="1" ht="17.100000000000001" customHeight="1">
      <c r="A115" s="14">
        <v>104</v>
      </c>
      <c r="B115" s="14" t="s">
        <v>4279</v>
      </c>
      <c r="C115" s="32">
        <v>-1.4966194457476221</v>
      </c>
      <c r="D115" s="32">
        <v>-1.6428408944141819</v>
      </c>
      <c r="E115" s="32">
        <v>-1.6516140816856482</v>
      </c>
      <c r="F115" s="24">
        <v>47197.5</v>
      </c>
      <c r="G115" s="52" t="s">
        <v>2</v>
      </c>
      <c r="H115" s="32">
        <v>32.541228858164622</v>
      </c>
      <c r="I115" s="32">
        <v>37.097473335993755</v>
      </c>
      <c r="J115" s="12" t="s">
        <v>4280</v>
      </c>
      <c r="K115" s="15" t="s">
        <v>4281</v>
      </c>
      <c r="L115" s="14" t="s">
        <v>4983</v>
      </c>
      <c r="M115" s="12" t="s">
        <v>4282</v>
      </c>
      <c r="N115" s="15" t="s">
        <v>4283</v>
      </c>
      <c r="O115" s="12" t="s">
        <v>4284</v>
      </c>
      <c r="P115" s="12" t="s">
        <v>4285</v>
      </c>
      <c r="Q115" s="14">
        <v>2</v>
      </c>
      <c r="R115" s="21">
        <v>565.79570000000001</v>
      </c>
      <c r="S115" s="14">
        <v>2</v>
      </c>
      <c r="T115" s="52" t="s">
        <v>2</v>
      </c>
      <c r="U115" s="53">
        <v>30.526042857142851</v>
      </c>
      <c r="V115" s="24">
        <v>23504</v>
      </c>
      <c r="W115" s="24">
        <v>40220</v>
      </c>
      <c r="X115" s="24">
        <v>48827</v>
      </c>
      <c r="Y115" s="24">
        <v>45568</v>
      </c>
      <c r="Z115" s="24"/>
      <c r="AA115" s="24">
        <v>20328</v>
      </c>
      <c r="AB115" s="24">
        <v>30508</v>
      </c>
      <c r="AC115" s="24">
        <v>40039</v>
      </c>
      <c r="AD115" s="24">
        <v>39529.75</v>
      </c>
      <c r="AE115" s="24">
        <v>30291.666666666668</v>
      </c>
      <c r="AF115" s="24">
        <v>31862</v>
      </c>
      <c r="AG115" s="24">
        <v>47197.5</v>
      </c>
      <c r="AH115" s="24">
        <v>20328</v>
      </c>
      <c r="AI115" s="24">
        <v>35273.5</v>
      </c>
      <c r="AJ115" s="32">
        <v>28.478794780585286</v>
      </c>
      <c r="AK115" s="32">
        <v>32.541228858164622</v>
      </c>
      <c r="AL115" s="32">
        <v>37.097473335993755</v>
      </c>
      <c r="AM115" s="32">
        <v>4.8825912387032329</v>
      </c>
      <c r="AN115" s="32" t="s">
        <v>4854</v>
      </c>
      <c r="AO115" s="32">
        <v>19.106226293078329</v>
      </c>
      <c r="AP115" s="19">
        <v>0.76630048676418816</v>
      </c>
      <c r="AQ115" s="19">
        <v>0.63800138095537007</v>
      </c>
      <c r="AR115" s="19">
        <v>0.74735949997351558</v>
      </c>
      <c r="AS115" s="19">
        <v>-0.38401787276598703</v>
      </c>
      <c r="AT115" s="19">
        <v>-0.64836854817729939</v>
      </c>
      <c r="AU115" s="19">
        <v>-0.42012570988224412</v>
      </c>
      <c r="AV115" s="19">
        <v>-0.58170742545208753</v>
      </c>
      <c r="AW115" s="19">
        <v>-0.71619276516044905</v>
      </c>
      <c r="AX115" s="19">
        <v>-0.72387662411803699</v>
      </c>
      <c r="AY115" s="19">
        <v>-1.3049711141678129</v>
      </c>
      <c r="AZ115" s="19">
        <v>-1.5673947264856354</v>
      </c>
      <c r="BA115" s="19">
        <v>-1.3380441407855754</v>
      </c>
      <c r="BB115" s="19">
        <v>-1.4966194457476221</v>
      </c>
      <c r="BC115" s="19">
        <v>-1.6428408944141819</v>
      </c>
      <c r="BD115" s="19">
        <v>-1.6516140816856482</v>
      </c>
      <c r="BE115" s="14" t="s">
        <v>4857</v>
      </c>
    </row>
    <row r="116" spans="1:57" s="30" customFormat="1" ht="17.100000000000001" customHeight="1">
      <c r="A116" s="14">
        <v>105</v>
      </c>
      <c r="B116" s="14" t="s">
        <v>4286</v>
      </c>
      <c r="C116" s="32">
        <v>-1.1679997511670803</v>
      </c>
      <c r="D116" s="32">
        <v>-1.8896261060120896</v>
      </c>
      <c r="E116" s="32">
        <v>1.1757683596707436</v>
      </c>
      <c r="F116" s="24">
        <v>219100.5</v>
      </c>
      <c r="G116" s="52" t="s">
        <v>2</v>
      </c>
      <c r="H116" s="32">
        <v>47.517105602869648</v>
      </c>
      <c r="I116" s="32">
        <v>20.024797533289259</v>
      </c>
      <c r="J116" s="12" t="s">
        <v>4287</v>
      </c>
      <c r="K116" s="12" t="s">
        <v>4288</v>
      </c>
      <c r="L116" s="14" t="s">
        <v>4960</v>
      </c>
      <c r="M116" s="12" t="s">
        <v>4289</v>
      </c>
      <c r="N116" s="15" t="s">
        <v>4290</v>
      </c>
      <c r="O116" s="12" t="s">
        <v>4291</v>
      </c>
      <c r="P116" s="12" t="s">
        <v>4293</v>
      </c>
      <c r="Q116" s="14">
        <v>2</v>
      </c>
      <c r="R116" s="21">
        <v>807.89530000000002</v>
      </c>
      <c r="S116" s="14">
        <v>8</v>
      </c>
      <c r="T116" s="52" t="s">
        <v>2</v>
      </c>
      <c r="U116" s="53">
        <v>51.031749999999995</v>
      </c>
      <c r="V116" s="24">
        <v>143930</v>
      </c>
      <c r="W116" s="24">
        <v>187819</v>
      </c>
      <c r="X116" s="24">
        <v>172344</v>
      </c>
      <c r="Y116" s="24">
        <v>129591</v>
      </c>
      <c r="Z116" s="24">
        <v>91067</v>
      </c>
      <c r="AA116" s="24">
        <v>92947</v>
      </c>
      <c r="AB116" s="24">
        <v>208247</v>
      </c>
      <c r="AC116" s="24">
        <v>229954</v>
      </c>
      <c r="AD116" s="24">
        <v>158421</v>
      </c>
      <c r="AE116" s="24">
        <v>155553.75</v>
      </c>
      <c r="AF116" s="24">
        <v>165874.5</v>
      </c>
      <c r="AG116" s="24">
        <v>150967.5</v>
      </c>
      <c r="AH116" s="24">
        <v>92007</v>
      </c>
      <c r="AI116" s="24">
        <v>219100.5</v>
      </c>
      <c r="AJ116" s="32">
        <v>16.697780036226202</v>
      </c>
      <c r="AK116" s="32">
        <v>47.517105602869648</v>
      </c>
      <c r="AL116" s="32">
        <v>18.70945173579808</v>
      </c>
      <c r="AM116" s="32">
        <v>20.024797533289259</v>
      </c>
      <c r="AN116" s="32">
        <v>1.4448474014267494</v>
      </c>
      <c r="AO116" s="32">
        <v>7.0055371389916434</v>
      </c>
      <c r="AP116" s="19">
        <v>0.98190107372128699</v>
      </c>
      <c r="AQ116" s="19">
        <v>0.55467838637041855</v>
      </c>
      <c r="AR116" s="19">
        <v>1.4513090565850266</v>
      </c>
      <c r="AS116" s="19">
        <v>-2.6350414177328491E-2</v>
      </c>
      <c r="AT116" s="19">
        <v>-0.85027658446596188</v>
      </c>
      <c r="AU116" s="19">
        <v>0.53735477434929924</v>
      </c>
      <c r="AV116" s="19">
        <v>-0.22403996686342906</v>
      </c>
      <c r="AW116" s="19">
        <v>-0.91810080144911155</v>
      </c>
      <c r="AX116" s="19">
        <v>0.23360386011350631</v>
      </c>
      <c r="AY116" s="19">
        <v>-1.0184325353776427</v>
      </c>
      <c r="AZ116" s="19">
        <v>-1.8028465225471977</v>
      </c>
      <c r="BA116" s="19">
        <v>1.4513090565850266</v>
      </c>
      <c r="BB116" s="19">
        <v>-1.1679997511670803</v>
      </c>
      <c r="BC116" s="19">
        <v>-1.8896261060120896</v>
      </c>
      <c r="BD116" s="19">
        <v>1.1757683596707436</v>
      </c>
      <c r="BE116" s="14" t="s">
        <v>4857</v>
      </c>
    </row>
    <row r="117" spans="1:57" s="30" customFormat="1" ht="17.100000000000001" customHeight="1">
      <c r="A117" s="14">
        <v>106</v>
      </c>
      <c r="B117" s="14" t="s">
        <v>4166</v>
      </c>
      <c r="C117" s="32">
        <v>1.0402519044267169</v>
      </c>
      <c r="D117" s="32">
        <v>1.0271113400404539</v>
      </c>
      <c r="E117" s="32">
        <v>1.033787703777536</v>
      </c>
      <c r="F117" s="24">
        <v>354425</v>
      </c>
      <c r="G117" s="52" t="s">
        <v>2</v>
      </c>
      <c r="H117" s="32">
        <v>33.608660656679405</v>
      </c>
      <c r="I117" s="32">
        <v>47.154260549700318</v>
      </c>
      <c r="J117" s="12" t="s">
        <v>4295</v>
      </c>
      <c r="K117" s="12" t="s">
        <v>4296</v>
      </c>
      <c r="L117" s="14" t="s">
        <v>5276</v>
      </c>
      <c r="M117" s="12" t="s">
        <v>4297</v>
      </c>
      <c r="N117" s="15" t="s">
        <v>4161</v>
      </c>
      <c r="O117" s="12" t="s">
        <v>4162</v>
      </c>
      <c r="P117" s="12" t="s">
        <v>4167</v>
      </c>
      <c r="Q117" s="14">
        <v>4</v>
      </c>
      <c r="R117" s="21">
        <v>931.19240000000002</v>
      </c>
      <c r="S117" s="14">
        <v>17</v>
      </c>
      <c r="T117" s="52" t="s">
        <v>2</v>
      </c>
      <c r="U117" s="53">
        <v>79.193737499999997</v>
      </c>
      <c r="V117" s="24">
        <v>131984</v>
      </c>
      <c r="W117" s="24">
        <v>264026</v>
      </c>
      <c r="X117" s="24">
        <v>323016</v>
      </c>
      <c r="Y117" s="24">
        <v>232485</v>
      </c>
      <c r="Z117" s="24">
        <v>268792</v>
      </c>
      <c r="AA117" s="24">
        <v>157533</v>
      </c>
      <c r="AB117" s="24">
        <v>355908</v>
      </c>
      <c r="AC117" s="24">
        <v>352942</v>
      </c>
      <c r="AD117" s="24">
        <v>237877.75</v>
      </c>
      <c r="AE117" s="24">
        <v>283793.75</v>
      </c>
      <c r="AF117" s="24">
        <v>198005</v>
      </c>
      <c r="AG117" s="24">
        <v>277750.5</v>
      </c>
      <c r="AH117" s="24">
        <v>213162.5</v>
      </c>
      <c r="AI117" s="24">
        <v>354425</v>
      </c>
      <c r="AJ117" s="32">
        <v>33.608660656679405</v>
      </c>
      <c r="AK117" s="32">
        <v>32.897448837470812</v>
      </c>
      <c r="AL117" s="32">
        <v>47.154260549700318</v>
      </c>
      <c r="AM117" s="32">
        <v>23.047693526240039</v>
      </c>
      <c r="AN117" s="32">
        <v>36.907051365992658</v>
      </c>
      <c r="AO117" s="32">
        <v>0.59174119009643789</v>
      </c>
      <c r="AP117" s="19">
        <v>1.1930235173319068</v>
      </c>
      <c r="AQ117" s="19">
        <v>1.0765510971945154</v>
      </c>
      <c r="AR117" s="19">
        <v>1.2760553086313076</v>
      </c>
      <c r="AS117" s="19">
        <v>0.25462248226508616</v>
      </c>
      <c r="AT117" s="19">
        <v>0.10641679690379324</v>
      </c>
      <c r="AU117" s="19">
        <v>0.35169086182912918</v>
      </c>
      <c r="AV117" s="19">
        <v>5.6932929578985603E-2</v>
      </c>
      <c r="AW117" s="19">
        <v>3.8592579920643535E-2</v>
      </c>
      <c r="AX117" s="19">
        <v>4.7939947593336252E-2</v>
      </c>
      <c r="AY117" s="19">
        <v>1.1930235173319068</v>
      </c>
      <c r="AZ117" s="19">
        <v>1.0765510971945154</v>
      </c>
      <c r="BA117" s="19">
        <v>1.2760553086313076</v>
      </c>
      <c r="BB117" s="19">
        <v>1.0402519044267169</v>
      </c>
      <c r="BC117" s="19">
        <v>1.0271113400404539</v>
      </c>
      <c r="BD117" s="19">
        <v>1.033787703777536</v>
      </c>
      <c r="BE117" s="14" t="s">
        <v>4857</v>
      </c>
    </row>
    <row r="118" spans="1:57" s="30" customFormat="1" ht="17.100000000000001" customHeight="1">
      <c r="A118" s="14">
        <v>107</v>
      </c>
      <c r="B118" s="14" t="s">
        <v>4169</v>
      </c>
      <c r="C118" s="32">
        <v>1.4244212963389979</v>
      </c>
      <c r="D118" s="32">
        <v>1.6374974461634491</v>
      </c>
      <c r="E118" s="32" t="s">
        <v>5330</v>
      </c>
      <c r="F118" s="40">
        <v>10255</v>
      </c>
      <c r="G118" s="52" t="s">
        <v>2</v>
      </c>
      <c r="H118" s="32">
        <v>11.29592264769877</v>
      </c>
      <c r="I118" s="32">
        <v>15.976471206725339</v>
      </c>
      <c r="J118" s="12" t="s">
        <v>4170</v>
      </c>
      <c r="K118" s="12" t="s">
        <v>4171</v>
      </c>
      <c r="L118" s="14" t="s">
        <v>4172</v>
      </c>
      <c r="M118" s="12" t="s">
        <v>4173</v>
      </c>
      <c r="N118" s="15" t="s">
        <v>4174</v>
      </c>
      <c r="O118" s="12" t="s">
        <v>4175</v>
      </c>
      <c r="P118" s="12" t="s">
        <v>4176</v>
      </c>
      <c r="Q118" s="14">
        <v>2</v>
      </c>
      <c r="R118" s="21">
        <v>398.22719999999998</v>
      </c>
      <c r="S118" s="14">
        <v>3</v>
      </c>
      <c r="T118" s="52" t="s">
        <v>2</v>
      </c>
      <c r="U118" s="53">
        <v>20</v>
      </c>
      <c r="V118" s="40">
        <v>6650</v>
      </c>
      <c r="W118" s="40">
        <v>5300</v>
      </c>
      <c r="X118" s="40">
        <v>6240</v>
      </c>
      <c r="Y118" s="40">
        <v>6920</v>
      </c>
      <c r="Z118" s="40">
        <v>10900</v>
      </c>
      <c r="AA118" s="40">
        <v>9610</v>
      </c>
      <c r="AB118" s="40"/>
      <c r="AC118" s="40"/>
      <c r="AD118" s="40">
        <v>6277.5</v>
      </c>
      <c r="AE118" s="40">
        <v>10255</v>
      </c>
      <c r="AF118" s="40">
        <v>5975</v>
      </c>
      <c r="AG118" s="40">
        <v>6580</v>
      </c>
      <c r="AH118" s="40">
        <v>10255</v>
      </c>
      <c r="AI118" s="40" t="s">
        <v>4854</v>
      </c>
      <c r="AJ118" s="32">
        <v>11.29592264769877</v>
      </c>
      <c r="AK118" s="32">
        <v>8.8948585834290235</v>
      </c>
      <c r="AL118" s="32">
        <v>15.976471206725339</v>
      </c>
      <c r="AM118" s="32">
        <v>7.3074864925053546</v>
      </c>
      <c r="AN118" s="32">
        <v>8.8948585834290235</v>
      </c>
      <c r="AO118" s="32" t="s">
        <v>4854</v>
      </c>
      <c r="AP118" s="19">
        <v>1.6336121067303864</v>
      </c>
      <c r="AQ118" s="19">
        <v>1.7163179916317992</v>
      </c>
      <c r="AR118" s="19" t="s">
        <v>4854</v>
      </c>
      <c r="AS118" s="19">
        <v>0.70806546320835217</v>
      </c>
      <c r="AT118" s="19">
        <v>0.77931687361174118</v>
      </c>
      <c r="AU118" s="19" t="s">
        <v>4854</v>
      </c>
      <c r="AV118" s="19">
        <v>0.51037591052225162</v>
      </c>
      <c r="AW118" s="19">
        <v>0.71149265662859151</v>
      </c>
      <c r="AX118" s="19" t="s">
        <v>4854</v>
      </c>
      <c r="AY118" s="19">
        <v>1.6336121067303864</v>
      </c>
      <c r="AZ118" s="19">
        <v>1.7163179916317992</v>
      </c>
      <c r="BA118" s="19" t="s">
        <v>4854</v>
      </c>
      <c r="BB118" s="19">
        <v>1.4244212963389979</v>
      </c>
      <c r="BC118" s="19">
        <v>1.6374974461634491</v>
      </c>
      <c r="BD118" s="19" t="s">
        <v>4854</v>
      </c>
      <c r="BE118" s="14" t="s">
        <v>4857</v>
      </c>
    </row>
    <row r="119" spans="1:57" s="30" customFormat="1" ht="17.100000000000001" customHeight="1">
      <c r="A119" s="14">
        <v>108</v>
      </c>
      <c r="B119" s="14" t="s">
        <v>4178</v>
      </c>
      <c r="C119" s="32">
        <v>1.0375901372050738</v>
      </c>
      <c r="D119" s="32">
        <v>1.2545701069481765</v>
      </c>
      <c r="E119" s="32">
        <v>-1.1275067499037807</v>
      </c>
      <c r="F119" s="24">
        <v>94624.5</v>
      </c>
      <c r="G119" s="52" t="s">
        <v>2</v>
      </c>
      <c r="H119" s="32">
        <v>23.35389697674854</v>
      </c>
      <c r="I119" s="32">
        <v>21.3766575565223</v>
      </c>
      <c r="J119" s="12" t="s">
        <v>4179</v>
      </c>
      <c r="K119" s="12" t="s">
        <v>4179</v>
      </c>
      <c r="L119" s="14" t="s">
        <v>4180</v>
      </c>
      <c r="M119" s="12" t="s">
        <v>4181</v>
      </c>
      <c r="N119" s="15" t="s">
        <v>4182</v>
      </c>
      <c r="O119" s="12" t="s">
        <v>4183</v>
      </c>
      <c r="P119" s="12" t="s">
        <v>4184</v>
      </c>
      <c r="Q119" s="14">
        <v>2</v>
      </c>
      <c r="R119" s="21">
        <v>566.85239999999999</v>
      </c>
      <c r="S119" s="14">
        <v>1</v>
      </c>
      <c r="T119" s="52" t="s">
        <v>2</v>
      </c>
      <c r="U119" s="53">
        <v>79.963012499999991</v>
      </c>
      <c r="V119" s="24">
        <v>75410</v>
      </c>
      <c r="W119" s="24">
        <v>56274</v>
      </c>
      <c r="X119" s="24">
        <v>73369</v>
      </c>
      <c r="Y119" s="24">
        <v>99499</v>
      </c>
      <c r="Z119" s="24">
        <v>90678</v>
      </c>
      <c r="AA119" s="24">
        <v>82481</v>
      </c>
      <c r="AB119" s="24">
        <v>101841</v>
      </c>
      <c r="AC119" s="24">
        <v>87408</v>
      </c>
      <c r="AD119" s="24">
        <v>76138</v>
      </c>
      <c r="AE119" s="24">
        <v>90602</v>
      </c>
      <c r="AF119" s="24">
        <v>65842</v>
      </c>
      <c r="AG119" s="24">
        <v>86434</v>
      </c>
      <c r="AH119" s="24">
        <v>86579.5</v>
      </c>
      <c r="AI119" s="24">
        <v>94624.5</v>
      </c>
      <c r="AJ119" s="32">
        <v>23.35389697674854</v>
      </c>
      <c r="AK119" s="32">
        <v>9.067453424608205</v>
      </c>
      <c r="AL119" s="32">
        <v>20.551009028865728</v>
      </c>
      <c r="AM119" s="32">
        <v>21.3766575565223</v>
      </c>
      <c r="AN119" s="32">
        <v>6.6946035555600689</v>
      </c>
      <c r="AO119" s="32">
        <v>10.785443698899799</v>
      </c>
      <c r="AP119" s="19">
        <v>1.1899708424177151</v>
      </c>
      <c r="AQ119" s="19">
        <v>1.3149585371039763</v>
      </c>
      <c r="AR119" s="19">
        <v>1.0947601638244209</v>
      </c>
      <c r="AS119" s="19">
        <v>0.25092622394101449</v>
      </c>
      <c r="AT119" s="19">
        <v>0.39501730958788073</v>
      </c>
      <c r="AU119" s="19">
        <v>0.13061484392714379</v>
      </c>
      <c r="AV119" s="19">
        <v>5.3236671254913936E-2</v>
      </c>
      <c r="AW119" s="19">
        <v>0.32719309260473101</v>
      </c>
      <c r="AX119" s="19">
        <v>-0.17313607030864914</v>
      </c>
      <c r="AY119" s="19">
        <v>1.1899708424177151</v>
      </c>
      <c r="AZ119" s="19">
        <v>1.3149585371039763</v>
      </c>
      <c r="BA119" s="19">
        <v>1.0947601638244209</v>
      </c>
      <c r="BB119" s="19">
        <v>1.0375901372050738</v>
      </c>
      <c r="BC119" s="19">
        <v>1.2545701069481765</v>
      </c>
      <c r="BD119" s="19">
        <v>-1.1275067499037807</v>
      </c>
      <c r="BE119" s="14" t="s">
        <v>4857</v>
      </c>
    </row>
    <row r="120" spans="1:57" s="30" customFormat="1" ht="17.100000000000001" customHeight="1">
      <c r="A120" s="14">
        <v>109</v>
      </c>
      <c r="B120" s="14" t="s">
        <v>4185</v>
      </c>
      <c r="C120" s="32">
        <v>-1.3478102135304846</v>
      </c>
      <c r="D120" s="32">
        <v>-1.2159654213276279</v>
      </c>
      <c r="E120" s="32">
        <v>-1.462528138108705</v>
      </c>
      <c r="F120" s="24">
        <v>120500</v>
      </c>
      <c r="G120" s="52" t="s">
        <v>2</v>
      </c>
      <c r="H120" s="32">
        <v>28.225182296761801</v>
      </c>
      <c r="I120" s="32">
        <v>22.535966698324149</v>
      </c>
      <c r="J120" s="12" t="s">
        <v>4186</v>
      </c>
      <c r="K120" s="12" t="s">
        <v>4187</v>
      </c>
      <c r="L120" s="14" t="s">
        <v>5016</v>
      </c>
      <c r="M120" s="12" t="s">
        <v>4188</v>
      </c>
      <c r="N120" s="15" t="s">
        <v>4189</v>
      </c>
      <c r="O120" s="12" t="s">
        <v>4190</v>
      </c>
      <c r="P120" s="12" t="s">
        <v>4192</v>
      </c>
      <c r="Q120" s="14">
        <v>3</v>
      </c>
      <c r="R120" s="21">
        <v>475.57010000000002</v>
      </c>
      <c r="S120" s="14">
        <v>3</v>
      </c>
      <c r="T120" s="52" t="s">
        <v>2</v>
      </c>
      <c r="U120" s="53">
        <v>55.524999999999999</v>
      </c>
      <c r="V120" s="24">
        <v>71300</v>
      </c>
      <c r="W120" s="24">
        <v>79400</v>
      </c>
      <c r="X120" s="24">
        <v>110000</v>
      </c>
      <c r="Y120" s="24">
        <v>131000</v>
      </c>
      <c r="Z120" s="24">
        <v>54600</v>
      </c>
      <c r="AA120" s="24">
        <v>75300</v>
      </c>
      <c r="AB120" s="24">
        <v>97400</v>
      </c>
      <c r="AC120" s="24">
        <v>106000</v>
      </c>
      <c r="AD120" s="24">
        <v>97925</v>
      </c>
      <c r="AE120" s="24">
        <v>83325</v>
      </c>
      <c r="AF120" s="24">
        <v>75350</v>
      </c>
      <c r="AG120" s="24">
        <v>120500</v>
      </c>
      <c r="AH120" s="24">
        <v>64950</v>
      </c>
      <c r="AI120" s="24">
        <v>101700</v>
      </c>
      <c r="AJ120" s="32">
        <v>28.225182296761801</v>
      </c>
      <c r="AK120" s="32">
        <v>27.731061910226519</v>
      </c>
      <c r="AL120" s="32">
        <v>7.6012805940425157</v>
      </c>
      <c r="AM120" s="32">
        <v>12.323022742670124</v>
      </c>
      <c r="AN120" s="32">
        <v>22.535966698324149</v>
      </c>
      <c r="AO120" s="32">
        <v>5.9794673728655932</v>
      </c>
      <c r="AP120" s="19">
        <v>0.850906305846311</v>
      </c>
      <c r="AQ120" s="19">
        <v>0.86197743861977438</v>
      </c>
      <c r="AR120" s="19">
        <v>0.84398340248962656</v>
      </c>
      <c r="AS120" s="19">
        <v>-0.23292781084049818</v>
      </c>
      <c r="AT120" s="19">
        <v>-0.2142779861499429</v>
      </c>
      <c r="AU120" s="19">
        <v>-0.24471346725982393</v>
      </c>
      <c r="AV120" s="19">
        <v>-0.43061736352659874</v>
      </c>
      <c r="AW120" s="19">
        <v>-0.28210220313309259</v>
      </c>
      <c r="AX120" s="19">
        <v>-0.54846438149561683</v>
      </c>
      <c r="AY120" s="19">
        <v>-1.1752175217521752</v>
      </c>
      <c r="AZ120" s="19">
        <v>-1.1601231716705158</v>
      </c>
      <c r="BA120" s="19">
        <v>-1.184857423795477</v>
      </c>
      <c r="BB120" s="19">
        <v>-1.3478102135304846</v>
      </c>
      <c r="BC120" s="19">
        <v>-1.2159654213276279</v>
      </c>
      <c r="BD120" s="19">
        <v>-1.462528138108705</v>
      </c>
      <c r="BE120" s="14" t="s">
        <v>4857</v>
      </c>
    </row>
    <row r="121" spans="1:57" s="30" customFormat="1" ht="17.100000000000001" customHeight="1">
      <c r="A121" s="14">
        <v>110</v>
      </c>
      <c r="B121" s="14" t="s">
        <v>4193</v>
      </c>
      <c r="C121" s="32">
        <v>-1.1105416246680941</v>
      </c>
      <c r="D121" s="32">
        <v>-1.1469832406935527</v>
      </c>
      <c r="E121" s="32">
        <v>-1.0766100252967441</v>
      </c>
      <c r="F121" s="24">
        <v>403000</v>
      </c>
      <c r="G121" s="52" t="s">
        <v>2</v>
      </c>
      <c r="H121" s="32">
        <v>17.96611668395494</v>
      </c>
      <c r="I121" s="32">
        <v>13.23855192117459</v>
      </c>
      <c r="J121" s="12" t="s">
        <v>4186</v>
      </c>
      <c r="K121" s="12" t="s">
        <v>4187</v>
      </c>
      <c r="L121" s="14" t="s">
        <v>5163</v>
      </c>
      <c r="M121" s="12" t="s">
        <v>4188</v>
      </c>
      <c r="N121" s="15" t="s">
        <v>4189</v>
      </c>
      <c r="O121" s="12" t="s">
        <v>4190</v>
      </c>
      <c r="P121" s="12" t="s">
        <v>4194</v>
      </c>
      <c r="Q121" s="14">
        <v>2</v>
      </c>
      <c r="R121" s="21">
        <v>546.78779999999995</v>
      </c>
      <c r="S121" s="14">
        <v>7</v>
      </c>
      <c r="T121" s="52" t="s">
        <v>2</v>
      </c>
      <c r="U121" s="53">
        <v>43.051666666666669</v>
      </c>
      <c r="V121" s="24">
        <v>305000</v>
      </c>
      <c r="W121" s="24">
        <v>368000</v>
      </c>
      <c r="X121" s="24">
        <v>365000</v>
      </c>
      <c r="Y121" s="24">
        <v>338000</v>
      </c>
      <c r="Z121" s="24">
        <v>333000</v>
      </c>
      <c r="AA121" s="24">
        <v>282000</v>
      </c>
      <c r="AB121" s="24">
        <v>373000</v>
      </c>
      <c r="AC121" s="24">
        <v>433000</v>
      </c>
      <c r="AD121" s="24">
        <v>344000</v>
      </c>
      <c r="AE121" s="24">
        <v>355250</v>
      </c>
      <c r="AF121" s="24">
        <v>336500</v>
      </c>
      <c r="AG121" s="24">
        <v>351500</v>
      </c>
      <c r="AH121" s="24">
        <v>307500</v>
      </c>
      <c r="AI121" s="24">
        <v>403000</v>
      </c>
      <c r="AJ121" s="32">
        <v>8.5150107650446571</v>
      </c>
      <c r="AK121" s="32">
        <v>17.96611668395494</v>
      </c>
      <c r="AL121" s="32">
        <v>13.23855192117459</v>
      </c>
      <c r="AM121" s="32">
        <v>5.4315456876349311</v>
      </c>
      <c r="AN121" s="32">
        <v>11.727624663581764</v>
      </c>
      <c r="AO121" s="32">
        <v>10.527644384911376</v>
      </c>
      <c r="AP121" s="19">
        <v>1.0327034883720929</v>
      </c>
      <c r="AQ121" s="19">
        <v>0.91381872213967308</v>
      </c>
      <c r="AR121" s="19">
        <v>1.1465149359886202</v>
      </c>
      <c r="AS121" s="19">
        <v>4.6426084540682248E-2</v>
      </c>
      <c r="AT121" s="19">
        <v>-0.1300200943837149</v>
      </c>
      <c r="AU121" s="19">
        <v>0.1972551494554321</v>
      </c>
      <c r="AV121" s="19">
        <v>-0.1512634681454183</v>
      </c>
      <c r="AW121" s="19">
        <v>-0.19784431136686459</v>
      </c>
      <c r="AX121" s="19">
        <v>-0.10649576478036082</v>
      </c>
      <c r="AY121" s="19">
        <v>1.0327034883720929</v>
      </c>
      <c r="AZ121" s="19">
        <v>-1.0943089430894308</v>
      </c>
      <c r="BA121" s="19">
        <v>1.1465149359886202</v>
      </c>
      <c r="BB121" s="19">
        <v>-1.1105416246680941</v>
      </c>
      <c r="BC121" s="19">
        <v>-1.1469832406935527</v>
      </c>
      <c r="BD121" s="19">
        <v>-1.0766100252967441</v>
      </c>
      <c r="BE121" s="14" t="s">
        <v>4857</v>
      </c>
    </row>
    <row r="122" spans="1:57" s="30" customFormat="1" ht="17.100000000000001" customHeight="1">
      <c r="A122" s="14">
        <v>111</v>
      </c>
      <c r="B122" s="14" t="s">
        <v>4709</v>
      </c>
      <c r="C122" s="32">
        <v>1.0708986973497931</v>
      </c>
      <c r="D122" s="32">
        <v>-1.1814847216520299</v>
      </c>
      <c r="E122" s="32">
        <v>1.3533338570353528</v>
      </c>
      <c r="F122" s="24">
        <v>153846</v>
      </c>
      <c r="G122" s="52" t="s">
        <v>2</v>
      </c>
      <c r="H122" s="32">
        <v>24.547743908920168</v>
      </c>
      <c r="I122" s="32">
        <v>25.506959471594008</v>
      </c>
      <c r="J122" s="12" t="s">
        <v>4195</v>
      </c>
      <c r="K122" s="12" t="s">
        <v>4196</v>
      </c>
      <c r="L122" s="14" t="s">
        <v>4197</v>
      </c>
      <c r="M122" s="12" t="s">
        <v>4198</v>
      </c>
      <c r="N122" s="15" t="s">
        <v>4199</v>
      </c>
      <c r="O122" s="12" t="s">
        <v>4200</v>
      </c>
      <c r="P122" s="12" t="s">
        <v>4202</v>
      </c>
      <c r="Q122" s="14">
        <v>2</v>
      </c>
      <c r="R122" s="21">
        <v>587.78899999999999</v>
      </c>
      <c r="S122" s="14">
        <v>7</v>
      </c>
      <c r="T122" s="52" t="s">
        <v>2</v>
      </c>
      <c r="U122" s="53">
        <v>32.850449999999995</v>
      </c>
      <c r="V122" s="24">
        <v>138660</v>
      </c>
      <c r="W122" s="24">
        <v>100233</v>
      </c>
      <c r="X122" s="24">
        <v>89986</v>
      </c>
      <c r="Y122" s="24">
        <v>94207</v>
      </c>
      <c r="Z122" s="24">
        <v>125077</v>
      </c>
      <c r="AA122" s="24">
        <v>86853</v>
      </c>
      <c r="AB122" s="24">
        <v>157559</v>
      </c>
      <c r="AC122" s="24">
        <v>150133</v>
      </c>
      <c r="AD122" s="24">
        <v>105771.5</v>
      </c>
      <c r="AE122" s="24">
        <v>129905.5</v>
      </c>
      <c r="AF122" s="24">
        <v>119446.5</v>
      </c>
      <c r="AG122" s="24">
        <v>92096.5</v>
      </c>
      <c r="AH122" s="24">
        <v>105965</v>
      </c>
      <c r="AI122" s="24">
        <v>153846</v>
      </c>
      <c r="AJ122" s="32">
        <v>21.107040172609111</v>
      </c>
      <c r="AK122" s="32">
        <v>24.547743908920168</v>
      </c>
      <c r="AL122" s="32">
        <v>22.748253218516627</v>
      </c>
      <c r="AM122" s="32">
        <v>3.2408372993419046</v>
      </c>
      <c r="AN122" s="32">
        <v>25.506959471594008</v>
      </c>
      <c r="AO122" s="32">
        <v>3.4131371352464814</v>
      </c>
      <c r="AP122" s="19">
        <v>1.2281711046926629</v>
      </c>
      <c r="AQ122" s="19">
        <v>0.88713357025948858</v>
      </c>
      <c r="AR122" s="19">
        <v>1.6704869348998062</v>
      </c>
      <c r="AS122" s="19">
        <v>0.29651156616044483</v>
      </c>
      <c r="AT122" s="19">
        <v>-0.17277675626482111</v>
      </c>
      <c r="AU122" s="19">
        <v>0.74026869920747262</v>
      </c>
      <c r="AV122" s="19">
        <v>9.8822013474344272E-2</v>
      </c>
      <c r="AW122" s="19">
        <v>-0.24060097324797081</v>
      </c>
      <c r="AX122" s="19">
        <v>0.4365177849716797</v>
      </c>
      <c r="AY122" s="19">
        <v>1.2281711046926629</v>
      </c>
      <c r="AZ122" s="19">
        <v>-1.1272259708394281</v>
      </c>
      <c r="BA122" s="19">
        <v>1.6704869348998062</v>
      </c>
      <c r="BB122" s="19">
        <v>1.0708986973497931</v>
      </c>
      <c r="BC122" s="19">
        <v>-1.1814847216520299</v>
      </c>
      <c r="BD122" s="19">
        <v>1.3533338570353528</v>
      </c>
      <c r="BE122" s="14" t="s">
        <v>4857</v>
      </c>
    </row>
    <row r="123" spans="1:57" s="30" customFormat="1" ht="17.100000000000001" customHeight="1">
      <c r="A123" s="14">
        <v>112</v>
      </c>
      <c r="B123" s="14" t="s">
        <v>4203</v>
      </c>
      <c r="C123" s="32">
        <v>-1.0127212577964224</v>
      </c>
      <c r="D123" s="32">
        <v>-1.1041938307326291</v>
      </c>
      <c r="E123" s="32">
        <v>1.0888249681225133</v>
      </c>
      <c r="F123" s="41">
        <v>11350</v>
      </c>
      <c r="G123" s="52" t="s">
        <v>2</v>
      </c>
      <c r="H123" s="32">
        <v>20.893517920706639</v>
      </c>
      <c r="I123" s="32">
        <v>26.789067481076252</v>
      </c>
      <c r="J123" s="12" t="s">
        <v>4204</v>
      </c>
      <c r="K123" s="12" t="s">
        <v>4205</v>
      </c>
      <c r="L123" s="14" t="s">
        <v>4206</v>
      </c>
      <c r="M123" s="12" t="s">
        <v>4207</v>
      </c>
      <c r="N123" s="15" t="s">
        <v>4208</v>
      </c>
      <c r="O123" s="12" t="s">
        <v>4209</v>
      </c>
      <c r="P123" s="12" t="s">
        <v>4211</v>
      </c>
      <c r="Q123" s="14">
        <v>3</v>
      </c>
      <c r="R123" s="21">
        <v>502.6352</v>
      </c>
      <c r="S123" s="14">
        <v>1</v>
      </c>
      <c r="T123" s="52" t="s">
        <v>2</v>
      </c>
      <c r="U123" s="53">
        <v>16</v>
      </c>
      <c r="V123" s="41">
        <v>10800</v>
      </c>
      <c r="W123" s="41">
        <v>8700</v>
      </c>
      <c r="X123" s="41">
        <v>8960</v>
      </c>
      <c r="Y123" s="41">
        <v>7930</v>
      </c>
      <c r="Z123" s="41">
        <v>9620</v>
      </c>
      <c r="AA123" s="41">
        <v>8890</v>
      </c>
      <c r="AB123" s="41">
        <v>9200</v>
      </c>
      <c r="AC123" s="41">
        <v>13500</v>
      </c>
      <c r="AD123" s="41">
        <v>9097.5</v>
      </c>
      <c r="AE123" s="41">
        <v>10302.5</v>
      </c>
      <c r="AF123" s="41">
        <v>9750</v>
      </c>
      <c r="AG123" s="41">
        <v>8445</v>
      </c>
      <c r="AH123" s="41">
        <v>9255</v>
      </c>
      <c r="AI123" s="41">
        <v>11350</v>
      </c>
      <c r="AJ123" s="32">
        <v>13.370085896167646</v>
      </c>
      <c r="AK123" s="32">
        <v>20.893517920706639</v>
      </c>
      <c r="AL123" s="32">
        <v>15.229992210171792</v>
      </c>
      <c r="AM123" s="32">
        <v>8.6242745366742906</v>
      </c>
      <c r="AN123" s="32">
        <v>5.5773954647885438</v>
      </c>
      <c r="AO123" s="32">
        <v>26.789067481076252</v>
      </c>
      <c r="AP123" s="19">
        <v>1.1324539708711185</v>
      </c>
      <c r="AQ123" s="19">
        <v>0.94923076923076921</v>
      </c>
      <c r="AR123" s="19">
        <v>1.3439905269390171</v>
      </c>
      <c r="AS123" s="19">
        <v>0.17945241243883309</v>
      </c>
      <c r="AT123" s="19">
        <v>-7.5169228766398991E-2</v>
      </c>
      <c r="AU123" s="19">
        <v>0.42652296937689155</v>
      </c>
      <c r="AV123" s="19">
        <v>-1.8237140247267469E-2</v>
      </c>
      <c r="AW123" s="19">
        <v>-0.1429934457495487</v>
      </c>
      <c r="AX123" s="19">
        <v>0.12277205514109862</v>
      </c>
      <c r="AY123" s="19">
        <v>1.1324539708711185</v>
      </c>
      <c r="AZ123" s="19">
        <v>-1.0534846029173419</v>
      </c>
      <c r="BA123" s="19">
        <v>1.3439905269390171</v>
      </c>
      <c r="BB123" s="19">
        <v>-1.0127212577964224</v>
      </c>
      <c r="BC123" s="19">
        <v>-1.1041938307326291</v>
      </c>
      <c r="BD123" s="19">
        <v>1.0888249681225133</v>
      </c>
      <c r="BE123" s="14" t="s">
        <v>4857</v>
      </c>
    </row>
    <row r="124" spans="1:57" s="30" customFormat="1" ht="17.100000000000001" customHeight="1">
      <c r="A124" s="14">
        <v>113</v>
      </c>
      <c r="B124" s="14" t="s">
        <v>4219</v>
      </c>
      <c r="C124" s="32">
        <v>1.1371388967426381</v>
      </c>
      <c r="D124" s="32">
        <v>1.2093593863404655</v>
      </c>
      <c r="E124" s="32">
        <v>1.0805363299216071</v>
      </c>
      <c r="F124" s="24">
        <v>4079470</v>
      </c>
      <c r="G124" s="52" t="s">
        <v>2</v>
      </c>
      <c r="H124" s="32">
        <v>16.388890989014392</v>
      </c>
      <c r="I124" s="32">
        <v>12.77040221863213</v>
      </c>
      <c r="J124" s="12" t="s">
        <v>4212</v>
      </c>
      <c r="K124" s="15" t="s">
        <v>4213</v>
      </c>
      <c r="L124" s="14" t="s">
        <v>5290</v>
      </c>
      <c r="M124" s="12" t="s">
        <v>4214</v>
      </c>
      <c r="N124" s="15" t="s">
        <v>4215</v>
      </c>
      <c r="O124" s="12" t="s">
        <v>4216</v>
      </c>
      <c r="P124" s="12" t="s">
        <v>4218</v>
      </c>
      <c r="Q124" s="14">
        <v>3</v>
      </c>
      <c r="R124" s="21">
        <v>447.2432</v>
      </c>
      <c r="S124" s="14">
        <v>11</v>
      </c>
      <c r="T124" s="52" t="s">
        <v>2</v>
      </c>
      <c r="U124" s="53">
        <v>49.353725000000004</v>
      </c>
      <c r="V124" s="24">
        <v>2596300</v>
      </c>
      <c r="W124" s="24">
        <v>2358710</v>
      </c>
      <c r="X124" s="24">
        <v>3334820</v>
      </c>
      <c r="Y124" s="24">
        <v>2782430</v>
      </c>
      <c r="Z124" s="24">
        <v>3158350</v>
      </c>
      <c r="AA124" s="24">
        <v>3122480</v>
      </c>
      <c r="AB124" s="24">
        <v>4368960</v>
      </c>
      <c r="AC124" s="24">
        <v>3789980</v>
      </c>
      <c r="AD124" s="24">
        <v>2768065</v>
      </c>
      <c r="AE124" s="24">
        <v>3609942.5</v>
      </c>
      <c r="AF124" s="24">
        <v>2477505</v>
      </c>
      <c r="AG124" s="24">
        <v>3058625</v>
      </c>
      <c r="AH124" s="24">
        <v>3140415</v>
      </c>
      <c r="AI124" s="24">
        <v>4079470</v>
      </c>
      <c r="AJ124" s="32">
        <v>15.018765980243471</v>
      </c>
      <c r="AK124" s="32">
        <v>16.388890989014392</v>
      </c>
      <c r="AL124" s="32">
        <v>6.7810761286904286</v>
      </c>
      <c r="AM124" s="32">
        <v>12.77040221863213</v>
      </c>
      <c r="AN124" s="32">
        <v>0.80766141548685322</v>
      </c>
      <c r="AO124" s="32">
        <v>10.035634142949631</v>
      </c>
      <c r="AP124" s="19">
        <v>1.3041393536640216</v>
      </c>
      <c r="AQ124" s="19">
        <v>1.2675716093408489</v>
      </c>
      <c r="AR124" s="19">
        <v>1.3337594507335813</v>
      </c>
      <c r="AS124" s="19">
        <v>0.3830980368223027</v>
      </c>
      <c r="AT124" s="19">
        <v>0.34206725217748657</v>
      </c>
      <c r="AU124" s="19">
        <v>0.41549849371374126</v>
      </c>
      <c r="AV124" s="19">
        <v>0.18540848413620215</v>
      </c>
      <c r="AW124" s="19">
        <v>0.27424303519433685</v>
      </c>
      <c r="AX124" s="19">
        <v>0.11174757947794833</v>
      </c>
      <c r="AY124" s="19">
        <v>1.3041393536640216</v>
      </c>
      <c r="AZ124" s="19">
        <v>1.2675716093408489</v>
      </c>
      <c r="BA124" s="19">
        <v>1.3337594507335813</v>
      </c>
      <c r="BB124" s="19">
        <v>1.1371388967426381</v>
      </c>
      <c r="BC124" s="19">
        <v>1.2093593863404655</v>
      </c>
      <c r="BD124" s="19">
        <v>1.0805363299216071</v>
      </c>
      <c r="BE124" s="14" t="s">
        <v>4857</v>
      </c>
    </row>
    <row r="125" spans="1:57" s="30" customFormat="1" ht="17.100000000000001" customHeight="1">
      <c r="A125" s="14">
        <v>114</v>
      </c>
      <c r="B125" s="14" t="s">
        <v>4228</v>
      </c>
      <c r="C125" s="32">
        <v>1.1855319647337788</v>
      </c>
      <c r="D125" s="32">
        <v>1.892927091439544</v>
      </c>
      <c r="E125" s="32">
        <v>-1.5859841222238908</v>
      </c>
      <c r="F125" s="42">
        <v>1851960</v>
      </c>
      <c r="G125" s="52" t="s">
        <v>4894</v>
      </c>
      <c r="H125" s="32">
        <v>47.470486907520893</v>
      </c>
      <c r="I125" s="32">
        <v>18.535666513046596</v>
      </c>
      <c r="J125" s="12" t="s">
        <v>4222</v>
      </c>
      <c r="K125" s="12" t="s">
        <v>4223</v>
      </c>
      <c r="L125" s="14" t="s">
        <v>4991</v>
      </c>
      <c r="M125" s="12" t="s">
        <v>4224</v>
      </c>
      <c r="N125" s="15" t="s">
        <v>4225</v>
      </c>
      <c r="O125" s="12" t="s">
        <v>4226</v>
      </c>
      <c r="P125" s="12" t="s">
        <v>4229</v>
      </c>
      <c r="Q125" s="14">
        <v>2</v>
      </c>
      <c r="R125" s="21">
        <v>791.3587</v>
      </c>
      <c r="S125" s="14">
        <v>12</v>
      </c>
      <c r="T125" s="52" t="s">
        <v>4894</v>
      </c>
      <c r="U125" s="53">
        <v>46.590937500000003</v>
      </c>
      <c r="V125" s="42">
        <v>811086</v>
      </c>
      <c r="W125" s="42">
        <v>1055769</v>
      </c>
      <c r="X125" s="42">
        <v>1108407</v>
      </c>
      <c r="Y125" s="42">
        <v>896691</v>
      </c>
      <c r="Z125" s="42">
        <v>1768720</v>
      </c>
      <c r="AA125" s="42">
        <v>1935200</v>
      </c>
      <c r="AB125" s="42">
        <v>714615</v>
      </c>
      <c r="AC125" s="42">
        <v>845925</v>
      </c>
      <c r="AD125" s="42">
        <v>967988.25</v>
      </c>
      <c r="AE125" s="42">
        <v>1316115</v>
      </c>
      <c r="AF125" s="42">
        <v>933427.5</v>
      </c>
      <c r="AG125" s="42">
        <v>1002549</v>
      </c>
      <c r="AH125" s="42">
        <v>1851960</v>
      </c>
      <c r="AI125" s="42">
        <v>780270</v>
      </c>
      <c r="AJ125" s="32">
        <v>14.255435531185432</v>
      </c>
      <c r="AK125" s="32">
        <v>47.470486907520893</v>
      </c>
      <c r="AL125" s="32">
        <v>18.535666513046596</v>
      </c>
      <c r="AM125" s="32">
        <v>14.932518937796665</v>
      </c>
      <c r="AN125" s="32">
        <v>6.3564621769334346</v>
      </c>
      <c r="AO125" s="32">
        <v>11.899751552360792</v>
      </c>
      <c r="AP125" s="19">
        <v>1.3596394377721011</v>
      </c>
      <c r="AQ125" s="19">
        <v>1.9840426814080365</v>
      </c>
      <c r="AR125" s="19">
        <v>0.77828614860720025</v>
      </c>
      <c r="AS125" s="19">
        <v>0.44322411448637655</v>
      </c>
      <c r="AT125" s="19">
        <v>0.98844306181016262</v>
      </c>
      <c r="AU125" s="19">
        <v>-0.36162741361346545</v>
      </c>
      <c r="AV125" s="19">
        <v>0.245534561800276</v>
      </c>
      <c r="AW125" s="19">
        <v>0.92061884482701295</v>
      </c>
      <c r="AX125" s="19">
        <v>-0.66537832784925843</v>
      </c>
      <c r="AY125" s="19">
        <v>1.3596394377721011</v>
      </c>
      <c r="AZ125" s="19">
        <v>1.9840426814080365</v>
      </c>
      <c r="BA125" s="19">
        <v>-1.2848744665308163</v>
      </c>
      <c r="BB125" s="19">
        <v>1.1855319647337788</v>
      </c>
      <c r="BC125" s="19">
        <v>1.892927091439544</v>
      </c>
      <c r="BD125" s="19">
        <v>-1.5859841222238908</v>
      </c>
      <c r="BE125" s="14" t="s">
        <v>4857</v>
      </c>
    </row>
    <row r="126" spans="1:57" s="30" customFormat="1" ht="17.100000000000001" customHeight="1">
      <c r="A126" s="14">
        <v>115</v>
      </c>
      <c r="B126" s="14" t="s">
        <v>4104</v>
      </c>
      <c r="C126" s="32">
        <v>-1.0262430388355501</v>
      </c>
      <c r="D126" s="32">
        <v>-1.1248494749140789</v>
      </c>
      <c r="E126" s="32">
        <v>1.0778743705562019</v>
      </c>
      <c r="F126" s="24">
        <v>42105.5</v>
      </c>
      <c r="G126" s="52" t="s">
        <v>2</v>
      </c>
      <c r="H126" s="32">
        <v>32.095667384872769</v>
      </c>
      <c r="I126" s="32">
        <v>38.460702483811531</v>
      </c>
      <c r="J126" s="12" t="s">
        <v>4222</v>
      </c>
      <c r="K126" s="12" t="s">
        <v>4223</v>
      </c>
      <c r="L126" s="14" t="s">
        <v>5182</v>
      </c>
      <c r="M126" s="12" t="s">
        <v>4224</v>
      </c>
      <c r="N126" s="15" t="s">
        <v>4225</v>
      </c>
      <c r="O126" s="12" t="s">
        <v>4226</v>
      </c>
      <c r="P126" s="12" t="s">
        <v>4105</v>
      </c>
      <c r="Q126" s="14">
        <v>2</v>
      </c>
      <c r="R126" s="21">
        <v>911.93</v>
      </c>
      <c r="S126" s="14">
        <v>2</v>
      </c>
      <c r="T126" s="52" t="s">
        <v>2</v>
      </c>
      <c r="U126" s="53">
        <v>51.21855</v>
      </c>
      <c r="V126" s="24">
        <v>37151</v>
      </c>
      <c r="W126" s="24">
        <v>35415</v>
      </c>
      <c r="X126" s="24">
        <v>33571</v>
      </c>
      <c r="Y126" s="24">
        <v>29723</v>
      </c>
      <c r="Z126" s="24">
        <v>43003</v>
      </c>
      <c r="AA126" s="24">
        <v>24614</v>
      </c>
      <c r="AB126" s="24">
        <v>31924</v>
      </c>
      <c r="AC126" s="24">
        <v>52287</v>
      </c>
      <c r="AD126" s="24">
        <v>33965</v>
      </c>
      <c r="AE126" s="24">
        <v>37957</v>
      </c>
      <c r="AF126" s="24">
        <v>36283</v>
      </c>
      <c r="AG126" s="24">
        <v>31647</v>
      </c>
      <c r="AH126" s="24">
        <v>33808.5</v>
      </c>
      <c r="AI126" s="24">
        <v>42105.5</v>
      </c>
      <c r="AJ126" s="32">
        <v>9.3727110982505142</v>
      </c>
      <c r="AK126" s="32">
        <v>32.095667384872769</v>
      </c>
      <c r="AL126" s="32">
        <v>3.3832300861005056</v>
      </c>
      <c r="AM126" s="32">
        <v>8.5978035643373314</v>
      </c>
      <c r="AN126" s="32">
        <v>38.460702483811531</v>
      </c>
      <c r="AO126" s="32">
        <v>34.196994181999187</v>
      </c>
      <c r="AP126" s="19">
        <v>1.117532754305903</v>
      </c>
      <c r="AQ126" s="19">
        <v>0.93180001653667011</v>
      </c>
      <c r="AR126" s="19">
        <v>1.330473662590451</v>
      </c>
      <c r="AS126" s="19">
        <v>0.16031711667229351</v>
      </c>
      <c r="AT126" s="19">
        <v>-0.10190773883745935</v>
      </c>
      <c r="AU126" s="19">
        <v>0.41193995175342329</v>
      </c>
      <c r="AV126" s="19">
        <v>-3.7372436013807048E-2</v>
      </c>
      <c r="AW126" s="19">
        <v>-0.16973195582060907</v>
      </c>
      <c r="AX126" s="19">
        <v>0.10818903751763037</v>
      </c>
      <c r="AY126" s="19">
        <v>1.117532754305903</v>
      </c>
      <c r="AZ126" s="19">
        <v>-1.073191652986675</v>
      </c>
      <c r="BA126" s="19">
        <v>1.330473662590451</v>
      </c>
      <c r="BB126" s="19">
        <v>-1.0262430388355501</v>
      </c>
      <c r="BC126" s="19">
        <v>-1.1248494749140789</v>
      </c>
      <c r="BD126" s="19">
        <v>1.0778743705562019</v>
      </c>
      <c r="BE126" s="14" t="s">
        <v>4857</v>
      </c>
    </row>
    <row r="127" spans="1:57" s="30" customFormat="1" ht="17.100000000000001" customHeight="1">
      <c r="A127" s="14">
        <v>116</v>
      </c>
      <c r="B127" s="14" t="s">
        <v>4113</v>
      </c>
      <c r="C127" s="32">
        <v>1.8051420937659757</v>
      </c>
      <c r="D127" s="32">
        <v>1.9175527449115402</v>
      </c>
      <c r="E127" s="32">
        <v>1.7351144273119563</v>
      </c>
      <c r="F127" s="42">
        <v>5408870</v>
      </c>
      <c r="G127" s="52" t="s">
        <v>4894</v>
      </c>
      <c r="H127" s="32">
        <v>16.723102626204938</v>
      </c>
      <c r="I127" s="32">
        <v>20.945387506824833</v>
      </c>
      <c r="J127" s="12" t="s">
        <v>4107</v>
      </c>
      <c r="K127" s="12" t="s">
        <v>4108</v>
      </c>
      <c r="L127" s="14" t="s">
        <v>4965</v>
      </c>
      <c r="M127" s="12" t="s">
        <v>4109</v>
      </c>
      <c r="N127" s="15" t="s">
        <v>4110</v>
      </c>
      <c r="O127" s="12" t="s">
        <v>4111</v>
      </c>
      <c r="P127" s="12" t="s">
        <v>4114</v>
      </c>
      <c r="Q127" s="14">
        <v>3</v>
      </c>
      <c r="R127" s="21">
        <v>565.60289999999998</v>
      </c>
      <c r="S127" s="14">
        <v>2</v>
      </c>
      <c r="T127" s="52" t="s">
        <v>4894</v>
      </c>
      <c r="U127" s="53">
        <v>54.011062500000001</v>
      </c>
      <c r="V127" s="42">
        <v>3089756</v>
      </c>
      <c r="W127" s="42">
        <v>2292596</v>
      </c>
      <c r="X127" s="42">
        <v>2384311</v>
      </c>
      <c r="Y127" s="42">
        <v>2162366</v>
      </c>
      <c r="Z127" s="42">
        <v>5641335</v>
      </c>
      <c r="AA127" s="42">
        <v>5176405</v>
      </c>
      <c r="AB127" s="42">
        <v>5393834</v>
      </c>
      <c r="AC127" s="42">
        <v>4343955</v>
      </c>
      <c r="AD127" s="42">
        <v>2482257.25</v>
      </c>
      <c r="AE127" s="42">
        <v>5138882.25</v>
      </c>
      <c r="AF127" s="42">
        <v>2691176</v>
      </c>
      <c r="AG127" s="42">
        <v>2273338.5</v>
      </c>
      <c r="AH127" s="42">
        <v>5408870</v>
      </c>
      <c r="AI127" s="42">
        <v>4868894.5</v>
      </c>
      <c r="AJ127" s="32">
        <v>16.723102626204938</v>
      </c>
      <c r="AK127" s="32">
        <v>10.954937752362911</v>
      </c>
      <c r="AL127" s="32">
        <v>20.945387506824833</v>
      </c>
      <c r="AM127" s="32">
        <v>6.9034512260469914</v>
      </c>
      <c r="AN127" s="32">
        <v>6.0780746399351724</v>
      </c>
      <c r="AO127" s="32">
        <v>15.247333051175197</v>
      </c>
      <c r="AP127" s="19">
        <v>2.0702456403340146</v>
      </c>
      <c r="AQ127" s="19">
        <v>2.0098536847831578</v>
      </c>
      <c r="AR127" s="19">
        <v>2.1417375810949402</v>
      </c>
      <c r="AS127" s="19">
        <v>1.0498019576118327</v>
      </c>
      <c r="AT127" s="19">
        <v>1.0070904785579062</v>
      </c>
      <c r="AU127" s="19">
        <v>1.0987817230173764</v>
      </c>
      <c r="AV127" s="19">
        <v>0.85211240492573215</v>
      </c>
      <c r="AW127" s="19">
        <v>0.93926626157475657</v>
      </c>
      <c r="AX127" s="19">
        <v>0.7950308087815835</v>
      </c>
      <c r="AY127" s="19">
        <v>2.0702456403340146</v>
      </c>
      <c r="AZ127" s="19">
        <v>2.0098536847831578</v>
      </c>
      <c r="BA127" s="19">
        <v>2.1417375810949402</v>
      </c>
      <c r="BB127" s="19">
        <v>1.8051420937659757</v>
      </c>
      <c r="BC127" s="19">
        <v>1.9175527449115402</v>
      </c>
      <c r="BD127" s="19">
        <v>1.7351144273119563</v>
      </c>
      <c r="BE127" s="14" t="s">
        <v>4857</v>
      </c>
    </row>
    <row r="128" spans="1:57" s="30" customFormat="1" ht="17.100000000000001" customHeight="1">
      <c r="A128" s="14">
        <v>117</v>
      </c>
      <c r="B128" s="14" t="s">
        <v>4115</v>
      </c>
      <c r="C128" s="32">
        <v>-1.1016928838901274</v>
      </c>
      <c r="D128" s="32">
        <v>-1.0974460332130844</v>
      </c>
      <c r="E128" s="32">
        <v>-1.097790929111887</v>
      </c>
      <c r="F128" s="39">
        <v>137058</v>
      </c>
      <c r="G128" s="52" t="s">
        <v>2</v>
      </c>
      <c r="H128" s="32">
        <v>14.314199792080389</v>
      </c>
      <c r="I128" s="32">
        <v>23.841903857227205</v>
      </c>
      <c r="J128" s="12" t="s">
        <v>4107</v>
      </c>
      <c r="K128" s="12" t="s">
        <v>4108</v>
      </c>
      <c r="L128" s="14" t="s">
        <v>5194</v>
      </c>
      <c r="M128" s="12" t="s">
        <v>4109</v>
      </c>
      <c r="N128" s="15" t="s">
        <v>4110</v>
      </c>
      <c r="O128" s="12" t="s">
        <v>4111</v>
      </c>
      <c r="P128" s="12" t="s">
        <v>4116</v>
      </c>
      <c r="Q128" s="14">
        <v>3</v>
      </c>
      <c r="R128" s="21">
        <v>651.31539999999995</v>
      </c>
      <c r="S128" s="14">
        <v>2</v>
      </c>
      <c r="T128" s="52" t="s">
        <v>2</v>
      </c>
      <c r="U128" s="53">
        <v>55.993899999999996</v>
      </c>
      <c r="V128" s="39">
        <v>114488</v>
      </c>
      <c r="W128" s="39">
        <v>122110</v>
      </c>
      <c r="X128" s="39">
        <v>101345</v>
      </c>
      <c r="Y128" s="39">
        <v>142445</v>
      </c>
      <c r="Z128" s="39">
        <v>110647</v>
      </c>
      <c r="AA128" s="39">
        <v>115320</v>
      </c>
      <c r="AB128" s="39">
        <v>127313</v>
      </c>
      <c r="AC128" s="39">
        <v>146803</v>
      </c>
      <c r="AD128" s="39">
        <v>120097</v>
      </c>
      <c r="AE128" s="39">
        <v>125020.75</v>
      </c>
      <c r="AF128" s="39">
        <v>118299</v>
      </c>
      <c r="AG128" s="39">
        <v>121895</v>
      </c>
      <c r="AH128" s="39">
        <v>112983.5</v>
      </c>
      <c r="AI128" s="39">
        <v>137058</v>
      </c>
      <c r="AJ128" s="32">
        <v>14.314199792080389</v>
      </c>
      <c r="AK128" s="32">
        <v>12.901026534625377</v>
      </c>
      <c r="AL128" s="32">
        <v>4.5558862595659004</v>
      </c>
      <c r="AM128" s="32">
        <v>23.841903857227205</v>
      </c>
      <c r="AN128" s="32">
        <v>2.9245951740605807</v>
      </c>
      <c r="AO128" s="32">
        <v>10.0552402379473</v>
      </c>
      <c r="AP128" s="19">
        <v>1.0409981098611956</v>
      </c>
      <c r="AQ128" s="19">
        <v>0.95506724486259398</v>
      </c>
      <c r="AR128" s="19">
        <v>1.1243939456089258</v>
      </c>
      <c r="AS128" s="19">
        <v>5.7967449140350839E-2</v>
      </c>
      <c r="AT128" s="19">
        <v>-6.6325780153206601E-2</v>
      </c>
      <c r="AU128" s="19">
        <v>0.16914759054247805</v>
      </c>
      <c r="AV128" s="19">
        <v>-0.13972210354574971</v>
      </c>
      <c r="AW128" s="19">
        <v>-0.13414999713635631</v>
      </c>
      <c r="AX128" s="19">
        <v>-0.13460332369331487</v>
      </c>
      <c r="AY128" s="19">
        <v>1.0409981098611956</v>
      </c>
      <c r="AZ128" s="19">
        <v>-1.0470466926586626</v>
      </c>
      <c r="BA128" s="19">
        <v>1.1243939456089258</v>
      </c>
      <c r="BB128" s="19">
        <v>-1.1016928838901274</v>
      </c>
      <c r="BC128" s="19">
        <v>-1.0974460332130844</v>
      </c>
      <c r="BD128" s="19">
        <v>-1.097790929111887</v>
      </c>
      <c r="BE128" s="14" t="s">
        <v>4857</v>
      </c>
    </row>
    <row r="129" spans="1:105" s="30" customFormat="1" ht="17.100000000000001" customHeight="1">
      <c r="A129" s="14">
        <v>118</v>
      </c>
      <c r="B129" s="14" t="s">
        <v>4117</v>
      </c>
      <c r="C129" s="32">
        <v>-1.1016928838901274</v>
      </c>
      <c r="D129" s="32">
        <v>-1.0974460332130844</v>
      </c>
      <c r="E129" s="32">
        <v>-1.097790929111887</v>
      </c>
      <c r="F129" s="39">
        <v>137058</v>
      </c>
      <c r="G129" s="52" t="s">
        <v>2</v>
      </c>
      <c r="H129" s="32">
        <v>14.314199792080389</v>
      </c>
      <c r="I129" s="32">
        <v>23.841903857227205</v>
      </c>
      <c r="J129" s="12" t="s">
        <v>4107</v>
      </c>
      <c r="K129" s="12" t="s">
        <v>4108</v>
      </c>
      <c r="L129" s="14" t="s">
        <v>5195</v>
      </c>
      <c r="M129" s="12" t="s">
        <v>4109</v>
      </c>
      <c r="N129" s="15" t="s">
        <v>4110</v>
      </c>
      <c r="O129" s="12" t="s">
        <v>4111</v>
      </c>
      <c r="P129" s="12" t="s">
        <v>4118</v>
      </c>
      <c r="Q129" s="14">
        <v>3</v>
      </c>
      <c r="R129" s="21">
        <v>651.31539999999995</v>
      </c>
      <c r="S129" s="14">
        <v>1</v>
      </c>
      <c r="T129" s="52" t="s">
        <v>2</v>
      </c>
      <c r="U129" s="53">
        <v>55.993899999999996</v>
      </c>
      <c r="V129" s="39">
        <v>114488</v>
      </c>
      <c r="W129" s="39">
        <v>122110</v>
      </c>
      <c r="X129" s="39">
        <v>101345</v>
      </c>
      <c r="Y129" s="39">
        <v>142445</v>
      </c>
      <c r="Z129" s="39">
        <v>110647</v>
      </c>
      <c r="AA129" s="39">
        <v>115320</v>
      </c>
      <c r="AB129" s="39">
        <v>127313</v>
      </c>
      <c r="AC129" s="39">
        <v>146803</v>
      </c>
      <c r="AD129" s="39">
        <v>120097</v>
      </c>
      <c r="AE129" s="39">
        <v>125020.75</v>
      </c>
      <c r="AF129" s="39">
        <v>118299</v>
      </c>
      <c r="AG129" s="39">
        <v>121895</v>
      </c>
      <c r="AH129" s="39">
        <v>112983.5</v>
      </c>
      <c r="AI129" s="39">
        <v>137058</v>
      </c>
      <c r="AJ129" s="32">
        <v>14.314199792080389</v>
      </c>
      <c r="AK129" s="32">
        <v>12.901026534625377</v>
      </c>
      <c r="AL129" s="32">
        <v>4.5558862595659004</v>
      </c>
      <c r="AM129" s="32">
        <v>23.841903857227205</v>
      </c>
      <c r="AN129" s="32">
        <v>2.9245951740605807</v>
      </c>
      <c r="AO129" s="32">
        <v>10.0552402379473</v>
      </c>
      <c r="AP129" s="19">
        <v>1.0409981098611956</v>
      </c>
      <c r="AQ129" s="19">
        <v>0.95506724486259398</v>
      </c>
      <c r="AR129" s="19">
        <v>1.1243939456089258</v>
      </c>
      <c r="AS129" s="19">
        <v>5.7967449140350839E-2</v>
      </c>
      <c r="AT129" s="19">
        <v>-6.6325780153206601E-2</v>
      </c>
      <c r="AU129" s="19">
        <v>0.16914759054247805</v>
      </c>
      <c r="AV129" s="19">
        <v>-0.13972210354574971</v>
      </c>
      <c r="AW129" s="19">
        <v>-0.13414999713635631</v>
      </c>
      <c r="AX129" s="19">
        <v>-0.13460332369331487</v>
      </c>
      <c r="AY129" s="19">
        <v>1.0409981098611956</v>
      </c>
      <c r="AZ129" s="19">
        <v>-1.0470466926586626</v>
      </c>
      <c r="BA129" s="19">
        <v>1.1243939456089258</v>
      </c>
      <c r="BB129" s="19">
        <v>-1.1016928838901274</v>
      </c>
      <c r="BC129" s="19">
        <v>-1.0974460332130844</v>
      </c>
      <c r="BD129" s="19">
        <v>-1.097790929111887</v>
      </c>
      <c r="BE129" s="14" t="s">
        <v>4857</v>
      </c>
    </row>
    <row r="130" spans="1:105" s="30" customFormat="1" ht="17.100000000000001" customHeight="1">
      <c r="A130" s="14">
        <v>119</v>
      </c>
      <c r="B130" s="14" t="s">
        <v>4835</v>
      </c>
      <c r="C130" s="32">
        <v>1.3061643777261573</v>
      </c>
      <c r="D130" s="32">
        <v>1.3300027970090875</v>
      </c>
      <c r="E130" s="32">
        <v>1.2937768380989279</v>
      </c>
      <c r="F130" s="24">
        <v>917171</v>
      </c>
      <c r="G130" s="52" t="s">
        <v>2</v>
      </c>
      <c r="H130" s="32">
        <v>17.642935183977908</v>
      </c>
      <c r="I130" s="32">
        <v>25.941285543352858</v>
      </c>
      <c r="J130" s="12" t="s">
        <v>4119</v>
      </c>
      <c r="K130" s="15" t="s">
        <v>4120</v>
      </c>
      <c r="L130" s="14" t="s">
        <v>5319</v>
      </c>
      <c r="M130" s="12" t="s">
        <v>4121</v>
      </c>
      <c r="N130" s="15" t="s">
        <v>4122</v>
      </c>
      <c r="O130" s="12" t="s">
        <v>4123</v>
      </c>
      <c r="P130" s="12" t="s">
        <v>4125</v>
      </c>
      <c r="Q130" s="14">
        <v>3</v>
      </c>
      <c r="R130" s="21">
        <v>628.67899999999997</v>
      </c>
      <c r="S130" s="14">
        <v>3</v>
      </c>
      <c r="T130" s="52" t="s">
        <v>2</v>
      </c>
      <c r="U130" s="53">
        <v>98.903387500000008</v>
      </c>
      <c r="V130" s="24">
        <v>550731</v>
      </c>
      <c r="W130" s="24">
        <v>542875</v>
      </c>
      <c r="X130" s="24">
        <v>571444</v>
      </c>
      <c r="Y130" s="24">
        <v>577193</v>
      </c>
      <c r="Z130" s="24">
        <v>902078</v>
      </c>
      <c r="AA130" s="24">
        <v>622433</v>
      </c>
      <c r="AB130" s="24">
        <v>880118</v>
      </c>
      <c r="AC130" s="24">
        <v>954224</v>
      </c>
      <c r="AD130" s="24">
        <v>560560.75</v>
      </c>
      <c r="AE130" s="24">
        <v>839713.25</v>
      </c>
      <c r="AF130" s="24">
        <v>546803</v>
      </c>
      <c r="AG130" s="24">
        <v>574318.5</v>
      </c>
      <c r="AH130" s="24">
        <v>762255.5</v>
      </c>
      <c r="AI130" s="24">
        <v>917171</v>
      </c>
      <c r="AJ130" s="32">
        <v>2.9212995833957063</v>
      </c>
      <c r="AK130" s="32">
        <v>17.642935183977908</v>
      </c>
      <c r="AL130" s="32">
        <v>1.0159108258370049</v>
      </c>
      <c r="AM130" s="32">
        <v>0.70782272990360962</v>
      </c>
      <c r="AN130" s="32">
        <v>25.941285543352858</v>
      </c>
      <c r="AO130" s="32">
        <v>5.713313561659743</v>
      </c>
      <c r="AP130" s="19">
        <v>1.4979879522424644</v>
      </c>
      <c r="AQ130" s="19">
        <v>1.3940221615462973</v>
      </c>
      <c r="AR130" s="19">
        <v>1.5969727598884591</v>
      </c>
      <c r="AS130" s="19">
        <v>0.58302602078601939</v>
      </c>
      <c r="AT130" s="19">
        <v>0.47925349671480028</v>
      </c>
      <c r="AU130" s="19">
        <v>0.67533970441539415</v>
      </c>
      <c r="AV130" s="19">
        <v>0.38533646809991884</v>
      </c>
      <c r="AW130" s="19">
        <v>0.41142927973165055</v>
      </c>
      <c r="AX130" s="19">
        <v>0.37158879017960122</v>
      </c>
      <c r="AY130" s="19">
        <v>1.4979879522424644</v>
      </c>
      <c r="AZ130" s="19">
        <v>1.3940221615462973</v>
      </c>
      <c r="BA130" s="19">
        <v>1.5969727598884591</v>
      </c>
      <c r="BB130" s="19">
        <v>1.3061643777261573</v>
      </c>
      <c r="BC130" s="19">
        <v>1.3300027970090875</v>
      </c>
      <c r="BD130" s="19">
        <v>1.2937768380989279</v>
      </c>
      <c r="BE130" s="14" t="s">
        <v>4857</v>
      </c>
    </row>
    <row r="131" spans="1:105" s="30" customFormat="1" ht="17.100000000000001" customHeight="1">
      <c r="A131" s="14">
        <v>120</v>
      </c>
      <c r="B131" s="14" t="s">
        <v>4126</v>
      </c>
      <c r="C131" s="32">
        <v>-1.009878652521099</v>
      </c>
      <c r="D131" s="32">
        <v>-1.2304667960927309</v>
      </c>
      <c r="E131" s="32">
        <v>1.1878303683731826</v>
      </c>
      <c r="F131" s="24">
        <v>856498.5</v>
      </c>
      <c r="G131" s="52" t="s">
        <v>2</v>
      </c>
      <c r="H131" s="32">
        <v>22.293590316294424</v>
      </c>
      <c r="I131" s="32">
        <v>19.437831758686901</v>
      </c>
      <c r="J131" s="12" t="s">
        <v>4127</v>
      </c>
      <c r="K131" s="15" t="s">
        <v>4128</v>
      </c>
      <c r="L131" s="14" t="s">
        <v>5113</v>
      </c>
      <c r="M131" s="12" t="s">
        <v>4121</v>
      </c>
      <c r="N131" s="15" t="s">
        <v>4129</v>
      </c>
      <c r="O131" s="12" t="s">
        <v>4123</v>
      </c>
      <c r="P131" s="12" t="s">
        <v>4130</v>
      </c>
      <c r="Q131" s="14">
        <v>2</v>
      </c>
      <c r="R131" s="21">
        <v>826.96450000000004</v>
      </c>
      <c r="S131" s="14">
        <v>13</v>
      </c>
      <c r="T131" s="52" t="s">
        <v>2</v>
      </c>
      <c r="U131" s="53">
        <v>71.8134625</v>
      </c>
      <c r="V131" s="24">
        <v>685000</v>
      </c>
      <c r="W131" s="24">
        <v>675699</v>
      </c>
      <c r="X131" s="24">
        <v>664454</v>
      </c>
      <c r="Y131" s="24">
        <v>503872</v>
      </c>
      <c r="Z131" s="24">
        <v>571595</v>
      </c>
      <c r="AA131" s="24">
        <v>587474</v>
      </c>
      <c r="AB131" s="24">
        <v>852395</v>
      </c>
      <c r="AC131" s="24">
        <v>860602</v>
      </c>
      <c r="AD131" s="24">
        <v>632256.25</v>
      </c>
      <c r="AE131" s="24">
        <v>718016.5</v>
      </c>
      <c r="AF131" s="24">
        <v>680349.5</v>
      </c>
      <c r="AG131" s="24">
        <v>584163</v>
      </c>
      <c r="AH131" s="24">
        <v>579534.5</v>
      </c>
      <c r="AI131" s="24">
        <v>856498.5</v>
      </c>
      <c r="AJ131" s="32">
        <v>13.602198304986809</v>
      </c>
      <c r="AK131" s="32">
        <v>22.293590316294424</v>
      </c>
      <c r="AL131" s="32">
        <v>0.96667965094647357</v>
      </c>
      <c r="AM131" s="32">
        <v>19.437831758686901</v>
      </c>
      <c r="AN131" s="32">
        <v>1.9374426506896809</v>
      </c>
      <c r="AO131" s="32">
        <v>0.67755230782050357</v>
      </c>
      <c r="AP131" s="19">
        <v>1.1356416010122479</v>
      </c>
      <c r="AQ131" s="19">
        <v>0.85181880783332686</v>
      </c>
      <c r="AR131" s="19">
        <v>1.466197790685134</v>
      </c>
      <c r="AS131" s="19">
        <v>0.18350760418794476</v>
      </c>
      <c r="AT131" s="19">
        <v>-0.23138151049299013</v>
      </c>
      <c r="AU131" s="19">
        <v>0.55207973675459276</v>
      </c>
      <c r="AV131" s="19">
        <v>-1.4181948498155794E-2</v>
      </c>
      <c r="AW131" s="19">
        <v>-0.29920572747613983</v>
      </c>
      <c r="AX131" s="19">
        <v>0.24832882251879984</v>
      </c>
      <c r="AY131" s="19">
        <v>1.1356416010122479</v>
      </c>
      <c r="AZ131" s="19">
        <v>-1.1739585822759473</v>
      </c>
      <c r="BA131" s="19">
        <v>1.466197790685134</v>
      </c>
      <c r="BB131" s="19">
        <v>-1.009878652521099</v>
      </c>
      <c r="BC131" s="19">
        <v>-1.2304667960927309</v>
      </c>
      <c r="BD131" s="19">
        <v>1.1878303683731826</v>
      </c>
      <c r="BE131" s="14" t="s">
        <v>4857</v>
      </c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V131" s="28"/>
      <c r="BW131" s="28"/>
      <c r="BX131" s="28"/>
      <c r="BY131" s="28"/>
      <c r="BZ131" s="28"/>
      <c r="CA131" s="28"/>
      <c r="CB131" s="28"/>
      <c r="CC131" s="28"/>
      <c r="CD131" s="28"/>
      <c r="CE131" s="28"/>
      <c r="CF131" s="28"/>
      <c r="CG131" s="28"/>
      <c r="CH131" s="28"/>
      <c r="CI131" s="28"/>
      <c r="CJ131" s="28"/>
      <c r="CK131" s="28"/>
      <c r="CL131" s="28"/>
      <c r="CM131" s="28"/>
      <c r="CN131" s="28"/>
      <c r="CO131" s="28"/>
      <c r="CP131" s="28"/>
      <c r="CQ131" s="28"/>
      <c r="CR131" s="28"/>
      <c r="CS131" s="28"/>
      <c r="CT131" s="28"/>
      <c r="CU131" s="28"/>
      <c r="CV131" s="28"/>
      <c r="CW131" s="28"/>
      <c r="CX131" s="28"/>
      <c r="CY131" s="28"/>
      <c r="CZ131" s="28"/>
      <c r="DA131" s="28"/>
    </row>
    <row r="132" spans="1:105" s="30" customFormat="1" ht="17.100000000000001" customHeight="1">
      <c r="A132" s="14">
        <v>121</v>
      </c>
      <c r="B132" s="14" t="s">
        <v>4133</v>
      </c>
      <c r="C132" s="32">
        <v>-1.1064310333553893</v>
      </c>
      <c r="D132" s="32">
        <v>1.32823161057063</v>
      </c>
      <c r="E132" s="32">
        <v>-1.5149184158326976</v>
      </c>
      <c r="F132" s="24">
        <v>1019011.5</v>
      </c>
      <c r="G132" s="52" t="s">
        <v>2</v>
      </c>
      <c r="H132" s="32">
        <v>32.298797401228221</v>
      </c>
      <c r="I132" s="32">
        <v>22.057197272083581</v>
      </c>
      <c r="J132" s="12" t="s">
        <v>4127</v>
      </c>
      <c r="K132" s="15" t="s">
        <v>4128</v>
      </c>
      <c r="L132" s="16" t="s">
        <v>5004</v>
      </c>
      <c r="M132" s="12" t="s">
        <v>4121</v>
      </c>
      <c r="N132" s="15" t="s">
        <v>4129</v>
      </c>
      <c r="O132" s="12" t="s">
        <v>4123</v>
      </c>
      <c r="P132" s="12" t="s">
        <v>4134</v>
      </c>
      <c r="Q132" s="14">
        <v>4</v>
      </c>
      <c r="R132" s="21">
        <v>965.42690000000005</v>
      </c>
      <c r="S132" s="14">
        <v>31</v>
      </c>
      <c r="T132" s="52" t="s">
        <v>2</v>
      </c>
      <c r="U132" s="53">
        <v>73.065412499999994</v>
      </c>
      <c r="V132" s="24">
        <v>536287</v>
      </c>
      <c r="W132" s="24">
        <v>734487</v>
      </c>
      <c r="X132" s="24">
        <v>865163</v>
      </c>
      <c r="Y132" s="24">
        <v>1172860</v>
      </c>
      <c r="Z132" s="24">
        <v>853310</v>
      </c>
      <c r="AA132" s="24">
        <v>915818</v>
      </c>
      <c r="AB132" s="24">
        <v>918014</v>
      </c>
      <c r="AC132" s="24">
        <v>742559</v>
      </c>
      <c r="AD132" s="24">
        <v>827199.25</v>
      </c>
      <c r="AE132" s="24">
        <v>857425.25</v>
      </c>
      <c r="AF132" s="24">
        <v>635387</v>
      </c>
      <c r="AG132" s="24">
        <v>1019011.5</v>
      </c>
      <c r="AH132" s="24">
        <v>884564</v>
      </c>
      <c r="AI132" s="24">
        <v>830286.5</v>
      </c>
      <c r="AJ132" s="32">
        <v>32.298797401228221</v>
      </c>
      <c r="AK132" s="32">
        <v>9.591896115200429</v>
      </c>
      <c r="AL132" s="32">
        <v>22.057197272083581</v>
      </c>
      <c r="AM132" s="32">
        <v>21.351538746202287</v>
      </c>
      <c r="AN132" s="32">
        <v>4.9967928469176579</v>
      </c>
      <c r="AO132" s="32">
        <v>14.942483142034188</v>
      </c>
      <c r="AP132" s="19">
        <v>1.0365401685265068</v>
      </c>
      <c r="AQ132" s="19">
        <v>1.3921657194749026</v>
      </c>
      <c r="AR132" s="19">
        <v>0.81479600573693234</v>
      </c>
      <c r="AS132" s="19">
        <v>5.1776025575262771E-2</v>
      </c>
      <c r="AT132" s="19">
        <v>0.47733095575143553</v>
      </c>
      <c r="AU132" s="19">
        <v>-0.29548918689289383</v>
      </c>
      <c r="AV132" s="19">
        <v>-0.14591352711083777</v>
      </c>
      <c r="AW132" s="19">
        <v>0.40950673876828581</v>
      </c>
      <c r="AX132" s="19">
        <v>-0.59924010112868675</v>
      </c>
      <c r="AY132" s="19">
        <v>1.0365401685265068</v>
      </c>
      <c r="AZ132" s="19">
        <v>1.3921657194749026</v>
      </c>
      <c r="BA132" s="19">
        <v>-1.2273010581287302</v>
      </c>
      <c r="BB132" s="19">
        <v>-1.1064310333553893</v>
      </c>
      <c r="BC132" s="19">
        <v>1.32823161057063</v>
      </c>
      <c r="BD132" s="19">
        <v>-1.5149184158326976</v>
      </c>
      <c r="BE132" s="14" t="s">
        <v>4857</v>
      </c>
    </row>
    <row r="133" spans="1:105" s="30" customFormat="1" ht="17.100000000000001" customHeight="1">
      <c r="A133" s="14">
        <v>122</v>
      </c>
      <c r="B133" s="14" t="s">
        <v>4148</v>
      </c>
      <c r="C133" s="32">
        <v>1.0246713612038396</v>
      </c>
      <c r="D133" s="32">
        <v>1.5359376915000373</v>
      </c>
      <c r="E133" s="32">
        <v>-1.2900167330489249</v>
      </c>
      <c r="F133" s="24">
        <v>305302</v>
      </c>
      <c r="G133" s="52" t="s">
        <v>2</v>
      </c>
      <c r="H133" s="32">
        <v>40.306379959029542</v>
      </c>
      <c r="I133" s="32">
        <v>31.74516170022833</v>
      </c>
      <c r="J133" s="12" t="s">
        <v>4149</v>
      </c>
      <c r="K133" s="12" t="s">
        <v>4150</v>
      </c>
      <c r="L133" s="14" t="s">
        <v>4151</v>
      </c>
      <c r="M133" s="12" t="s">
        <v>4152</v>
      </c>
      <c r="N133" s="15" t="s">
        <v>4153</v>
      </c>
      <c r="O133" s="12" t="s">
        <v>4154</v>
      </c>
      <c r="P133" s="12" t="s">
        <v>4155</v>
      </c>
      <c r="Q133" s="14">
        <v>3</v>
      </c>
      <c r="R133" s="21">
        <v>691.35419999999999</v>
      </c>
      <c r="S133" s="14">
        <v>2</v>
      </c>
      <c r="T133" s="52" t="s">
        <v>2</v>
      </c>
      <c r="U133" s="53">
        <v>86.872900000000001</v>
      </c>
      <c r="V133" s="24">
        <v>148897</v>
      </c>
      <c r="W133" s="24">
        <v>157739</v>
      </c>
      <c r="X133" s="24">
        <v>340585</v>
      </c>
      <c r="Y133" s="24">
        <v>270019</v>
      </c>
      <c r="Z133" s="24">
        <v>202395</v>
      </c>
      <c r="AA133" s="24">
        <v>291249</v>
      </c>
      <c r="AB133" s="24">
        <v>357702</v>
      </c>
      <c r="AC133" s="24">
        <v>226553</v>
      </c>
      <c r="AD133" s="24">
        <v>229310</v>
      </c>
      <c r="AE133" s="24">
        <v>269474.75</v>
      </c>
      <c r="AF133" s="24">
        <v>153318</v>
      </c>
      <c r="AG133" s="24">
        <v>305302</v>
      </c>
      <c r="AH133" s="24">
        <v>246822</v>
      </c>
      <c r="AI133" s="24">
        <v>292127.5</v>
      </c>
      <c r="AJ133" s="32">
        <v>40.306379959029542</v>
      </c>
      <c r="AK133" s="32">
        <v>25.888073444215326</v>
      </c>
      <c r="AL133" s="32">
        <v>4.0779544210408778</v>
      </c>
      <c r="AM133" s="32">
        <v>16.343717735622405</v>
      </c>
      <c r="AN133" s="32">
        <v>25.45529407246902</v>
      </c>
      <c r="AO133" s="32">
        <v>31.74516170022833</v>
      </c>
      <c r="AP133" s="19">
        <v>1.1751548122628757</v>
      </c>
      <c r="AQ133" s="19">
        <v>1.6098696826204359</v>
      </c>
      <c r="AR133" s="19">
        <v>0.95684764593746519</v>
      </c>
      <c r="AS133" s="19">
        <v>0.23285082672360638</v>
      </c>
      <c r="AT133" s="19">
        <v>0.68694390831096375</v>
      </c>
      <c r="AU133" s="19">
        <v>-6.363886500198887E-2</v>
      </c>
      <c r="AV133" s="19">
        <v>3.5161274037505824E-2</v>
      </c>
      <c r="AW133" s="19">
        <v>0.61911969132781408</v>
      </c>
      <c r="AX133" s="19">
        <v>-0.36738977923778182</v>
      </c>
      <c r="AY133" s="19">
        <v>1.1751548122628757</v>
      </c>
      <c r="AZ133" s="19">
        <v>1.6098696826204359</v>
      </c>
      <c r="BA133" s="19">
        <v>-1.0450984587209353</v>
      </c>
      <c r="BB133" s="19">
        <v>1.0246713612038396</v>
      </c>
      <c r="BC133" s="19">
        <v>1.5359376915000373</v>
      </c>
      <c r="BD133" s="19">
        <v>-1.2900167330489249</v>
      </c>
      <c r="BE133" s="14" t="s">
        <v>4857</v>
      </c>
    </row>
    <row r="134" spans="1:105" s="30" customFormat="1" ht="17.100000000000001" customHeight="1">
      <c r="A134" s="14">
        <v>123</v>
      </c>
      <c r="B134" s="14" t="s">
        <v>4156</v>
      </c>
      <c r="C134" s="32">
        <v>-1.1416051099576625</v>
      </c>
      <c r="D134" s="32">
        <v>-1.6154967131736215</v>
      </c>
      <c r="E134" s="32">
        <v>1.2167285483277372</v>
      </c>
      <c r="F134" s="24">
        <v>221673.5</v>
      </c>
      <c r="G134" s="52" t="s">
        <v>2</v>
      </c>
      <c r="H134" s="32">
        <v>29.550384895374471</v>
      </c>
      <c r="I134" s="32">
        <v>24.678564903615296</v>
      </c>
      <c r="J134" s="12" t="s">
        <v>4157</v>
      </c>
      <c r="K134" s="12" t="s">
        <v>4158</v>
      </c>
      <c r="L134" s="14" t="s">
        <v>4631</v>
      </c>
      <c r="M134" s="12" t="s">
        <v>4152</v>
      </c>
      <c r="N134" s="15" t="s">
        <v>4159</v>
      </c>
      <c r="O134" s="12" t="s">
        <v>4154</v>
      </c>
      <c r="P134" s="12" t="s">
        <v>4160</v>
      </c>
      <c r="Q134" s="14">
        <v>2</v>
      </c>
      <c r="R134" s="21">
        <v>956.98119999999994</v>
      </c>
      <c r="S134" s="14">
        <v>15</v>
      </c>
      <c r="T134" s="52" t="s">
        <v>2</v>
      </c>
      <c r="U134" s="53">
        <v>58.530462499999999</v>
      </c>
      <c r="V134" s="24">
        <v>215918</v>
      </c>
      <c r="W134" s="24">
        <v>196645</v>
      </c>
      <c r="X134" s="24">
        <v>173355</v>
      </c>
      <c r="Y134" s="24">
        <v>121842</v>
      </c>
      <c r="Z134" s="24">
        <v>124562</v>
      </c>
      <c r="AA134" s="24">
        <v>143109</v>
      </c>
      <c r="AB134" s="24">
        <v>207713</v>
      </c>
      <c r="AC134" s="24">
        <v>235634</v>
      </c>
      <c r="AD134" s="24">
        <v>176940</v>
      </c>
      <c r="AE134" s="24">
        <v>177754.5</v>
      </c>
      <c r="AF134" s="24">
        <v>206281.5</v>
      </c>
      <c r="AG134" s="24">
        <v>147598.5</v>
      </c>
      <c r="AH134" s="24">
        <v>133835.5</v>
      </c>
      <c r="AI134" s="24">
        <v>221673.5</v>
      </c>
      <c r="AJ134" s="32">
        <v>22.971446627546435</v>
      </c>
      <c r="AK134" s="32">
        <v>29.550384895374471</v>
      </c>
      <c r="AL134" s="32">
        <v>6.6065396042826574</v>
      </c>
      <c r="AM134" s="32">
        <v>24.678564903615296</v>
      </c>
      <c r="AN134" s="32">
        <v>9.7991261441597306</v>
      </c>
      <c r="AO134" s="32">
        <v>8.9063999248938615</v>
      </c>
      <c r="AP134" s="19">
        <v>1.0046032553407935</v>
      </c>
      <c r="AQ134" s="19">
        <v>0.64880030443835246</v>
      </c>
      <c r="AR134" s="19">
        <v>1.5018682439184681</v>
      </c>
      <c r="AS134" s="19">
        <v>6.6258550740125001E-3</v>
      </c>
      <c r="AT134" s="19">
        <v>-0.62415359837225304</v>
      </c>
      <c r="AU134" s="19">
        <v>0.58675825347599386</v>
      </c>
      <c r="AV134" s="19">
        <v>-0.19106369761208805</v>
      </c>
      <c r="AW134" s="19">
        <v>-0.6919778153554027</v>
      </c>
      <c r="AX134" s="19">
        <v>0.28300733924020094</v>
      </c>
      <c r="AY134" s="19">
        <v>1.0046032553407935</v>
      </c>
      <c r="AZ134" s="19">
        <v>-1.5413063051283105</v>
      </c>
      <c r="BA134" s="19">
        <v>1.5018682439184681</v>
      </c>
      <c r="BB134" s="19">
        <v>-1.1416051099576625</v>
      </c>
      <c r="BC134" s="19">
        <v>-1.6154967131736215</v>
      </c>
      <c r="BD134" s="19">
        <v>1.2167285483277372</v>
      </c>
      <c r="BE134" s="14" t="s">
        <v>4857</v>
      </c>
    </row>
    <row r="135" spans="1:105" s="30" customFormat="1" ht="17.100000000000001" customHeight="1">
      <c r="A135" s="14">
        <v>124</v>
      </c>
      <c r="B135" s="14" t="s">
        <v>4036</v>
      </c>
      <c r="C135" s="32">
        <v>1.1800386940895677</v>
      </c>
      <c r="D135" s="32">
        <v>1.171480306351238</v>
      </c>
      <c r="E135" s="32">
        <v>1.1792471728612064</v>
      </c>
      <c r="F135" s="24">
        <v>2760595</v>
      </c>
      <c r="G135" s="52" t="s">
        <v>2</v>
      </c>
      <c r="H135" s="32">
        <v>21.805887000392097</v>
      </c>
      <c r="I135" s="32">
        <v>8.5952526225206398</v>
      </c>
      <c r="J135" s="12" t="s">
        <v>4030</v>
      </c>
      <c r="K135" s="15" t="s">
        <v>4031</v>
      </c>
      <c r="L135" s="14" t="s">
        <v>5178</v>
      </c>
      <c r="M135" s="12" t="s">
        <v>4032</v>
      </c>
      <c r="N135" s="15" t="s">
        <v>4033</v>
      </c>
      <c r="O135" s="12" t="s">
        <v>4034</v>
      </c>
      <c r="P135" s="12" t="s">
        <v>4035</v>
      </c>
      <c r="Q135" s="14">
        <v>3</v>
      </c>
      <c r="R135" s="21">
        <v>652.32680000000005</v>
      </c>
      <c r="S135" s="14">
        <v>17</v>
      </c>
      <c r="T135" s="52" t="s">
        <v>2</v>
      </c>
      <c r="U135" s="53">
        <v>49.546037500000004</v>
      </c>
      <c r="V135" s="24">
        <v>1602740</v>
      </c>
      <c r="W135" s="24">
        <v>1488770</v>
      </c>
      <c r="X135" s="24">
        <v>1848250</v>
      </c>
      <c r="Y135" s="24">
        <v>1944810</v>
      </c>
      <c r="Z135" s="24">
        <v>1782630</v>
      </c>
      <c r="AA135" s="24">
        <v>2013340</v>
      </c>
      <c r="AB135" s="24">
        <v>2800880</v>
      </c>
      <c r="AC135" s="24">
        <v>2720310</v>
      </c>
      <c r="AD135" s="24">
        <v>1721142.5</v>
      </c>
      <c r="AE135" s="24">
        <v>2329290</v>
      </c>
      <c r="AF135" s="24">
        <v>1545755</v>
      </c>
      <c r="AG135" s="24">
        <v>1896530</v>
      </c>
      <c r="AH135" s="24">
        <v>1897985</v>
      </c>
      <c r="AI135" s="24">
        <v>2760595</v>
      </c>
      <c r="AJ135" s="32">
        <v>12.288479552182986</v>
      </c>
      <c r="AK135" s="32">
        <v>21.805887000392097</v>
      </c>
      <c r="AL135" s="32">
        <v>5.2135661765176771</v>
      </c>
      <c r="AM135" s="32">
        <v>3.6001661345390281</v>
      </c>
      <c r="AN135" s="32">
        <v>8.5952526225206398</v>
      </c>
      <c r="AO135" s="32">
        <v>2.0637432640499651</v>
      </c>
      <c r="AP135" s="19">
        <v>1.3533394242487184</v>
      </c>
      <c r="AQ135" s="19">
        <v>1.2278692289528419</v>
      </c>
      <c r="AR135" s="19">
        <v>1.455603127817646</v>
      </c>
      <c r="AS135" s="19">
        <v>0.43652371977819648</v>
      </c>
      <c r="AT135" s="19">
        <v>0.29615691837308444</v>
      </c>
      <c r="AU135" s="19">
        <v>0.5416170563761401</v>
      </c>
      <c r="AV135" s="19">
        <v>0.23883416709209593</v>
      </c>
      <c r="AW135" s="19">
        <v>0.22833270138993472</v>
      </c>
      <c r="AX135" s="19">
        <v>0.23786614214034718</v>
      </c>
      <c r="AY135" s="19">
        <v>1.3533394242487184</v>
      </c>
      <c r="AZ135" s="19">
        <v>1.2278692289528419</v>
      </c>
      <c r="BA135" s="19">
        <v>1.455603127817646</v>
      </c>
      <c r="BB135" s="19">
        <v>1.1800386940895677</v>
      </c>
      <c r="BC135" s="19">
        <v>1.171480306351238</v>
      </c>
      <c r="BD135" s="19">
        <v>1.1792471728612064</v>
      </c>
      <c r="BE135" s="14" t="s">
        <v>4857</v>
      </c>
    </row>
    <row r="136" spans="1:105" s="30" customFormat="1" ht="17.100000000000001" customHeight="1">
      <c r="A136" s="14">
        <v>125</v>
      </c>
      <c r="B136" s="14" t="s">
        <v>4038</v>
      </c>
      <c r="C136" s="32">
        <v>-1.0115065080007313</v>
      </c>
      <c r="D136" s="32">
        <v>-1.1316522271868508</v>
      </c>
      <c r="E136" s="32">
        <v>1.1283559907586675</v>
      </c>
      <c r="F136" s="24">
        <v>317154</v>
      </c>
      <c r="G136" s="52" t="s">
        <v>2</v>
      </c>
      <c r="H136" s="32">
        <v>15.400843618352306</v>
      </c>
      <c r="I136" s="32">
        <v>19.28035656027453</v>
      </c>
      <c r="J136" s="12" t="s">
        <v>4039</v>
      </c>
      <c r="K136" s="15" t="s">
        <v>4040</v>
      </c>
      <c r="L136" s="14" t="s">
        <v>5178</v>
      </c>
      <c r="M136" s="12" t="s">
        <v>4041</v>
      </c>
      <c r="N136" s="15" t="s">
        <v>4042</v>
      </c>
      <c r="O136" s="12" t="s">
        <v>4043</v>
      </c>
      <c r="P136" s="12" t="s">
        <v>4044</v>
      </c>
      <c r="Q136" s="14">
        <v>2</v>
      </c>
      <c r="R136" s="21">
        <v>929.97029999999995</v>
      </c>
      <c r="S136" s="14">
        <v>13</v>
      </c>
      <c r="T136" s="52" t="s">
        <v>2</v>
      </c>
      <c r="U136" s="53">
        <v>58.400825000000005</v>
      </c>
      <c r="V136" s="24">
        <v>310384</v>
      </c>
      <c r="W136" s="24">
        <v>257695</v>
      </c>
      <c r="X136" s="24">
        <v>234708</v>
      </c>
      <c r="Y136" s="24">
        <v>220716</v>
      </c>
      <c r="Z136" s="24">
        <v>298943</v>
      </c>
      <c r="AA136" s="24">
        <v>227211</v>
      </c>
      <c r="AB136" s="24">
        <v>328891</v>
      </c>
      <c r="AC136" s="24">
        <v>305417</v>
      </c>
      <c r="AD136" s="24">
        <v>255875.75</v>
      </c>
      <c r="AE136" s="24">
        <v>290115.5</v>
      </c>
      <c r="AF136" s="24">
        <v>284039.5</v>
      </c>
      <c r="AG136" s="24">
        <v>227712</v>
      </c>
      <c r="AH136" s="24">
        <v>263077</v>
      </c>
      <c r="AI136" s="24">
        <v>317154</v>
      </c>
      <c r="AJ136" s="32">
        <v>15.400843618352306</v>
      </c>
      <c r="AK136" s="32">
        <v>15.120051715969588</v>
      </c>
      <c r="AL136" s="32">
        <v>13.116749323223708</v>
      </c>
      <c r="AM136" s="32">
        <v>4.3448909510092459</v>
      </c>
      <c r="AN136" s="32">
        <v>19.28035656027453</v>
      </c>
      <c r="AO136" s="32">
        <v>5.2336166599106484</v>
      </c>
      <c r="AP136" s="19">
        <v>1.1338139702570487</v>
      </c>
      <c r="AQ136" s="19">
        <v>0.92619864490678239</v>
      </c>
      <c r="AR136" s="19">
        <v>1.392785623946037</v>
      </c>
      <c r="AS136" s="19">
        <v>0.18118395050599306</v>
      </c>
      <c r="AT136" s="19">
        <v>-0.11060644860768126</v>
      </c>
      <c r="AU136" s="19">
        <v>0.47797321696954514</v>
      </c>
      <c r="AV136" s="19">
        <v>-1.6505602180107493E-2</v>
      </c>
      <c r="AW136" s="19">
        <v>-0.17843066559083098</v>
      </c>
      <c r="AX136" s="19">
        <v>0.17422230273375222</v>
      </c>
      <c r="AY136" s="19">
        <v>1.1338139702570487</v>
      </c>
      <c r="AZ136" s="19">
        <v>-1.0796819942450309</v>
      </c>
      <c r="BA136" s="19">
        <v>1.392785623946037</v>
      </c>
      <c r="BB136" s="19">
        <v>-1.0115065080007313</v>
      </c>
      <c r="BC136" s="19">
        <v>-1.1316522271868508</v>
      </c>
      <c r="BD136" s="19">
        <v>1.1283559907586675</v>
      </c>
      <c r="BE136" s="14" t="s">
        <v>4857</v>
      </c>
    </row>
    <row r="137" spans="1:105" s="30" customFormat="1" ht="17.100000000000001" customHeight="1">
      <c r="A137" s="14">
        <v>126</v>
      </c>
      <c r="B137" s="14" t="s">
        <v>4046</v>
      </c>
      <c r="C137" s="32">
        <v>1.8300812486837481</v>
      </c>
      <c r="D137" s="32">
        <v>2.0030338851586564</v>
      </c>
      <c r="E137" s="32">
        <v>1.7000500338612552</v>
      </c>
      <c r="F137" s="42">
        <v>713059.5</v>
      </c>
      <c r="G137" s="52" t="s">
        <v>4894</v>
      </c>
      <c r="H137" s="32">
        <v>30.908549795374395</v>
      </c>
      <c r="I137" s="32">
        <v>39.58177389262508</v>
      </c>
      <c r="J137" s="12" t="s">
        <v>4047</v>
      </c>
      <c r="K137" s="12" t="s">
        <v>4048</v>
      </c>
      <c r="L137" s="14" t="s">
        <v>4391</v>
      </c>
      <c r="M137" s="12" t="s">
        <v>4049</v>
      </c>
      <c r="N137" s="15" t="s">
        <v>4050</v>
      </c>
      <c r="O137" s="12" t="s">
        <v>4051</v>
      </c>
      <c r="P137" s="12" t="s">
        <v>4053</v>
      </c>
      <c r="Q137" s="14">
        <v>3</v>
      </c>
      <c r="R137" s="21">
        <v>392.55329999999998</v>
      </c>
      <c r="S137" s="14">
        <v>1</v>
      </c>
      <c r="T137" s="52" t="s">
        <v>4894</v>
      </c>
      <c r="U137" s="53">
        <v>36.914212499999998</v>
      </c>
      <c r="V137" s="42">
        <v>282799</v>
      </c>
      <c r="W137" s="42">
        <v>159114</v>
      </c>
      <c r="X137" s="42">
        <v>320344</v>
      </c>
      <c r="Y137" s="42">
        <v>359260</v>
      </c>
      <c r="Z137" s="42">
        <v>479424</v>
      </c>
      <c r="AA137" s="42">
        <v>448350</v>
      </c>
      <c r="AB137" s="42">
        <v>834975</v>
      </c>
      <c r="AC137" s="42">
        <v>591144</v>
      </c>
      <c r="AD137" s="42">
        <v>280379.25</v>
      </c>
      <c r="AE137" s="42">
        <v>588473.25</v>
      </c>
      <c r="AF137" s="42">
        <v>220956.5</v>
      </c>
      <c r="AG137" s="42">
        <v>339802</v>
      </c>
      <c r="AH137" s="42">
        <v>463887</v>
      </c>
      <c r="AI137" s="42">
        <v>713059.5</v>
      </c>
      <c r="AJ137" s="32">
        <v>30.908549795374395</v>
      </c>
      <c r="AK137" s="32">
        <v>29.806109028499328</v>
      </c>
      <c r="AL137" s="32">
        <v>39.58177389262508</v>
      </c>
      <c r="AM137" s="32">
        <v>8.0981770256371899</v>
      </c>
      <c r="AN137" s="32">
        <v>4.7366354561759172</v>
      </c>
      <c r="AO137" s="32">
        <v>24.179546526411482</v>
      </c>
      <c r="AP137" s="19">
        <v>2.0988473647746759</v>
      </c>
      <c r="AQ137" s="19">
        <v>2.0994494391429988</v>
      </c>
      <c r="AR137" s="19">
        <v>2.0984558654745999</v>
      </c>
      <c r="AS137" s="19">
        <v>1.0695972528189628</v>
      </c>
      <c r="AT137" s="19">
        <v>1.0700110442929573</v>
      </c>
      <c r="AU137" s="19">
        <v>1.0693281209171746</v>
      </c>
      <c r="AV137" s="19">
        <v>0.87190770013286223</v>
      </c>
      <c r="AW137" s="19">
        <v>1.0021868273098076</v>
      </c>
      <c r="AX137" s="19">
        <v>0.76557720668138163</v>
      </c>
      <c r="AY137" s="19">
        <v>2.0988473647746759</v>
      </c>
      <c r="AZ137" s="19">
        <v>2.0994494391429988</v>
      </c>
      <c r="BA137" s="19">
        <v>2.0984558654745999</v>
      </c>
      <c r="BB137" s="19">
        <v>1.8300812486837481</v>
      </c>
      <c r="BC137" s="19">
        <v>2.0030338851586564</v>
      </c>
      <c r="BD137" s="19">
        <v>1.7000500338612552</v>
      </c>
      <c r="BE137" s="14" t="s">
        <v>4857</v>
      </c>
    </row>
    <row r="138" spans="1:105" s="30" customFormat="1" ht="17.100000000000001" customHeight="1">
      <c r="A138" s="14">
        <v>127</v>
      </c>
      <c r="B138" s="14" t="s">
        <v>4554</v>
      </c>
      <c r="C138" s="32">
        <v>3.2749291793156048</v>
      </c>
      <c r="D138" s="32">
        <v>2.8431066909989031</v>
      </c>
      <c r="E138" s="32">
        <v>3.3477181831673559</v>
      </c>
      <c r="F138" s="42">
        <v>2483976.5</v>
      </c>
      <c r="G138" s="52" t="s">
        <v>4894</v>
      </c>
      <c r="H138" s="32">
        <v>55.706975961458141</v>
      </c>
      <c r="I138" s="32">
        <v>22.620584946104362</v>
      </c>
      <c r="J138" s="12" t="s">
        <v>4054</v>
      </c>
      <c r="K138" s="12" t="s">
        <v>4055</v>
      </c>
      <c r="L138" s="14" t="s">
        <v>4948</v>
      </c>
      <c r="M138" s="12" t="s">
        <v>4056</v>
      </c>
      <c r="N138" s="15" t="s">
        <v>4057</v>
      </c>
      <c r="O138" s="12" t="s">
        <v>4058</v>
      </c>
      <c r="P138" s="12" t="s">
        <v>4059</v>
      </c>
      <c r="Q138" s="14">
        <v>2</v>
      </c>
      <c r="R138" s="21">
        <v>492.78289999999998</v>
      </c>
      <c r="S138" s="14">
        <v>4</v>
      </c>
      <c r="T138" s="52" t="s">
        <v>4894</v>
      </c>
      <c r="U138" s="53">
        <v>25.708962499999998</v>
      </c>
      <c r="V138" s="42">
        <v>290352</v>
      </c>
      <c r="W138" s="42">
        <v>292801</v>
      </c>
      <c r="X138" s="42">
        <v>504969</v>
      </c>
      <c r="Y138" s="42">
        <v>697269</v>
      </c>
      <c r="Z138" s="42">
        <v>900988</v>
      </c>
      <c r="AA138" s="42">
        <v>836784</v>
      </c>
      <c r="AB138" s="42">
        <v>2429808</v>
      </c>
      <c r="AC138" s="42">
        <v>2538145</v>
      </c>
      <c r="AD138" s="42">
        <v>446347.75</v>
      </c>
      <c r="AE138" s="42">
        <v>1676431.25</v>
      </c>
      <c r="AF138" s="42">
        <v>291576.5</v>
      </c>
      <c r="AG138" s="42">
        <v>601119</v>
      </c>
      <c r="AH138" s="42">
        <v>868886</v>
      </c>
      <c r="AI138" s="42">
        <v>2483976.5</v>
      </c>
      <c r="AJ138" s="32">
        <v>43.732733268761692</v>
      </c>
      <c r="AK138" s="32">
        <v>55.706975961458141</v>
      </c>
      <c r="AL138" s="32">
        <v>0.59391086288704842</v>
      </c>
      <c r="AM138" s="32">
        <v>22.620584946104362</v>
      </c>
      <c r="AN138" s="32">
        <v>5.2249758632664234</v>
      </c>
      <c r="AO138" s="32">
        <v>3.0839996816961435</v>
      </c>
      <c r="AP138" s="19">
        <v>3.7558859655952115</v>
      </c>
      <c r="AQ138" s="19">
        <v>2.9799589473088539</v>
      </c>
      <c r="AR138" s="19">
        <v>4.1322541792889593</v>
      </c>
      <c r="AS138" s="19">
        <v>1.9091532612430866</v>
      </c>
      <c r="AT138" s="19">
        <v>1.5752924558814336</v>
      </c>
      <c r="AU138" s="19">
        <v>2.0469289986176138</v>
      </c>
      <c r="AV138" s="19">
        <v>1.7114637085569862</v>
      </c>
      <c r="AW138" s="19">
        <v>1.5074682388982839</v>
      </c>
      <c r="AX138" s="19">
        <v>1.743178084381821</v>
      </c>
      <c r="AY138" s="19">
        <v>3.7558859655952115</v>
      </c>
      <c r="AZ138" s="19">
        <v>2.9799589473088539</v>
      </c>
      <c r="BA138" s="19">
        <v>4.1322541792889593</v>
      </c>
      <c r="BB138" s="19">
        <v>3.2749291793156048</v>
      </c>
      <c r="BC138" s="19">
        <v>2.8431066909989031</v>
      </c>
      <c r="BD138" s="19">
        <v>3.3477181831673559</v>
      </c>
      <c r="BE138" s="14" t="s">
        <v>4857</v>
      </c>
    </row>
    <row r="139" spans="1:105" s="30" customFormat="1" ht="17.100000000000001" customHeight="1">
      <c r="A139" s="14">
        <v>128</v>
      </c>
      <c r="B139" s="14" t="s">
        <v>4060</v>
      </c>
      <c r="C139" s="32">
        <v>1.2041156970828339</v>
      </c>
      <c r="D139" s="32">
        <v>1.2049126191883301</v>
      </c>
      <c r="E139" s="32">
        <v>1.2081084824832571</v>
      </c>
      <c r="F139" s="40">
        <v>1700000</v>
      </c>
      <c r="G139" s="52" t="s">
        <v>2</v>
      </c>
      <c r="H139" s="32">
        <v>15.957347275213586</v>
      </c>
      <c r="I139" s="32">
        <v>17.367534976511692</v>
      </c>
      <c r="J139" s="12" t="s">
        <v>4061</v>
      </c>
      <c r="K139" s="12" t="s">
        <v>4062</v>
      </c>
      <c r="L139" s="14" t="s">
        <v>4530</v>
      </c>
      <c r="M139" s="12" t="s">
        <v>4063</v>
      </c>
      <c r="N139" s="15" t="s">
        <v>4064</v>
      </c>
      <c r="O139" s="12" t="s">
        <v>4065</v>
      </c>
      <c r="P139" s="12" t="s">
        <v>4066</v>
      </c>
      <c r="Q139" s="14">
        <v>3</v>
      </c>
      <c r="R139" s="21">
        <v>474.2647</v>
      </c>
      <c r="S139" s="14">
        <v>1</v>
      </c>
      <c r="T139" s="52" t="s">
        <v>2</v>
      </c>
      <c r="U139" s="53">
        <v>38</v>
      </c>
      <c r="V139" s="40">
        <v>1020000</v>
      </c>
      <c r="W139" s="40">
        <v>1110000</v>
      </c>
      <c r="X139" s="40">
        <v>1280000</v>
      </c>
      <c r="Y139" s="40">
        <v>1000000</v>
      </c>
      <c r="Z139" s="40">
        <v>1290000</v>
      </c>
      <c r="AA139" s="40">
        <v>1400000</v>
      </c>
      <c r="AB139" s="40">
        <v>1550000</v>
      </c>
      <c r="AC139" s="40">
        <v>1850000</v>
      </c>
      <c r="AD139" s="40">
        <v>1102500</v>
      </c>
      <c r="AE139" s="40">
        <v>1522500</v>
      </c>
      <c r="AF139" s="40">
        <v>1065000</v>
      </c>
      <c r="AG139" s="40">
        <v>1140000</v>
      </c>
      <c r="AH139" s="40">
        <v>1345000</v>
      </c>
      <c r="AI139" s="40">
        <v>1700000</v>
      </c>
      <c r="AJ139" s="32">
        <v>11.577216627994433</v>
      </c>
      <c r="AK139" s="32">
        <v>15.957347275213586</v>
      </c>
      <c r="AL139" s="32">
        <v>5.9755502635482891</v>
      </c>
      <c r="AM139" s="32">
        <v>17.367534976511692</v>
      </c>
      <c r="AN139" s="32">
        <v>5.7830294372133997</v>
      </c>
      <c r="AO139" s="32">
        <v>12.478354962115544</v>
      </c>
      <c r="AP139" s="19">
        <v>1.3809523809523809</v>
      </c>
      <c r="AQ139" s="19">
        <v>1.2629107981220657</v>
      </c>
      <c r="AR139" s="19">
        <v>1.4912280701754386</v>
      </c>
      <c r="AS139" s="19">
        <v>0.46566357234881184</v>
      </c>
      <c r="AT139" s="19">
        <v>0.33675274233078595</v>
      </c>
      <c r="AU139" s="19">
        <v>0.5765009219729601</v>
      </c>
      <c r="AV139" s="19">
        <v>0.26797401966271128</v>
      </c>
      <c r="AW139" s="19">
        <v>0.26892852534763623</v>
      </c>
      <c r="AX139" s="19">
        <v>0.27275000773716718</v>
      </c>
      <c r="AY139" s="19">
        <v>1.3809523809523809</v>
      </c>
      <c r="AZ139" s="19">
        <v>1.2629107981220657</v>
      </c>
      <c r="BA139" s="19">
        <v>1.4912280701754386</v>
      </c>
      <c r="BB139" s="19">
        <v>1.2041156970828339</v>
      </c>
      <c r="BC139" s="19">
        <v>1.2049126191883301</v>
      </c>
      <c r="BD139" s="19">
        <v>1.2081084824832571</v>
      </c>
      <c r="BE139" s="14" t="s">
        <v>4857</v>
      </c>
    </row>
    <row r="140" spans="1:105" s="30" customFormat="1" ht="17.100000000000001" customHeight="1">
      <c r="A140" s="31">
        <v>129</v>
      </c>
      <c r="B140" s="11" t="s">
        <v>4067</v>
      </c>
      <c r="C140" s="57"/>
      <c r="D140" s="57"/>
      <c r="E140" s="57"/>
      <c r="F140" s="27"/>
      <c r="G140" s="54"/>
      <c r="H140" s="57"/>
      <c r="I140" s="57"/>
      <c r="J140" s="13"/>
      <c r="K140" s="13"/>
      <c r="L140" s="13"/>
      <c r="M140" s="13"/>
      <c r="N140" s="13"/>
      <c r="O140" s="13"/>
      <c r="P140" s="13"/>
      <c r="Q140" s="13"/>
      <c r="R140" s="22"/>
      <c r="S140" s="18"/>
      <c r="T140" s="54"/>
      <c r="U140" s="5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57"/>
      <c r="AK140" s="57"/>
      <c r="AL140" s="57"/>
      <c r="AM140" s="57"/>
      <c r="AN140" s="57"/>
      <c r="AO140" s="5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13"/>
    </row>
    <row r="141" spans="1:105" s="30" customFormat="1" ht="17.100000000000001" customHeight="1">
      <c r="A141" s="14">
        <v>130</v>
      </c>
      <c r="B141" s="14" t="s">
        <v>4068</v>
      </c>
      <c r="C141" s="32">
        <v>1.0119652351082262</v>
      </c>
      <c r="D141" s="32">
        <v>-1.0280288508410971</v>
      </c>
      <c r="E141" s="32">
        <v>1.0537814106939303</v>
      </c>
      <c r="F141" s="24">
        <v>461392</v>
      </c>
      <c r="G141" s="52" t="s">
        <v>2</v>
      </c>
      <c r="H141" s="32">
        <v>15.112739999573696</v>
      </c>
      <c r="I141" s="32">
        <v>13.236068588963398</v>
      </c>
      <c r="J141" s="12" t="s">
        <v>4069</v>
      </c>
      <c r="K141" s="12" t="s">
        <v>4070</v>
      </c>
      <c r="L141" s="14" t="s">
        <v>4071</v>
      </c>
      <c r="M141" s="12" t="s">
        <v>4072</v>
      </c>
      <c r="N141" s="15" t="s">
        <v>4073</v>
      </c>
      <c r="O141" s="12" t="s">
        <v>4074</v>
      </c>
      <c r="P141" s="12" t="s">
        <v>4076</v>
      </c>
      <c r="Q141" s="14">
        <v>2</v>
      </c>
      <c r="R141" s="21">
        <v>606.32629999999995</v>
      </c>
      <c r="S141" s="14">
        <v>18</v>
      </c>
      <c r="T141" s="52" t="s">
        <v>2</v>
      </c>
      <c r="U141" s="53">
        <v>32.565649999999998</v>
      </c>
      <c r="V141" s="24">
        <v>319527</v>
      </c>
      <c r="W141" s="24">
        <v>385514</v>
      </c>
      <c r="X141" s="24">
        <v>361159</v>
      </c>
      <c r="Y141" s="24">
        <v>348274</v>
      </c>
      <c r="Z141" s="24">
        <v>383252</v>
      </c>
      <c r="AA141" s="24">
        <v>335578</v>
      </c>
      <c r="AB141" s="24">
        <v>459823</v>
      </c>
      <c r="AC141" s="24">
        <v>462961</v>
      </c>
      <c r="AD141" s="24">
        <v>353618.5</v>
      </c>
      <c r="AE141" s="24">
        <v>410403.5</v>
      </c>
      <c r="AF141" s="24">
        <v>352520.5</v>
      </c>
      <c r="AG141" s="24">
        <v>354716.5</v>
      </c>
      <c r="AH141" s="24">
        <v>359415</v>
      </c>
      <c r="AI141" s="24">
        <v>461392</v>
      </c>
      <c r="AJ141" s="32">
        <v>7.7702717584618153</v>
      </c>
      <c r="AK141" s="32">
        <v>15.112739999573696</v>
      </c>
      <c r="AL141" s="32">
        <v>13.236068588963398</v>
      </c>
      <c r="AM141" s="32">
        <v>2.5685500605663014</v>
      </c>
      <c r="AN141" s="32">
        <v>9.3792993298241498</v>
      </c>
      <c r="AO141" s="32">
        <v>0.48091451073347302</v>
      </c>
      <c r="AP141" s="19">
        <v>1.1605826618234056</v>
      </c>
      <c r="AQ141" s="19">
        <v>1.0195577278484513</v>
      </c>
      <c r="AR141" s="19">
        <v>1.3007345302516236</v>
      </c>
      <c r="AS141" s="19">
        <v>0.21484928145502338</v>
      </c>
      <c r="AT141" s="19">
        <v>2.7943463753583947E-2</v>
      </c>
      <c r="AU141" s="19">
        <v>0.37932654931961662</v>
      </c>
      <c r="AV141" s="19">
        <v>1.7159728768922827E-2</v>
      </c>
      <c r="AW141" s="19">
        <v>-3.988075322956576E-2</v>
      </c>
      <c r="AX141" s="19">
        <v>7.55756350838237E-2</v>
      </c>
      <c r="AY141" s="19">
        <v>1.1605826618234056</v>
      </c>
      <c r="AZ141" s="19">
        <v>1.0195577278484513</v>
      </c>
      <c r="BA141" s="19">
        <v>1.3007345302516236</v>
      </c>
      <c r="BB141" s="19">
        <v>1.0119652351082262</v>
      </c>
      <c r="BC141" s="19">
        <v>-1.0280288508410971</v>
      </c>
      <c r="BD141" s="19">
        <v>1.0537814106939303</v>
      </c>
      <c r="BE141" s="14" t="s">
        <v>4857</v>
      </c>
    </row>
    <row r="142" spans="1:105" s="30" customFormat="1" ht="17.100000000000001" customHeight="1">
      <c r="A142" s="14">
        <v>131</v>
      </c>
      <c r="B142" s="14" t="s">
        <v>4081</v>
      </c>
      <c r="C142" s="32">
        <v>1.0059482072864123</v>
      </c>
      <c r="D142" s="32">
        <v>1.1161829089528768</v>
      </c>
      <c r="E142" s="32">
        <v>-1.0816675799283901</v>
      </c>
      <c r="F142" s="24">
        <v>206533.5</v>
      </c>
      <c r="G142" s="52" t="s">
        <v>2</v>
      </c>
      <c r="H142" s="32">
        <v>26.90315248177685</v>
      </c>
      <c r="I142" s="32">
        <v>31.517045156151202</v>
      </c>
      <c r="J142" s="12" t="s">
        <v>4082</v>
      </c>
      <c r="K142" s="12" t="s">
        <v>4083</v>
      </c>
      <c r="L142" s="14" t="s">
        <v>5209</v>
      </c>
      <c r="M142" s="12" t="s">
        <v>4084</v>
      </c>
      <c r="N142" s="15" t="s">
        <v>4085</v>
      </c>
      <c r="O142" s="12" t="s">
        <v>4086</v>
      </c>
      <c r="P142" s="12" t="s">
        <v>4087</v>
      </c>
      <c r="Q142" s="14">
        <v>2</v>
      </c>
      <c r="R142" s="21">
        <v>570.76959999999997</v>
      </c>
      <c r="S142" s="14">
        <v>8</v>
      </c>
      <c r="T142" s="52" t="s">
        <v>2</v>
      </c>
      <c r="U142" s="53">
        <v>40.197187499999998</v>
      </c>
      <c r="V142" s="24">
        <v>157414</v>
      </c>
      <c r="W142" s="24">
        <v>122022</v>
      </c>
      <c r="X142" s="24">
        <v>221321</v>
      </c>
      <c r="Y142" s="24">
        <v>140652</v>
      </c>
      <c r="Z142" s="24">
        <v>173660</v>
      </c>
      <c r="AA142" s="24">
        <v>153255</v>
      </c>
      <c r="AB142" s="24">
        <v>209373</v>
      </c>
      <c r="AC142" s="24">
        <v>203694</v>
      </c>
      <c r="AD142" s="24">
        <v>160352.25</v>
      </c>
      <c r="AE142" s="24">
        <v>184995.5</v>
      </c>
      <c r="AF142" s="24">
        <v>139718</v>
      </c>
      <c r="AG142" s="24">
        <v>180986.5</v>
      </c>
      <c r="AH142" s="24">
        <v>163457.5</v>
      </c>
      <c r="AI142" s="24">
        <v>206533.5</v>
      </c>
      <c r="AJ142" s="32">
        <v>26.90315248177685</v>
      </c>
      <c r="AK142" s="32">
        <v>14.2329244278777</v>
      </c>
      <c r="AL142" s="32">
        <v>17.911738787954516</v>
      </c>
      <c r="AM142" s="32">
        <v>31.517045156151202</v>
      </c>
      <c r="AN142" s="32">
        <v>8.8270736247107067</v>
      </c>
      <c r="AO142" s="32">
        <v>1.9443138330384191</v>
      </c>
      <c r="AP142" s="19">
        <v>1.153681972033445</v>
      </c>
      <c r="AQ142" s="19">
        <v>1.169910104639345</v>
      </c>
      <c r="AR142" s="19">
        <v>1.1411541744826272</v>
      </c>
      <c r="AS142" s="19">
        <v>0.20624558047906694</v>
      </c>
      <c r="AT142" s="19">
        <v>0.22639767803636379</v>
      </c>
      <c r="AU142" s="19">
        <v>0.19049371865154616</v>
      </c>
      <c r="AV142" s="19">
        <v>8.5560277929663808E-3</v>
      </c>
      <c r="AW142" s="19">
        <v>0.15857346105321407</v>
      </c>
      <c r="AX142" s="19">
        <v>-0.11325719558424677</v>
      </c>
      <c r="AY142" s="19">
        <v>1.153681972033445</v>
      </c>
      <c r="AZ142" s="19">
        <v>1.169910104639345</v>
      </c>
      <c r="BA142" s="19">
        <v>1.1411541744826272</v>
      </c>
      <c r="BB142" s="19">
        <v>1.0059482072864123</v>
      </c>
      <c r="BC142" s="19">
        <v>1.1161829089528768</v>
      </c>
      <c r="BD142" s="19">
        <v>-1.0816675799283901</v>
      </c>
      <c r="BE142" s="14" t="s">
        <v>4857</v>
      </c>
    </row>
    <row r="143" spans="1:105" s="30" customFormat="1" ht="17.100000000000001" customHeight="1">
      <c r="A143" s="14">
        <v>132</v>
      </c>
      <c r="B143" s="14" t="s">
        <v>4088</v>
      </c>
      <c r="C143" s="32">
        <v>-1.1988166317613211</v>
      </c>
      <c r="D143" s="32">
        <v>-1.1909845998109143</v>
      </c>
      <c r="E143" s="32">
        <v>-1.1895739977371556</v>
      </c>
      <c r="F143" s="24">
        <v>22665</v>
      </c>
      <c r="G143" s="52" t="s">
        <v>2</v>
      </c>
      <c r="H143" s="32">
        <v>27.144793719477011</v>
      </c>
      <c r="I143" s="32">
        <v>38.289726737000976</v>
      </c>
      <c r="J143" s="12" t="s">
        <v>4089</v>
      </c>
      <c r="K143" s="15" t="s">
        <v>4090</v>
      </c>
      <c r="L143" s="14" t="s">
        <v>5134</v>
      </c>
      <c r="M143" s="12" t="s">
        <v>4091</v>
      </c>
      <c r="N143" s="15" t="s">
        <v>4092</v>
      </c>
      <c r="O143" s="12" t="s">
        <v>4093</v>
      </c>
      <c r="P143" s="12" t="s">
        <v>4094</v>
      </c>
      <c r="Q143" s="14">
        <v>2</v>
      </c>
      <c r="R143" s="21">
        <v>587.30790000000002</v>
      </c>
      <c r="S143" s="14">
        <v>5</v>
      </c>
      <c r="T143" s="52" t="s">
        <v>2</v>
      </c>
      <c r="U143" s="53">
        <v>26.369824999999999</v>
      </c>
      <c r="V143" s="24">
        <v>21829</v>
      </c>
      <c r="W143" s="24">
        <v>23501</v>
      </c>
      <c r="X143" s="24">
        <v>21924</v>
      </c>
      <c r="Y143" s="24">
        <v>20956</v>
      </c>
      <c r="Z143" s="24">
        <v>14546</v>
      </c>
      <c r="AA143" s="24">
        <v>25347</v>
      </c>
      <c r="AB143" s="24">
        <v>26416</v>
      </c>
      <c r="AC143" s="24">
        <v>18078</v>
      </c>
      <c r="AD143" s="24">
        <v>22052.5</v>
      </c>
      <c r="AE143" s="24">
        <v>21096.75</v>
      </c>
      <c r="AF143" s="24">
        <v>22665</v>
      </c>
      <c r="AG143" s="24">
        <v>21440</v>
      </c>
      <c r="AH143" s="24">
        <v>19946.5</v>
      </c>
      <c r="AI143" s="24">
        <v>22247</v>
      </c>
      <c r="AJ143" s="32">
        <v>4.8039504698300561</v>
      </c>
      <c r="AK143" s="32">
        <v>27.144793719477011</v>
      </c>
      <c r="AL143" s="32">
        <v>5.2163359282766715</v>
      </c>
      <c r="AM143" s="32">
        <v>3.1925343478944863</v>
      </c>
      <c r="AN143" s="32">
        <v>38.289726737000976</v>
      </c>
      <c r="AO143" s="32">
        <v>26.501804025412113</v>
      </c>
      <c r="AP143" s="19">
        <v>0.95666024260287952</v>
      </c>
      <c r="AQ143" s="19">
        <v>0.88005735715861455</v>
      </c>
      <c r="AR143" s="19">
        <v>1.0376399253731343</v>
      </c>
      <c r="AS143" s="19">
        <v>-6.3921451620979453E-2</v>
      </c>
      <c r="AT143" s="19">
        <v>-0.1843305413741525</v>
      </c>
      <c r="AU143" s="19">
        <v>5.3305896488747014E-2</v>
      </c>
      <c r="AV143" s="19">
        <v>-0.26161100430708001</v>
      </c>
      <c r="AW143" s="19">
        <v>-0.25215475835730222</v>
      </c>
      <c r="AX143" s="19">
        <v>-0.25044501774704592</v>
      </c>
      <c r="AY143" s="19">
        <v>-1.0453031865097704</v>
      </c>
      <c r="AZ143" s="19">
        <v>-1.1362895746120873</v>
      </c>
      <c r="BA143" s="19">
        <v>1.0376399253731343</v>
      </c>
      <c r="BB143" s="19">
        <v>-1.1988166317613211</v>
      </c>
      <c r="BC143" s="19">
        <v>-1.1909845998109143</v>
      </c>
      <c r="BD143" s="19">
        <v>-1.1895739977371556</v>
      </c>
      <c r="BE143" s="14" t="s">
        <v>4857</v>
      </c>
    </row>
    <row r="144" spans="1:105" s="30" customFormat="1" ht="17.100000000000001" customHeight="1">
      <c r="A144" s="14">
        <v>133</v>
      </c>
      <c r="B144" s="14" t="s">
        <v>4095</v>
      </c>
      <c r="C144" s="32">
        <v>1.4145393174997496</v>
      </c>
      <c r="D144" s="32">
        <v>1.2228253885913658</v>
      </c>
      <c r="E144" s="32">
        <v>1.6249421846976446</v>
      </c>
      <c r="F144" s="42">
        <v>4222812.5</v>
      </c>
      <c r="G144" s="52" t="s">
        <v>4894</v>
      </c>
      <c r="H144" s="32">
        <v>19.850240132300318</v>
      </c>
      <c r="I144" s="32">
        <v>8.6719119345515061</v>
      </c>
      <c r="J144" s="12" t="s">
        <v>4089</v>
      </c>
      <c r="K144" s="15" t="s">
        <v>4090</v>
      </c>
      <c r="L144" s="14" t="s">
        <v>5303</v>
      </c>
      <c r="M144" s="12" t="s">
        <v>4091</v>
      </c>
      <c r="N144" s="15" t="s">
        <v>4092</v>
      </c>
      <c r="O144" s="12" t="s">
        <v>4093</v>
      </c>
      <c r="P144" s="12" t="s">
        <v>4096</v>
      </c>
      <c r="Q144" s="14">
        <v>2</v>
      </c>
      <c r="R144" s="21">
        <v>403.2099</v>
      </c>
      <c r="S144" s="14">
        <v>1</v>
      </c>
      <c r="T144" s="52" t="s">
        <v>4894</v>
      </c>
      <c r="U144" s="53">
        <v>36</v>
      </c>
      <c r="V144" s="42">
        <v>2356504</v>
      </c>
      <c r="W144" s="42">
        <v>2384264</v>
      </c>
      <c r="X144" s="42">
        <v>2025113</v>
      </c>
      <c r="Y144" s="42">
        <v>2185601</v>
      </c>
      <c r="Z144" s="42">
        <v>2937222</v>
      </c>
      <c r="AA144" s="42">
        <v>3138953</v>
      </c>
      <c r="AB144" s="42">
        <v>4481754</v>
      </c>
      <c r="AC144" s="42">
        <v>3963871</v>
      </c>
      <c r="AD144" s="42">
        <v>2237870.5</v>
      </c>
      <c r="AE144" s="42">
        <v>3630450</v>
      </c>
      <c r="AF144" s="42">
        <v>2370384</v>
      </c>
      <c r="AG144" s="42">
        <v>2105357</v>
      </c>
      <c r="AH144" s="42">
        <v>3038087.5</v>
      </c>
      <c r="AI144" s="42">
        <v>4222812.5</v>
      </c>
      <c r="AJ144" s="32">
        <v>7.4551260158301105</v>
      </c>
      <c r="AK144" s="32">
        <v>19.850240132300318</v>
      </c>
      <c r="AL144" s="32">
        <v>0.82810566750950743</v>
      </c>
      <c r="AM144" s="32">
        <v>5.3901620057342594</v>
      </c>
      <c r="AN144" s="32">
        <v>4.6952353437991317</v>
      </c>
      <c r="AO144" s="32">
        <v>8.6719119345515061</v>
      </c>
      <c r="AP144" s="19">
        <v>1.6222788584057926</v>
      </c>
      <c r="AQ144" s="19">
        <v>1.2816857943691824</v>
      </c>
      <c r="AR144" s="19">
        <v>2.0057465313483651</v>
      </c>
      <c r="AS144" s="19">
        <v>0.6980218300732064</v>
      </c>
      <c r="AT144" s="19">
        <v>0.35804262820897303</v>
      </c>
      <c r="AU144" s="19">
        <v>1.004139302325294</v>
      </c>
      <c r="AV144" s="19">
        <v>0.50033227738710584</v>
      </c>
      <c r="AW144" s="19">
        <v>0.29021841122582331</v>
      </c>
      <c r="AX144" s="19">
        <v>0.7003883880895011</v>
      </c>
      <c r="AY144" s="19">
        <v>1.6222788584057926</v>
      </c>
      <c r="AZ144" s="19">
        <v>1.2816857943691824</v>
      </c>
      <c r="BA144" s="19">
        <v>2.0057465313483651</v>
      </c>
      <c r="BB144" s="19">
        <v>1.4145393174997496</v>
      </c>
      <c r="BC144" s="19">
        <v>1.2228253885913658</v>
      </c>
      <c r="BD144" s="19">
        <v>1.6249421846976446</v>
      </c>
      <c r="BE144" s="14" t="s">
        <v>4857</v>
      </c>
    </row>
    <row r="145" spans="1:105" s="30" customFormat="1" ht="17.100000000000001" customHeight="1">
      <c r="A145" s="14">
        <v>134</v>
      </c>
      <c r="B145" s="14" t="s">
        <v>4097</v>
      </c>
      <c r="C145" s="32">
        <v>-1.418520819460553</v>
      </c>
      <c r="D145" s="32">
        <v>-1.5430534716141335</v>
      </c>
      <c r="E145" s="32">
        <v>-1.2919360559784445</v>
      </c>
      <c r="F145" s="24">
        <v>135003.5</v>
      </c>
      <c r="G145" s="52" t="s">
        <v>2</v>
      </c>
      <c r="H145" s="32">
        <v>13.756546211807921</v>
      </c>
      <c r="I145" s="32">
        <v>9.8398512960077777</v>
      </c>
      <c r="J145" s="12" t="s">
        <v>4089</v>
      </c>
      <c r="K145" s="15" t="s">
        <v>4090</v>
      </c>
      <c r="L145" s="14" t="s">
        <v>4998</v>
      </c>
      <c r="M145" s="12" t="s">
        <v>4091</v>
      </c>
      <c r="N145" s="15" t="s">
        <v>4092</v>
      </c>
      <c r="O145" s="12" t="s">
        <v>4093</v>
      </c>
      <c r="P145" s="12" t="s">
        <v>4098</v>
      </c>
      <c r="Q145" s="14">
        <v>2</v>
      </c>
      <c r="R145" s="21">
        <v>807.39559999999994</v>
      </c>
      <c r="S145" s="14">
        <v>11</v>
      </c>
      <c r="T145" s="52" t="s">
        <v>2</v>
      </c>
      <c r="U145" s="53">
        <v>37.807837499999998</v>
      </c>
      <c r="V145" s="24">
        <v>137240</v>
      </c>
      <c r="W145" s="24">
        <v>132767</v>
      </c>
      <c r="X145" s="24">
        <v>126456</v>
      </c>
      <c r="Y145" s="24">
        <v>111015</v>
      </c>
      <c r="Z145" s="24">
        <v>98083</v>
      </c>
      <c r="AA145" s="24">
        <v>85322</v>
      </c>
      <c r="AB145" s="24">
        <v>108793</v>
      </c>
      <c r="AC145" s="24">
        <v>118093</v>
      </c>
      <c r="AD145" s="24">
        <v>126869.5</v>
      </c>
      <c r="AE145" s="24">
        <v>102572.75</v>
      </c>
      <c r="AF145" s="24">
        <v>135003.5</v>
      </c>
      <c r="AG145" s="24">
        <v>118735.5</v>
      </c>
      <c r="AH145" s="24">
        <v>91702.5</v>
      </c>
      <c r="AI145" s="24">
        <v>113443</v>
      </c>
      <c r="AJ145" s="32">
        <v>9.0314035608113663</v>
      </c>
      <c r="AK145" s="32">
        <v>13.756546211807921</v>
      </c>
      <c r="AL145" s="32">
        <v>2.3428197285606873</v>
      </c>
      <c r="AM145" s="32">
        <v>9.1955950901806798</v>
      </c>
      <c r="AN145" s="32">
        <v>9.8398512960077777</v>
      </c>
      <c r="AO145" s="32">
        <v>5.7968257759710973</v>
      </c>
      <c r="AP145" s="19">
        <v>0.80849022026570605</v>
      </c>
      <c r="AQ145" s="19">
        <v>0.67926016732899519</v>
      </c>
      <c r="AR145" s="19">
        <v>0.95542613624400452</v>
      </c>
      <c r="AS145" s="19">
        <v>-0.30669777234427092</v>
      </c>
      <c r="AT145" s="19">
        <v>-0.55796383967332497</v>
      </c>
      <c r="AU145" s="19">
        <v>-6.5783751766833085E-2</v>
      </c>
      <c r="AV145" s="19">
        <v>-0.50438732503037143</v>
      </c>
      <c r="AW145" s="19">
        <v>-0.62578805665647463</v>
      </c>
      <c r="AX145" s="19">
        <v>-0.36953466600262602</v>
      </c>
      <c r="AY145" s="19">
        <v>-1.2368733411164272</v>
      </c>
      <c r="AZ145" s="19">
        <v>-1.4721899621057222</v>
      </c>
      <c r="BA145" s="19">
        <v>-1.0466533854005977</v>
      </c>
      <c r="BB145" s="19">
        <v>-1.418520819460553</v>
      </c>
      <c r="BC145" s="19">
        <v>-1.5430534716141335</v>
      </c>
      <c r="BD145" s="19">
        <v>-1.2919360559784445</v>
      </c>
      <c r="BE145" s="14" t="s">
        <v>4857</v>
      </c>
    </row>
    <row r="146" spans="1:105" s="30" customFormat="1" ht="17.100000000000001" customHeight="1">
      <c r="A146" s="31">
        <v>135</v>
      </c>
      <c r="B146" s="11" t="s">
        <v>4100</v>
      </c>
      <c r="C146" s="57"/>
      <c r="D146" s="57"/>
      <c r="E146" s="57"/>
      <c r="F146" s="27"/>
      <c r="G146" s="54"/>
      <c r="H146" s="57"/>
      <c r="I146" s="57"/>
      <c r="J146" s="13"/>
      <c r="K146" s="13"/>
      <c r="L146" s="13"/>
      <c r="M146" s="13"/>
      <c r="N146" s="13"/>
      <c r="O146" s="13"/>
      <c r="P146" s="13"/>
      <c r="Q146" s="13"/>
      <c r="R146" s="22"/>
      <c r="S146" s="18"/>
      <c r="T146" s="54"/>
      <c r="U146" s="5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57"/>
      <c r="AK146" s="57"/>
      <c r="AL146" s="57"/>
      <c r="AM146" s="57"/>
      <c r="AN146" s="57"/>
      <c r="AO146" s="5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13"/>
    </row>
    <row r="147" spans="1:105" s="30" customFormat="1" ht="17.100000000000001" customHeight="1">
      <c r="A147" s="14">
        <v>136</v>
      </c>
      <c r="B147" s="14" t="s">
        <v>4101</v>
      </c>
      <c r="C147" s="32">
        <v>1.443076380983761</v>
      </c>
      <c r="D147" s="32">
        <v>1.5971062874944055</v>
      </c>
      <c r="E147" s="32">
        <v>1.3128774597781665</v>
      </c>
      <c r="F147" s="24">
        <v>481231.5</v>
      </c>
      <c r="G147" s="52" t="s">
        <v>2</v>
      </c>
      <c r="H147" s="32">
        <v>35.402219167132344</v>
      </c>
      <c r="I147" s="32">
        <v>8.8976612235688108</v>
      </c>
      <c r="J147" s="12" t="s">
        <v>3960</v>
      </c>
      <c r="K147" s="12" t="s">
        <v>3961</v>
      </c>
      <c r="L147" s="14" t="s">
        <v>3962</v>
      </c>
      <c r="M147" s="12" t="s">
        <v>3963</v>
      </c>
      <c r="N147" s="15" t="s">
        <v>3964</v>
      </c>
      <c r="O147" s="12" t="s">
        <v>3965</v>
      </c>
      <c r="P147" s="12" t="s">
        <v>3966</v>
      </c>
      <c r="Q147" s="14">
        <v>2</v>
      </c>
      <c r="R147" s="21">
        <v>651.81790000000001</v>
      </c>
      <c r="S147" s="14">
        <v>1</v>
      </c>
      <c r="T147" s="52" t="s">
        <v>2</v>
      </c>
      <c r="U147" s="53">
        <v>35.165025</v>
      </c>
      <c r="V147" s="24">
        <v>282522</v>
      </c>
      <c r="W147" s="24">
        <v>292432</v>
      </c>
      <c r="X147" s="24">
        <v>157028</v>
      </c>
      <c r="Y147" s="24">
        <v>159601</v>
      </c>
      <c r="Z147" s="24">
        <v>490356</v>
      </c>
      <c r="AA147" s="24">
        <v>472107</v>
      </c>
      <c r="AB147" s="24">
        <v>240415</v>
      </c>
      <c r="AC147" s="24">
        <v>272698</v>
      </c>
      <c r="AD147" s="24">
        <v>222895.75</v>
      </c>
      <c r="AE147" s="24">
        <v>368894</v>
      </c>
      <c r="AF147" s="24">
        <v>287477</v>
      </c>
      <c r="AG147" s="24">
        <v>158314.5</v>
      </c>
      <c r="AH147" s="24">
        <v>481231.5</v>
      </c>
      <c r="AI147" s="24">
        <v>256556.5</v>
      </c>
      <c r="AJ147" s="32">
        <v>33.508515442004359</v>
      </c>
      <c r="AK147" s="32">
        <v>35.402219167132344</v>
      </c>
      <c r="AL147" s="32">
        <v>2.4375613358838049</v>
      </c>
      <c r="AM147" s="32">
        <v>1.1492224325586013</v>
      </c>
      <c r="AN147" s="32">
        <v>2.6814519934529026</v>
      </c>
      <c r="AO147" s="32">
        <v>8.8976612235688108</v>
      </c>
      <c r="AP147" s="19">
        <v>1.65500688101949</v>
      </c>
      <c r="AQ147" s="19">
        <v>1.6739826142613148</v>
      </c>
      <c r="AR147" s="19">
        <v>1.6205496022158425</v>
      </c>
      <c r="AS147" s="19">
        <v>0.72683721533585088</v>
      </c>
      <c r="AT147" s="19">
        <v>0.7432845443463012</v>
      </c>
      <c r="AU147" s="19">
        <v>0.69648317972741336</v>
      </c>
      <c r="AV147" s="19">
        <v>0.52914766264975033</v>
      </c>
      <c r="AW147" s="19">
        <v>0.67546032736315154</v>
      </c>
      <c r="AX147" s="19">
        <v>0.39273226549162044</v>
      </c>
      <c r="AY147" s="19">
        <v>1.65500688101949</v>
      </c>
      <c r="AZ147" s="19">
        <v>1.6739826142613148</v>
      </c>
      <c r="BA147" s="19">
        <v>1.6205496022158425</v>
      </c>
      <c r="BB147" s="19">
        <v>1.443076380983761</v>
      </c>
      <c r="BC147" s="19">
        <v>1.5971062874944055</v>
      </c>
      <c r="BD147" s="19">
        <v>1.3128774597781665</v>
      </c>
      <c r="BE147" s="14" t="s">
        <v>4857</v>
      </c>
    </row>
    <row r="148" spans="1:105" s="30" customFormat="1" ht="17.100000000000001" customHeight="1">
      <c r="A148" s="14">
        <v>137</v>
      </c>
      <c r="B148" s="14" t="s">
        <v>3967</v>
      </c>
      <c r="C148" s="32">
        <v>1.0160489452057992</v>
      </c>
      <c r="D148" s="32">
        <v>1.3288912808812343</v>
      </c>
      <c r="E148" s="32">
        <v>-1.2435381800013601</v>
      </c>
      <c r="F148" s="24">
        <v>214500</v>
      </c>
      <c r="G148" s="52" t="s">
        <v>2</v>
      </c>
      <c r="H148" s="32">
        <v>20.29991140839601</v>
      </c>
      <c r="I148" s="32">
        <v>22.958012376186609</v>
      </c>
      <c r="J148" s="12" t="s">
        <v>3968</v>
      </c>
      <c r="K148" s="12" t="s">
        <v>3969</v>
      </c>
      <c r="L148" s="14" t="s">
        <v>3970</v>
      </c>
      <c r="M148" s="12" t="s">
        <v>3971</v>
      </c>
      <c r="N148" s="15" t="s">
        <v>3972</v>
      </c>
      <c r="O148" s="12" t="s">
        <v>3973</v>
      </c>
      <c r="P148" s="12" t="s">
        <v>3974</v>
      </c>
      <c r="Q148" s="14">
        <v>2</v>
      </c>
      <c r="R148" s="21">
        <v>434.25599999999997</v>
      </c>
      <c r="S148" s="14">
        <v>1</v>
      </c>
      <c r="T148" s="52" t="s">
        <v>2</v>
      </c>
      <c r="U148" s="53">
        <v>35.5</v>
      </c>
      <c r="V148" s="24">
        <v>179000</v>
      </c>
      <c r="W148" s="24">
        <v>129000</v>
      </c>
      <c r="X148" s="24">
        <v>215000</v>
      </c>
      <c r="Y148" s="24">
        <v>191000</v>
      </c>
      <c r="Z148" s="24">
        <v>224000</v>
      </c>
      <c r="AA148" s="24">
        <v>205000</v>
      </c>
      <c r="AB148" s="24">
        <v>230000</v>
      </c>
      <c r="AC148" s="24">
        <v>173000</v>
      </c>
      <c r="AD148" s="24">
        <v>178500</v>
      </c>
      <c r="AE148" s="24">
        <v>208000</v>
      </c>
      <c r="AF148" s="24">
        <v>154000</v>
      </c>
      <c r="AG148" s="24">
        <v>203000</v>
      </c>
      <c r="AH148" s="24">
        <v>214500</v>
      </c>
      <c r="AI148" s="24">
        <v>201500</v>
      </c>
      <c r="AJ148" s="32">
        <v>20.29991140839601</v>
      </c>
      <c r="AK148" s="32">
        <v>12.332457056135251</v>
      </c>
      <c r="AL148" s="32">
        <v>22.958012376186609</v>
      </c>
      <c r="AM148" s="32">
        <v>8.35988312732864</v>
      </c>
      <c r="AN148" s="32">
        <v>6.2634167098109108</v>
      </c>
      <c r="AO148" s="32">
        <v>20.002524331331621</v>
      </c>
      <c r="AP148" s="19">
        <v>1.1652661064425771</v>
      </c>
      <c r="AQ148" s="19">
        <v>1.3928571428571428</v>
      </c>
      <c r="AR148" s="19">
        <v>0.9926108374384236</v>
      </c>
      <c r="AS148" s="19">
        <v>0.22065945411199256</v>
      </c>
      <c r="AT148" s="19">
        <v>0.47804729680464414</v>
      </c>
      <c r="AU148" s="19">
        <v>-1.0699888657208927E-2</v>
      </c>
      <c r="AV148" s="19">
        <v>2.2969901425892003E-2</v>
      </c>
      <c r="AW148" s="19">
        <v>0.41022307982149442</v>
      </c>
      <c r="AX148" s="19">
        <v>-0.31445080289300187</v>
      </c>
      <c r="AY148" s="19">
        <v>1.1652661064425771</v>
      </c>
      <c r="AZ148" s="19">
        <v>1.3928571428571428</v>
      </c>
      <c r="BA148" s="19">
        <v>-1.0074441687344913</v>
      </c>
      <c r="BB148" s="19">
        <v>1.0160489452057992</v>
      </c>
      <c r="BC148" s="19">
        <v>1.3288912808812343</v>
      </c>
      <c r="BD148" s="19">
        <v>-1.2435381800013601</v>
      </c>
      <c r="BE148" s="14" t="s">
        <v>4857</v>
      </c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V148" s="28"/>
      <c r="BW148" s="28"/>
      <c r="BX148" s="28"/>
      <c r="BY148" s="28"/>
      <c r="BZ148" s="28"/>
      <c r="CA148" s="28"/>
      <c r="CB148" s="28"/>
      <c r="CC148" s="28"/>
      <c r="CD148" s="28"/>
      <c r="CE148" s="28"/>
      <c r="CF148" s="28"/>
      <c r="CG148" s="28"/>
      <c r="CH148" s="28"/>
      <c r="CI148" s="28"/>
      <c r="CJ148" s="28"/>
      <c r="CK148" s="28"/>
      <c r="CL148" s="28"/>
      <c r="CM148" s="28"/>
      <c r="CN148" s="28"/>
      <c r="CO148" s="28"/>
      <c r="CP148" s="28"/>
      <c r="CQ148" s="28"/>
      <c r="CR148" s="28"/>
      <c r="CS148" s="28"/>
      <c r="CT148" s="28"/>
      <c r="CU148" s="28"/>
      <c r="CV148" s="28"/>
      <c r="CW148" s="28"/>
      <c r="CX148" s="28"/>
      <c r="CY148" s="28"/>
      <c r="CZ148" s="28"/>
      <c r="DA148" s="28"/>
    </row>
    <row r="149" spans="1:105" s="30" customFormat="1" ht="17.100000000000001" customHeight="1">
      <c r="A149" s="31">
        <v>138</v>
      </c>
      <c r="B149" s="11" t="s">
        <v>3975</v>
      </c>
      <c r="C149" s="57"/>
      <c r="D149" s="57"/>
      <c r="E149" s="57"/>
      <c r="F149" s="27"/>
      <c r="G149" s="54"/>
      <c r="H149" s="57"/>
      <c r="I149" s="57"/>
      <c r="J149" s="13"/>
      <c r="K149" s="13"/>
      <c r="L149" s="13"/>
      <c r="M149" s="13"/>
      <c r="N149" s="13"/>
      <c r="O149" s="13"/>
      <c r="P149" s="13"/>
      <c r="Q149" s="13"/>
      <c r="R149" s="22"/>
      <c r="S149" s="18"/>
      <c r="T149" s="54"/>
      <c r="U149" s="5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57"/>
      <c r="AK149" s="57"/>
      <c r="AL149" s="57"/>
      <c r="AM149" s="57"/>
      <c r="AN149" s="57"/>
      <c r="AO149" s="5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13"/>
    </row>
    <row r="150" spans="1:105" s="30" customFormat="1" ht="17.100000000000001" customHeight="1">
      <c r="A150" s="14">
        <v>139</v>
      </c>
      <c r="B150" s="14" t="s">
        <v>4750</v>
      </c>
      <c r="C150" s="32">
        <v>-1.3057354355235107</v>
      </c>
      <c r="D150" s="32">
        <v>-1.9690803367831602</v>
      </c>
      <c r="E150" s="32">
        <v>1.1416401985905202</v>
      </c>
      <c r="F150" s="24">
        <v>929711</v>
      </c>
      <c r="G150" s="52" t="s">
        <v>2</v>
      </c>
      <c r="H150" s="32">
        <v>32.32948808993563</v>
      </c>
      <c r="I150" s="32">
        <v>13.691904720556488</v>
      </c>
      <c r="J150" s="12" t="s">
        <v>3977</v>
      </c>
      <c r="K150" s="15" t="s">
        <v>3978</v>
      </c>
      <c r="L150" s="14" t="s">
        <v>4954</v>
      </c>
      <c r="M150" s="12" t="s">
        <v>3979</v>
      </c>
      <c r="N150" s="15" t="s">
        <v>3980</v>
      </c>
      <c r="O150" s="12" t="s">
        <v>3981</v>
      </c>
      <c r="P150" s="12" t="s">
        <v>3984</v>
      </c>
      <c r="Q150" s="14">
        <v>2</v>
      </c>
      <c r="R150" s="21">
        <v>943.95460000000003</v>
      </c>
      <c r="S150" s="14">
        <v>14</v>
      </c>
      <c r="T150" s="52" t="s">
        <v>2</v>
      </c>
      <c r="U150" s="53">
        <v>73.353287500000008</v>
      </c>
      <c r="V150" s="24">
        <v>974387</v>
      </c>
      <c r="W150" s="24">
        <v>885035</v>
      </c>
      <c r="X150" s="24">
        <v>634612</v>
      </c>
      <c r="Y150" s="24">
        <v>577413</v>
      </c>
      <c r="Z150" s="24">
        <v>494917</v>
      </c>
      <c r="AA150" s="24">
        <v>494847</v>
      </c>
      <c r="AB150" s="24">
        <v>771303</v>
      </c>
      <c r="AC150" s="24">
        <v>936662</v>
      </c>
      <c r="AD150" s="24">
        <v>767861.75</v>
      </c>
      <c r="AE150" s="24">
        <v>674432.25</v>
      </c>
      <c r="AF150" s="24">
        <v>929711</v>
      </c>
      <c r="AG150" s="24">
        <v>606012.5</v>
      </c>
      <c r="AH150" s="24">
        <v>494882</v>
      </c>
      <c r="AI150" s="24">
        <v>853982.5</v>
      </c>
      <c r="AJ150" s="32">
        <v>24.983744931971742</v>
      </c>
      <c r="AK150" s="32">
        <v>32.32948808993563</v>
      </c>
      <c r="AL150" s="32">
        <v>6.7958112910980288</v>
      </c>
      <c r="AM150" s="32">
        <v>6.6740868838661465</v>
      </c>
      <c r="AN150" s="32">
        <v>1.000187412010506E-2</v>
      </c>
      <c r="AO150" s="32">
        <v>13.691904720556488</v>
      </c>
      <c r="AP150" s="19">
        <v>0.87832510214241044</v>
      </c>
      <c r="AQ150" s="19">
        <v>0.53229659539362228</v>
      </c>
      <c r="AR150" s="19">
        <v>1.4091829788989501</v>
      </c>
      <c r="AS150" s="19">
        <v>-0.18717305895806105</v>
      </c>
      <c r="AT150" s="19">
        <v>-0.90969775617317528</v>
      </c>
      <c r="AU150" s="19">
        <v>0.49485895416749953</v>
      </c>
      <c r="AV150" s="19">
        <v>-0.38486261164416158</v>
      </c>
      <c r="AW150" s="19">
        <v>-0.97752197315632494</v>
      </c>
      <c r="AX150" s="19">
        <v>0.19110803993170661</v>
      </c>
      <c r="AY150" s="19">
        <v>-1.1385305936956602</v>
      </c>
      <c r="AZ150" s="19">
        <v>-1.8786518806503369</v>
      </c>
      <c r="BA150" s="19">
        <v>1.4091829788989501</v>
      </c>
      <c r="BB150" s="19">
        <v>-1.3057354355235107</v>
      </c>
      <c r="BC150" s="19">
        <v>-1.9690803367831602</v>
      </c>
      <c r="BD150" s="19">
        <v>1.1416401985905202</v>
      </c>
      <c r="BE150" s="14" t="s">
        <v>4857</v>
      </c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</row>
    <row r="151" spans="1:105" s="30" customFormat="1" ht="17.100000000000001" customHeight="1">
      <c r="A151" s="14">
        <v>140</v>
      </c>
      <c r="B151" s="14" t="s">
        <v>3986</v>
      </c>
      <c r="C151" s="32">
        <v>1.2978051136480022</v>
      </c>
      <c r="D151" s="32">
        <v>1.0140468602326265</v>
      </c>
      <c r="E151" s="32">
        <v>1.4678458718270575</v>
      </c>
      <c r="F151" s="24">
        <v>1375535</v>
      </c>
      <c r="G151" s="52" t="s">
        <v>2</v>
      </c>
      <c r="H151" s="32">
        <v>44.384625031552254</v>
      </c>
      <c r="I151" s="32">
        <v>19.392022823213274</v>
      </c>
      <c r="J151" s="12" t="s">
        <v>3977</v>
      </c>
      <c r="K151" s="15" t="s">
        <v>3978</v>
      </c>
      <c r="L151" s="14" t="s">
        <v>5269</v>
      </c>
      <c r="M151" s="12" t="s">
        <v>3979</v>
      </c>
      <c r="N151" s="15" t="s">
        <v>3980</v>
      </c>
      <c r="O151" s="12" t="s">
        <v>3981</v>
      </c>
      <c r="P151" s="12" t="s">
        <v>3987</v>
      </c>
      <c r="Q151" s="14">
        <v>2</v>
      </c>
      <c r="R151" s="21">
        <v>898.9443</v>
      </c>
      <c r="S151" s="14">
        <v>12</v>
      </c>
      <c r="T151" s="52" t="s">
        <v>2</v>
      </c>
      <c r="U151" s="53">
        <v>64.267925000000005</v>
      </c>
      <c r="V151" s="24">
        <v>656148</v>
      </c>
      <c r="W151" s="24">
        <v>497902</v>
      </c>
      <c r="X151" s="24">
        <v>715232</v>
      </c>
      <c r="Y151" s="24">
        <v>803157</v>
      </c>
      <c r="Z151" s="24">
        <v>596223</v>
      </c>
      <c r="AA151" s="24">
        <v>630368</v>
      </c>
      <c r="AB151" s="24">
        <v>1337960</v>
      </c>
      <c r="AC151" s="24">
        <v>1413110</v>
      </c>
      <c r="AD151" s="24">
        <v>668109.75</v>
      </c>
      <c r="AE151" s="24">
        <v>994415.25</v>
      </c>
      <c r="AF151" s="24">
        <v>577025</v>
      </c>
      <c r="AG151" s="24">
        <v>759194.5</v>
      </c>
      <c r="AH151" s="24">
        <v>613295.5</v>
      </c>
      <c r="AI151" s="24">
        <v>1375535</v>
      </c>
      <c r="AJ151" s="32">
        <v>19.240214314936321</v>
      </c>
      <c r="AK151" s="32">
        <v>44.384625031552254</v>
      </c>
      <c r="AL151" s="32">
        <v>19.392022823213274</v>
      </c>
      <c r="AM151" s="32">
        <v>8.1892537071629459</v>
      </c>
      <c r="AN151" s="32">
        <v>3.9367908363284361</v>
      </c>
      <c r="AO151" s="32">
        <v>3.8631568521461865</v>
      </c>
      <c r="AP151" s="19">
        <v>1.4884010448882088</v>
      </c>
      <c r="AQ151" s="19">
        <v>1.0628577617954162</v>
      </c>
      <c r="AR151" s="19">
        <v>1.8118347801518584</v>
      </c>
      <c r="AS151" s="19">
        <v>0.57376330837833067</v>
      </c>
      <c r="AT151" s="19">
        <v>8.7948539406404666E-2</v>
      </c>
      <c r="AU151" s="19">
        <v>0.85745140310861878</v>
      </c>
      <c r="AV151" s="19">
        <v>0.37607375569223012</v>
      </c>
      <c r="AW151" s="19">
        <v>2.0124322423254959E-2</v>
      </c>
      <c r="AX151" s="19">
        <v>0.55370048887282586</v>
      </c>
      <c r="AY151" s="19">
        <v>1.4884010448882088</v>
      </c>
      <c r="AZ151" s="19">
        <v>1.0628577617954162</v>
      </c>
      <c r="BA151" s="19">
        <v>1.8118347801518584</v>
      </c>
      <c r="BB151" s="19">
        <v>1.2978051136480022</v>
      </c>
      <c r="BC151" s="19">
        <v>1.0140468602326265</v>
      </c>
      <c r="BD151" s="19">
        <v>1.4678458718270575</v>
      </c>
      <c r="BE151" s="14" t="s">
        <v>4857</v>
      </c>
    </row>
    <row r="152" spans="1:105" s="30" customFormat="1" ht="17.100000000000001" customHeight="1">
      <c r="A152" s="31">
        <v>141</v>
      </c>
      <c r="B152" s="11" t="s">
        <v>3989</v>
      </c>
      <c r="C152" s="57"/>
      <c r="D152" s="57"/>
      <c r="E152" s="57"/>
      <c r="F152" s="27"/>
      <c r="G152" s="54"/>
      <c r="H152" s="57"/>
      <c r="I152" s="57"/>
      <c r="J152" s="13"/>
      <c r="K152" s="13"/>
      <c r="L152" s="13"/>
      <c r="M152" s="13"/>
      <c r="N152" s="13"/>
      <c r="O152" s="13"/>
      <c r="P152" s="13"/>
      <c r="Q152" s="13"/>
      <c r="R152" s="22"/>
      <c r="S152" s="18"/>
      <c r="T152" s="54"/>
      <c r="U152" s="5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57"/>
      <c r="AK152" s="57"/>
      <c r="AL152" s="57"/>
      <c r="AM152" s="57"/>
      <c r="AN152" s="57"/>
      <c r="AO152" s="5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13"/>
    </row>
    <row r="153" spans="1:105" s="30" customFormat="1" ht="16.5" customHeight="1">
      <c r="A153" s="14">
        <v>142</v>
      </c>
      <c r="B153" s="14" t="s">
        <v>3990</v>
      </c>
      <c r="C153" s="32">
        <v>-1.2359175223238605</v>
      </c>
      <c r="D153" s="32">
        <v>-1.1336124175059485</v>
      </c>
      <c r="E153" s="32">
        <v>-1.3260555854803076</v>
      </c>
      <c r="F153" s="24">
        <v>52026.5</v>
      </c>
      <c r="G153" s="52" t="s">
        <v>2</v>
      </c>
      <c r="H153" s="32">
        <v>17.813362761293426</v>
      </c>
      <c r="I153" s="32">
        <v>22.138837628415658</v>
      </c>
      <c r="J153" s="12" t="s">
        <v>3991</v>
      </c>
      <c r="K153" s="15" t="s">
        <v>3991</v>
      </c>
      <c r="L153" s="14" t="s">
        <v>5066</v>
      </c>
      <c r="M153" s="12" t="s">
        <v>3992</v>
      </c>
      <c r="N153" s="15" t="s">
        <v>3993</v>
      </c>
      <c r="O153" s="12" t="s">
        <v>3994</v>
      </c>
      <c r="P153" s="12" t="s">
        <v>3995</v>
      </c>
      <c r="Q153" s="14">
        <v>2</v>
      </c>
      <c r="R153" s="21">
        <v>577.29600000000005</v>
      </c>
      <c r="S153" s="14">
        <v>6</v>
      </c>
      <c r="T153" s="52" t="s">
        <v>2</v>
      </c>
      <c r="U153" s="53">
        <v>30.784537499999999</v>
      </c>
      <c r="V153" s="24">
        <v>49805</v>
      </c>
      <c r="W153" s="24">
        <v>40417</v>
      </c>
      <c r="X153" s="24">
        <v>43882</v>
      </c>
      <c r="Y153" s="24">
        <v>60171</v>
      </c>
      <c r="Z153" s="24">
        <v>43647</v>
      </c>
      <c r="AA153" s="24">
        <v>39772</v>
      </c>
      <c r="AB153" s="24">
        <v>51303</v>
      </c>
      <c r="AC153" s="24">
        <v>45554</v>
      </c>
      <c r="AD153" s="24">
        <v>48568.75</v>
      </c>
      <c r="AE153" s="24">
        <v>45069</v>
      </c>
      <c r="AF153" s="24">
        <v>45111</v>
      </c>
      <c r="AG153" s="24">
        <v>52026.5</v>
      </c>
      <c r="AH153" s="24">
        <v>41709.5</v>
      </c>
      <c r="AI153" s="24">
        <v>48428.5</v>
      </c>
      <c r="AJ153" s="32">
        <v>17.813362761293426</v>
      </c>
      <c r="AK153" s="32">
        <v>10.654824771977601</v>
      </c>
      <c r="AL153" s="32">
        <v>14.715520520004674</v>
      </c>
      <c r="AM153" s="32">
        <v>22.138837628415658</v>
      </c>
      <c r="AN153" s="32">
        <v>6.5693397837372105</v>
      </c>
      <c r="AO153" s="32">
        <v>8.3941416418874475</v>
      </c>
      <c r="AP153" s="19">
        <v>0.92794234976193535</v>
      </c>
      <c r="AQ153" s="19">
        <v>0.92459710491897762</v>
      </c>
      <c r="AR153" s="19">
        <v>0.93084293581155753</v>
      </c>
      <c r="AS153" s="19">
        <v>-0.10789291700877279</v>
      </c>
      <c r="AT153" s="19">
        <v>-0.11310324964594679</v>
      </c>
      <c r="AU153" s="19">
        <v>-0.10339033724487541</v>
      </c>
      <c r="AV153" s="19">
        <v>-0.30558246969487335</v>
      </c>
      <c r="AW153" s="19">
        <v>-0.18092746662909648</v>
      </c>
      <c r="AX153" s="19">
        <v>-0.40714125148066832</v>
      </c>
      <c r="AY153" s="19">
        <v>-1.0776531540526748</v>
      </c>
      <c r="AZ153" s="19">
        <v>-1.0815521643750226</v>
      </c>
      <c r="BA153" s="19">
        <v>-1.0742950948305234</v>
      </c>
      <c r="BB153" s="19">
        <v>-1.2359175223238605</v>
      </c>
      <c r="BC153" s="19">
        <v>-1.1336124175059485</v>
      </c>
      <c r="BD153" s="19">
        <v>-1.3260555854803076</v>
      </c>
      <c r="BE153" s="14" t="s">
        <v>4857</v>
      </c>
    </row>
    <row r="154" spans="1:105" s="30" customFormat="1" ht="17.100000000000001" customHeight="1">
      <c r="A154" s="14">
        <v>143</v>
      </c>
      <c r="B154" s="14" t="s">
        <v>3996</v>
      </c>
      <c r="C154" s="32">
        <v>1.0182595704210746</v>
      </c>
      <c r="D154" s="32">
        <v>1.0367057339904062</v>
      </c>
      <c r="E154" s="32">
        <v>-1.000101648981655</v>
      </c>
      <c r="F154" s="42">
        <v>1964259.5</v>
      </c>
      <c r="G154" s="52" t="s">
        <v>4894</v>
      </c>
      <c r="H154" s="32">
        <v>20.927294345545484</v>
      </c>
      <c r="I154" s="32">
        <v>13.752885887925064</v>
      </c>
      <c r="J154" s="12" t="s">
        <v>3997</v>
      </c>
      <c r="K154" s="15" t="s">
        <v>3998</v>
      </c>
      <c r="L154" s="14" t="s">
        <v>4477</v>
      </c>
      <c r="M154" s="12" t="s">
        <v>3999</v>
      </c>
      <c r="N154" s="15" t="s">
        <v>4000</v>
      </c>
      <c r="O154" s="12" t="s">
        <v>4001</v>
      </c>
      <c r="P154" s="12" t="s">
        <v>4002</v>
      </c>
      <c r="Q154" s="14">
        <v>2</v>
      </c>
      <c r="R154" s="21">
        <v>461.2851</v>
      </c>
      <c r="S154" s="14">
        <v>1</v>
      </c>
      <c r="T154" s="52" t="s">
        <v>4894</v>
      </c>
      <c r="U154" s="53">
        <v>34</v>
      </c>
      <c r="V154" s="42">
        <v>1330092</v>
      </c>
      <c r="W154" s="42">
        <v>1273822</v>
      </c>
      <c r="X154" s="42">
        <v>1646132</v>
      </c>
      <c r="Y154" s="42">
        <v>1536855</v>
      </c>
      <c r="Z154" s="42">
        <v>1409832</v>
      </c>
      <c r="AA154" s="42">
        <v>1419600</v>
      </c>
      <c r="AB154" s="42">
        <v>2155279</v>
      </c>
      <c r="AC154" s="42">
        <v>1773240</v>
      </c>
      <c r="AD154" s="42">
        <v>1446725.25</v>
      </c>
      <c r="AE154" s="42">
        <v>1689487.75</v>
      </c>
      <c r="AF154" s="42">
        <v>1301957</v>
      </c>
      <c r="AG154" s="42">
        <v>1591493.5</v>
      </c>
      <c r="AH154" s="42">
        <v>1414716</v>
      </c>
      <c r="AI154" s="42">
        <v>1964259.5</v>
      </c>
      <c r="AJ154" s="32">
        <v>12.064002463833116</v>
      </c>
      <c r="AK154" s="32">
        <v>20.927294345545484</v>
      </c>
      <c r="AL154" s="32">
        <v>3.0560839242284521</v>
      </c>
      <c r="AM154" s="32">
        <v>4.8552198125674</v>
      </c>
      <c r="AN154" s="32">
        <v>0.4882265443120879</v>
      </c>
      <c r="AO154" s="32">
        <v>13.752885887925064</v>
      </c>
      <c r="AP154" s="19">
        <v>1.1678013845407067</v>
      </c>
      <c r="AQ154" s="19">
        <v>1.0866073149881295</v>
      </c>
      <c r="AR154" s="19">
        <v>1.2342240166233793</v>
      </c>
      <c r="AS154" s="19">
        <v>0.22379492669758588</v>
      </c>
      <c r="AT154" s="19">
        <v>0.11983066430812199</v>
      </c>
      <c r="AU154" s="19">
        <v>0.30360427320687722</v>
      </c>
      <c r="AV154" s="19">
        <v>2.6105374011485327E-2</v>
      </c>
      <c r="AW154" s="19">
        <v>5.2006447324972283E-2</v>
      </c>
      <c r="AX154" s="19">
        <v>-1.4664102891570607E-4</v>
      </c>
      <c r="AY154" s="19">
        <v>1.1678013845407067</v>
      </c>
      <c r="AZ154" s="19">
        <v>1.0866073149881295</v>
      </c>
      <c r="BA154" s="19">
        <v>1.2342240166233793</v>
      </c>
      <c r="BB154" s="19">
        <v>1.0182595704210746</v>
      </c>
      <c r="BC154" s="19">
        <v>1.0367057339904062</v>
      </c>
      <c r="BD154" s="19">
        <v>-1.000101648981655</v>
      </c>
      <c r="BE154" s="14" t="s">
        <v>4857</v>
      </c>
    </row>
    <row r="155" spans="1:105" s="30" customFormat="1" ht="17.100000000000001" customHeight="1">
      <c r="A155" s="14">
        <v>144</v>
      </c>
      <c r="B155" s="14" t="s">
        <v>4003</v>
      </c>
      <c r="C155" s="32">
        <v>-1.3819625493787455</v>
      </c>
      <c r="D155" s="32">
        <v>-1.4896091199544004</v>
      </c>
      <c r="E155" s="32">
        <v>-1.3068980580658227</v>
      </c>
      <c r="F155" s="24">
        <v>90016.5</v>
      </c>
      <c r="G155" s="52" t="s">
        <v>2</v>
      </c>
      <c r="H155" s="32">
        <v>22.412107596159792</v>
      </c>
      <c r="I155" s="32">
        <v>4.446779340470532</v>
      </c>
      <c r="J155" s="12" t="s">
        <v>4004</v>
      </c>
      <c r="K155" s="12" t="s">
        <v>4005</v>
      </c>
      <c r="L155" s="14" t="s">
        <v>4439</v>
      </c>
      <c r="M155" s="12" t="s">
        <v>4006</v>
      </c>
      <c r="N155" s="15" t="s">
        <v>4007</v>
      </c>
      <c r="O155" s="12" t="s">
        <v>4008</v>
      </c>
      <c r="P155" s="12" t="s">
        <v>4009</v>
      </c>
      <c r="Q155" s="14">
        <v>2</v>
      </c>
      <c r="R155" s="21">
        <v>654.78549999999996</v>
      </c>
      <c r="S155" s="14">
        <v>7</v>
      </c>
      <c r="T155" s="52" t="s">
        <v>2</v>
      </c>
      <c r="U155" s="53">
        <v>29.250487499999995</v>
      </c>
      <c r="V155" s="24">
        <v>79469</v>
      </c>
      <c r="W155" s="24">
        <v>83969</v>
      </c>
      <c r="X155" s="24">
        <v>87586</v>
      </c>
      <c r="Y155" s="24">
        <v>92447</v>
      </c>
      <c r="Z155" s="24">
        <v>55692</v>
      </c>
      <c r="AA155" s="24">
        <v>59308</v>
      </c>
      <c r="AB155" s="24">
        <v>85838</v>
      </c>
      <c r="AC155" s="24">
        <v>84201</v>
      </c>
      <c r="AD155" s="24">
        <v>85867.75</v>
      </c>
      <c r="AE155" s="24">
        <v>71259.75</v>
      </c>
      <c r="AF155" s="24">
        <v>81719</v>
      </c>
      <c r="AG155" s="24">
        <v>90016.5</v>
      </c>
      <c r="AH155" s="24">
        <v>57500</v>
      </c>
      <c r="AI155" s="24">
        <v>85019.5</v>
      </c>
      <c r="AJ155" s="32">
        <v>6.4065454685872645</v>
      </c>
      <c r="AK155" s="32">
        <v>22.412107596159792</v>
      </c>
      <c r="AL155" s="32">
        <v>3.8938074564537786</v>
      </c>
      <c r="AM155" s="32">
        <v>3.8184622411977891</v>
      </c>
      <c r="AN155" s="32">
        <v>4.446779340470532</v>
      </c>
      <c r="AO155" s="32">
        <v>1.361492129220212</v>
      </c>
      <c r="AP155" s="19">
        <v>0.82987792273583505</v>
      </c>
      <c r="AQ155" s="19">
        <v>0.70363073459048686</v>
      </c>
      <c r="AR155" s="19">
        <v>0.94448795498603033</v>
      </c>
      <c r="AS155" s="19">
        <v>-0.26902896712281449</v>
      </c>
      <c r="AT155" s="19">
        <v>-0.50710959378177289</v>
      </c>
      <c r="AU155" s="19">
        <v>-8.2395696783751068E-2</v>
      </c>
      <c r="AV155" s="19">
        <v>-0.46671851980891504</v>
      </c>
      <c r="AW155" s="19">
        <v>-0.57493381076492256</v>
      </c>
      <c r="AX155" s="19">
        <v>-0.38614661101954401</v>
      </c>
      <c r="AY155" s="19">
        <v>-1.2049965092496115</v>
      </c>
      <c r="AZ155" s="19">
        <v>-1.4212</v>
      </c>
      <c r="BA155" s="19">
        <v>-1.0587747516746158</v>
      </c>
      <c r="BB155" s="19">
        <v>-1.3819625493787455</v>
      </c>
      <c r="BC155" s="19">
        <v>-1.4896091199544004</v>
      </c>
      <c r="BD155" s="19">
        <v>-1.3068980580658227</v>
      </c>
      <c r="BE155" s="14" t="s">
        <v>4857</v>
      </c>
    </row>
    <row r="156" spans="1:105" s="30" customFormat="1" ht="17.100000000000001" customHeight="1">
      <c r="A156" s="14">
        <v>145</v>
      </c>
      <c r="B156" s="14" t="s">
        <v>4011</v>
      </c>
      <c r="C156" s="32">
        <v>-1.4418355723608889</v>
      </c>
      <c r="D156" s="32">
        <v>-1.3113499705508262</v>
      </c>
      <c r="E156" s="32">
        <v>-1.5579383626983316</v>
      </c>
      <c r="F156" s="24">
        <v>210560</v>
      </c>
      <c r="G156" s="52" t="s">
        <v>2</v>
      </c>
      <c r="H156" s="32">
        <v>15.017122975163922</v>
      </c>
      <c r="I156" s="32">
        <v>17.972451225915574</v>
      </c>
      <c r="J156" s="12" t="s">
        <v>4004</v>
      </c>
      <c r="K156" s="12" t="s">
        <v>4005</v>
      </c>
      <c r="L156" s="14" t="s">
        <v>4796</v>
      </c>
      <c r="M156" s="12" t="s">
        <v>4006</v>
      </c>
      <c r="N156" s="15" t="s">
        <v>4007</v>
      </c>
      <c r="O156" s="12" t="s">
        <v>4008</v>
      </c>
      <c r="P156" s="12" t="s">
        <v>4012</v>
      </c>
      <c r="Q156" s="14">
        <v>2</v>
      </c>
      <c r="R156" s="21">
        <v>949.0231</v>
      </c>
      <c r="S156" s="14">
        <v>8</v>
      </c>
      <c r="T156" s="52" t="s">
        <v>2</v>
      </c>
      <c r="U156" s="53">
        <v>56.102799999999995</v>
      </c>
      <c r="V156" s="24">
        <v>155880</v>
      </c>
      <c r="W156" s="24">
        <v>184299</v>
      </c>
      <c r="X156" s="24">
        <v>211362</v>
      </c>
      <c r="Y156" s="24">
        <v>209758</v>
      </c>
      <c r="Z156" s="24">
        <v>118672</v>
      </c>
      <c r="AA156" s="24">
        <v>153226</v>
      </c>
      <c r="AB156" s="24">
        <v>167083</v>
      </c>
      <c r="AC156" s="24">
        <v>166569</v>
      </c>
      <c r="AD156" s="24">
        <v>190324.75</v>
      </c>
      <c r="AE156" s="24">
        <v>151387.5</v>
      </c>
      <c r="AF156" s="24">
        <v>170089.5</v>
      </c>
      <c r="AG156" s="24">
        <v>210560</v>
      </c>
      <c r="AH156" s="24">
        <v>135949</v>
      </c>
      <c r="AI156" s="24">
        <v>166826</v>
      </c>
      <c r="AJ156" s="32">
        <v>13.711180237292876</v>
      </c>
      <c r="AK156" s="32">
        <v>15.017122975163922</v>
      </c>
      <c r="AL156" s="32">
        <v>11.814525655340567</v>
      </c>
      <c r="AM156" s="32">
        <v>0.53865847123063371</v>
      </c>
      <c r="AN156" s="32">
        <v>17.972451225915574</v>
      </c>
      <c r="AO156" s="32">
        <v>0.21786345385604483</v>
      </c>
      <c r="AP156" s="19">
        <v>0.7954167810544871</v>
      </c>
      <c r="AQ156" s="19">
        <v>0.79927920300782818</v>
      </c>
      <c r="AR156" s="19">
        <v>0.79229673252279631</v>
      </c>
      <c r="AS156" s="19">
        <v>-0.33021709561988954</v>
      </c>
      <c r="AT156" s="19">
        <v>-0.32322854363270931</v>
      </c>
      <c r="AU156" s="19">
        <v>-0.3358872424060928</v>
      </c>
      <c r="AV156" s="19">
        <v>-0.5279066483059901</v>
      </c>
      <c r="AW156" s="19">
        <v>-0.39105276061585903</v>
      </c>
      <c r="AX156" s="19">
        <v>-0.63963815664188572</v>
      </c>
      <c r="AY156" s="19">
        <v>-1.2572025431425977</v>
      </c>
      <c r="AZ156" s="19">
        <v>-1.2511272609581534</v>
      </c>
      <c r="BA156" s="19">
        <v>-1.2621533813674128</v>
      </c>
      <c r="BB156" s="19">
        <v>-1.4418355723608889</v>
      </c>
      <c r="BC156" s="19">
        <v>-1.3113499705508262</v>
      </c>
      <c r="BD156" s="19">
        <v>-1.5579383626983316</v>
      </c>
      <c r="BE156" s="14" t="s">
        <v>4857</v>
      </c>
    </row>
    <row r="157" spans="1:105" s="30" customFormat="1" ht="17.100000000000001" customHeight="1">
      <c r="A157" s="14">
        <v>146</v>
      </c>
      <c r="B157" s="14" t="s">
        <v>4013</v>
      </c>
      <c r="C157" s="32">
        <v>-1.1469847750386366</v>
      </c>
      <c r="D157" s="32">
        <v>-1.3787017575851768</v>
      </c>
      <c r="E157" s="32">
        <v>-1.0000374902693021</v>
      </c>
      <c r="F157" s="24">
        <v>117784</v>
      </c>
      <c r="G157" s="52" t="s">
        <v>2</v>
      </c>
      <c r="H157" s="32">
        <v>31.937959176807968</v>
      </c>
      <c r="I157" s="32">
        <v>19.604568518173483</v>
      </c>
      <c r="J157" s="12" t="s">
        <v>4014</v>
      </c>
      <c r="K157" s="12" t="s">
        <v>4015</v>
      </c>
      <c r="L157" s="14" t="s">
        <v>4016</v>
      </c>
      <c r="M157" s="12" t="s">
        <v>4017</v>
      </c>
      <c r="N157" s="15" t="s">
        <v>4018</v>
      </c>
      <c r="O157" s="12" t="s">
        <v>4019</v>
      </c>
      <c r="P157" s="12" t="s">
        <v>4020</v>
      </c>
      <c r="Q157" s="14">
        <v>2</v>
      </c>
      <c r="R157" s="21">
        <v>770.8913</v>
      </c>
      <c r="S157" s="14">
        <v>8</v>
      </c>
      <c r="T157" s="52" t="s">
        <v>2</v>
      </c>
      <c r="U157" s="53">
        <v>50.794400000000003</v>
      </c>
      <c r="V157" s="24">
        <v>82734</v>
      </c>
      <c r="W157" s="24">
        <v>103939</v>
      </c>
      <c r="X157" s="24">
        <v>92988</v>
      </c>
      <c r="Y157" s="24">
        <v>97863</v>
      </c>
      <c r="Z157" s="24">
        <v>80794</v>
      </c>
      <c r="AA157" s="24">
        <v>61121</v>
      </c>
      <c r="AB157" s="24">
        <v>130804</v>
      </c>
      <c r="AC157" s="24">
        <v>104764</v>
      </c>
      <c r="AD157" s="24">
        <v>94381</v>
      </c>
      <c r="AE157" s="24">
        <v>94370.75</v>
      </c>
      <c r="AF157" s="24">
        <v>93336.5</v>
      </c>
      <c r="AG157" s="24">
        <v>95425.5</v>
      </c>
      <c r="AH157" s="24">
        <v>70957.5</v>
      </c>
      <c r="AI157" s="24">
        <v>117784</v>
      </c>
      <c r="AJ157" s="32">
        <v>9.497927616991543</v>
      </c>
      <c r="AK157" s="32">
        <v>31.937959176807968</v>
      </c>
      <c r="AL157" s="32">
        <v>16.064668479170248</v>
      </c>
      <c r="AM157" s="32">
        <v>3.6123945468291172</v>
      </c>
      <c r="AN157" s="32">
        <v>19.604568518173483</v>
      </c>
      <c r="AO157" s="32">
        <v>15.63290479360329</v>
      </c>
      <c r="AP157" s="19">
        <v>0.99989139763299817</v>
      </c>
      <c r="AQ157" s="19">
        <v>0.76023313494720712</v>
      </c>
      <c r="AR157" s="19">
        <v>1.2343031998784393</v>
      </c>
      <c r="AS157" s="19">
        <v>-1.5668860483304168E-4</v>
      </c>
      <c r="AT157" s="19">
        <v>-0.39548618810075081</v>
      </c>
      <c r="AU157" s="19">
        <v>0.30369682822403238</v>
      </c>
      <c r="AV157" s="19">
        <v>-0.19784624129093359</v>
      </c>
      <c r="AW157" s="19">
        <v>-0.46331040508390053</v>
      </c>
      <c r="AX157" s="19">
        <v>-5.4086011760545727E-5</v>
      </c>
      <c r="AY157" s="19">
        <v>-1.0001086141627571</v>
      </c>
      <c r="AZ157" s="19">
        <v>-1.3153859704752846</v>
      </c>
      <c r="BA157" s="19">
        <v>1.2343031998784393</v>
      </c>
      <c r="BB157" s="19">
        <v>-1.1469847750386366</v>
      </c>
      <c r="BC157" s="19">
        <v>-1.3787017575851768</v>
      </c>
      <c r="BD157" s="19">
        <v>-1.0000374902693021</v>
      </c>
      <c r="BE157" s="14" t="s">
        <v>4857</v>
      </c>
    </row>
    <row r="158" spans="1:105" s="30" customFormat="1" ht="17.100000000000001" customHeight="1">
      <c r="A158" s="14">
        <v>147</v>
      </c>
      <c r="B158" s="14" t="s">
        <v>4021</v>
      </c>
      <c r="C158" s="32">
        <v>-1.1285325529658694</v>
      </c>
      <c r="D158" s="32">
        <v>-1.1848107427300649</v>
      </c>
      <c r="E158" s="32">
        <v>-1.0631189583495335</v>
      </c>
      <c r="F158" s="24">
        <v>644948</v>
      </c>
      <c r="G158" s="52" t="s">
        <v>2</v>
      </c>
      <c r="H158" s="32">
        <v>18.141225003329279</v>
      </c>
      <c r="I158" s="32">
        <v>21.455576034318106</v>
      </c>
      <c r="J158" s="12" t="s">
        <v>4022</v>
      </c>
      <c r="K158" s="12" t="s">
        <v>4023</v>
      </c>
      <c r="L158" s="14" t="s">
        <v>4768</v>
      </c>
      <c r="M158" s="12" t="s">
        <v>4024</v>
      </c>
      <c r="N158" s="15" t="s">
        <v>4025</v>
      </c>
      <c r="O158" s="12" t="s">
        <v>4026</v>
      </c>
      <c r="P158" s="12" t="s">
        <v>3891</v>
      </c>
      <c r="Q158" s="14">
        <v>3</v>
      </c>
      <c r="R158" s="21">
        <v>510.93759999999997</v>
      </c>
      <c r="S158" s="14">
        <v>1</v>
      </c>
      <c r="T158" s="52" t="s">
        <v>2</v>
      </c>
      <c r="U158" s="53">
        <v>64.700550000000007</v>
      </c>
      <c r="V158" s="24">
        <v>544901</v>
      </c>
      <c r="W158" s="24">
        <v>677723</v>
      </c>
      <c r="X158" s="24">
        <v>639754</v>
      </c>
      <c r="Y158" s="24">
        <v>471206</v>
      </c>
      <c r="Z158" s="24">
        <v>596635</v>
      </c>
      <c r="AA158" s="24">
        <v>484951</v>
      </c>
      <c r="AB158" s="24">
        <v>738806</v>
      </c>
      <c r="AC158" s="24">
        <v>551090</v>
      </c>
      <c r="AD158" s="24">
        <v>583396</v>
      </c>
      <c r="AE158" s="24">
        <v>592870.5</v>
      </c>
      <c r="AF158" s="24">
        <v>611312</v>
      </c>
      <c r="AG158" s="24">
        <v>555480</v>
      </c>
      <c r="AH158" s="24">
        <v>540793</v>
      </c>
      <c r="AI158" s="24">
        <v>644948</v>
      </c>
      <c r="AJ158" s="32">
        <v>16.001015968742657</v>
      </c>
      <c r="AK158" s="32">
        <v>18.141225003329279</v>
      </c>
      <c r="AL158" s="32">
        <v>15.363568340022708</v>
      </c>
      <c r="AM158" s="32">
        <v>21.455576034318106</v>
      </c>
      <c r="AN158" s="32">
        <v>14.603094668392227</v>
      </c>
      <c r="AO158" s="32">
        <v>20.580768765422011</v>
      </c>
      <c r="AP158" s="19">
        <v>1.01624025533257</v>
      </c>
      <c r="AQ158" s="19">
        <v>0.88464319365561284</v>
      </c>
      <c r="AR158" s="19">
        <v>1.1610643047454454</v>
      </c>
      <c r="AS158" s="19">
        <v>2.3241518449597407E-2</v>
      </c>
      <c r="AT158" s="19">
        <v>-0.17683240979366208</v>
      </c>
      <c r="AU158" s="19">
        <v>0.21544787708569468</v>
      </c>
      <c r="AV158" s="19">
        <v>-0.17444803423650315</v>
      </c>
      <c r="AW158" s="19">
        <v>-0.24465662677681177</v>
      </c>
      <c r="AX158" s="19">
        <v>-8.830303715009824E-2</v>
      </c>
      <c r="AY158" s="19">
        <v>1.01624025533257</v>
      </c>
      <c r="AZ158" s="19">
        <v>-1.1303992470316739</v>
      </c>
      <c r="BA158" s="19">
        <v>1.1610643047454454</v>
      </c>
      <c r="BB158" s="19">
        <v>-1.1285325529658694</v>
      </c>
      <c r="BC158" s="19">
        <v>-1.1848107427300649</v>
      </c>
      <c r="BD158" s="19">
        <v>-1.0631189583495335</v>
      </c>
      <c r="BE158" s="14" t="s">
        <v>4857</v>
      </c>
    </row>
    <row r="159" spans="1:105" s="30" customFormat="1" ht="17.100000000000001" customHeight="1">
      <c r="A159" s="14">
        <v>148</v>
      </c>
      <c r="B159" s="14" t="s">
        <v>3892</v>
      </c>
      <c r="C159" s="32">
        <v>1.0170580660104911</v>
      </c>
      <c r="D159" s="32">
        <v>-1.0318381826594931</v>
      </c>
      <c r="E159" s="32">
        <v>1.0615039030591913</v>
      </c>
      <c r="F159" s="24">
        <v>748560</v>
      </c>
      <c r="G159" s="52" t="s">
        <v>2</v>
      </c>
      <c r="H159" s="32">
        <v>23.959914502362597</v>
      </c>
      <c r="I159" s="32">
        <v>23.886107876182962</v>
      </c>
      <c r="J159" s="12" t="s">
        <v>3893</v>
      </c>
      <c r="K159" s="12" t="s">
        <v>3894</v>
      </c>
      <c r="L159" s="14" t="s">
        <v>5247</v>
      </c>
      <c r="M159" s="12" t="s">
        <v>3895</v>
      </c>
      <c r="N159" s="15" t="s">
        <v>3896</v>
      </c>
      <c r="O159" s="12" t="s">
        <v>3897</v>
      </c>
      <c r="P159" s="12" t="s">
        <v>3898</v>
      </c>
      <c r="Q159" s="14">
        <v>2</v>
      </c>
      <c r="R159" s="21">
        <v>638.84839999999997</v>
      </c>
      <c r="S159" s="14">
        <v>4</v>
      </c>
      <c r="T159" s="52" t="s">
        <v>2</v>
      </c>
      <c r="U159" s="53">
        <v>66.773937500000002</v>
      </c>
      <c r="V159" s="24">
        <v>547300</v>
      </c>
      <c r="W159" s="24">
        <v>543829</v>
      </c>
      <c r="X159" s="24">
        <v>533583</v>
      </c>
      <c r="Y159" s="24">
        <v>609024</v>
      </c>
      <c r="Z159" s="24">
        <v>513449</v>
      </c>
      <c r="AA159" s="24">
        <v>594913</v>
      </c>
      <c r="AB159" s="24">
        <v>874992</v>
      </c>
      <c r="AC159" s="24">
        <v>622128</v>
      </c>
      <c r="AD159" s="24">
        <v>558434</v>
      </c>
      <c r="AE159" s="24">
        <v>651370.5</v>
      </c>
      <c r="AF159" s="24">
        <v>545564.5</v>
      </c>
      <c r="AG159" s="24">
        <v>571303.5</v>
      </c>
      <c r="AH159" s="24">
        <v>554181</v>
      </c>
      <c r="AI159" s="24">
        <v>748560</v>
      </c>
      <c r="AJ159" s="32">
        <v>6.1288681810198042</v>
      </c>
      <c r="AK159" s="32">
        <v>23.959914502362597</v>
      </c>
      <c r="AL159" s="32">
        <v>0.44987671256075251</v>
      </c>
      <c r="AM159" s="32">
        <v>9.3373911904083098</v>
      </c>
      <c r="AN159" s="32">
        <v>10.394392233328265</v>
      </c>
      <c r="AO159" s="32">
        <v>23.886107876182962</v>
      </c>
      <c r="AP159" s="19">
        <v>1.1664234269403366</v>
      </c>
      <c r="AQ159" s="19">
        <v>1.0157937329133402</v>
      </c>
      <c r="AR159" s="19">
        <v>1.3102667846424887</v>
      </c>
      <c r="AS159" s="19">
        <v>0.22209160076448925</v>
      </c>
      <c r="AT159" s="19">
        <v>2.2607478178653596E-2</v>
      </c>
      <c r="AU159" s="19">
        <v>0.3898605901552844</v>
      </c>
      <c r="AV159" s="19">
        <v>2.4402048078388694E-2</v>
      </c>
      <c r="AW159" s="19">
        <v>-4.5216738804496115E-2</v>
      </c>
      <c r="AX159" s="19">
        <v>8.610967591949148E-2</v>
      </c>
      <c r="AY159" s="19">
        <v>1.1664234269403366</v>
      </c>
      <c r="AZ159" s="19">
        <v>1.0157937329133402</v>
      </c>
      <c r="BA159" s="19">
        <v>1.3102667846424887</v>
      </c>
      <c r="BB159" s="19">
        <v>1.0170580660104911</v>
      </c>
      <c r="BC159" s="19">
        <v>-1.0318381826594931</v>
      </c>
      <c r="BD159" s="19">
        <v>1.0615039030591913</v>
      </c>
      <c r="BE159" s="14" t="s">
        <v>4857</v>
      </c>
    </row>
    <row r="160" spans="1:105" s="30" customFormat="1" ht="17.100000000000001" customHeight="1">
      <c r="A160" s="14">
        <v>149</v>
      </c>
      <c r="B160" s="14" t="s">
        <v>3899</v>
      </c>
      <c r="C160" s="32">
        <v>-1.2352738386044511</v>
      </c>
      <c r="D160" s="32">
        <v>-1.3904824247244869</v>
      </c>
      <c r="E160" s="32">
        <v>-1.0756404176370731</v>
      </c>
      <c r="F160" s="24">
        <v>2955105</v>
      </c>
      <c r="G160" s="52" t="s">
        <v>2</v>
      </c>
      <c r="H160" s="32">
        <v>25.008750599756734</v>
      </c>
      <c r="I160" s="32">
        <v>32.90406282949111</v>
      </c>
      <c r="J160" s="12" t="s">
        <v>3900</v>
      </c>
      <c r="K160" s="12" t="s">
        <v>3901</v>
      </c>
      <c r="L160" s="14" t="s">
        <v>5042</v>
      </c>
      <c r="M160" s="12" t="s">
        <v>3902</v>
      </c>
      <c r="N160" s="15" t="s">
        <v>3903</v>
      </c>
      <c r="O160" s="12" t="s">
        <v>3904</v>
      </c>
      <c r="P160" s="12" t="s">
        <v>3905</v>
      </c>
      <c r="Q160" s="14">
        <v>2</v>
      </c>
      <c r="R160" s="21">
        <v>737.39340000000004</v>
      </c>
      <c r="S160" s="14">
        <v>27</v>
      </c>
      <c r="T160" s="52" t="s">
        <v>2</v>
      </c>
      <c r="U160" s="53">
        <v>55.721612500000006</v>
      </c>
      <c r="V160" s="24">
        <v>3642660</v>
      </c>
      <c r="W160" s="24">
        <v>2267550</v>
      </c>
      <c r="X160" s="24">
        <v>2262140</v>
      </c>
      <c r="Y160" s="24">
        <v>2448110</v>
      </c>
      <c r="Z160" s="24">
        <v>2186040</v>
      </c>
      <c r="AA160" s="24">
        <v>2269030</v>
      </c>
      <c r="AB160" s="24">
        <v>2409190</v>
      </c>
      <c r="AC160" s="24">
        <v>2996050</v>
      </c>
      <c r="AD160" s="24">
        <v>2655115</v>
      </c>
      <c r="AE160" s="24">
        <v>2465077.5</v>
      </c>
      <c r="AF160" s="24">
        <v>2955105</v>
      </c>
      <c r="AG160" s="24">
        <v>2355125</v>
      </c>
      <c r="AH160" s="24">
        <v>2227535</v>
      </c>
      <c r="AI160" s="24">
        <v>2702620</v>
      </c>
      <c r="AJ160" s="32">
        <v>25.008750599756734</v>
      </c>
      <c r="AK160" s="32">
        <v>14.837863765127279</v>
      </c>
      <c r="AL160" s="32">
        <v>32.90406282949111</v>
      </c>
      <c r="AM160" s="32">
        <v>5.5835952697738866</v>
      </c>
      <c r="AN160" s="32">
        <v>2.6344273724395615</v>
      </c>
      <c r="AO160" s="32">
        <v>15.354459213916025</v>
      </c>
      <c r="AP160" s="19">
        <v>0.92842588739094167</v>
      </c>
      <c r="AQ160" s="19">
        <v>0.75379216643740243</v>
      </c>
      <c r="AR160" s="19">
        <v>1.1475484316119102</v>
      </c>
      <c r="AS160" s="19">
        <v>-0.10714134483546603</v>
      </c>
      <c r="AT160" s="19">
        <v>-0.40776129258957045</v>
      </c>
      <c r="AU160" s="19">
        <v>0.19855504302631632</v>
      </c>
      <c r="AV160" s="19">
        <v>-0.30483089752156656</v>
      </c>
      <c r="AW160" s="19">
        <v>-0.47558550957272017</v>
      </c>
      <c r="AX160" s="19">
        <v>-0.1051958712094766</v>
      </c>
      <c r="AY160" s="19">
        <v>-1.0770918967050731</v>
      </c>
      <c r="AZ160" s="19">
        <v>-1.3266256197994644</v>
      </c>
      <c r="BA160" s="19">
        <v>1.1475484316119102</v>
      </c>
      <c r="BB160" s="19">
        <v>-1.2352738386044511</v>
      </c>
      <c r="BC160" s="19">
        <v>-1.3904824247244869</v>
      </c>
      <c r="BD160" s="19">
        <v>-1.0756404176370731</v>
      </c>
      <c r="BE160" s="14" t="s">
        <v>4857</v>
      </c>
    </row>
    <row r="161" spans="1:105" s="30" customFormat="1" ht="17.100000000000001" customHeight="1">
      <c r="A161" s="14">
        <v>150</v>
      </c>
      <c r="B161" s="14" t="s">
        <v>3909</v>
      </c>
      <c r="C161" s="32">
        <v>1.0293012131169181</v>
      </c>
      <c r="D161" s="32">
        <v>1.0954911530319256</v>
      </c>
      <c r="E161" s="32">
        <v>-1.0233726473825993</v>
      </c>
      <c r="F161" s="24">
        <v>2186940</v>
      </c>
      <c r="G161" s="52" t="s">
        <v>2</v>
      </c>
      <c r="H161" s="32">
        <v>20.401993293657267</v>
      </c>
      <c r="I161" s="32">
        <v>30.614916026457408</v>
      </c>
      <c r="J161" s="12" t="s">
        <v>3900</v>
      </c>
      <c r="K161" s="12" t="s">
        <v>3901</v>
      </c>
      <c r="L161" s="14" t="s">
        <v>4305</v>
      </c>
      <c r="M161" s="12" t="s">
        <v>3902</v>
      </c>
      <c r="N161" s="15" t="s">
        <v>3903</v>
      </c>
      <c r="O161" s="12" t="s">
        <v>3904</v>
      </c>
      <c r="P161" s="12" t="s">
        <v>3910</v>
      </c>
      <c r="Q161" s="14">
        <v>3</v>
      </c>
      <c r="R161" s="21">
        <v>491.9314</v>
      </c>
      <c r="S161" s="14">
        <v>1</v>
      </c>
      <c r="T161" s="52" t="s">
        <v>2</v>
      </c>
      <c r="U161" s="53">
        <v>55.26</v>
      </c>
      <c r="V161" s="24">
        <v>1757680</v>
      </c>
      <c r="W161" s="24">
        <v>1132100</v>
      </c>
      <c r="X161" s="24">
        <v>1806560</v>
      </c>
      <c r="Y161" s="24">
        <v>1819730</v>
      </c>
      <c r="Z161" s="24">
        <v>1553070</v>
      </c>
      <c r="AA161" s="24">
        <v>1765040</v>
      </c>
      <c r="AB161" s="24">
        <v>2121700</v>
      </c>
      <c r="AC161" s="24">
        <v>2252180</v>
      </c>
      <c r="AD161" s="24">
        <v>1629017.5</v>
      </c>
      <c r="AE161" s="24">
        <v>1922997.5</v>
      </c>
      <c r="AF161" s="24">
        <v>1444890</v>
      </c>
      <c r="AG161" s="24">
        <v>1813145</v>
      </c>
      <c r="AH161" s="24">
        <v>1659055</v>
      </c>
      <c r="AI161" s="24">
        <v>2186940</v>
      </c>
      <c r="AJ161" s="32">
        <v>20.401993293657267</v>
      </c>
      <c r="AK161" s="32">
        <v>16.706662279294928</v>
      </c>
      <c r="AL161" s="32">
        <v>30.614916026457408</v>
      </c>
      <c r="AM161" s="32">
        <v>0.51361564068107246</v>
      </c>
      <c r="AN161" s="32">
        <v>9.0343855030793119</v>
      </c>
      <c r="AO161" s="32">
        <v>4.2188305490420737</v>
      </c>
      <c r="AP161" s="19">
        <v>1.1804646051991461</v>
      </c>
      <c r="AQ161" s="19">
        <v>1.1482223560271023</v>
      </c>
      <c r="AR161" s="19">
        <v>1.2061583601973367</v>
      </c>
      <c r="AS161" s="19">
        <v>0.23935478475232241</v>
      </c>
      <c r="AT161" s="19">
        <v>0.19940205044090134</v>
      </c>
      <c r="AU161" s="19">
        <v>0.27041933549069452</v>
      </c>
      <c r="AV161" s="19">
        <v>4.1665232066221858E-2</v>
      </c>
      <c r="AW161" s="19">
        <v>0.13157783345775165</v>
      </c>
      <c r="AX161" s="19">
        <v>-3.33315787450984E-2</v>
      </c>
      <c r="AY161" s="19">
        <v>1.1804646051991461</v>
      </c>
      <c r="AZ161" s="19">
        <v>1.1482223560271023</v>
      </c>
      <c r="BA161" s="19">
        <v>1.2061583601973367</v>
      </c>
      <c r="BB161" s="19">
        <v>1.0293012131169181</v>
      </c>
      <c r="BC161" s="19">
        <v>1.0954911530319256</v>
      </c>
      <c r="BD161" s="19">
        <v>-1.0233726473825993</v>
      </c>
      <c r="BE161" s="14" t="s">
        <v>4857</v>
      </c>
    </row>
    <row r="162" spans="1:105" s="30" customFormat="1" ht="17.100000000000001" customHeight="1">
      <c r="A162" s="14">
        <v>151</v>
      </c>
      <c r="B162" s="14" t="s">
        <v>3917</v>
      </c>
      <c r="C162" s="32">
        <v>1.1702719620042881</v>
      </c>
      <c r="D162" s="32">
        <v>1.2243349876189729</v>
      </c>
      <c r="E162" s="32">
        <v>1.1276339605568573</v>
      </c>
      <c r="F162" s="24">
        <v>392105</v>
      </c>
      <c r="G162" s="52" t="s">
        <v>2</v>
      </c>
      <c r="H162" s="32">
        <v>31.598765246231906</v>
      </c>
      <c r="I162" s="32">
        <v>40.425938750739817</v>
      </c>
      <c r="J162" s="12" t="s">
        <v>3911</v>
      </c>
      <c r="K162" s="15" t="s">
        <v>3912</v>
      </c>
      <c r="L162" s="14" t="s">
        <v>5304</v>
      </c>
      <c r="M162" s="12" t="s">
        <v>3913</v>
      </c>
      <c r="N162" s="15" t="s">
        <v>3914</v>
      </c>
      <c r="O162" s="12" t="s">
        <v>3915</v>
      </c>
      <c r="P162" s="12" t="s">
        <v>3918</v>
      </c>
      <c r="Q162" s="14">
        <v>3</v>
      </c>
      <c r="R162" s="21">
        <v>631.69129999999996</v>
      </c>
      <c r="S162" s="14">
        <v>30</v>
      </c>
      <c r="T162" s="52" t="s">
        <v>2</v>
      </c>
      <c r="U162" s="53">
        <v>46.303037499999995</v>
      </c>
      <c r="V162" s="24">
        <v>216943</v>
      </c>
      <c r="W162" s="24">
        <v>259242</v>
      </c>
      <c r="X162" s="24">
        <v>233490</v>
      </c>
      <c r="Y162" s="24">
        <v>329922</v>
      </c>
      <c r="Z162" s="24">
        <v>349281</v>
      </c>
      <c r="AA162" s="24">
        <v>261792</v>
      </c>
      <c r="AB162" s="24">
        <v>280020</v>
      </c>
      <c r="AC162" s="24">
        <v>504190</v>
      </c>
      <c r="AD162" s="24">
        <v>259899.25</v>
      </c>
      <c r="AE162" s="24">
        <v>348820.75</v>
      </c>
      <c r="AF162" s="24">
        <v>238092.5</v>
      </c>
      <c r="AG162" s="24">
        <v>281706</v>
      </c>
      <c r="AH162" s="24">
        <v>305536.5</v>
      </c>
      <c r="AI162" s="24">
        <v>392105</v>
      </c>
      <c r="AJ162" s="32">
        <v>19.16923441871997</v>
      </c>
      <c r="AK162" s="32">
        <v>31.598765246231906</v>
      </c>
      <c r="AL162" s="32">
        <v>12.562306556237502</v>
      </c>
      <c r="AM162" s="32">
        <v>24.205278241635305</v>
      </c>
      <c r="AN162" s="32">
        <v>20.247684050589655</v>
      </c>
      <c r="AO162" s="32">
        <v>40.425938750739817</v>
      </c>
      <c r="AP162" s="19">
        <v>1.3421383478405575</v>
      </c>
      <c r="AQ162" s="19">
        <v>1.2832680575826623</v>
      </c>
      <c r="AR162" s="19">
        <v>1.3918943863460487</v>
      </c>
      <c r="AS162" s="19">
        <v>0.42453339244425048</v>
      </c>
      <c r="AT162" s="19">
        <v>0.35982256166024035</v>
      </c>
      <c r="AU162" s="19">
        <v>0.47704974705206332</v>
      </c>
      <c r="AV162" s="19">
        <v>0.22684383975814992</v>
      </c>
      <c r="AW162" s="19">
        <v>0.29199834467709063</v>
      </c>
      <c r="AX162" s="19">
        <v>0.1732988328162704</v>
      </c>
      <c r="AY162" s="19">
        <v>1.3421383478405575</v>
      </c>
      <c r="AZ162" s="19">
        <v>1.2832680575826623</v>
      </c>
      <c r="BA162" s="19">
        <v>1.3918943863460487</v>
      </c>
      <c r="BB162" s="19">
        <v>1.1702719620042881</v>
      </c>
      <c r="BC162" s="19">
        <v>1.2243349876189729</v>
      </c>
      <c r="BD162" s="19">
        <v>1.1276339605568573</v>
      </c>
      <c r="BE162" s="14" t="s">
        <v>4857</v>
      </c>
    </row>
    <row r="163" spans="1:105" s="30" customFormat="1" ht="17.100000000000001" customHeight="1">
      <c r="A163" s="31">
        <v>152</v>
      </c>
      <c r="B163" s="11" t="s">
        <v>3926</v>
      </c>
      <c r="C163" s="57"/>
      <c r="D163" s="57"/>
      <c r="E163" s="57"/>
      <c r="F163" s="27"/>
      <c r="G163" s="54"/>
      <c r="H163" s="57"/>
      <c r="I163" s="57"/>
      <c r="J163" s="13"/>
      <c r="K163" s="13"/>
      <c r="L163" s="13"/>
      <c r="M163" s="13"/>
      <c r="N163" s="13"/>
      <c r="O163" s="13"/>
      <c r="P163" s="13"/>
      <c r="Q163" s="13"/>
      <c r="R163" s="22"/>
      <c r="S163" s="18"/>
      <c r="T163" s="54"/>
      <c r="U163" s="5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57"/>
      <c r="AK163" s="57"/>
      <c r="AL163" s="57"/>
      <c r="AM163" s="57"/>
      <c r="AN163" s="57"/>
      <c r="AO163" s="5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13"/>
    </row>
    <row r="164" spans="1:105" s="30" customFormat="1" ht="17.100000000000001" customHeight="1">
      <c r="A164" s="14">
        <v>153</v>
      </c>
      <c r="B164" s="14" t="s">
        <v>3927</v>
      </c>
      <c r="C164" s="32">
        <v>-1.3946265384934404</v>
      </c>
      <c r="D164" s="32">
        <v>-1.6822570967578938</v>
      </c>
      <c r="E164" s="32">
        <v>-1.1551791036875934</v>
      </c>
      <c r="F164" s="24">
        <v>31228.5</v>
      </c>
      <c r="G164" s="52" t="s">
        <v>2</v>
      </c>
      <c r="H164" s="32">
        <v>23.767759618453677</v>
      </c>
      <c r="I164" s="32">
        <v>25.226561151510079</v>
      </c>
      <c r="J164" s="12" t="s">
        <v>3928</v>
      </c>
      <c r="K164" s="12" t="s">
        <v>3929</v>
      </c>
      <c r="L164" s="14" t="s">
        <v>4979</v>
      </c>
      <c r="M164" s="12" t="s">
        <v>3930</v>
      </c>
      <c r="N164" s="15" t="s">
        <v>3931</v>
      </c>
      <c r="O164" s="12" t="s">
        <v>3932</v>
      </c>
      <c r="P164" s="12" t="s">
        <v>3933</v>
      </c>
      <c r="Q164" s="14">
        <v>2</v>
      </c>
      <c r="R164" s="21">
        <v>732.33780000000002</v>
      </c>
      <c r="S164" s="14">
        <v>9</v>
      </c>
      <c r="T164" s="52" t="s">
        <v>2</v>
      </c>
      <c r="U164" s="53">
        <v>24.377099999999999</v>
      </c>
      <c r="V164" s="24">
        <v>36799</v>
      </c>
      <c r="W164" s="24">
        <v>25658</v>
      </c>
      <c r="X164" s="24">
        <v>29628</v>
      </c>
      <c r="Y164" s="24">
        <v>20930</v>
      </c>
      <c r="Z164" s="24">
        <v>17857</v>
      </c>
      <c r="AA164" s="24">
        <v>21057</v>
      </c>
      <c r="AB164" s="24">
        <v>30003</v>
      </c>
      <c r="AC164" s="24">
        <v>24020</v>
      </c>
      <c r="AD164" s="24">
        <v>28253.75</v>
      </c>
      <c r="AE164" s="24">
        <v>23234.25</v>
      </c>
      <c r="AF164" s="24">
        <v>31228.5</v>
      </c>
      <c r="AG164" s="24">
        <v>25279</v>
      </c>
      <c r="AH164" s="24">
        <v>19457</v>
      </c>
      <c r="AI164" s="24">
        <v>27011.5</v>
      </c>
      <c r="AJ164" s="32">
        <v>23.767759618453677</v>
      </c>
      <c r="AK164" s="32">
        <v>22.238019441718258</v>
      </c>
      <c r="AL164" s="32">
        <v>25.226561151510079</v>
      </c>
      <c r="AM164" s="32">
        <v>24.330134826379961</v>
      </c>
      <c r="AN164" s="32">
        <v>11.62944801252481</v>
      </c>
      <c r="AO164" s="32">
        <v>15.662291512278525</v>
      </c>
      <c r="AP164" s="19">
        <v>0.82234216696898643</v>
      </c>
      <c r="AQ164" s="19">
        <v>0.62305266023023842</v>
      </c>
      <c r="AR164" s="19">
        <v>1.0685351477510978</v>
      </c>
      <c r="AS164" s="19">
        <v>-0.28218928750642797</v>
      </c>
      <c r="AT164" s="19">
        <v>-0.68257399031812815</v>
      </c>
      <c r="AU164" s="19">
        <v>9.5634363919321855E-2</v>
      </c>
      <c r="AV164" s="19">
        <v>-0.47987884019252852</v>
      </c>
      <c r="AW164" s="19">
        <v>-0.75039820730127782</v>
      </c>
      <c r="AX164" s="19">
        <v>-0.20811655031647108</v>
      </c>
      <c r="AY164" s="19">
        <v>-1.2160388219976974</v>
      </c>
      <c r="AZ164" s="19">
        <v>-1.6050007709307703</v>
      </c>
      <c r="BA164" s="19">
        <v>1.0685351477510978</v>
      </c>
      <c r="BB164" s="19">
        <v>-1.3946265384934404</v>
      </c>
      <c r="BC164" s="19">
        <v>-1.6822570967578938</v>
      </c>
      <c r="BD164" s="19">
        <v>-1.1551791036875934</v>
      </c>
      <c r="BE164" s="14" t="s">
        <v>4857</v>
      </c>
    </row>
    <row r="165" spans="1:105" s="30" customFormat="1" ht="17.100000000000001" customHeight="1">
      <c r="A165" s="14">
        <v>154</v>
      </c>
      <c r="B165" s="14" t="s">
        <v>3934</v>
      </c>
      <c r="C165" s="32">
        <v>1.1130554897978489</v>
      </c>
      <c r="D165" s="32">
        <v>-1.0395934981908328</v>
      </c>
      <c r="E165" s="32">
        <v>1.2040662414733292</v>
      </c>
      <c r="F165" s="24">
        <v>162000</v>
      </c>
      <c r="G165" s="52" t="s">
        <v>2</v>
      </c>
      <c r="H165" s="32">
        <v>36.763099218661587</v>
      </c>
      <c r="I165" s="32">
        <v>27.246316339298165</v>
      </c>
      <c r="J165" s="12" t="s">
        <v>3928</v>
      </c>
      <c r="K165" s="12" t="s">
        <v>3929</v>
      </c>
      <c r="L165" s="14" t="s">
        <v>5241</v>
      </c>
      <c r="M165" s="12" t="s">
        <v>3930</v>
      </c>
      <c r="N165" s="15" t="s">
        <v>3931</v>
      </c>
      <c r="O165" s="12" t="s">
        <v>3932</v>
      </c>
      <c r="P165" s="12" t="s">
        <v>3935</v>
      </c>
      <c r="Q165" s="14">
        <v>2</v>
      </c>
      <c r="R165" s="21">
        <v>468.25850000000003</v>
      </c>
      <c r="S165" s="14">
        <v>3</v>
      </c>
      <c r="T165" s="52" t="s">
        <v>2</v>
      </c>
      <c r="U165" s="53">
        <v>43.303333333333335</v>
      </c>
      <c r="V165" s="24">
        <v>97600</v>
      </c>
      <c r="W165" s="24">
        <v>72800</v>
      </c>
      <c r="X165" s="24">
        <v>130000</v>
      </c>
      <c r="Y165" s="24">
        <v>88000</v>
      </c>
      <c r="Z165" s="24">
        <v>90700</v>
      </c>
      <c r="AA165" s="24">
        <v>81100</v>
      </c>
      <c r="AB165" s="24">
        <v>148000</v>
      </c>
      <c r="AC165" s="24">
        <v>176000</v>
      </c>
      <c r="AD165" s="24">
        <v>97100</v>
      </c>
      <c r="AE165" s="24">
        <v>123950</v>
      </c>
      <c r="AF165" s="24">
        <v>85200</v>
      </c>
      <c r="AG165" s="24">
        <v>109000</v>
      </c>
      <c r="AH165" s="24">
        <v>85900</v>
      </c>
      <c r="AI165" s="24">
        <v>162000</v>
      </c>
      <c r="AJ165" s="32">
        <v>24.915950078627134</v>
      </c>
      <c r="AK165" s="32">
        <v>36.763099218661587</v>
      </c>
      <c r="AL165" s="32">
        <v>20.582450907777439</v>
      </c>
      <c r="AM165" s="32">
        <v>27.246316339298165</v>
      </c>
      <c r="AN165" s="32">
        <v>7.9024739224573413</v>
      </c>
      <c r="AO165" s="32">
        <v>12.221598687174895</v>
      </c>
      <c r="AP165" s="19">
        <v>1.276519052523172</v>
      </c>
      <c r="AQ165" s="19">
        <v>1.0082159624413145</v>
      </c>
      <c r="AR165" s="19">
        <v>1.4862385321100917</v>
      </c>
      <c r="AS165" s="19">
        <v>0.35221507066752999</v>
      </c>
      <c r="AT165" s="19">
        <v>1.1804700912625232E-2</v>
      </c>
      <c r="AU165" s="19">
        <v>0.57166567810769831</v>
      </c>
      <c r="AV165" s="19">
        <v>0.15452551798142944</v>
      </c>
      <c r="AW165" s="19">
        <v>-5.6019516070524474E-2</v>
      </c>
      <c r="AX165" s="19">
        <v>0.26791476387190538</v>
      </c>
      <c r="AY165" s="19">
        <v>1.276519052523172</v>
      </c>
      <c r="AZ165" s="19">
        <v>1.0082159624413145</v>
      </c>
      <c r="BA165" s="19">
        <v>1.4862385321100917</v>
      </c>
      <c r="BB165" s="19">
        <v>1.1130554897978489</v>
      </c>
      <c r="BC165" s="19">
        <v>-1.0395934981908328</v>
      </c>
      <c r="BD165" s="19">
        <v>1.2040662414733292</v>
      </c>
      <c r="BE165" s="14" t="s">
        <v>4857</v>
      </c>
    </row>
    <row r="166" spans="1:105" s="30" customFormat="1" ht="17.100000000000001" customHeight="1">
      <c r="A166" s="14">
        <v>155</v>
      </c>
      <c r="B166" s="14" t="s">
        <v>3936</v>
      </c>
      <c r="C166" s="32">
        <v>-1.0357492695130375</v>
      </c>
      <c r="D166" s="32">
        <v>-1.0639155347368583</v>
      </c>
      <c r="E166" s="32">
        <v>-1.0217862557476691</v>
      </c>
      <c r="F166" s="24">
        <v>1247080</v>
      </c>
      <c r="G166" s="52" t="s">
        <v>2</v>
      </c>
      <c r="H166" s="32">
        <v>24.601990711137255</v>
      </c>
      <c r="I166" s="32">
        <v>31.850825180602939</v>
      </c>
      <c r="J166" s="12" t="s">
        <v>3937</v>
      </c>
      <c r="K166" s="12" t="s">
        <v>3938</v>
      </c>
      <c r="L166" s="14" t="s">
        <v>3939</v>
      </c>
      <c r="M166" s="12" t="s">
        <v>3940</v>
      </c>
      <c r="N166" s="15" t="s">
        <v>3941</v>
      </c>
      <c r="O166" s="12" t="s">
        <v>3942</v>
      </c>
      <c r="P166" s="12" t="s">
        <v>3943</v>
      </c>
      <c r="Q166" s="14">
        <v>4</v>
      </c>
      <c r="R166" s="21">
        <v>923.92049999999995</v>
      </c>
      <c r="S166" s="14">
        <v>1</v>
      </c>
      <c r="T166" s="52" t="s">
        <v>2</v>
      </c>
      <c r="U166" s="53">
        <v>85.056037500000002</v>
      </c>
      <c r="V166" s="24">
        <v>659957</v>
      </c>
      <c r="W166" s="24">
        <v>1043640</v>
      </c>
      <c r="X166" s="24">
        <v>1169450</v>
      </c>
      <c r="Y166" s="24">
        <v>895199</v>
      </c>
      <c r="Z166" s="24">
        <v>729151</v>
      </c>
      <c r="AA166" s="24">
        <v>949177</v>
      </c>
      <c r="AB166" s="24">
        <v>1188030</v>
      </c>
      <c r="AC166" s="24">
        <v>1306130</v>
      </c>
      <c r="AD166" s="24">
        <v>942061.5</v>
      </c>
      <c r="AE166" s="24">
        <v>1043122</v>
      </c>
      <c r="AF166" s="24">
        <v>851798.5</v>
      </c>
      <c r="AG166" s="24">
        <v>1032324.5</v>
      </c>
      <c r="AH166" s="24">
        <v>839164</v>
      </c>
      <c r="AI166" s="24">
        <v>1247080</v>
      </c>
      <c r="AJ166" s="32">
        <v>23.240407277063678</v>
      </c>
      <c r="AK166" s="32">
        <v>24.601990711137255</v>
      </c>
      <c r="AL166" s="32">
        <v>31.850825180602939</v>
      </c>
      <c r="AM166" s="32">
        <v>18.785250359474357</v>
      </c>
      <c r="AN166" s="32">
        <v>18.540103798226724</v>
      </c>
      <c r="AO166" s="32">
        <v>6.6963876301545415</v>
      </c>
      <c r="AP166" s="19">
        <v>1.107275905023186</v>
      </c>
      <c r="AQ166" s="19">
        <v>0.98516726667163657</v>
      </c>
      <c r="AR166" s="19">
        <v>1.2080310018797384</v>
      </c>
      <c r="AS166" s="19">
        <v>0.14701474986382965</v>
      </c>
      <c r="AT166" s="19">
        <v>-2.1559401475003931E-2</v>
      </c>
      <c r="AU166" s="19">
        <v>0.27265747923604122</v>
      </c>
      <c r="AV166" s="19">
        <v>-5.0674802822270909E-2</v>
      </c>
      <c r="AW166" s="19">
        <v>-8.9383618458153638E-2</v>
      </c>
      <c r="AX166" s="19">
        <v>-3.1093434999751701E-2</v>
      </c>
      <c r="AY166" s="19">
        <v>1.107275905023186</v>
      </c>
      <c r="AZ166" s="19">
        <v>-1.0150560557888566</v>
      </c>
      <c r="BA166" s="19">
        <v>1.2080310018797384</v>
      </c>
      <c r="BB166" s="19">
        <v>-1.0357492695130375</v>
      </c>
      <c r="BC166" s="19">
        <v>-1.0639155347368583</v>
      </c>
      <c r="BD166" s="19">
        <v>-1.0217862557476691</v>
      </c>
      <c r="BE166" s="14" t="s">
        <v>4857</v>
      </c>
    </row>
    <row r="167" spans="1:105" s="30" customFormat="1" ht="17.100000000000001" customHeight="1">
      <c r="A167" s="14">
        <v>156</v>
      </c>
      <c r="B167" s="14" t="s">
        <v>3944</v>
      </c>
      <c r="C167" s="32">
        <v>1.3533909578917889</v>
      </c>
      <c r="D167" s="32">
        <v>1.5813494985998668</v>
      </c>
      <c r="E167" s="32">
        <v>1.1986477474007811</v>
      </c>
      <c r="F167" s="24">
        <v>178289.5</v>
      </c>
      <c r="G167" s="52" t="s">
        <v>2</v>
      </c>
      <c r="H167" s="32">
        <v>26.818744092128181</v>
      </c>
      <c r="I167" s="32">
        <v>41.852997235839936</v>
      </c>
      <c r="J167" s="12" t="s">
        <v>3945</v>
      </c>
      <c r="K167" s="12" t="s">
        <v>3946</v>
      </c>
      <c r="L167" s="14" t="s">
        <v>3947</v>
      </c>
      <c r="M167" s="12" t="s">
        <v>3948</v>
      </c>
      <c r="N167" s="15" t="s">
        <v>3949</v>
      </c>
      <c r="O167" s="12" t="s">
        <v>3950</v>
      </c>
      <c r="P167" s="12" t="s">
        <v>3952</v>
      </c>
      <c r="Q167" s="14">
        <v>3</v>
      </c>
      <c r="R167" s="21">
        <v>366.88170000000002</v>
      </c>
      <c r="S167" s="14">
        <v>5</v>
      </c>
      <c r="T167" s="52" t="s">
        <v>2</v>
      </c>
      <c r="U167" s="53">
        <v>41.540324999999996</v>
      </c>
      <c r="V167" s="24">
        <v>80815</v>
      </c>
      <c r="W167" s="24">
        <v>85321</v>
      </c>
      <c r="X167" s="24">
        <v>116673</v>
      </c>
      <c r="Y167" s="24">
        <v>124332</v>
      </c>
      <c r="Z167" s="24">
        <v>178429</v>
      </c>
      <c r="AA167" s="24">
        <v>96936</v>
      </c>
      <c r="AB167" s="24">
        <v>192714</v>
      </c>
      <c r="AC167" s="24">
        <v>163865</v>
      </c>
      <c r="AD167" s="24">
        <v>101785.25</v>
      </c>
      <c r="AE167" s="24">
        <v>157986</v>
      </c>
      <c r="AF167" s="24">
        <v>83068</v>
      </c>
      <c r="AG167" s="24">
        <v>120502.5</v>
      </c>
      <c r="AH167" s="24">
        <v>137682.5</v>
      </c>
      <c r="AI167" s="24">
        <v>178289.5</v>
      </c>
      <c r="AJ167" s="32">
        <v>21.530790948940393</v>
      </c>
      <c r="AK167" s="32">
        <v>26.818744092128181</v>
      </c>
      <c r="AL167" s="32">
        <v>3.8356805942439722</v>
      </c>
      <c r="AM167" s="32">
        <v>4.4942891949194141</v>
      </c>
      <c r="AN167" s="32">
        <v>41.852997235839936</v>
      </c>
      <c r="AO167" s="32">
        <v>11.44168530981954</v>
      </c>
      <c r="AP167" s="19">
        <v>1.5521502378782781</v>
      </c>
      <c r="AQ167" s="19">
        <v>1.6574673761255838</v>
      </c>
      <c r="AR167" s="19">
        <v>1.4795502168004813</v>
      </c>
      <c r="AS167" s="19">
        <v>0.6342682076228161</v>
      </c>
      <c r="AT167" s="19">
        <v>0.72898047409953182</v>
      </c>
      <c r="AU167" s="19">
        <v>0.565158663277055</v>
      </c>
      <c r="AV167" s="19">
        <v>0.43657865493671555</v>
      </c>
      <c r="AW167" s="19">
        <v>0.66115625711638215</v>
      </c>
      <c r="AX167" s="19">
        <v>0.26140774904126207</v>
      </c>
      <c r="AY167" s="19">
        <v>1.5521502378782781</v>
      </c>
      <c r="AZ167" s="19">
        <v>1.6574673761255838</v>
      </c>
      <c r="BA167" s="19">
        <v>1.4795502168004813</v>
      </c>
      <c r="BB167" s="19">
        <v>1.3533909578917889</v>
      </c>
      <c r="BC167" s="19">
        <v>1.5813494985998668</v>
      </c>
      <c r="BD167" s="19">
        <v>1.1986477474007811</v>
      </c>
      <c r="BE167" s="14" t="s">
        <v>4857</v>
      </c>
    </row>
    <row r="168" spans="1:105" s="30" customFormat="1" ht="17.100000000000001" customHeight="1">
      <c r="A168" s="31">
        <v>157</v>
      </c>
      <c r="B168" s="11" t="s">
        <v>3953</v>
      </c>
      <c r="C168" s="57"/>
      <c r="D168" s="57"/>
      <c r="E168" s="57"/>
      <c r="F168" s="27"/>
      <c r="G168" s="54"/>
      <c r="H168" s="57"/>
      <c r="I168" s="57"/>
      <c r="J168" s="13"/>
      <c r="K168" s="13"/>
      <c r="L168" s="13"/>
      <c r="M168" s="13"/>
      <c r="N168" s="13"/>
      <c r="O168" s="13"/>
      <c r="P168" s="13"/>
      <c r="Q168" s="13"/>
      <c r="R168" s="22"/>
      <c r="S168" s="18"/>
      <c r="T168" s="54"/>
      <c r="U168" s="5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57"/>
      <c r="AK168" s="57"/>
      <c r="AL168" s="57"/>
      <c r="AM168" s="57"/>
      <c r="AN168" s="57"/>
      <c r="AO168" s="5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13"/>
    </row>
    <row r="169" spans="1:105" s="30" customFormat="1" ht="17.100000000000001" customHeight="1">
      <c r="A169" s="14">
        <v>158</v>
      </c>
      <c r="B169" s="14" t="s">
        <v>3954</v>
      </c>
      <c r="C169" s="32">
        <v>-1.1590128765200731</v>
      </c>
      <c r="D169" s="32">
        <v>1.0386942560899921</v>
      </c>
      <c r="E169" s="32">
        <v>-1.3189370327906713</v>
      </c>
      <c r="F169" s="24">
        <v>42365</v>
      </c>
      <c r="G169" s="52" t="s">
        <v>2</v>
      </c>
      <c r="H169" s="32">
        <v>46.973865775467559</v>
      </c>
      <c r="I169" s="32">
        <v>39.897746954994048</v>
      </c>
      <c r="J169" s="12" t="s">
        <v>3955</v>
      </c>
      <c r="K169" s="15" t="s">
        <v>3956</v>
      </c>
      <c r="L169" s="14" t="s">
        <v>5070</v>
      </c>
      <c r="M169" s="12" t="s">
        <v>3957</v>
      </c>
      <c r="N169" s="15" t="s">
        <v>3958</v>
      </c>
      <c r="O169" s="12" t="s">
        <v>3959</v>
      </c>
      <c r="P169" s="12" t="s">
        <v>3825</v>
      </c>
      <c r="Q169" s="14">
        <v>2</v>
      </c>
      <c r="R169" s="21">
        <v>725.85659999999996</v>
      </c>
      <c r="S169" s="14">
        <v>2</v>
      </c>
      <c r="T169" s="52" t="s">
        <v>2</v>
      </c>
      <c r="U169" s="53">
        <v>42.9269125</v>
      </c>
      <c r="V169" s="24">
        <v>27462</v>
      </c>
      <c r="W169" s="24">
        <v>18371</v>
      </c>
      <c r="X169" s="24">
        <v>30413</v>
      </c>
      <c r="Y169" s="24">
        <v>54317</v>
      </c>
      <c r="Z169" s="24">
        <v>24274</v>
      </c>
      <c r="AA169" s="24">
        <v>25624</v>
      </c>
      <c r="AB169" s="24">
        <v>29522</v>
      </c>
      <c r="AC169" s="24">
        <v>49774</v>
      </c>
      <c r="AD169" s="24">
        <v>32640.75</v>
      </c>
      <c r="AE169" s="24">
        <v>32298.5</v>
      </c>
      <c r="AF169" s="24">
        <v>22916.5</v>
      </c>
      <c r="AG169" s="24">
        <v>42365</v>
      </c>
      <c r="AH169" s="24">
        <v>24949</v>
      </c>
      <c r="AI169" s="24">
        <v>39648</v>
      </c>
      <c r="AJ169" s="32">
        <v>46.973865775467559</v>
      </c>
      <c r="AK169" s="32">
        <v>36.722790938107472</v>
      </c>
      <c r="AL169" s="32">
        <v>28.051001452084321</v>
      </c>
      <c r="AM169" s="32">
        <v>39.897746954994048</v>
      </c>
      <c r="AN169" s="32">
        <v>3.8261820297480424</v>
      </c>
      <c r="AO169" s="32">
        <v>36.118660544264429</v>
      </c>
      <c r="AP169" s="19">
        <v>0.98951464044177906</v>
      </c>
      <c r="AQ169" s="19">
        <v>1.0886915541203936</v>
      </c>
      <c r="AR169" s="19">
        <v>0.93586687123805024</v>
      </c>
      <c r="AS169" s="19">
        <v>-1.5207041948585621E-2</v>
      </c>
      <c r="AT169" s="19">
        <v>0.12259527051740654</v>
      </c>
      <c r="AU169" s="19">
        <v>-9.5624776472654591E-2</v>
      </c>
      <c r="AV169" s="19">
        <v>-0.21289659463468619</v>
      </c>
      <c r="AW169" s="19">
        <v>5.4771053534256833E-2</v>
      </c>
      <c r="AX169" s="19">
        <v>-0.39937569070844753</v>
      </c>
      <c r="AY169" s="19">
        <v>-1.0105964673282042</v>
      </c>
      <c r="AZ169" s="19">
        <v>1.0886915541203936</v>
      </c>
      <c r="BA169" s="19">
        <v>-1.0685280468119451</v>
      </c>
      <c r="BB169" s="19">
        <v>-1.1590128765200731</v>
      </c>
      <c r="BC169" s="19">
        <v>1.0386942560899921</v>
      </c>
      <c r="BD169" s="19">
        <v>-1.3189370327906713</v>
      </c>
      <c r="BE169" s="14" t="s">
        <v>4857</v>
      </c>
    </row>
    <row r="170" spans="1:105" ht="17.100000000000001" customHeight="1">
      <c r="A170" s="14">
        <v>159</v>
      </c>
      <c r="B170" s="14" t="s">
        <v>4252</v>
      </c>
      <c r="C170" s="32">
        <v>-1.0745317249539026</v>
      </c>
      <c r="D170" s="32">
        <v>-1.2486009013562516</v>
      </c>
      <c r="E170" s="32">
        <v>1.0396181097484978</v>
      </c>
      <c r="F170" s="24">
        <v>295023.5</v>
      </c>
      <c r="G170" s="52" t="s">
        <v>2</v>
      </c>
      <c r="H170" s="32">
        <v>28.500348035018842</v>
      </c>
      <c r="I170" s="32">
        <v>20.596962744009392</v>
      </c>
      <c r="J170" s="12" t="s">
        <v>3826</v>
      </c>
      <c r="K170" s="15" t="s">
        <v>3827</v>
      </c>
      <c r="L170" s="14" t="s">
        <v>5102</v>
      </c>
      <c r="M170" s="12" t="s">
        <v>3828</v>
      </c>
      <c r="N170" s="15" t="s">
        <v>3829</v>
      </c>
      <c r="O170" s="12" t="s">
        <v>3830</v>
      </c>
      <c r="P170" s="12" t="s">
        <v>3831</v>
      </c>
      <c r="Q170" s="14">
        <v>2</v>
      </c>
      <c r="R170" s="21">
        <v>611.8193</v>
      </c>
      <c r="S170" s="14">
        <v>8</v>
      </c>
      <c r="T170" s="52" t="s">
        <v>2</v>
      </c>
      <c r="U170" s="53">
        <v>32.963575000000006</v>
      </c>
      <c r="V170" s="24">
        <v>249604</v>
      </c>
      <c r="W170" s="24">
        <v>186141</v>
      </c>
      <c r="X170" s="24">
        <v>224203</v>
      </c>
      <c r="Y170" s="24">
        <v>235603</v>
      </c>
      <c r="Z170" s="24">
        <v>175759</v>
      </c>
      <c r="AA170" s="24">
        <v>190026</v>
      </c>
      <c r="AB170" s="24">
        <v>270131</v>
      </c>
      <c r="AC170" s="24">
        <v>319916</v>
      </c>
      <c r="AD170" s="24">
        <v>223887.75</v>
      </c>
      <c r="AE170" s="24">
        <v>238958</v>
      </c>
      <c r="AF170" s="24">
        <v>217872.5</v>
      </c>
      <c r="AG170" s="24">
        <v>229903</v>
      </c>
      <c r="AH170" s="24">
        <v>182892.5</v>
      </c>
      <c r="AI170" s="24">
        <v>295023.5</v>
      </c>
      <c r="AJ170" s="32">
        <v>12.159803157077363</v>
      </c>
      <c r="AK170" s="32">
        <v>28.500348035018842</v>
      </c>
      <c r="AL170" s="32">
        <v>20.596962744009392</v>
      </c>
      <c r="AM170" s="32">
        <v>3.5062688636192836</v>
      </c>
      <c r="AN170" s="32">
        <v>5.5159683678600677</v>
      </c>
      <c r="AO170" s="32">
        <v>11.932375251928157</v>
      </c>
      <c r="AP170" s="19">
        <v>1.0673116327266676</v>
      </c>
      <c r="AQ170" s="19">
        <v>0.83944738321724865</v>
      </c>
      <c r="AR170" s="19">
        <v>1.2832520671761569</v>
      </c>
      <c r="AS170" s="19">
        <v>9.3981474519750391E-2</v>
      </c>
      <c r="AT170" s="19">
        <v>-0.25248819539572004</v>
      </c>
      <c r="AU170" s="19">
        <v>0.35980458457138387</v>
      </c>
      <c r="AV170" s="19">
        <v>-0.10370807816635016</v>
      </c>
      <c r="AW170" s="19">
        <v>-0.32031241237886976</v>
      </c>
      <c r="AX170" s="19">
        <v>5.6053670335590944E-2</v>
      </c>
      <c r="AY170" s="19">
        <v>1.0673116327266676</v>
      </c>
      <c r="AZ170" s="19">
        <v>-1.1912598931066063</v>
      </c>
      <c r="BA170" s="19">
        <v>1.2832520671761569</v>
      </c>
      <c r="BB170" s="19">
        <v>-1.0745317249539026</v>
      </c>
      <c r="BC170" s="19">
        <v>-1.2486009013562516</v>
      </c>
      <c r="BD170" s="19">
        <v>1.0396181097484978</v>
      </c>
      <c r="BE170" s="14" t="s">
        <v>4857</v>
      </c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s="30" customFormat="1" ht="17.100000000000001" customHeight="1">
      <c r="A171" s="14">
        <v>160</v>
      </c>
      <c r="B171" s="14" t="s">
        <v>3832</v>
      </c>
      <c r="C171" s="32">
        <v>1.1779867840719438</v>
      </c>
      <c r="D171" s="32">
        <v>1.3649898694988103</v>
      </c>
      <c r="E171" s="32">
        <v>1.0366093372458351</v>
      </c>
      <c r="F171" s="24">
        <v>95695.5</v>
      </c>
      <c r="G171" s="52" t="s">
        <v>2</v>
      </c>
      <c r="H171" s="32">
        <v>18.097803544600474</v>
      </c>
      <c r="I171" s="32">
        <v>26.874022028844291</v>
      </c>
      <c r="J171" s="12" t="s">
        <v>3826</v>
      </c>
      <c r="K171" s="15" t="s">
        <v>3827</v>
      </c>
      <c r="L171" s="14" t="s">
        <v>4860</v>
      </c>
      <c r="M171" s="12" t="s">
        <v>3828</v>
      </c>
      <c r="N171" s="15" t="s">
        <v>3829</v>
      </c>
      <c r="O171" s="12" t="s">
        <v>3830</v>
      </c>
      <c r="P171" s="12" t="s">
        <v>3833</v>
      </c>
      <c r="Q171" s="14">
        <v>3</v>
      </c>
      <c r="R171" s="21">
        <v>840.75660000000005</v>
      </c>
      <c r="S171" s="14">
        <v>7</v>
      </c>
      <c r="T171" s="52" t="s">
        <v>2</v>
      </c>
      <c r="U171" s="53">
        <v>69.1963875</v>
      </c>
      <c r="V171" s="24">
        <v>79598</v>
      </c>
      <c r="W171" s="24">
        <v>54177</v>
      </c>
      <c r="X171" s="24">
        <v>75340</v>
      </c>
      <c r="Y171" s="24">
        <v>73899</v>
      </c>
      <c r="Z171" s="24">
        <v>80850</v>
      </c>
      <c r="AA171" s="24">
        <v>110541</v>
      </c>
      <c r="AB171" s="24">
        <v>80363</v>
      </c>
      <c r="AC171" s="24">
        <v>110594</v>
      </c>
      <c r="AD171" s="24">
        <v>70753.5</v>
      </c>
      <c r="AE171" s="24">
        <v>95587</v>
      </c>
      <c r="AF171" s="24">
        <v>66887.5</v>
      </c>
      <c r="AG171" s="24">
        <v>74619.5</v>
      </c>
      <c r="AH171" s="24">
        <v>95695.5</v>
      </c>
      <c r="AI171" s="24">
        <v>95478.5</v>
      </c>
      <c r="AJ171" s="32">
        <v>15.988977237705898</v>
      </c>
      <c r="AK171" s="32">
        <v>18.097803544600474</v>
      </c>
      <c r="AL171" s="32">
        <v>26.874022028844291</v>
      </c>
      <c r="AM171" s="32">
        <v>1.3655155444485894</v>
      </c>
      <c r="AN171" s="32">
        <v>21.939074920147533</v>
      </c>
      <c r="AO171" s="32">
        <v>22.388857284153517</v>
      </c>
      <c r="AP171" s="19">
        <v>1.3509861702954624</v>
      </c>
      <c r="AQ171" s="19">
        <v>1.4306933283498411</v>
      </c>
      <c r="AR171" s="19">
        <v>1.2795381904193943</v>
      </c>
      <c r="AS171" s="19">
        <v>0.43401290623408234</v>
      </c>
      <c r="AT171" s="19">
        <v>0.51671446096486151</v>
      </c>
      <c r="AU171" s="19">
        <v>0.35562320818737775</v>
      </c>
      <c r="AV171" s="19">
        <v>0.23632335354798178</v>
      </c>
      <c r="AW171" s="19">
        <v>0.44889024398171179</v>
      </c>
      <c r="AX171" s="19">
        <v>5.1872293951584825E-2</v>
      </c>
      <c r="AY171" s="19">
        <v>1.3509861702954624</v>
      </c>
      <c r="AZ171" s="19">
        <v>1.4306933283498411</v>
      </c>
      <c r="BA171" s="19">
        <v>1.2795381904193943</v>
      </c>
      <c r="BB171" s="19">
        <v>1.1779867840719438</v>
      </c>
      <c r="BC171" s="19">
        <v>1.3649898694988103</v>
      </c>
      <c r="BD171" s="19">
        <v>1.0366093372458351</v>
      </c>
      <c r="BE171" s="14" t="s">
        <v>4857</v>
      </c>
    </row>
    <row r="172" spans="1:105" s="30" customFormat="1" ht="17.100000000000001" customHeight="1">
      <c r="A172" s="14">
        <v>161</v>
      </c>
      <c r="B172" s="14" t="s">
        <v>3835</v>
      </c>
      <c r="C172" s="32">
        <v>-1.1254139698866916</v>
      </c>
      <c r="D172" s="32">
        <v>-1.5796281364846687</v>
      </c>
      <c r="E172" s="32">
        <v>1.2373905674878498</v>
      </c>
      <c r="F172" s="24">
        <v>73000</v>
      </c>
      <c r="G172" s="52" t="s">
        <v>2</v>
      </c>
      <c r="H172" s="32">
        <v>32.37323989826357</v>
      </c>
      <c r="I172" s="32">
        <v>24.348146164559886</v>
      </c>
      <c r="J172" s="12" t="s">
        <v>3826</v>
      </c>
      <c r="K172" s="15" t="s">
        <v>3827</v>
      </c>
      <c r="L172" s="14" t="s">
        <v>4993</v>
      </c>
      <c r="M172" s="12" t="s">
        <v>3828</v>
      </c>
      <c r="N172" s="15" t="s">
        <v>3829</v>
      </c>
      <c r="O172" s="12" t="s">
        <v>3830</v>
      </c>
      <c r="P172" s="12" t="s">
        <v>3836</v>
      </c>
      <c r="Q172" s="14">
        <v>2</v>
      </c>
      <c r="R172" s="21">
        <v>743.40269999999998</v>
      </c>
      <c r="S172" s="14">
        <v>1</v>
      </c>
      <c r="T172" s="52" t="s">
        <v>2</v>
      </c>
      <c r="U172" s="53">
        <v>53.935225000000003</v>
      </c>
      <c r="V172" s="24">
        <v>66299</v>
      </c>
      <c r="W172" s="24">
        <v>70371</v>
      </c>
      <c r="X172" s="24">
        <v>55780</v>
      </c>
      <c r="Y172" s="24">
        <v>39809</v>
      </c>
      <c r="Z172" s="24">
        <v>37536</v>
      </c>
      <c r="AA172" s="24">
        <v>53149</v>
      </c>
      <c r="AB172" s="24">
        <v>62656</v>
      </c>
      <c r="AC172" s="24">
        <v>83344</v>
      </c>
      <c r="AD172" s="24">
        <v>58064.75</v>
      </c>
      <c r="AE172" s="24">
        <v>59171.25</v>
      </c>
      <c r="AF172" s="24">
        <v>68335</v>
      </c>
      <c r="AG172" s="24">
        <v>47794.5</v>
      </c>
      <c r="AH172" s="24">
        <v>45342.5</v>
      </c>
      <c r="AI172" s="24">
        <v>73000</v>
      </c>
      <c r="AJ172" s="32">
        <v>23.482394423991458</v>
      </c>
      <c r="AK172" s="32">
        <v>32.37323989826357</v>
      </c>
      <c r="AL172" s="32">
        <v>4.213563785749062</v>
      </c>
      <c r="AM172" s="32">
        <v>23.628665227861681</v>
      </c>
      <c r="AN172" s="32">
        <v>24.348146164559886</v>
      </c>
      <c r="AO172" s="32">
        <v>20.039212450941502</v>
      </c>
      <c r="AP172" s="19">
        <v>1.0190563121342984</v>
      </c>
      <c r="AQ172" s="19">
        <v>0.66353259676593257</v>
      </c>
      <c r="AR172" s="19">
        <v>1.5273723964054442</v>
      </c>
      <c r="AS172" s="19">
        <v>2.7233775735516753E-2</v>
      </c>
      <c r="AT172" s="19">
        <v>-0.59176075357612912</v>
      </c>
      <c r="AU172" s="19">
        <v>0.61105185581301646</v>
      </c>
      <c r="AV172" s="19">
        <v>-0.17045577695058381</v>
      </c>
      <c r="AW172" s="19">
        <v>-0.65958497055927878</v>
      </c>
      <c r="AX172" s="19">
        <v>0.30730094157722354</v>
      </c>
      <c r="AY172" s="19">
        <v>1.0190563121342984</v>
      </c>
      <c r="AZ172" s="19">
        <v>-1.5070849644373379</v>
      </c>
      <c r="BA172" s="19">
        <v>1.5273723964054442</v>
      </c>
      <c r="BB172" s="19">
        <v>-1.1254139698866916</v>
      </c>
      <c r="BC172" s="19">
        <v>-1.5796281364846687</v>
      </c>
      <c r="BD172" s="19">
        <v>1.2373905674878498</v>
      </c>
      <c r="BE172" s="14" t="s">
        <v>4857</v>
      </c>
    </row>
    <row r="173" spans="1:105" s="30" customFormat="1" ht="17.100000000000001" customHeight="1">
      <c r="A173" s="14">
        <v>162</v>
      </c>
      <c r="B173" s="14" t="s">
        <v>3844</v>
      </c>
      <c r="C173" s="32">
        <v>-1.9433813024188034</v>
      </c>
      <c r="D173" s="32">
        <v>-1.9657389628241173</v>
      </c>
      <c r="E173" s="32">
        <v>-1.9156840005523548</v>
      </c>
      <c r="F173" s="24">
        <v>83065</v>
      </c>
      <c r="G173" s="52" t="s">
        <v>2</v>
      </c>
      <c r="H173" s="32">
        <v>19.059219752650552</v>
      </c>
      <c r="I173" s="32">
        <v>19.717097773843154</v>
      </c>
      <c r="J173" s="12" t="s">
        <v>3838</v>
      </c>
      <c r="K173" s="15" t="s">
        <v>3839</v>
      </c>
      <c r="L173" s="14" t="s">
        <v>4955</v>
      </c>
      <c r="M173" s="12" t="s">
        <v>3840</v>
      </c>
      <c r="N173" s="15" t="s">
        <v>3841</v>
      </c>
      <c r="O173" s="12" t="s">
        <v>3842</v>
      </c>
      <c r="P173" s="12" t="s">
        <v>3845</v>
      </c>
      <c r="Q173" s="14">
        <v>2</v>
      </c>
      <c r="R173" s="21">
        <v>874.92780000000005</v>
      </c>
      <c r="S173" s="14">
        <v>9</v>
      </c>
      <c r="T173" s="52" t="s">
        <v>2</v>
      </c>
      <c r="U173" s="53">
        <v>47.892787499999997</v>
      </c>
      <c r="V173" s="24">
        <v>68915</v>
      </c>
      <c r="W173" s="24">
        <v>89241</v>
      </c>
      <c r="X173" s="24">
        <v>94646</v>
      </c>
      <c r="Y173" s="24">
        <v>71484</v>
      </c>
      <c r="Z173" s="24">
        <v>39752</v>
      </c>
      <c r="AA173" s="24">
        <v>44577</v>
      </c>
      <c r="AB173" s="24">
        <v>46146</v>
      </c>
      <c r="AC173" s="24">
        <v>60898</v>
      </c>
      <c r="AD173" s="24">
        <v>81071.5</v>
      </c>
      <c r="AE173" s="24">
        <v>47843.25</v>
      </c>
      <c r="AF173" s="24">
        <v>79078</v>
      </c>
      <c r="AG173" s="24">
        <v>83065</v>
      </c>
      <c r="AH173" s="24">
        <v>42164.5</v>
      </c>
      <c r="AI173" s="24">
        <v>53522</v>
      </c>
      <c r="AJ173" s="32">
        <v>15.775492378475755</v>
      </c>
      <c r="AK173" s="32">
        <v>19.059219752650552</v>
      </c>
      <c r="AL173" s="32">
        <v>18.175285710814343</v>
      </c>
      <c r="AM173" s="32">
        <v>19.717097773843154</v>
      </c>
      <c r="AN173" s="32">
        <v>8.0916178757606314</v>
      </c>
      <c r="AO173" s="32">
        <v>19.489629005014667</v>
      </c>
      <c r="AP173" s="19">
        <v>0.59013648446124722</v>
      </c>
      <c r="AQ173" s="19">
        <v>0.53320139608993655</v>
      </c>
      <c r="AR173" s="19">
        <v>0.64433877084211155</v>
      </c>
      <c r="AS173" s="19">
        <v>-0.76087944094867699</v>
      </c>
      <c r="AT173" s="19">
        <v>-0.90724753702350835</v>
      </c>
      <c r="AU173" s="19">
        <v>-0.6341086883652064</v>
      </c>
      <c r="AV173" s="19">
        <v>-0.95856899363477754</v>
      </c>
      <c r="AW173" s="19">
        <v>-0.97507175400665802</v>
      </c>
      <c r="AX173" s="19">
        <v>-0.93785960260099932</v>
      </c>
      <c r="AY173" s="19">
        <v>-1.6945232608570695</v>
      </c>
      <c r="AZ173" s="19">
        <v>-1.8754639566459936</v>
      </c>
      <c r="BA173" s="19">
        <v>-1.5519786256118979</v>
      </c>
      <c r="BB173" s="19">
        <v>-1.9433813024188034</v>
      </c>
      <c r="BC173" s="19">
        <v>-1.9657389628241173</v>
      </c>
      <c r="BD173" s="19">
        <v>-1.9156840005523548</v>
      </c>
      <c r="BE173" s="14" t="s">
        <v>4857</v>
      </c>
    </row>
    <row r="174" spans="1:105" s="30" customFormat="1" ht="17.100000000000001" customHeight="1">
      <c r="A174" s="14">
        <v>163</v>
      </c>
      <c r="B174" s="14" t="s">
        <v>3846</v>
      </c>
      <c r="C174" s="32">
        <v>-1.2799499038608042</v>
      </c>
      <c r="D174" s="32">
        <v>-1.974774061716559</v>
      </c>
      <c r="E174" s="32">
        <v>1.2005652062183305</v>
      </c>
      <c r="F174" s="24">
        <v>27144</v>
      </c>
      <c r="G174" s="52" t="s">
        <v>2</v>
      </c>
      <c r="H174" s="32">
        <v>45.834543198881775</v>
      </c>
      <c r="I174" s="32">
        <v>51.83990917186965</v>
      </c>
      <c r="J174" s="12" t="s">
        <v>3838</v>
      </c>
      <c r="K174" s="15" t="s">
        <v>3839</v>
      </c>
      <c r="L174" s="14" t="s">
        <v>4953</v>
      </c>
      <c r="M174" s="12" t="s">
        <v>3840</v>
      </c>
      <c r="N174" s="15" t="s">
        <v>3841</v>
      </c>
      <c r="O174" s="12" t="s">
        <v>3842</v>
      </c>
      <c r="P174" s="12" t="s">
        <v>3847</v>
      </c>
      <c r="Q174" s="14">
        <v>2</v>
      </c>
      <c r="R174" s="21">
        <v>711.83399999999995</v>
      </c>
      <c r="S174" s="14">
        <v>6</v>
      </c>
      <c r="T174" s="52" t="s">
        <v>2</v>
      </c>
      <c r="U174" s="53">
        <v>24.913712500000003</v>
      </c>
      <c r="V174" s="24">
        <v>17194</v>
      </c>
      <c r="W174" s="24">
        <v>37094</v>
      </c>
      <c r="X174" s="24">
        <v>15607</v>
      </c>
      <c r="Y174" s="24">
        <v>18237</v>
      </c>
      <c r="Z174" s="24">
        <v>18242</v>
      </c>
      <c r="AA174" s="24">
        <v>10572</v>
      </c>
      <c r="AB174" s="24">
        <v>26636</v>
      </c>
      <c r="AC174" s="24">
        <v>23518</v>
      </c>
      <c r="AD174" s="24">
        <v>22033</v>
      </c>
      <c r="AE174" s="24">
        <v>19742</v>
      </c>
      <c r="AF174" s="24">
        <v>27144</v>
      </c>
      <c r="AG174" s="24">
        <v>16922</v>
      </c>
      <c r="AH174" s="24">
        <v>14407</v>
      </c>
      <c r="AI174" s="24">
        <v>25077</v>
      </c>
      <c r="AJ174" s="32">
        <v>45.834543198881775</v>
      </c>
      <c r="AK174" s="32">
        <v>35.592738033790802</v>
      </c>
      <c r="AL174" s="32">
        <v>51.83990917186965</v>
      </c>
      <c r="AM174" s="32">
        <v>10.98978155372072</v>
      </c>
      <c r="AN174" s="32">
        <v>37.644957393633788</v>
      </c>
      <c r="AO174" s="32">
        <v>8.7919565487883524</v>
      </c>
      <c r="AP174" s="19">
        <v>0.89601960695320659</v>
      </c>
      <c r="AQ174" s="19">
        <v>0.53076186265841441</v>
      </c>
      <c r="AR174" s="19">
        <v>1.4819170310837961</v>
      </c>
      <c r="AS174" s="19">
        <v>-0.15839779280016889</v>
      </c>
      <c r="AT174" s="19">
        <v>-0.91386338380671128</v>
      </c>
      <c r="AU174" s="19">
        <v>0.56746467693206282</v>
      </c>
      <c r="AV174" s="19">
        <v>-0.35608734548626941</v>
      </c>
      <c r="AW174" s="19">
        <v>-0.98168760078986095</v>
      </c>
      <c r="AX174" s="19">
        <v>0.26371376269626989</v>
      </c>
      <c r="AY174" s="19">
        <v>-1.116047006382332</v>
      </c>
      <c r="AZ174" s="19">
        <v>-1.8840841257721941</v>
      </c>
      <c r="BA174" s="19">
        <v>1.4819170310837961</v>
      </c>
      <c r="BB174" s="19">
        <v>-1.2799499038608042</v>
      </c>
      <c r="BC174" s="19">
        <v>-1.974774061716559</v>
      </c>
      <c r="BD174" s="19">
        <v>1.2005652062183305</v>
      </c>
      <c r="BE174" s="14" t="s">
        <v>4857</v>
      </c>
    </row>
    <row r="175" spans="1:105" s="30" customFormat="1" ht="17.100000000000001" customHeight="1">
      <c r="A175" s="14">
        <v>164</v>
      </c>
      <c r="B175" s="14" t="s">
        <v>3849</v>
      </c>
      <c r="C175" s="32">
        <v>-1.1716918375253467</v>
      </c>
      <c r="D175" s="32">
        <v>-1.0698487370292087</v>
      </c>
      <c r="E175" s="32">
        <v>-1.2619859573718186</v>
      </c>
      <c r="F175" s="24">
        <v>842839</v>
      </c>
      <c r="G175" s="52" t="s">
        <v>2</v>
      </c>
      <c r="H175" s="32">
        <v>15.337556621492677</v>
      </c>
      <c r="I175" s="32">
        <v>8.6905621932164436</v>
      </c>
      <c r="J175" s="12" t="s">
        <v>3850</v>
      </c>
      <c r="K175" s="15" t="s">
        <v>3851</v>
      </c>
      <c r="L175" s="14" t="s">
        <v>5094</v>
      </c>
      <c r="M175" s="12" t="s">
        <v>3852</v>
      </c>
      <c r="N175" s="15" t="s">
        <v>3853</v>
      </c>
      <c r="O175" s="12" t="s">
        <v>3854</v>
      </c>
      <c r="P175" s="12" t="s">
        <v>3855</v>
      </c>
      <c r="Q175" s="14">
        <v>2</v>
      </c>
      <c r="R175" s="21">
        <v>525.77689999999996</v>
      </c>
      <c r="S175" s="14">
        <v>5</v>
      </c>
      <c r="T175" s="52" t="s">
        <v>2</v>
      </c>
      <c r="U175" s="53">
        <v>37.207399999999993</v>
      </c>
      <c r="V175" s="24">
        <v>623046</v>
      </c>
      <c r="W175" s="24">
        <v>704634</v>
      </c>
      <c r="X175" s="24">
        <v>794454</v>
      </c>
      <c r="Y175" s="24">
        <v>891224</v>
      </c>
      <c r="Z175" s="24">
        <v>665187</v>
      </c>
      <c r="AA175" s="24">
        <v>635546</v>
      </c>
      <c r="AB175" s="24">
        <v>779517</v>
      </c>
      <c r="AC175" s="24">
        <v>869246</v>
      </c>
      <c r="AD175" s="24">
        <v>753339.5</v>
      </c>
      <c r="AE175" s="24">
        <v>737374</v>
      </c>
      <c r="AF175" s="24">
        <v>663840</v>
      </c>
      <c r="AG175" s="24">
        <v>842839</v>
      </c>
      <c r="AH175" s="24">
        <v>650366.5</v>
      </c>
      <c r="AI175" s="24">
        <v>824381.5</v>
      </c>
      <c r="AJ175" s="32">
        <v>15.337556621492677</v>
      </c>
      <c r="AK175" s="32">
        <v>14.59502921596852</v>
      </c>
      <c r="AL175" s="32">
        <v>8.6905621932164436</v>
      </c>
      <c r="AM175" s="32">
        <v>8.1185995445657113</v>
      </c>
      <c r="AN175" s="32">
        <v>3.222698601657751</v>
      </c>
      <c r="AO175" s="32">
        <v>7.6964347658320484</v>
      </c>
      <c r="AP175" s="19">
        <v>0.97880703188934071</v>
      </c>
      <c r="AQ175" s="19">
        <v>0.9797036936611232</v>
      </c>
      <c r="AR175" s="19">
        <v>0.97810079979687703</v>
      </c>
      <c r="AS175" s="19">
        <v>-3.0903628905859962E-2</v>
      </c>
      <c r="AT175" s="19">
        <v>-2.9582615377557873E-2</v>
      </c>
      <c r="AU175" s="19">
        <v>-3.1944942722740038E-2</v>
      </c>
      <c r="AV175" s="19">
        <v>-0.22859318159196051</v>
      </c>
      <c r="AW175" s="19">
        <v>-9.7406832360707574E-2</v>
      </c>
      <c r="AX175" s="19">
        <v>-0.33569585695853299</v>
      </c>
      <c r="AY175" s="19">
        <v>-1.021651834754141</v>
      </c>
      <c r="AZ175" s="19">
        <v>-1.0207167804614783</v>
      </c>
      <c r="BA175" s="19">
        <v>-1.0223895126224933</v>
      </c>
      <c r="BB175" s="19">
        <v>-1.1716918375253467</v>
      </c>
      <c r="BC175" s="19">
        <v>-1.0698487370292087</v>
      </c>
      <c r="BD175" s="19">
        <v>-1.2619859573718186</v>
      </c>
      <c r="BE175" s="14" t="s">
        <v>4857</v>
      </c>
    </row>
    <row r="176" spans="1:105" s="30" customFormat="1" ht="17.100000000000001" customHeight="1">
      <c r="A176" s="14">
        <v>165</v>
      </c>
      <c r="B176" s="14" t="s">
        <v>3856</v>
      </c>
      <c r="C176" s="32">
        <v>-1.0538359587780162</v>
      </c>
      <c r="D176" s="32">
        <v>1.0031944093784626</v>
      </c>
      <c r="E176" s="32">
        <v>-1.1047998764937232</v>
      </c>
      <c r="F176" s="24">
        <v>544406.5</v>
      </c>
      <c r="G176" s="52" t="s">
        <v>2</v>
      </c>
      <c r="H176" s="32">
        <v>19.799028208548357</v>
      </c>
      <c r="I176" s="32">
        <v>22.047333539890364</v>
      </c>
      <c r="J176" s="12" t="s">
        <v>3850</v>
      </c>
      <c r="K176" s="15" t="s">
        <v>3851</v>
      </c>
      <c r="L176" s="14" t="s">
        <v>4966</v>
      </c>
      <c r="M176" s="12" t="s">
        <v>3852</v>
      </c>
      <c r="N176" s="15" t="s">
        <v>3853</v>
      </c>
      <c r="O176" s="12" t="s">
        <v>3854</v>
      </c>
      <c r="P176" s="12" t="s">
        <v>3857</v>
      </c>
      <c r="Q176" s="14">
        <v>2</v>
      </c>
      <c r="R176" s="21">
        <v>490.25839999999999</v>
      </c>
      <c r="S176" s="14">
        <v>2</v>
      </c>
      <c r="T176" s="52" t="s">
        <v>2</v>
      </c>
      <c r="U176" s="53">
        <v>38.137824999999999</v>
      </c>
      <c r="V176" s="24">
        <v>443810</v>
      </c>
      <c r="W176" s="24">
        <v>324095</v>
      </c>
      <c r="X176" s="24">
        <v>482211</v>
      </c>
      <c r="Y176" s="24">
        <v>492327</v>
      </c>
      <c r="Z176" s="24">
        <v>346136</v>
      </c>
      <c r="AA176" s="24">
        <v>461303</v>
      </c>
      <c r="AB176" s="24">
        <v>542911</v>
      </c>
      <c r="AC176" s="24">
        <v>545902</v>
      </c>
      <c r="AD176" s="24">
        <v>435610.75</v>
      </c>
      <c r="AE176" s="24">
        <v>474063</v>
      </c>
      <c r="AF176" s="24">
        <v>383952.5</v>
      </c>
      <c r="AG176" s="24">
        <v>487269</v>
      </c>
      <c r="AH176" s="24">
        <v>403719.5</v>
      </c>
      <c r="AI176" s="24">
        <v>544406.5</v>
      </c>
      <c r="AJ176" s="32">
        <v>17.728084453163547</v>
      </c>
      <c r="AK176" s="32">
        <v>19.799028208548357</v>
      </c>
      <c r="AL176" s="32">
        <v>22.047333539890364</v>
      </c>
      <c r="AM176" s="32">
        <v>1.4679965683191656</v>
      </c>
      <c r="AN176" s="32">
        <v>20.171274032815141</v>
      </c>
      <c r="AO176" s="32">
        <v>0.38848845164945017</v>
      </c>
      <c r="AP176" s="19">
        <v>1.0882720410366364</v>
      </c>
      <c r="AQ176" s="19">
        <v>1.0514829308312876</v>
      </c>
      <c r="AR176" s="19">
        <v>1.1172606917329031</v>
      </c>
      <c r="AS176" s="19">
        <v>0.12203923967301136</v>
      </c>
      <c r="AT176" s="19">
        <v>7.2425430378839917E-2</v>
      </c>
      <c r="AU176" s="19">
        <v>0.15996585080697312</v>
      </c>
      <c r="AV176" s="19">
        <v>-7.5650313013089193E-2</v>
      </c>
      <c r="AW176" s="19">
        <v>4.6012133956902096E-3</v>
      </c>
      <c r="AX176" s="19">
        <v>-0.1437850634288198</v>
      </c>
      <c r="AY176" s="19">
        <v>1.0882720410366364</v>
      </c>
      <c r="AZ176" s="19">
        <v>1.0514829308312876</v>
      </c>
      <c r="BA176" s="19">
        <v>1.1172606917329031</v>
      </c>
      <c r="BB176" s="19">
        <v>-1.0538359587780162</v>
      </c>
      <c r="BC176" s="19">
        <v>1.0031944093784626</v>
      </c>
      <c r="BD176" s="19">
        <v>-1.1047998764937232</v>
      </c>
      <c r="BE176" s="14" t="s">
        <v>4857</v>
      </c>
    </row>
    <row r="177" spans="1:57" s="30" customFormat="1" ht="17.100000000000001" customHeight="1">
      <c r="A177" s="14">
        <v>166</v>
      </c>
      <c r="B177" s="14" t="s">
        <v>3858</v>
      </c>
      <c r="C177" s="32">
        <v>-1.270777656495703</v>
      </c>
      <c r="D177" s="32">
        <v>-1.095765427712164</v>
      </c>
      <c r="E177" s="32">
        <v>-1.4331599332019052</v>
      </c>
      <c r="F177" s="24">
        <v>88418</v>
      </c>
      <c r="G177" s="52" t="s">
        <v>2</v>
      </c>
      <c r="H177" s="32">
        <v>16.460138603658358</v>
      </c>
      <c r="I177" s="32">
        <v>24.772367144643852</v>
      </c>
      <c r="J177" s="12" t="s">
        <v>3850</v>
      </c>
      <c r="K177" s="15" t="s">
        <v>3851</v>
      </c>
      <c r="L177" s="14" t="s">
        <v>5027</v>
      </c>
      <c r="M177" s="12" t="s">
        <v>3852</v>
      </c>
      <c r="N177" s="15" t="s">
        <v>3853</v>
      </c>
      <c r="O177" s="12" t="s">
        <v>3854</v>
      </c>
      <c r="P177" s="12" t="s">
        <v>3859</v>
      </c>
      <c r="Q177" s="14">
        <v>2</v>
      </c>
      <c r="R177" s="21">
        <v>844.9606</v>
      </c>
      <c r="S177" s="14">
        <v>1</v>
      </c>
      <c r="T177" s="52" t="s">
        <v>2</v>
      </c>
      <c r="U177" s="53">
        <v>64.931200000000004</v>
      </c>
      <c r="V177" s="24">
        <v>67649</v>
      </c>
      <c r="W177" s="24">
        <v>67186</v>
      </c>
      <c r="X177" s="24">
        <v>89626</v>
      </c>
      <c r="Y177" s="24">
        <v>87210</v>
      </c>
      <c r="Z177" s="24">
        <v>53191</v>
      </c>
      <c r="AA177" s="24">
        <v>75783</v>
      </c>
      <c r="AB177" s="24">
        <v>73846</v>
      </c>
      <c r="AC177" s="24">
        <v>78459</v>
      </c>
      <c r="AD177" s="24">
        <v>77917.75</v>
      </c>
      <c r="AE177" s="24">
        <v>70319.75</v>
      </c>
      <c r="AF177" s="24">
        <v>67417.5</v>
      </c>
      <c r="AG177" s="24">
        <v>88418</v>
      </c>
      <c r="AH177" s="24">
        <v>64487</v>
      </c>
      <c r="AI177" s="24">
        <v>76152.5</v>
      </c>
      <c r="AJ177" s="32">
        <v>15.614112322927431</v>
      </c>
      <c r="AK177" s="32">
        <v>16.460138603658358</v>
      </c>
      <c r="AL177" s="32">
        <v>0.48561640477527573</v>
      </c>
      <c r="AM177" s="32">
        <v>1.9321518054544309</v>
      </c>
      <c r="AN177" s="32">
        <v>24.772367144643852</v>
      </c>
      <c r="AO177" s="32">
        <v>4.2833571867155298</v>
      </c>
      <c r="AP177" s="19">
        <v>0.90248691729419805</v>
      </c>
      <c r="AQ177" s="19">
        <v>0.95653205770015204</v>
      </c>
      <c r="AR177" s="19">
        <v>0.86127824651089147</v>
      </c>
      <c r="AS177" s="19">
        <v>-0.14802207645163704</v>
      </c>
      <c r="AT177" s="19">
        <v>-6.4114774292965124E-2</v>
      </c>
      <c r="AU177" s="19">
        <v>-0.21544870161854254</v>
      </c>
      <c r="AV177" s="19">
        <v>-0.34571162913773756</v>
      </c>
      <c r="AW177" s="19">
        <v>-0.13193899127611483</v>
      </c>
      <c r="AX177" s="19">
        <v>-0.51919961585433549</v>
      </c>
      <c r="AY177" s="19">
        <v>-1.1080493033607202</v>
      </c>
      <c r="AZ177" s="19">
        <v>-1.0454432676353373</v>
      </c>
      <c r="BA177" s="19">
        <v>-1.1610649683201471</v>
      </c>
      <c r="BB177" s="19">
        <v>-1.270777656495703</v>
      </c>
      <c r="BC177" s="19">
        <v>-1.095765427712164</v>
      </c>
      <c r="BD177" s="19">
        <v>-1.4331599332019052</v>
      </c>
      <c r="BE177" s="14" t="s">
        <v>4857</v>
      </c>
    </row>
    <row r="178" spans="1:57" s="30" customFormat="1" ht="17.100000000000001" customHeight="1">
      <c r="A178" s="14">
        <v>167</v>
      </c>
      <c r="B178" s="14" t="s">
        <v>3860</v>
      </c>
      <c r="C178" s="32">
        <v>1.4244212963389979</v>
      </c>
      <c r="D178" s="32">
        <v>1.6374974461634491</v>
      </c>
      <c r="E178" s="32" t="s">
        <v>5330</v>
      </c>
      <c r="F178" s="40">
        <v>10255</v>
      </c>
      <c r="G178" s="52" t="s">
        <v>2</v>
      </c>
      <c r="H178" s="32">
        <v>11.29592264769877</v>
      </c>
      <c r="I178" s="32">
        <v>15.976471206725339</v>
      </c>
      <c r="J178" s="12" t="s">
        <v>3850</v>
      </c>
      <c r="K178" s="15" t="s">
        <v>3851</v>
      </c>
      <c r="L178" s="14" t="s">
        <v>3861</v>
      </c>
      <c r="M178" s="12" t="s">
        <v>3852</v>
      </c>
      <c r="N178" s="15" t="s">
        <v>3853</v>
      </c>
      <c r="O178" s="12" t="s">
        <v>3854</v>
      </c>
      <c r="P178" s="12" t="s">
        <v>3862</v>
      </c>
      <c r="Q178" s="14">
        <v>2</v>
      </c>
      <c r="R178" s="21">
        <v>398.22719999999998</v>
      </c>
      <c r="S178" s="14">
        <v>1</v>
      </c>
      <c r="T178" s="52" t="s">
        <v>2</v>
      </c>
      <c r="U178" s="53">
        <v>20</v>
      </c>
      <c r="V178" s="40">
        <v>6650</v>
      </c>
      <c r="W178" s="40">
        <v>5300</v>
      </c>
      <c r="X178" s="40">
        <v>6240</v>
      </c>
      <c r="Y178" s="40">
        <v>6920</v>
      </c>
      <c r="Z178" s="40">
        <v>10900</v>
      </c>
      <c r="AA178" s="40">
        <v>9610</v>
      </c>
      <c r="AB178" s="40"/>
      <c r="AC178" s="40"/>
      <c r="AD178" s="40">
        <v>6277.5</v>
      </c>
      <c r="AE178" s="40">
        <v>10255</v>
      </c>
      <c r="AF178" s="40">
        <v>5975</v>
      </c>
      <c r="AG178" s="40">
        <v>6580</v>
      </c>
      <c r="AH178" s="40">
        <v>10255</v>
      </c>
      <c r="AI178" s="40" t="s">
        <v>4854</v>
      </c>
      <c r="AJ178" s="32">
        <v>11.29592264769877</v>
      </c>
      <c r="AK178" s="32">
        <v>8.8948585834290235</v>
      </c>
      <c r="AL178" s="32">
        <v>15.976471206725339</v>
      </c>
      <c r="AM178" s="32">
        <v>7.3074864925053546</v>
      </c>
      <c r="AN178" s="32">
        <v>8.8948585834290235</v>
      </c>
      <c r="AO178" s="32" t="s">
        <v>4854</v>
      </c>
      <c r="AP178" s="19">
        <v>1.6336121067303864</v>
      </c>
      <c r="AQ178" s="19">
        <v>1.7163179916317992</v>
      </c>
      <c r="AR178" s="19" t="s">
        <v>4854</v>
      </c>
      <c r="AS178" s="19">
        <v>0.70806546320835217</v>
      </c>
      <c r="AT178" s="19">
        <v>0.77931687361174118</v>
      </c>
      <c r="AU178" s="19" t="s">
        <v>4854</v>
      </c>
      <c r="AV178" s="19">
        <v>0.51037591052225162</v>
      </c>
      <c r="AW178" s="19">
        <v>0.71149265662859151</v>
      </c>
      <c r="AX178" s="19" t="s">
        <v>4854</v>
      </c>
      <c r="AY178" s="19">
        <v>1.6336121067303864</v>
      </c>
      <c r="AZ178" s="19">
        <v>1.7163179916317992</v>
      </c>
      <c r="BA178" s="19" t="s">
        <v>4854</v>
      </c>
      <c r="BB178" s="19">
        <v>1.4244212963389979</v>
      </c>
      <c r="BC178" s="19">
        <v>1.6374974461634491</v>
      </c>
      <c r="BD178" s="19" t="s">
        <v>4854</v>
      </c>
      <c r="BE178" s="14" t="s">
        <v>4857</v>
      </c>
    </row>
    <row r="179" spans="1:57" s="30" customFormat="1" ht="17.100000000000001" customHeight="1">
      <c r="A179" s="14">
        <v>168</v>
      </c>
      <c r="B179" s="14" t="s">
        <v>3863</v>
      </c>
      <c r="C179" s="32">
        <v>-1.1020567639583998</v>
      </c>
      <c r="D179" s="32">
        <v>1.1069150620524815</v>
      </c>
      <c r="E179" s="32">
        <v>-1.3016742248498672</v>
      </c>
      <c r="F179" s="24">
        <v>330393.5</v>
      </c>
      <c r="G179" s="52" t="s">
        <v>2</v>
      </c>
      <c r="H179" s="32">
        <v>33.860402821287195</v>
      </c>
      <c r="I179" s="32">
        <v>45.57192583542755</v>
      </c>
      <c r="J179" s="12" t="s">
        <v>3850</v>
      </c>
      <c r="K179" s="15" t="s">
        <v>3851</v>
      </c>
      <c r="L179" s="14" t="s">
        <v>5075</v>
      </c>
      <c r="M179" s="12" t="s">
        <v>3852</v>
      </c>
      <c r="N179" s="15" t="s">
        <v>3853</v>
      </c>
      <c r="O179" s="12" t="s">
        <v>3854</v>
      </c>
      <c r="P179" s="12" t="s">
        <v>3864</v>
      </c>
      <c r="Q179" s="14">
        <v>3</v>
      </c>
      <c r="R179" s="21">
        <v>951.14509999999996</v>
      </c>
      <c r="S179" s="14">
        <v>10</v>
      </c>
      <c r="T179" s="52" t="s">
        <v>2</v>
      </c>
      <c r="U179" s="53">
        <v>72.315174999999996</v>
      </c>
      <c r="V179" s="24">
        <v>283103</v>
      </c>
      <c r="W179" s="24">
        <v>227521</v>
      </c>
      <c r="X179" s="24">
        <v>224760</v>
      </c>
      <c r="Y179" s="24">
        <v>436027</v>
      </c>
      <c r="Z179" s="24">
        <v>200760</v>
      </c>
      <c r="AA179" s="24">
        <v>391664</v>
      </c>
      <c r="AB179" s="24">
        <v>286031</v>
      </c>
      <c r="AC179" s="24">
        <v>340579</v>
      </c>
      <c r="AD179" s="24">
        <v>292852.75</v>
      </c>
      <c r="AE179" s="24">
        <v>304758.5</v>
      </c>
      <c r="AF179" s="24">
        <v>255312</v>
      </c>
      <c r="AG179" s="24">
        <v>330393.5</v>
      </c>
      <c r="AH179" s="24">
        <v>296212</v>
      </c>
      <c r="AI179" s="24">
        <v>313305</v>
      </c>
      <c r="AJ179" s="32">
        <v>33.860402821287195</v>
      </c>
      <c r="AK179" s="32">
        <v>26.792987444343126</v>
      </c>
      <c r="AL179" s="32">
        <v>15.393874597320409</v>
      </c>
      <c r="AM179" s="32">
        <v>45.215274616764056</v>
      </c>
      <c r="AN179" s="32">
        <v>45.57192583542755</v>
      </c>
      <c r="AO179" s="32">
        <v>12.311090056067982</v>
      </c>
      <c r="AP179" s="19">
        <v>1.0406543903036594</v>
      </c>
      <c r="AQ179" s="19">
        <v>1.160196152158927</v>
      </c>
      <c r="AR179" s="19">
        <v>0.94827834082692308</v>
      </c>
      <c r="AS179" s="19">
        <v>5.7491017549985618E-2</v>
      </c>
      <c r="AT179" s="19">
        <v>0.21436873968344664</v>
      </c>
      <c r="AU179" s="19">
        <v>-7.6617510456474955E-2</v>
      </c>
      <c r="AV179" s="19">
        <v>-0.14019853513611494</v>
      </c>
      <c r="AW179" s="19">
        <v>0.14654452270029694</v>
      </c>
      <c r="AX179" s="19">
        <v>-0.38036842469226789</v>
      </c>
      <c r="AY179" s="19">
        <v>1.0406543903036594</v>
      </c>
      <c r="AZ179" s="19">
        <v>1.160196152158927</v>
      </c>
      <c r="BA179" s="19">
        <v>-1.0545426980099264</v>
      </c>
      <c r="BB179" s="19">
        <v>-1.1020567639583998</v>
      </c>
      <c r="BC179" s="19">
        <v>1.1069150620524815</v>
      </c>
      <c r="BD179" s="19">
        <v>-1.3016742248498672</v>
      </c>
      <c r="BE179" s="14" t="s">
        <v>4857</v>
      </c>
    </row>
    <row r="180" spans="1:57" s="30" customFormat="1" ht="17.100000000000001" customHeight="1">
      <c r="A180" s="14">
        <v>169</v>
      </c>
      <c r="B180" s="14" t="s">
        <v>3866</v>
      </c>
      <c r="C180" s="32">
        <v>-1.2447457970322604</v>
      </c>
      <c r="D180" s="32">
        <v>-1.4697570122237231</v>
      </c>
      <c r="E180" s="32">
        <v>-1.1086758749727372</v>
      </c>
      <c r="F180" s="24">
        <v>161334</v>
      </c>
      <c r="G180" s="52" t="s">
        <v>2</v>
      </c>
      <c r="H180" s="32">
        <v>32.11342725920808</v>
      </c>
      <c r="I180" s="32">
        <v>16.753978589532874</v>
      </c>
      <c r="J180" s="12" t="s">
        <v>3850</v>
      </c>
      <c r="K180" s="15" t="s">
        <v>3851</v>
      </c>
      <c r="L180" s="14" t="s">
        <v>5013</v>
      </c>
      <c r="M180" s="12" t="s">
        <v>3852</v>
      </c>
      <c r="N180" s="15" t="s">
        <v>3853</v>
      </c>
      <c r="O180" s="12" t="s">
        <v>3854</v>
      </c>
      <c r="P180" s="12" t="s">
        <v>3867</v>
      </c>
      <c r="Q180" s="14">
        <v>2</v>
      </c>
      <c r="R180" s="21">
        <v>920.95910000000003</v>
      </c>
      <c r="S180" s="14">
        <v>7</v>
      </c>
      <c r="T180" s="52" t="s">
        <v>2</v>
      </c>
      <c r="U180" s="53">
        <v>63.851262500000004</v>
      </c>
      <c r="V180" s="24">
        <v>148378</v>
      </c>
      <c r="W180" s="24">
        <v>118845</v>
      </c>
      <c r="X180" s="24">
        <v>152290</v>
      </c>
      <c r="Y180" s="24">
        <v>137526</v>
      </c>
      <c r="Z180" s="24">
        <v>95173</v>
      </c>
      <c r="AA180" s="24">
        <v>95393</v>
      </c>
      <c r="AB180" s="24">
        <v>142221</v>
      </c>
      <c r="AC180" s="24">
        <v>180447</v>
      </c>
      <c r="AD180" s="24">
        <v>139259.75</v>
      </c>
      <c r="AE180" s="24">
        <v>128308.5</v>
      </c>
      <c r="AF180" s="24">
        <v>133611.5</v>
      </c>
      <c r="AG180" s="24">
        <v>144908</v>
      </c>
      <c r="AH180" s="24">
        <v>95283</v>
      </c>
      <c r="AI180" s="24">
        <v>161334</v>
      </c>
      <c r="AJ180" s="32">
        <v>10.752854435240485</v>
      </c>
      <c r="AK180" s="32">
        <v>32.11342725920808</v>
      </c>
      <c r="AL180" s="32">
        <v>15.629631108686235</v>
      </c>
      <c r="AM180" s="32">
        <v>7.2043810676002611</v>
      </c>
      <c r="AN180" s="32">
        <v>0.16326468715409931</v>
      </c>
      <c r="AO180" s="32">
        <v>16.753978589532874</v>
      </c>
      <c r="AP180" s="19">
        <v>0.92136098190611426</v>
      </c>
      <c r="AQ180" s="19">
        <v>0.71313472268479883</v>
      </c>
      <c r="AR180" s="19">
        <v>1.1133546802108925</v>
      </c>
      <c r="AS180" s="19">
        <v>-0.11816159136943671</v>
      </c>
      <c r="AT180" s="19">
        <v>-0.48775344404026044</v>
      </c>
      <c r="AU180" s="19">
        <v>0.15491326371992109</v>
      </c>
      <c r="AV180" s="19">
        <v>-0.31585114405553727</v>
      </c>
      <c r="AW180" s="19">
        <v>-0.55557766102341011</v>
      </c>
      <c r="AX180" s="19">
        <v>-0.14883765051587183</v>
      </c>
      <c r="AY180" s="19">
        <v>-1.0853509315438963</v>
      </c>
      <c r="AZ180" s="19">
        <v>-1.4022595846058583</v>
      </c>
      <c r="BA180" s="19">
        <v>1.1133546802108925</v>
      </c>
      <c r="BB180" s="19">
        <v>-1.2447457970322604</v>
      </c>
      <c r="BC180" s="19">
        <v>-1.4697570122237231</v>
      </c>
      <c r="BD180" s="19">
        <v>-1.1086758749727372</v>
      </c>
      <c r="BE180" s="14" t="s">
        <v>4857</v>
      </c>
    </row>
    <row r="181" spans="1:57" s="30" customFormat="1" ht="17.100000000000001" customHeight="1">
      <c r="A181" s="14">
        <v>170</v>
      </c>
      <c r="B181" s="14" t="s">
        <v>4016</v>
      </c>
      <c r="C181" s="32">
        <v>1.033519460642732</v>
      </c>
      <c r="D181" s="32">
        <v>1.1779159268815478</v>
      </c>
      <c r="E181" s="32">
        <v>-1.0751164509821718</v>
      </c>
      <c r="F181" s="24">
        <v>401576.5</v>
      </c>
      <c r="G181" s="52" t="s">
        <v>2</v>
      </c>
      <c r="H181" s="32">
        <v>22.921953959993424</v>
      </c>
      <c r="I181" s="32">
        <v>29.084383231503686</v>
      </c>
      <c r="J181" s="12" t="s">
        <v>3850</v>
      </c>
      <c r="K181" s="15" t="s">
        <v>3851</v>
      </c>
      <c r="L181" s="14" t="s">
        <v>5213</v>
      </c>
      <c r="M181" s="12" t="s">
        <v>3852</v>
      </c>
      <c r="N181" s="15" t="s">
        <v>3853</v>
      </c>
      <c r="O181" s="12" t="s">
        <v>3854</v>
      </c>
      <c r="P181" s="12" t="s">
        <v>3868</v>
      </c>
      <c r="Q181" s="14">
        <v>2</v>
      </c>
      <c r="R181" s="21">
        <v>492.31599999999997</v>
      </c>
      <c r="S181" s="14">
        <v>7</v>
      </c>
      <c r="T181" s="52" t="s">
        <v>2</v>
      </c>
      <c r="U181" s="53">
        <v>58.907924999999999</v>
      </c>
      <c r="V181" s="24">
        <v>253179</v>
      </c>
      <c r="W181" s="24">
        <v>274465</v>
      </c>
      <c r="X181" s="24">
        <v>312328</v>
      </c>
      <c r="Y181" s="24">
        <v>387217</v>
      </c>
      <c r="Z181" s="24">
        <v>392705</v>
      </c>
      <c r="AA181" s="24">
        <v>258732</v>
      </c>
      <c r="AB181" s="24">
        <v>456873</v>
      </c>
      <c r="AC181" s="24">
        <v>346280</v>
      </c>
      <c r="AD181" s="24">
        <v>306797.25</v>
      </c>
      <c r="AE181" s="24">
        <v>363647.5</v>
      </c>
      <c r="AF181" s="24">
        <v>263822</v>
      </c>
      <c r="AG181" s="24">
        <v>349772.5</v>
      </c>
      <c r="AH181" s="24">
        <v>325718.5</v>
      </c>
      <c r="AI181" s="24">
        <v>401576.5</v>
      </c>
      <c r="AJ181" s="32">
        <v>19.208108466169364</v>
      </c>
      <c r="AK181" s="32">
        <v>22.921953959993424</v>
      </c>
      <c r="AL181" s="32">
        <v>5.7051629296786661</v>
      </c>
      <c r="AM181" s="32">
        <v>15.139703589127034</v>
      </c>
      <c r="AN181" s="32">
        <v>29.084383231503686</v>
      </c>
      <c r="AO181" s="32">
        <v>19.473515071664764</v>
      </c>
      <c r="AP181" s="19">
        <v>1.1853023454414928</v>
      </c>
      <c r="AQ181" s="19">
        <v>1.2346146265284927</v>
      </c>
      <c r="AR181" s="19">
        <v>1.1481076985755025</v>
      </c>
      <c r="AS181" s="19">
        <v>0.24525510691480598</v>
      </c>
      <c r="AT181" s="19">
        <v>0.30406078824020638</v>
      </c>
      <c r="AU181" s="19">
        <v>0.19925798078799595</v>
      </c>
      <c r="AV181" s="19">
        <v>4.7565554228705426E-2</v>
      </c>
      <c r="AW181" s="19">
        <v>0.23623657125705666</v>
      </c>
      <c r="AX181" s="19">
        <v>-0.10449293344779698</v>
      </c>
      <c r="AY181" s="19">
        <v>1.1853023454414928</v>
      </c>
      <c r="AZ181" s="19">
        <v>1.2346146265284927</v>
      </c>
      <c r="BA181" s="19">
        <v>1.1481076985755025</v>
      </c>
      <c r="BB181" s="19">
        <v>1.033519460642732</v>
      </c>
      <c r="BC181" s="19">
        <v>1.1779159268815478</v>
      </c>
      <c r="BD181" s="19">
        <v>-1.0751164509821718</v>
      </c>
      <c r="BE181" s="14" t="s">
        <v>4857</v>
      </c>
    </row>
    <row r="182" spans="1:57" s="30" customFormat="1" ht="17.100000000000001" customHeight="1">
      <c r="A182" s="14">
        <v>171</v>
      </c>
      <c r="B182" s="14" t="s">
        <v>3869</v>
      </c>
      <c r="C182" s="32">
        <v>1.0883820042742749</v>
      </c>
      <c r="D182" s="32">
        <v>1.3205933808156185</v>
      </c>
      <c r="E182" s="32">
        <v>-1.1047458337511267</v>
      </c>
      <c r="F182" s="24">
        <v>145842</v>
      </c>
      <c r="G182" s="52" t="s">
        <v>2</v>
      </c>
      <c r="H182" s="32">
        <v>15.567502711581982</v>
      </c>
      <c r="I182" s="32">
        <v>21.103758587432843</v>
      </c>
      <c r="J182" s="12" t="s">
        <v>3870</v>
      </c>
      <c r="K182" s="12" t="s">
        <v>3871</v>
      </c>
      <c r="L182" s="14" t="s">
        <v>5192</v>
      </c>
      <c r="M182" s="12" t="s">
        <v>3872</v>
      </c>
      <c r="N182" s="15" t="s">
        <v>3873</v>
      </c>
      <c r="O182" s="12" t="s">
        <v>3874</v>
      </c>
      <c r="P182" s="12" t="s">
        <v>3875</v>
      </c>
      <c r="Q182" s="14">
        <v>2</v>
      </c>
      <c r="R182" s="21">
        <v>611.30909999999994</v>
      </c>
      <c r="S182" s="14">
        <v>2</v>
      </c>
      <c r="T182" s="52" t="s">
        <v>2</v>
      </c>
      <c r="U182" s="53">
        <v>44.433275000000002</v>
      </c>
      <c r="V182" s="24">
        <v>100283</v>
      </c>
      <c r="W182" s="24">
        <v>110447</v>
      </c>
      <c r="X182" s="24">
        <v>93087</v>
      </c>
      <c r="Y182" s="24">
        <v>125742</v>
      </c>
      <c r="Z182" s="24">
        <v>157690</v>
      </c>
      <c r="AA182" s="24">
        <v>133994</v>
      </c>
      <c r="AB182" s="24">
        <v>137565</v>
      </c>
      <c r="AC182" s="24">
        <v>106936</v>
      </c>
      <c r="AD182" s="24">
        <v>107389.75</v>
      </c>
      <c r="AE182" s="24">
        <v>134046.25</v>
      </c>
      <c r="AF182" s="24">
        <v>105365</v>
      </c>
      <c r="AG182" s="24">
        <v>109414.5</v>
      </c>
      <c r="AH182" s="24">
        <v>145842</v>
      </c>
      <c r="AI182" s="24">
        <v>122250.5</v>
      </c>
      <c r="AJ182" s="32">
        <v>13.182432806501895</v>
      </c>
      <c r="AK182" s="32">
        <v>15.567502711581982</v>
      </c>
      <c r="AL182" s="32">
        <v>6.8210822606938448</v>
      </c>
      <c r="AM182" s="32">
        <v>21.103758587432843</v>
      </c>
      <c r="AN182" s="32">
        <v>11.488873086625546</v>
      </c>
      <c r="AO182" s="32">
        <v>17.71606136658972</v>
      </c>
      <c r="AP182" s="19">
        <v>1.2482220137396725</v>
      </c>
      <c r="AQ182" s="19">
        <v>1.3841598253689555</v>
      </c>
      <c r="AR182" s="19">
        <v>1.1173153466862253</v>
      </c>
      <c r="AS182" s="19">
        <v>0.31987456051009389</v>
      </c>
      <c r="AT182" s="19">
        <v>0.46901053687239125</v>
      </c>
      <c r="AU182" s="19">
        <v>0.16003642386313954</v>
      </c>
      <c r="AV182" s="19">
        <v>0.12218500782399333</v>
      </c>
      <c r="AW182" s="19">
        <v>0.40118631988924153</v>
      </c>
      <c r="AX182" s="19">
        <v>-0.14371449037265338</v>
      </c>
      <c r="AY182" s="19">
        <v>1.2482220137396725</v>
      </c>
      <c r="AZ182" s="19">
        <v>1.3841598253689555</v>
      </c>
      <c r="BA182" s="19">
        <v>1.1173153466862253</v>
      </c>
      <c r="BB182" s="19">
        <v>1.0883820042742749</v>
      </c>
      <c r="BC182" s="19">
        <v>1.3205933808156185</v>
      </c>
      <c r="BD182" s="19">
        <v>-1.1047458337511267</v>
      </c>
      <c r="BE182" s="14" t="s">
        <v>4857</v>
      </c>
    </row>
    <row r="183" spans="1:57" s="30" customFormat="1" ht="17.100000000000001" customHeight="1">
      <c r="A183" s="14">
        <v>172</v>
      </c>
      <c r="B183" s="14" t="s">
        <v>3876</v>
      </c>
      <c r="C183" s="32">
        <v>1.0284042463561769</v>
      </c>
      <c r="D183" s="32">
        <v>1.1487663335245386</v>
      </c>
      <c r="E183" s="32">
        <v>-1.0663225103482228</v>
      </c>
      <c r="F183" s="24">
        <v>87099.5</v>
      </c>
      <c r="G183" s="52" t="s">
        <v>2</v>
      </c>
      <c r="H183" s="32">
        <v>26.405128767421974</v>
      </c>
      <c r="I183" s="32">
        <v>41.637192891366873</v>
      </c>
      <c r="J183" s="12" t="s">
        <v>3877</v>
      </c>
      <c r="K183" s="15" t="s">
        <v>3878</v>
      </c>
      <c r="L183" s="14" t="s">
        <v>5222</v>
      </c>
      <c r="M183" s="12" t="s">
        <v>3879</v>
      </c>
      <c r="N183" s="15" t="s">
        <v>3880</v>
      </c>
      <c r="O183" s="12" t="s">
        <v>3881</v>
      </c>
      <c r="P183" s="12" t="s">
        <v>3882</v>
      </c>
      <c r="Q183" s="14">
        <v>2</v>
      </c>
      <c r="R183" s="21">
        <v>628.81150000000002</v>
      </c>
      <c r="S183" s="14">
        <v>3</v>
      </c>
      <c r="T183" s="52" t="s">
        <v>2</v>
      </c>
      <c r="U183" s="53">
        <v>41.918975000000003</v>
      </c>
      <c r="V183" s="24">
        <v>67786</v>
      </c>
      <c r="W183" s="24">
        <v>65796</v>
      </c>
      <c r="X183" s="24">
        <v>97396</v>
      </c>
      <c r="Y183" s="24">
        <v>53090</v>
      </c>
      <c r="Z183" s="24">
        <v>82353</v>
      </c>
      <c r="AA183" s="24">
        <v>78488</v>
      </c>
      <c r="AB183" s="24">
        <v>96030</v>
      </c>
      <c r="AC183" s="24">
        <v>78169</v>
      </c>
      <c r="AD183" s="24">
        <v>71017</v>
      </c>
      <c r="AE183" s="24">
        <v>83760</v>
      </c>
      <c r="AF183" s="24">
        <v>66791</v>
      </c>
      <c r="AG183" s="24">
        <v>75243</v>
      </c>
      <c r="AH183" s="24">
        <v>80420.5</v>
      </c>
      <c r="AI183" s="24">
        <v>87099.5</v>
      </c>
      <c r="AJ183" s="32">
        <v>26.405128767421974</v>
      </c>
      <c r="AK183" s="32">
        <v>10.026421946319756</v>
      </c>
      <c r="AL183" s="32">
        <v>2.106784588584135</v>
      </c>
      <c r="AM183" s="32">
        <v>41.637192891366873</v>
      </c>
      <c r="AN183" s="32">
        <v>3.398347074795613</v>
      </c>
      <c r="AO183" s="32">
        <v>14.500237336348572</v>
      </c>
      <c r="AP183" s="19">
        <v>1.1794359097117593</v>
      </c>
      <c r="AQ183" s="19">
        <v>1.2040619245107873</v>
      </c>
      <c r="AR183" s="19">
        <v>1.1575761200377443</v>
      </c>
      <c r="AS183" s="19">
        <v>0.23809702497570442</v>
      </c>
      <c r="AT183" s="19">
        <v>0.26790959133953041</v>
      </c>
      <c r="AU183" s="19">
        <v>0.21110706552885847</v>
      </c>
      <c r="AV183" s="19">
        <v>4.0407472289603868E-2</v>
      </c>
      <c r="AW183" s="19">
        <v>0.20008537435638069</v>
      </c>
      <c r="AX183" s="19">
        <v>-9.2643848706934456E-2</v>
      </c>
      <c r="AY183" s="19">
        <v>1.1794359097117593</v>
      </c>
      <c r="AZ183" s="19">
        <v>1.2040619245107873</v>
      </c>
      <c r="BA183" s="19">
        <v>1.1575761200377443</v>
      </c>
      <c r="BB183" s="19">
        <v>1.0284042463561769</v>
      </c>
      <c r="BC183" s="19">
        <v>1.1487663335245386</v>
      </c>
      <c r="BD183" s="19">
        <v>-1.0663225103482228</v>
      </c>
      <c r="BE183" s="14" t="s">
        <v>4857</v>
      </c>
    </row>
    <row r="184" spans="1:57" s="30" customFormat="1" ht="17.100000000000001" customHeight="1">
      <c r="A184" s="31">
        <v>173</v>
      </c>
      <c r="B184" s="11" t="s">
        <v>3883</v>
      </c>
      <c r="C184" s="57"/>
      <c r="D184" s="57"/>
      <c r="E184" s="57"/>
      <c r="F184" s="27"/>
      <c r="G184" s="54"/>
      <c r="H184" s="57"/>
      <c r="I184" s="57"/>
      <c r="J184" s="13"/>
      <c r="K184" s="13"/>
      <c r="L184" s="13"/>
      <c r="M184" s="13"/>
      <c r="N184" s="13"/>
      <c r="O184" s="13"/>
      <c r="P184" s="13"/>
      <c r="Q184" s="13"/>
      <c r="R184" s="22"/>
      <c r="S184" s="18"/>
      <c r="T184" s="54"/>
      <c r="U184" s="5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57"/>
      <c r="AK184" s="57"/>
      <c r="AL184" s="57"/>
      <c r="AM184" s="57"/>
      <c r="AN184" s="57"/>
      <c r="AO184" s="5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13"/>
    </row>
    <row r="185" spans="1:57" s="30" customFormat="1" ht="17.100000000000001" customHeight="1">
      <c r="A185" s="14">
        <v>174</v>
      </c>
      <c r="B185" s="14" t="s">
        <v>3884</v>
      </c>
      <c r="C185" s="32">
        <v>1.4051237326957176</v>
      </c>
      <c r="D185" s="32">
        <v>1.4303144005615087</v>
      </c>
      <c r="E185" s="32">
        <v>1.3906178895368972</v>
      </c>
      <c r="F185" s="24">
        <v>617356</v>
      </c>
      <c r="G185" s="52" t="s">
        <v>2</v>
      </c>
      <c r="H185" s="32">
        <v>13.8896914624604</v>
      </c>
      <c r="I185" s="32">
        <v>9.9332874599394785</v>
      </c>
      <c r="J185" s="12" t="s">
        <v>3885</v>
      </c>
      <c r="K185" s="12" t="s">
        <v>3886</v>
      </c>
      <c r="L185" s="14" t="s">
        <v>3887</v>
      </c>
      <c r="M185" s="12" t="s">
        <v>3888</v>
      </c>
      <c r="N185" s="15" t="s">
        <v>3889</v>
      </c>
      <c r="O185" s="12" t="s">
        <v>3890</v>
      </c>
      <c r="P185" s="12" t="s">
        <v>3768</v>
      </c>
      <c r="Q185" s="14">
        <v>3</v>
      </c>
      <c r="R185" s="21">
        <v>377.88380000000001</v>
      </c>
      <c r="S185" s="14">
        <v>1</v>
      </c>
      <c r="T185" s="52" t="s">
        <v>2</v>
      </c>
      <c r="U185" s="53">
        <v>24.734325000000005</v>
      </c>
      <c r="V185" s="24">
        <v>344272</v>
      </c>
      <c r="W185" s="24">
        <v>328355</v>
      </c>
      <c r="X185" s="24">
        <v>334396</v>
      </c>
      <c r="Y185" s="24">
        <v>384920</v>
      </c>
      <c r="Z185" s="24">
        <v>533350</v>
      </c>
      <c r="AA185" s="24">
        <v>475027</v>
      </c>
      <c r="AB185" s="24">
        <v>574387</v>
      </c>
      <c r="AC185" s="24">
        <v>660325</v>
      </c>
      <c r="AD185" s="24">
        <v>347985.75</v>
      </c>
      <c r="AE185" s="24">
        <v>560772.25</v>
      </c>
      <c r="AF185" s="24">
        <v>336313.5</v>
      </c>
      <c r="AG185" s="24">
        <v>359658</v>
      </c>
      <c r="AH185" s="24">
        <v>504188.5</v>
      </c>
      <c r="AI185" s="24">
        <v>617356</v>
      </c>
      <c r="AJ185" s="32">
        <v>7.3226787624888834</v>
      </c>
      <c r="AK185" s="32">
        <v>13.8896914624604</v>
      </c>
      <c r="AL185" s="32">
        <v>3.3465854436846207</v>
      </c>
      <c r="AM185" s="32">
        <v>9.9332874599394785</v>
      </c>
      <c r="AN185" s="32">
        <v>8.1795972734687563</v>
      </c>
      <c r="AO185" s="32">
        <v>9.8431606012753612</v>
      </c>
      <c r="AP185" s="19">
        <v>1.6114804988422657</v>
      </c>
      <c r="AQ185" s="19">
        <v>1.4991622399933395</v>
      </c>
      <c r="AR185" s="19">
        <v>1.7165084608155525</v>
      </c>
      <c r="AS185" s="19">
        <v>0.68838672988440464</v>
      </c>
      <c r="AT185" s="19">
        <v>0.58415652082291525</v>
      </c>
      <c r="AU185" s="19">
        <v>0.77947696847871539</v>
      </c>
      <c r="AV185" s="19">
        <v>0.49069717719830408</v>
      </c>
      <c r="AW185" s="19">
        <v>0.51633230383976558</v>
      </c>
      <c r="AX185" s="19">
        <v>0.47572605424292247</v>
      </c>
      <c r="AY185" s="19">
        <v>1.6114804988422657</v>
      </c>
      <c r="AZ185" s="19">
        <v>1.4991622399933395</v>
      </c>
      <c r="BA185" s="19">
        <v>1.7165084608155525</v>
      </c>
      <c r="BB185" s="19">
        <v>1.4051237326957176</v>
      </c>
      <c r="BC185" s="19">
        <v>1.4303144005615087</v>
      </c>
      <c r="BD185" s="19">
        <v>1.3906178895368972</v>
      </c>
      <c r="BE185" s="14" t="s">
        <v>4857</v>
      </c>
    </row>
    <row r="186" spans="1:57" s="30" customFormat="1" ht="17.100000000000001" customHeight="1">
      <c r="A186" s="14">
        <v>175</v>
      </c>
      <c r="B186" s="14" t="s">
        <v>3769</v>
      </c>
      <c r="C186" s="32">
        <v>1.1534841408481582</v>
      </c>
      <c r="D186" s="32">
        <v>-1.0982519826088106</v>
      </c>
      <c r="E186" s="32">
        <v>1.3437523851029272</v>
      </c>
      <c r="F186" s="24">
        <v>191520.5</v>
      </c>
      <c r="G186" s="52" t="s">
        <v>2</v>
      </c>
      <c r="H186" s="32">
        <v>37.021920929666521</v>
      </c>
      <c r="I186" s="32">
        <v>11.129740116002452</v>
      </c>
      <c r="J186" s="12" t="s">
        <v>3770</v>
      </c>
      <c r="K186" s="12" t="s">
        <v>3771</v>
      </c>
      <c r="L186" s="14" t="s">
        <v>3772</v>
      </c>
      <c r="M186" s="12" t="s">
        <v>3773</v>
      </c>
      <c r="N186" s="15" t="s">
        <v>3774</v>
      </c>
      <c r="O186" s="12" t="s">
        <v>3775</v>
      </c>
      <c r="P186" s="12" t="s">
        <v>3776</v>
      </c>
      <c r="Q186" s="14">
        <v>4</v>
      </c>
      <c r="R186" s="21">
        <v>632.0806</v>
      </c>
      <c r="S186" s="14">
        <v>1</v>
      </c>
      <c r="T186" s="52" t="s">
        <v>2</v>
      </c>
      <c r="U186" s="53">
        <v>59.1779875</v>
      </c>
      <c r="V186" s="24">
        <v>108835</v>
      </c>
      <c r="W186" s="24">
        <v>101580</v>
      </c>
      <c r="X186" s="24">
        <v>117331</v>
      </c>
      <c r="Y186" s="24">
        <v>113603</v>
      </c>
      <c r="Z186" s="24">
        <v>98931</v>
      </c>
      <c r="AA186" s="24">
        <v>101882</v>
      </c>
      <c r="AB186" s="24">
        <v>206593</v>
      </c>
      <c r="AC186" s="24">
        <v>176448</v>
      </c>
      <c r="AD186" s="24">
        <v>110337.25</v>
      </c>
      <c r="AE186" s="24">
        <v>145963.5</v>
      </c>
      <c r="AF186" s="24">
        <v>105207.5</v>
      </c>
      <c r="AG186" s="24">
        <v>115467</v>
      </c>
      <c r="AH186" s="24">
        <v>100406.5</v>
      </c>
      <c r="AI186" s="24">
        <v>191520.5</v>
      </c>
      <c r="AJ186" s="32">
        <v>6.1585643764960878</v>
      </c>
      <c r="AK186" s="32">
        <v>37.021920929666521</v>
      </c>
      <c r="AL186" s="32">
        <v>4.8761349689978406</v>
      </c>
      <c r="AM186" s="32">
        <v>2.2829848184013173</v>
      </c>
      <c r="AN186" s="32">
        <v>2.0782241301922704</v>
      </c>
      <c r="AO186" s="32">
        <v>11.129740116002452</v>
      </c>
      <c r="AP186" s="19">
        <v>1.322885063747737</v>
      </c>
      <c r="AQ186" s="19">
        <v>0.95436637121878198</v>
      </c>
      <c r="AR186" s="19">
        <v>1.6586600500575923</v>
      </c>
      <c r="AS186" s="19">
        <v>0.40368772135632336</v>
      </c>
      <c r="AT186" s="19">
        <v>-6.7384886861198576E-2</v>
      </c>
      <c r="AU186" s="19">
        <v>0.73001822966206675</v>
      </c>
      <c r="AV186" s="19">
        <v>0.2059981686702228</v>
      </c>
      <c r="AW186" s="19">
        <v>-0.13520910384434828</v>
      </c>
      <c r="AX186" s="19">
        <v>0.42626731542627383</v>
      </c>
      <c r="AY186" s="19">
        <v>1.322885063747737</v>
      </c>
      <c r="AZ186" s="19">
        <v>-1.0478156294662198</v>
      </c>
      <c r="BA186" s="19">
        <v>1.6586600500575923</v>
      </c>
      <c r="BB186" s="19">
        <v>1.1534841408481582</v>
      </c>
      <c r="BC186" s="19">
        <v>-1.0982519826088106</v>
      </c>
      <c r="BD186" s="19">
        <v>1.3437523851029272</v>
      </c>
      <c r="BE186" s="14" t="s">
        <v>4857</v>
      </c>
    </row>
    <row r="187" spans="1:57" s="30" customFormat="1" ht="17.100000000000001" customHeight="1">
      <c r="A187" s="14">
        <v>176</v>
      </c>
      <c r="B187" s="14" t="s">
        <v>4819</v>
      </c>
      <c r="C187" s="32">
        <v>1.1584023758221613</v>
      </c>
      <c r="D187" s="32">
        <v>1.0649175646248434</v>
      </c>
      <c r="E187" s="32">
        <v>1.2619901738818686</v>
      </c>
      <c r="F187" s="24">
        <v>365389</v>
      </c>
      <c r="G187" s="52" t="s">
        <v>2</v>
      </c>
      <c r="H187" s="32">
        <v>17.976780598671599</v>
      </c>
      <c r="I187" s="32">
        <v>15.98363895275444</v>
      </c>
      <c r="J187" s="12" t="s">
        <v>3777</v>
      </c>
      <c r="K187" s="15" t="s">
        <v>3778</v>
      </c>
      <c r="L187" s="14" t="s">
        <v>5284</v>
      </c>
      <c r="M187" s="12" t="s">
        <v>3779</v>
      </c>
      <c r="N187" s="15" t="s">
        <v>3780</v>
      </c>
      <c r="O187" s="12" t="s">
        <v>3781</v>
      </c>
      <c r="P187" s="12" t="s">
        <v>3782</v>
      </c>
      <c r="Q187" s="14">
        <v>2</v>
      </c>
      <c r="R187" s="21">
        <v>669.3768</v>
      </c>
      <c r="S187" s="14">
        <v>3</v>
      </c>
      <c r="T187" s="52" t="s">
        <v>2</v>
      </c>
      <c r="U187" s="53">
        <v>67.262824999999992</v>
      </c>
      <c r="V187" s="24">
        <v>224575</v>
      </c>
      <c r="W187" s="24">
        <v>281807</v>
      </c>
      <c r="X187" s="24">
        <v>245476</v>
      </c>
      <c r="Y187" s="24">
        <v>223652</v>
      </c>
      <c r="Z187" s="24">
        <v>284578</v>
      </c>
      <c r="AA187" s="24">
        <v>280634</v>
      </c>
      <c r="AB187" s="24">
        <v>324668</v>
      </c>
      <c r="AC187" s="24">
        <v>406110</v>
      </c>
      <c r="AD187" s="24">
        <v>243877.5</v>
      </c>
      <c r="AE187" s="24">
        <v>323997.5</v>
      </c>
      <c r="AF187" s="24">
        <v>253191</v>
      </c>
      <c r="AG187" s="24">
        <v>234564</v>
      </c>
      <c r="AH187" s="24">
        <v>282606</v>
      </c>
      <c r="AI187" s="24">
        <v>365389</v>
      </c>
      <c r="AJ187" s="32">
        <v>11.161527860855401</v>
      </c>
      <c r="AK187" s="32">
        <v>17.976780598671599</v>
      </c>
      <c r="AL187" s="32">
        <v>15.98363895275444</v>
      </c>
      <c r="AM187" s="32">
        <v>6.5789713650070816</v>
      </c>
      <c r="AN187" s="32">
        <v>0.98682587949291356</v>
      </c>
      <c r="AO187" s="32">
        <v>15.760789315878366</v>
      </c>
      <c r="AP187" s="19">
        <v>1.3285255917417556</v>
      </c>
      <c r="AQ187" s="19">
        <v>1.1161771153003068</v>
      </c>
      <c r="AR187" s="19">
        <v>1.5577369076243583</v>
      </c>
      <c r="AS187" s="19">
        <v>0.40982601911431032</v>
      </c>
      <c r="AT187" s="19">
        <v>0.15856597258922051</v>
      </c>
      <c r="AU187" s="19">
        <v>0.63945159147615327</v>
      </c>
      <c r="AV187" s="19">
        <v>0.21213646642820977</v>
      </c>
      <c r="AW187" s="19">
        <v>9.0741755606070798E-2</v>
      </c>
      <c r="AX187" s="19">
        <v>0.33570067724036035</v>
      </c>
      <c r="AY187" s="19">
        <v>1.3285255917417556</v>
      </c>
      <c r="AZ187" s="19">
        <v>1.1161771153003068</v>
      </c>
      <c r="BA187" s="19">
        <v>1.5577369076243583</v>
      </c>
      <c r="BB187" s="19">
        <v>1.1584023758221613</v>
      </c>
      <c r="BC187" s="19">
        <v>1.0649175646248434</v>
      </c>
      <c r="BD187" s="19">
        <v>1.2619901738818686</v>
      </c>
      <c r="BE187" s="14" t="s">
        <v>4857</v>
      </c>
    </row>
    <row r="188" spans="1:57" s="30" customFormat="1" ht="17.100000000000001" customHeight="1">
      <c r="A188" s="14">
        <v>177</v>
      </c>
      <c r="B188" s="14" t="s">
        <v>3783</v>
      </c>
      <c r="C188" s="32">
        <v>-1.2209050722315467</v>
      </c>
      <c r="D188" s="32">
        <v>1.2994182233523326</v>
      </c>
      <c r="E188" s="32">
        <v>-1.898019855784955</v>
      </c>
      <c r="F188" s="24">
        <v>5382615</v>
      </c>
      <c r="G188" s="52" t="s">
        <v>2</v>
      </c>
      <c r="H188" s="32">
        <v>46.133331358090757</v>
      </c>
      <c r="I188" s="32">
        <v>56.053426633386309</v>
      </c>
      <c r="J188" s="12" t="s">
        <v>3784</v>
      </c>
      <c r="K188" s="15" t="s">
        <v>3785</v>
      </c>
      <c r="L188" s="14" t="s">
        <v>4959</v>
      </c>
      <c r="M188" s="12" t="s">
        <v>3786</v>
      </c>
      <c r="N188" s="15" t="s">
        <v>3787</v>
      </c>
      <c r="O188" s="12" t="s">
        <v>3788</v>
      </c>
      <c r="P188" s="12" t="s">
        <v>3790</v>
      </c>
      <c r="Q188" s="14">
        <v>2</v>
      </c>
      <c r="R188" s="21">
        <v>530.27509999999995</v>
      </c>
      <c r="S188" s="14">
        <v>6</v>
      </c>
      <c r="T188" s="52" t="s">
        <v>2</v>
      </c>
      <c r="U188" s="53">
        <v>21.603187500000001</v>
      </c>
      <c r="V188" s="24">
        <v>5140090</v>
      </c>
      <c r="W188" s="24">
        <v>2222050</v>
      </c>
      <c r="X188" s="24">
        <v>5119590</v>
      </c>
      <c r="Y188" s="24">
        <v>5645640</v>
      </c>
      <c r="Z188" s="24">
        <v>6873810</v>
      </c>
      <c r="AA188" s="24">
        <v>3153170</v>
      </c>
      <c r="AB188" s="24">
        <v>2414240</v>
      </c>
      <c r="AC188" s="24">
        <v>4586770</v>
      </c>
      <c r="AD188" s="24">
        <v>4531842.5</v>
      </c>
      <c r="AE188" s="24">
        <v>4256997.5</v>
      </c>
      <c r="AF188" s="24">
        <v>3681070</v>
      </c>
      <c r="AG188" s="24">
        <v>5382615</v>
      </c>
      <c r="AH188" s="24">
        <v>5013490</v>
      </c>
      <c r="AI188" s="24">
        <v>3500505</v>
      </c>
      <c r="AJ188" s="32">
        <v>34.400206112200664</v>
      </c>
      <c r="AK188" s="32">
        <v>46.133331358090757</v>
      </c>
      <c r="AL188" s="32">
        <v>56.053426633386309</v>
      </c>
      <c r="AM188" s="32">
        <v>6.9106470041640238</v>
      </c>
      <c r="AN188" s="32">
        <v>52.476214659925844</v>
      </c>
      <c r="AO188" s="32">
        <v>43.885402115729306</v>
      </c>
      <c r="AP188" s="19">
        <v>0.93935248190995169</v>
      </c>
      <c r="AQ188" s="19">
        <v>1.36196540679748</v>
      </c>
      <c r="AR188" s="19">
        <v>0.6503353853099284</v>
      </c>
      <c r="AS188" s="19">
        <v>-9.0261479625465615E-2</v>
      </c>
      <c r="AT188" s="19">
        <v>0.44569006012272272</v>
      </c>
      <c r="AU188" s="19">
        <v>-0.62074417069048449</v>
      </c>
      <c r="AV188" s="19">
        <v>-0.28795103231156616</v>
      </c>
      <c r="AW188" s="19">
        <v>0.377865843139573</v>
      </c>
      <c r="AX188" s="19">
        <v>-0.92449508492627741</v>
      </c>
      <c r="AY188" s="19">
        <v>-1.0645631105021791</v>
      </c>
      <c r="AZ188" s="19">
        <v>1.36196540679748</v>
      </c>
      <c r="BA188" s="19">
        <v>-1.5376681364545972</v>
      </c>
      <c r="BB188" s="19">
        <v>-1.2209050722315467</v>
      </c>
      <c r="BC188" s="19">
        <v>1.2994182233523326</v>
      </c>
      <c r="BD188" s="19">
        <v>-1.898019855784955</v>
      </c>
      <c r="BE188" s="14" t="s">
        <v>4857</v>
      </c>
    </row>
    <row r="189" spans="1:57" s="30" customFormat="1" ht="17.100000000000001" customHeight="1">
      <c r="A189" s="14">
        <v>178</v>
      </c>
      <c r="B189" s="14" t="s">
        <v>3791</v>
      </c>
      <c r="C189" s="32">
        <v>-1.3554771377586832</v>
      </c>
      <c r="D189" s="32">
        <v>-1.382776467548241</v>
      </c>
      <c r="E189" s="32">
        <v>-1.2829286576906636</v>
      </c>
      <c r="F189" s="24">
        <v>17321600</v>
      </c>
      <c r="G189" s="52" t="s">
        <v>2</v>
      </c>
      <c r="H189" s="32">
        <v>22.903325554181553</v>
      </c>
      <c r="I189" s="32">
        <v>34.833793928245214</v>
      </c>
      <c r="J189" s="12" t="s">
        <v>3784</v>
      </c>
      <c r="K189" s="15" t="s">
        <v>3785</v>
      </c>
      <c r="L189" s="14" t="s">
        <v>5047</v>
      </c>
      <c r="M189" s="12" t="s">
        <v>3786</v>
      </c>
      <c r="N189" s="15" t="s">
        <v>3787</v>
      </c>
      <c r="O189" s="12" t="s">
        <v>3788</v>
      </c>
      <c r="P189" s="12" t="s">
        <v>3792</v>
      </c>
      <c r="Q189" s="14">
        <v>2</v>
      </c>
      <c r="R189" s="21">
        <v>650.84640000000002</v>
      </c>
      <c r="S189" s="14">
        <v>13</v>
      </c>
      <c r="T189" s="52" t="s">
        <v>2</v>
      </c>
      <c r="U189" s="53">
        <v>23.2013</v>
      </c>
      <c r="V189" s="24">
        <v>16543500</v>
      </c>
      <c r="W189" s="24">
        <v>18099700</v>
      </c>
      <c r="X189" s="24">
        <v>15864900</v>
      </c>
      <c r="Y189" s="24">
        <v>10436900</v>
      </c>
      <c r="Z189" s="24">
        <v>14932300</v>
      </c>
      <c r="AA189" s="24">
        <v>11327000</v>
      </c>
      <c r="AB189" s="24">
        <v>9536360</v>
      </c>
      <c r="AC189" s="24">
        <v>15769500</v>
      </c>
      <c r="AD189" s="24">
        <v>15236250</v>
      </c>
      <c r="AE189" s="24">
        <v>12891290</v>
      </c>
      <c r="AF189" s="24">
        <v>17321600</v>
      </c>
      <c r="AG189" s="24">
        <v>13150900</v>
      </c>
      <c r="AH189" s="24">
        <v>13129650</v>
      </c>
      <c r="AI189" s="24">
        <v>12652930</v>
      </c>
      <c r="AJ189" s="32">
        <v>21.878921299743265</v>
      </c>
      <c r="AK189" s="32">
        <v>22.903325554181553</v>
      </c>
      <c r="AL189" s="32">
        <v>6.3527594037646944</v>
      </c>
      <c r="AM189" s="32">
        <v>29.18564971432054</v>
      </c>
      <c r="AN189" s="32">
        <v>19.416603475430495</v>
      </c>
      <c r="AO189" s="32">
        <v>34.833793928245214</v>
      </c>
      <c r="AP189" s="19">
        <v>0.84609336286815984</v>
      </c>
      <c r="AQ189" s="19">
        <v>0.75799291058562723</v>
      </c>
      <c r="AR189" s="19">
        <v>0.96213415051441342</v>
      </c>
      <c r="AS189" s="19">
        <v>-0.24111122738710683</v>
      </c>
      <c r="AT189" s="19">
        <v>-0.39974373977699562</v>
      </c>
      <c r="AU189" s="19">
        <v>-5.5690031673008282E-2</v>
      </c>
      <c r="AV189" s="19">
        <v>-0.43880078007320739</v>
      </c>
      <c r="AW189" s="19">
        <v>-0.46756795676014534</v>
      </c>
      <c r="AX189" s="19">
        <v>-0.35944094590880121</v>
      </c>
      <c r="AY189" s="19">
        <v>-1.1819026645122404</v>
      </c>
      <c r="AZ189" s="19">
        <v>-1.3192735526080284</v>
      </c>
      <c r="BA189" s="19">
        <v>-1.0393561017092485</v>
      </c>
      <c r="BB189" s="19">
        <v>-1.3554771377586832</v>
      </c>
      <c r="BC189" s="19">
        <v>-1.382776467548241</v>
      </c>
      <c r="BD189" s="19">
        <v>-1.2829286576906636</v>
      </c>
      <c r="BE189" s="14" t="s">
        <v>4857</v>
      </c>
    </row>
    <row r="190" spans="1:57" s="30" customFormat="1" ht="17.100000000000001" customHeight="1">
      <c r="A190" s="14">
        <v>179</v>
      </c>
      <c r="B190" s="14" t="s">
        <v>3794</v>
      </c>
      <c r="C190" s="32">
        <v>-1.2118026490085216</v>
      </c>
      <c r="D190" s="32">
        <v>-1.7230919939743565</v>
      </c>
      <c r="E190" s="32">
        <v>1.1404396968586241</v>
      </c>
      <c r="F190" s="24">
        <v>26358.5</v>
      </c>
      <c r="G190" s="52" t="s">
        <v>2</v>
      </c>
      <c r="H190" s="32">
        <v>29.913966337654962</v>
      </c>
      <c r="I190" s="32">
        <v>19.644699951384499</v>
      </c>
      <c r="J190" s="12" t="s">
        <v>3795</v>
      </c>
      <c r="K190" s="12" t="s">
        <v>3796</v>
      </c>
      <c r="L190" s="14" t="s">
        <v>4974</v>
      </c>
      <c r="M190" s="12" t="s">
        <v>3786</v>
      </c>
      <c r="N190" s="15" t="s">
        <v>3797</v>
      </c>
      <c r="O190" s="12" t="s">
        <v>3788</v>
      </c>
      <c r="P190" s="12" t="s">
        <v>3798</v>
      </c>
      <c r="Q190" s="14">
        <v>2</v>
      </c>
      <c r="R190" s="21">
        <v>771.41769999999997</v>
      </c>
      <c r="S190" s="14">
        <v>11</v>
      </c>
      <c r="T190" s="52" t="s">
        <v>2</v>
      </c>
      <c r="U190" s="53">
        <v>27.143025000000002</v>
      </c>
      <c r="V190" s="24">
        <v>29094</v>
      </c>
      <c r="W190" s="24">
        <v>21997</v>
      </c>
      <c r="X190" s="24">
        <v>20439</v>
      </c>
      <c r="Y190" s="24">
        <v>17010</v>
      </c>
      <c r="Z190" s="24">
        <v>16012</v>
      </c>
      <c r="AA190" s="24">
        <v>15066</v>
      </c>
      <c r="AB190" s="24">
        <v>26747</v>
      </c>
      <c r="AC190" s="24">
        <v>25970</v>
      </c>
      <c r="AD190" s="24">
        <v>22135</v>
      </c>
      <c r="AE190" s="24">
        <v>20948.75</v>
      </c>
      <c r="AF190" s="24">
        <v>25545.5</v>
      </c>
      <c r="AG190" s="24">
        <v>18724.5</v>
      </c>
      <c r="AH190" s="24">
        <v>15539</v>
      </c>
      <c r="AI190" s="24">
        <v>26358.5</v>
      </c>
      <c r="AJ190" s="32">
        <v>22.975198310997346</v>
      </c>
      <c r="AK190" s="32">
        <v>29.913966337654962</v>
      </c>
      <c r="AL190" s="32">
        <v>19.644699951384499</v>
      </c>
      <c r="AM190" s="32">
        <v>12.949179698729854</v>
      </c>
      <c r="AN190" s="32">
        <v>4.3048009202810604</v>
      </c>
      <c r="AO190" s="32">
        <v>2.0844204677123033</v>
      </c>
      <c r="AP190" s="19">
        <v>0.94640840298170315</v>
      </c>
      <c r="AQ190" s="19">
        <v>0.60828717386623865</v>
      </c>
      <c r="AR190" s="19">
        <v>1.4077011402173623</v>
      </c>
      <c r="AS190" s="19">
        <v>-7.9465211735640459E-2</v>
      </c>
      <c r="AT190" s="19">
        <v>-0.71717551052728323</v>
      </c>
      <c r="AU190" s="19">
        <v>0.49334107737589056</v>
      </c>
      <c r="AV190" s="19">
        <v>-0.27715476442174103</v>
      </c>
      <c r="AW190" s="19">
        <v>-0.7849997275104329</v>
      </c>
      <c r="AX190" s="19">
        <v>0.18959016314009763</v>
      </c>
      <c r="AY190" s="19">
        <v>-1.0566262903514529</v>
      </c>
      <c r="AZ190" s="19">
        <v>-1.6439603578093829</v>
      </c>
      <c r="BA190" s="19">
        <v>1.4077011402173623</v>
      </c>
      <c r="BB190" s="19">
        <v>-1.2118026490085216</v>
      </c>
      <c r="BC190" s="19">
        <v>-1.7230919939743565</v>
      </c>
      <c r="BD190" s="19">
        <v>1.1404396968586241</v>
      </c>
      <c r="BE190" s="14" t="s">
        <v>4857</v>
      </c>
    </row>
    <row r="191" spans="1:57" s="30" customFormat="1" ht="17.100000000000001" customHeight="1">
      <c r="A191" s="14">
        <v>180</v>
      </c>
      <c r="B191" s="14" t="s">
        <v>3800</v>
      </c>
      <c r="C191" s="32">
        <v>1.2932915757914127</v>
      </c>
      <c r="D191" s="32">
        <v>1.3298849372665276</v>
      </c>
      <c r="E191" s="32">
        <v>1.2654537023331676</v>
      </c>
      <c r="F191" s="24">
        <v>2026000</v>
      </c>
      <c r="G191" s="52" t="s">
        <v>2</v>
      </c>
      <c r="H191" s="32">
        <v>24.2344263216809</v>
      </c>
      <c r="I191" s="32">
        <v>40.103882888978568</v>
      </c>
      <c r="J191" s="12" t="s">
        <v>3784</v>
      </c>
      <c r="K191" s="15" t="s">
        <v>3785</v>
      </c>
      <c r="L191" s="14" t="s">
        <v>5316</v>
      </c>
      <c r="M191" s="12" t="s">
        <v>3786</v>
      </c>
      <c r="N191" s="15" t="s">
        <v>3787</v>
      </c>
      <c r="O191" s="12" t="s">
        <v>3788</v>
      </c>
      <c r="P191" s="12" t="s">
        <v>3801</v>
      </c>
      <c r="Q191" s="14">
        <v>2</v>
      </c>
      <c r="R191" s="21">
        <v>473.25360000000001</v>
      </c>
      <c r="S191" s="14">
        <v>3</v>
      </c>
      <c r="T191" s="52" t="s">
        <v>2</v>
      </c>
      <c r="U191" s="53">
        <v>21.411749999999998</v>
      </c>
      <c r="V191" s="24">
        <v>1468440</v>
      </c>
      <c r="W191" s="24">
        <v>819603</v>
      </c>
      <c r="X191" s="24">
        <v>1177540</v>
      </c>
      <c r="Y191" s="24">
        <v>1416550</v>
      </c>
      <c r="Z191" s="24">
        <v>1774570</v>
      </c>
      <c r="AA191" s="24">
        <v>1414730</v>
      </c>
      <c r="AB191" s="24">
        <v>1650720</v>
      </c>
      <c r="AC191" s="24">
        <v>2401280</v>
      </c>
      <c r="AD191" s="24">
        <v>1220533.25</v>
      </c>
      <c r="AE191" s="24">
        <v>1810325</v>
      </c>
      <c r="AF191" s="24">
        <v>1144021.5</v>
      </c>
      <c r="AG191" s="24">
        <v>1297045</v>
      </c>
      <c r="AH191" s="24">
        <v>1594650</v>
      </c>
      <c r="AI191" s="24">
        <v>2026000</v>
      </c>
      <c r="AJ191" s="32">
        <v>24.2344263216809</v>
      </c>
      <c r="AK191" s="32">
        <v>23.271940331794621</v>
      </c>
      <c r="AL191" s="32">
        <v>40.103882888978568</v>
      </c>
      <c r="AM191" s="32">
        <v>13.030048438673811</v>
      </c>
      <c r="AN191" s="32">
        <v>15.956185002487523</v>
      </c>
      <c r="AO191" s="32">
        <v>26.19575842484576</v>
      </c>
      <c r="AP191" s="19">
        <v>1.4832246479151634</v>
      </c>
      <c r="AQ191" s="19">
        <v>1.393898628653395</v>
      </c>
      <c r="AR191" s="19">
        <v>1.562012112147227</v>
      </c>
      <c r="AS191" s="19">
        <v>0.5687371236779647</v>
      </c>
      <c r="AT191" s="19">
        <v>0.47912564495321508</v>
      </c>
      <c r="AU191" s="19">
        <v>0.64340564046260029</v>
      </c>
      <c r="AV191" s="19">
        <v>0.37104757099186414</v>
      </c>
      <c r="AW191" s="19">
        <v>0.41130142797006536</v>
      </c>
      <c r="AX191" s="19">
        <v>0.33965472622680737</v>
      </c>
      <c r="AY191" s="19">
        <v>1.4832246479151634</v>
      </c>
      <c r="AZ191" s="19">
        <v>1.393898628653395</v>
      </c>
      <c r="BA191" s="19">
        <v>1.562012112147227</v>
      </c>
      <c r="BB191" s="19">
        <v>1.2932915757914127</v>
      </c>
      <c r="BC191" s="19">
        <v>1.3298849372665276</v>
      </c>
      <c r="BD191" s="19">
        <v>1.2654537023331676</v>
      </c>
      <c r="BE191" s="14" t="s">
        <v>4857</v>
      </c>
    </row>
    <row r="192" spans="1:57" s="30" customFormat="1" ht="17.100000000000001" customHeight="1">
      <c r="A192" s="14">
        <v>181</v>
      </c>
      <c r="B192" s="14" t="s">
        <v>4437</v>
      </c>
      <c r="C192" s="32">
        <v>-1.1942042169689362</v>
      </c>
      <c r="D192" s="32">
        <v>-1.0020365577485948</v>
      </c>
      <c r="E192" s="32">
        <v>-1.4587997895574085</v>
      </c>
      <c r="F192" s="24">
        <v>83945</v>
      </c>
      <c r="G192" s="52" t="s">
        <v>2</v>
      </c>
      <c r="H192" s="32">
        <v>36.71056196658418</v>
      </c>
      <c r="I192" s="32">
        <v>31.646913775899211</v>
      </c>
      <c r="J192" s="12" t="s">
        <v>3795</v>
      </c>
      <c r="K192" s="12" t="s">
        <v>3796</v>
      </c>
      <c r="L192" s="14" t="s">
        <v>4977</v>
      </c>
      <c r="M192" s="12" t="s">
        <v>3786</v>
      </c>
      <c r="N192" s="15" t="s">
        <v>3797</v>
      </c>
      <c r="O192" s="12" t="s">
        <v>3788</v>
      </c>
      <c r="P192" s="12" t="s">
        <v>3802</v>
      </c>
      <c r="Q192" s="14">
        <v>2</v>
      </c>
      <c r="R192" s="21">
        <v>593.82489999999996</v>
      </c>
      <c r="S192" s="14">
        <v>7</v>
      </c>
      <c r="T192" s="52" t="s">
        <v>2</v>
      </c>
      <c r="U192" s="53">
        <v>23.282712500000002</v>
      </c>
      <c r="V192" s="24">
        <v>81263</v>
      </c>
      <c r="W192" s="24">
        <v>79243</v>
      </c>
      <c r="X192" s="24">
        <v>68708</v>
      </c>
      <c r="Y192" s="24">
        <v>51655</v>
      </c>
      <c r="Z192" s="24">
        <v>102730</v>
      </c>
      <c r="AA192" s="24">
        <v>65160</v>
      </c>
      <c r="AB192" s="24">
        <v>46329</v>
      </c>
      <c r="AC192" s="24">
        <v>55515</v>
      </c>
      <c r="AD192" s="24">
        <v>70217.25</v>
      </c>
      <c r="AE192" s="24">
        <v>67433.5</v>
      </c>
      <c r="AF192" s="24">
        <v>80253</v>
      </c>
      <c r="AG192" s="24">
        <v>60181.5</v>
      </c>
      <c r="AH192" s="24">
        <v>83945</v>
      </c>
      <c r="AI192" s="24">
        <v>50922</v>
      </c>
      <c r="AJ192" s="32">
        <v>19.288495646633439</v>
      </c>
      <c r="AK192" s="32">
        <v>36.71056196658418</v>
      </c>
      <c r="AL192" s="32">
        <v>1.7798159545398002</v>
      </c>
      <c r="AM192" s="32">
        <v>20.036542690983435</v>
      </c>
      <c r="AN192" s="32">
        <v>31.646913775899211</v>
      </c>
      <c r="AO192" s="32">
        <v>12.755749758414096</v>
      </c>
      <c r="AP192" s="19">
        <v>0.96035518337730397</v>
      </c>
      <c r="AQ192" s="19">
        <v>1.0460045107348013</v>
      </c>
      <c r="AR192" s="19">
        <v>0.84614042521372845</v>
      </c>
      <c r="AS192" s="19">
        <v>-5.8360015588033255E-2</v>
      </c>
      <c r="AT192" s="19">
        <v>6.488907300043463E-2</v>
      </c>
      <c r="AU192" s="19">
        <v>-0.24103098243152193</v>
      </c>
      <c r="AV192" s="19">
        <v>-0.25604956827413383</v>
      </c>
      <c r="AW192" s="19">
        <v>-2.9351439827150771E-3</v>
      </c>
      <c r="AX192" s="19">
        <v>-0.5447818966673148</v>
      </c>
      <c r="AY192" s="19">
        <v>-1.0412814105748627</v>
      </c>
      <c r="AZ192" s="19">
        <v>1.0460045107348013</v>
      </c>
      <c r="BA192" s="19">
        <v>-1.1818369270649229</v>
      </c>
      <c r="BB192" s="19">
        <v>-1.1942042169689362</v>
      </c>
      <c r="BC192" s="19">
        <v>-1.0020365577485948</v>
      </c>
      <c r="BD192" s="19">
        <v>-1.4587997895574085</v>
      </c>
      <c r="BE192" s="14" t="s">
        <v>4857</v>
      </c>
    </row>
    <row r="193" spans="1:57" s="30" customFormat="1" ht="17.100000000000001" customHeight="1">
      <c r="A193" s="14">
        <v>182</v>
      </c>
      <c r="B193" s="14" t="s">
        <v>3803</v>
      </c>
      <c r="C193" s="32">
        <v>-1.002942228038431</v>
      </c>
      <c r="D193" s="32">
        <v>-1.0316546019323183</v>
      </c>
      <c r="E193" s="32">
        <v>1.0291968133876883</v>
      </c>
      <c r="F193" s="33">
        <v>324115.5</v>
      </c>
      <c r="G193" s="52" t="s">
        <v>2</v>
      </c>
      <c r="H193" s="32">
        <v>17.604865705753109</v>
      </c>
      <c r="I193" s="32">
        <v>19.69149102236171</v>
      </c>
      <c r="J193" s="12" t="s">
        <v>3804</v>
      </c>
      <c r="K193" s="12" t="s">
        <v>3805</v>
      </c>
      <c r="L193" s="14" t="s">
        <v>4228</v>
      </c>
      <c r="M193" s="12" t="s">
        <v>3806</v>
      </c>
      <c r="N193" s="15" t="s">
        <v>3807</v>
      </c>
      <c r="O193" s="12" t="s">
        <v>3808</v>
      </c>
      <c r="P193" s="12" t="s">
        <v>3809</v>
      </c>
      <c r="Q193" s="14">
        <v>3</v>
      </c>
      <c r="R193" s="21">
        <v>958.1037</v>
      </c>
      <c r="S193" s="14">
        <v>10</v>
      </c>
      <c r="T193" s="52" t="s">
        <v>2</v>
      </c>
      <c r="U193" s="53">
        <v>54.421200000000006</v>
      </c>
      <c r="V193" s="33">
        <v>266257</v>
      </c>
      <c r="W193" s="33">
        <v>241490</v>
      </c>
      <c r="X193" s="33">
        <v>248851</v>
      </c>
      <c r="Y193" s="33">
        <v>261411</v>
      </c>
      <c r="Z193" s="33">
        <v>222015</v>
      </c>
      <c r="AA193" s="33">
        <v>293843</v>
      </c>
      <c r="AB193" s="33">
        <v>345499</v>
      </c>
      <c r="AC193" s="33">
        <v>302732</v>
      </c>
      <c r="AD193" s="33">
        <v>254502.25</v>
      </c>
      <c r="AE193" s="33">
        <v>291022.25</v>
      </c>
      <c r="AF193" s="33">
        <v>253873.5</v>
      </c>
      <c r="AG193" s="33">
        <v>255131</v>
      </c>
      <c r="AH193" s="33">
        <v>257929</v>
      </c>
      <c r="AI193" s="33">
        <v>324115.5</v>
      </c>
      <c r="AJ193" s="32">
        <v>4.4636807717222604</v>
      </c>
      <c r="AK193" s="32">
        <v>17.604865705753109</v>
      </c>
      <c r="AL193" s="32">
        <v>6.8982834559917539</v>
      </c>
      <c r="AM193" s="32">
        <v>3.4810592094661321</v>
      </c>
      <c r="AN193" s="32">
        <v>19.69149102236171</v>
      </c>
      <c r="AO193" s="32">
        <v>9.3302652020668795</v>
      </c>
      <c r="AP193" s="19">
        <v>1.1434957844184088</v>
      </c>
      <c r="AQ193" s="19">
        <v>1.0159744912328383</v>
      </c>
      <c r="AR193" s="19">
        <v>1.2703885454923156</v>
      </c>
      <c r="AS193" s="19">
        <v>0.19345104715766029</v>
      </c>
      <c r="AT193" s="19">
        <v>2.2864179832639765E-2</v>
      </c>
      <c r="AU193" s="19">
        <v>0.34526980953625663</v>
      </c>
      <c r="AV193" s="19">
        <v>-4.2385055284402673E-3</v>
      </c>
      <c r="AW193" s="19">
        <v>-4.4960037150509946E-2</v>
      </c>
      <c r="AX193" s="19">
        <v>4.151889530046371E-2</v>
      </c>
      <c r="AY193" s="19">
        <v>1.1434957844184088</v>
      </c>
      <c r="AZ193" s="19">
        <v>1.0159744912328383</v>
      </c>
      <c r="BA193" s="19">
        <v>1.2703885454923156</v>
      </c>
      <c r="BB193" s="19">
        <v>-1.002942228038431</v>
      </c>
      <c r="BC193" s="19">
        <v>-1.0316546019323183</v>
      </c>
      <c r="BD193" s="19">
        <v>1.0291968133876883</v>
      </c>
      <c r="BE193" s="14" t="s">
        <v>4857</v>
      </c>
    </row>
    <row r="194" spans="1:57" s="30" customFormat="1" ht="17.100000000000001" customHeight="1">
      <c r="A194" s="14">
        <v>183</v>
      </c>
      <c r="B194" s="14" t="s">
        <v>4588</v>
      </c>
      <c r="C194" s="32">
        <v>-1.002942228038431</v>
      </c>
      <c r="D194" s="32">
        <v>-1.0316546019323183</v>
      </c>
      <c r="E194" s="32">
        <v>1.0291968133876883</v>
      </c>
      <c r="F194" s="33">
        <v>324115.5</v>
      </c>
      <c r="G194" s="52" t="s">
        <v>2</v>
      </c>
      <c r="H194" s="32">
        <v>17.604865705753109</v>
      </c>
      <c r="I194" s="32">
        <v>19.69149102236171</v>
      </c>
      <c r="J194" s="12" t="s">
        <v>3804</v>
      </c>
      <c r="K194" s="12" t="s">
        <v>3805</v>
      </c>
      <c r="L194" s="14" t="s">
        <v>4113</v>
      </c>
      <c r="M194" s="12" t="s">
        <v>3806</v>
      </c>
      <c r="N194" s="15" t="s">
        <v>3807</v>
      </c>
      <c r="O194" s="12" t="s">
        <v>3808</v>
      </c>
      <c r="P194" s="12" t="s">
        <v>3811</v>
      </c>
      <c r="Q194" s="14">
        <v>3</v>
      </c>
      <c r="R194" s="21">
        <v>958.1037</v>
      </c>
      <c r="S194" s="14">
        <v>7</v>
      </c>
      <c r="T194" s="52" t="s">
        <v>2</v>
      </c>
      <c r="U194" s="53">
        <v>54.421200000000006</v>
      </c>
      <c r="V194" s="33">
        <v>266257</v>
      </c>
      <c r="W194" s="33">
        <v>241490</v>
      </c>
      <c r="X194" s="33">
        <v>248851</v>
      </c>
      <c r="Y194" s="33">
        <v>261411</v>
      </c>
      <c r="Z194" s="33">
        <v>222015</v>
      </c>
      <c r="AA194" s="33">
        <v>293843</v>
      </c>
      <c r="AB194" s="33">
        <v>345499</v>
      </c>
      <c r="AC194" s="33">
        <v>302732</v>
      </c>
      <c r="AD194" s="33">
        <v>254502.25</v>
      </c>
      <c r="AE194" s="33">
        <v>291022.25</v>
      </c>
      <c r="AF194" s="33">
        <v>253873.5</v>
      </c>
      <c r="AG194" s="33">
        <v>255131</v>
      </c>
      <c r="AH194" s="33">
        <v>257929</v>
      </c>
      <c r="AI194" s="33">
        <v>324115.5</v>
      </c>
      <c r="AJ194" s="32">
        <v>4.4636807717222604</v>
      </c>
      <c r="AK194" s="32">
        <v>17.604865705753109</v>
      </c>
      <c r="AL194" s="32">
        <v>6.8982834559917539</v>
      </c>
      <c r="AM194" s="32">
        <v>3.4810592094661321</v>
      </c>
      <c r="AN194" s="32">
        <v>19.69149102236171</v>
      </c>
      <c r="AO194" s="32">
        <v>9.3302652020668795</v>
      </c>
      <c r="AP194" s="19">
        <v>1.1434957844184088</v>
      </c>
      <c r="AQ194" s="19">
        <v>1.0159744912328383</v>
      </c>
      <c r="AR194" s="19">
        <v>1.2703885454923156</v>
      </c>
      <c r="AS194" s="19">
        <v>0.19345104715766029</v>
      </c>
      <c r="AT194" s="19">
        <v>2.2864179832639765E-2</v>
      </c>
      <c r="AU194" s="19">
        <v>0.34526980953625663</v>
      </c>
      <c r="AV194" s="19">
        <v>-4.2385055284402673E-3</v>
      </c>
      <c r="AW194" s="19">
        <v>-4.4960037150509946E-2</v>
      </c>
      <c r="AX194" s="19">
        <v>4.151889530046371E-2</v>
      </c>
      <c r="AY194" s="19">
        <v>1.1434957844184088</v>
      </c>
      <c r="AZ194" s="19">
        <v>1.0159744912328383</v>
      </c>
      <c r="BA194" s="19">
        <v>1.2703885454923156</v>
      </c>
      <c r="BB194" s="19">
        <v>-1.002942228038431</v>
      </c>
      <c r="BC194" s="19">
        <v>-1.0316546019323183</v>
      </c>
      <c r="BD194" s="19">
        <v>1.0291968133876883</v>
      </c>
      <c r="BE194" s="14" t="s">
        <v>4857</v>
      </c>
    </row>
    <row r="195" spans="1:57" s="30" customFormat="1" ht="17.100000000000001" customHeight="1">
      <c r="A195" s="14">
        <v>184</v>
      </c>
      <c r="B195" s="14" t="s">
        <v>4334</v>
      </c>
      <c r="C195" s="32">
        <v>1.0440618436682132</v>
      </c>
      <c r="D195" s="32">
        <v>1.0836404902639609</v>
      </c>
      <c r="E195" s="32">
        <v>1.0226772552281738</v>
      </c>
      <c r="F195" s="24">
        <v>736085</v>
      </c>
      <c r="G195" s="52" t="s">
        <v>2</v>
      </c>
      <c r="H195" s="32">
        <v>19.103390598298702</v>
      </c>
      <c r="I195" s="32">
        <v>31.87146990403809</v>
      </c>
      <c r="J195" s="12" t="s">
        <v>3816</v>
      </c>
      <c r="K195" s="15" t="s">
        <v>3817</v>
      </c>
      <c r="L195" s="14" t="s">
        <v>4974</v>
      </c>
      <c r="M195" s="12" t="s">
        <v>3818</v>
      </c>
      <c r="N195" s="15" t="s">
        <v>3819</v>
      </c>
      <c r="O195" s="12" t="s">
        <v>3820</v>
      </c>
      <c r="P195" s="12" t="s">
        <v>3821</v>
      </c>
      <c r="Q195" s="14">
        <v>3</v>
      </c>
      <c r="R195" s="21">
        <v>524.61779999999999</v>
      </c>
      <c r="S195" s="14">
        <v>16</v>
      </c>
      <c r="T195" s="52" t="s">
        <v>2</v>
      </c>
      <c r="U195" s="53">
        <v>26.781025</v>
      </c>
      <c r="V195" s="24">
        <v>571681</v>
      </c>
      <c r="W195" s="24">
        <v>658094</v>
      </c>
      <c r="X195" s="24">
        <v>714524</v>
      </c>
      <c r="Y195" s="24">
        <v>451698</v>
      </c>
      <c r="Z195" s="24">
        <v>651964</v>
      </c>
      <c r="AA195" s="24">
        <v>744816</v>
      </c>
      <c r="AB195" s="24">
        <v>804196</v>
      </c>
      <c r="AC195" s="24">
        <v>667974</v>
      </c>
      <c r="AD195" s="24">
        <v>598999.25</v>
      </c>
      <c r="AE195" s="24">
        <v>717237.5</v>
      </c>
      <c r="AF195" s="24">
        <v>614887.5</v>
      </c>
      <c r="AG195" s="24">
        <v>583111</v>
      </c>
      <c r="AH195" s="24">
        <v>698390</v>
      </c>
      <c r="AI195" s="24">
        <v>736085</v>
      </c>
      <c r="AJ195" s="32">
        <v>19.103390598298702</v>
      </c>
      <c r="AK195" s="32">
        <v>9.8619988082215055</v>
      </c>
      <c r="AL195" s="32">
        <v>9.9373004464512817</v>
      </c>
      <c r="AM195" s="32">
        <v>31.87146990403809</v>
      </c>
      <c r="AN195" s="32">
        <v>9.401090915782488</v>
      </c>
      <c r="AO195" s="32">
        <v>13.085920776376897</v>
      </c>
      <c r="AP195" s="19">
        <v>1.1973929850496474</v>
      </c>
      <c r="AQ195" s="19">
        <v>1.1358012644589457</v>
      </c>
      <c r="AR195" s="19">
        <v>1.262341132305856</v>
      </c>
      <c r="AS195" s="19">
        <v>0.25989672332083968</v>
      </c>
      <c r="AT195" s="19">
        <v>0.1837104229923647</v>
      </c>
      <c r="AU195" s="19">
        <v>0.33610183376039882</v>
      </c>
      <c r="AV195" s="19">
        <v>6.2207170634739128E-2</v>
      </c>
      <c r="AW195" s="19">
        <v>0.115886206009215</v>
      </c>
      <c r="AX195" s="19">
        <v>3.2350919524605892E-2</v>
      </c>
      <c r="AY195" s="19">
        <v>1.1973929850496474</v>
      </c>
      <c r="AZ195" s="19">
        <v>1.1358012644589457</v>
      </c>
      <c r="BA195" s="19">
        <v>1.262341132305856</v>
      </c>
      <c r="BB195" s="19">
        <v>1.0440618436682132</v>
      </c>
      <c r="BC195" s="19">
        <v>1.0836404902639609</v>
      </c>
      <c r="BD195" s="19">
        <v>1.0226772552281738</v>
      </c>
      <c r="BE195" s="14" t="s">
        <v>4857</v>
      </c>
    </row>
    <row r="196" spans="1:57" s="30" customFormat="1" ht="17.100000000000001" customHeight="1">
      <c r="A196" s="14">
        <v>185</v>
      </c>
      <c r="B196" s="14" t="s">
        <v>4201</v>
      </c>
      <c r="C196" s="32">
        <v>-1.3489088314162141</v>
      </c>
      <c r="D196" s="32">
        <v>-1.0820971658662455</v>
      </c>
      <c r="E196" s="32">
        <v>-1.6952608258714781</v>
      </c>
      <c r="F196" s="24">
        <v>1032746.5</v>
      </c>
      <c r="G196" s="52" t="s">
        <v>2</v>
      </c>
      <c r="H196" s="32">
        <v>22.321191082006703</v>
      </c>
      <c r="I196" s="32">
        <v>25.00585623721382</v>
      </c>
      <c r="J196" s="12" t="s">
        <v>3816</v>
      </c>
      <c r="K196" s="15" t="s">
        <v>3817</v>
      </c>
      <c r="L196" s="14" t="s">
        <v>4977</v>
      </c>
      <c r="M196" s="12" t="s">
        <v>3818</v>
      </c>
      <c r="N196" s="15" t="s">
        <v>3819</v>
      </c>
      <c r="O196" s="12" t="s">
        <v>3820</v>
      </c>
      <c r="P196" s="12" t="s">
        <v>3822</v>
      </c>
      <c r="Q196" s="14">
        <v>2</v>
      </c>
      <c r="R196" s="21">
        <v>608.83019999999999</v>
      </c>
      <c r="S196" s="14">
        <v>6</v>
      </c>
      <c r="T196" s="52" t="s">
        <v>2</v>
      </c>
      <c r="U196" s="53">
        <v>23.060200000000002</v>
      </c>
      <c r="V196" s="24">
        <v>1104110</v>
      </c>
      <c r="W196" s="24">
        <v>961383</v>
      </c>
      <c r="X196" s="24">
        <v>1138830</v>
      </c>
      <c r="Y196" s="24">
        <v>864162</v>
      </c>
      <c r="Z196" s="24">
        <v>1050430</v>
      </c>
      <c r="AA196" s="24">
        <v>950236</v>
      </c>
      <c r="AB196" s="24">
        <v>600270</v>
      </c>
      <c r="AC196" s="24">
        <v>858144</v>
      </c>
      <c r="AD196" s="24">
        <v>1017121.25</v>
      </c>
      <c r="AE196" s="24">
        <v>864770</v>
      </c>
      <c r="AF196" s="24">
        <v>1032746.5</v>
      </c>
      <c r="AG196" s="24">
        <v>1001496</v>
      </c>
      <c r="AH196" s="24">
        <v>1000333</v>
      </c>
      <c r="AI196" s="24">
        <v>729207</v>
      </c>
      <c r="AJ196" s="32">
        <v>12.550097863806803</v>
      </c>
      <c r="AK196" s="32">
        <v>22.321191082006703</v>
      </c>
      <c r="AL196" s="32">
        <v>9.7723138793897988</v>
      </c>
      <c r="AM196" s="32">
        <v>19.39294868626002</v>
      </c>
      <c r="AN196" s="32">
        <v>7.0824272351511883</v>
      </c>
      <c r="AO196" s="32">
        <v>25.00585623721382</v>
      </c>
      <c r="AP196" s="19">
        <v>0.850213285780825</v>
      </c>
      <c r="AQ196" s="19">
        <v>0.96861427271842604</v>
      </c>
      <c r="AR196" s="19">
        <v>0.72811773586714279</v>
      </c>
      <c r="AS196" s="19">
        <v>-0.2341032915908775</v>
      </c>
      <c r="AT196" s="19">
        <v>-4.6005833401072005E-2</v>
      </c>
      <c r="AU196" s="19">
        <v>-0.45775634333965898</v>
      </c>
      <c r="AV196" s="19">
        <v>-0.43179284427697806</v>
      </c>
      <c r="AW196" s="19">
        <v>-0.11383005038422171</v>
      </c>
      <c r="AX196" s="19">
        <v>-0.7615072575754519</v>
      </c>
      <c r="AY196" s="19">
        <v>-1.1761754570579461</v>
      </c>
      <c r="AZ196" s="19">
        <v>-1.0324027098976041</v>
      </c>
      <c r="BA196" s="19">
        <v>-1.3734042596958065</v>
      </c>
      <c r="BB196" s="19">
        <v>-1.3489088314162141</v>
      </c>
      <c r="BC196" s="19">
        <v>-1.0820971658662455</v>
      </c>
      <c r="BD196" s="19">
        <v>-1.6952608258714781</v>
      </c>
      <c r="BE196" s="14" t="s">
        <v>4857</v>
      </c>
    </row>
    <row r="197" spans="1:57" s="30" customFormat="1" ht="17.100000000000001" customHeight="1">
      <c r="A197" s="14">
        <v>186</v>
      </c>
      <c r="B197" s="14" t="s">
        <v>3823</v>
      </c>
      <c r="C197" s="32">
        <v>1.2504040012907043</v>
      </c>
      <c r="D197" s="32">
        <v>1.1886765678316351</v>
      </c>
      <c r="E197" s="32">
        <v>1.3065867948492513</v>
      </c>
      <c r="F197" s="24">
        <v>385462</v>
      </c>
      <c r="G197" s="52" t="s">
        <v>2</v>
      </c>
      <c r="H197" s="32">
        <v>23.169700488567884</v>
      </c>
      <c r="I197" s="32">
        <v>21.091653463559183</v>
      </c>
      <c r="J197" s="12" t="s">
        <v>3735</v>
      </c>
      <c r="K197" s="12" t="s">
        <v>3736</v>
      </c>
      <c r="L197" s="14" t="s">
        <v>5314</v>
      </c>
      <c r="M197" s="12" t="s">
        <v>3737</v>
      </c>
      <c r="N197" s="15" t="s">
        <v>3738</v>
      </c>
      <c r="O197" s="12" t="s">
        <v>3739</v>
      </c>
      <c r="P197" s="12" t="s">
        <v>3741</v>
      </c>
      <c r="Q197" s="14">
        <v>2</v>
      </c>
      <c r="R197" s="21">
        <v>651.88499999999999</v>
      </c>
      <c r="S197" s="14">
        <v>2</v>
      </c>
      <c r="T197" s="52" t="s">
        <v>2</v>
      </c>
      <c r="U197" s="53">
        <v>50.031612500000001</v>
      </c>
      <c r="V197" s="24">
        <v>246675</v>
      </c>
      <c r="W197" s="24">
        <v>207453</v>
      </c>
      <c r="X197" s="24">
        <v>206889</v>
      </c>
      <c r="Y197" s="24">
        <v>271119</v>
      </c>
      <c r="Z197" s="24">
        <v>262206</v>
      </c>
      <c r="AA197" s="24">
        <v>303589</v>
      </c>
      <c r="AB197" s="24">
        <v>327974</v>
      </c>
      <c r="AC197" s="24">
        <v>442950</v>
      </c>
      <c r="AD197" s="24">
        <v>233034</v>
      </c>
      <c r="AE197" s="24">
        <v>334179.75</v>
      </c>
      <c r="AF197" s="24">
        <v>227064</v>
      </c>
      <c r="AG197" s="24">
        <v>239004</v>
      </c>
      <c r="AH197" s="24">
        <v>282897.5</v>
      </c>
      <c r="AI197" s="24">
        <v>385462</v>
      </c>
      <c r="AJ197" s="32">
        <v>13.512214658099509</v>
      </c>
      <c r="AK197" s="32">
        <v>23.169700488567884</v>
      </c>
      <c r="AL197" s="32">
        <v>12.21424011366785</v>
      </c>
      <c r="AM197" s="32">
        <v>19.002806880057214</v>
      </c>
      <c r="AN197" s="32">
        <v>10.343746383705369</v>
      </c>
      <c r="AO197" s="32">
        <v>21.091653463559183</v>
      </c>
      <c r="AP197" s="19">
        <v>1.4340385952264476</v>
      </c>
      <c r="AQ197" s="19">
        <v>1.2458932283409083</v>
      </c>
      <c r="AR197" s="19">
        <v>1.6127847232682297</v>
      </c>
      <c r="AS197" s="19">
        <v>0.52008385276541014</v>
      </c>
      <c r="AT197" s="19">
        <v>0.31718043630463294</v>
      </c>
      <c r="AU197" s="19">
        <v>0.68955387841875304</v>
      </c>
      <c r="AV197" s="19">
        <v>0.32239430007930958</v>
      </c>
      <c r="AW197" s="19">
        <v>0.24935621932148322</v>
      </c>
      <c r="AX197" s="19">
        <v>0.38580296418296012</v>
      </c>
      <c r="AY197" s="19">
        <v>1.4340385952264476</v>
      </c>
      <c r="AZ197" s="19">
        <v>1.2458932283409083</v>
      </c>
      <c r="BA197" s="19">
        <v>1.6127847232682297</v>
      </c>
      <c r="BB197" s="19">
        <v>1.2504040012907043</v>
      </c>
      <c r="BC197" s="19">
        <v>1.1886765678316351</v>
      </c>
      <c r="BD197" s="19">
        <v>1.3065867948492513</v>
      </c>
      <c r="BE197" s="14" t="s">
        <v>4857</v>
      </c>
    </row>
    <row r="198" spans="1:57" s="30" customFormat="1" ht="17.100000000000001" customHeight="1">
      <c r="A198" s="14">
        <v>187</v>
      </c>
      <c r="B198" s="14" t="s">
        <v>3742</v>
      </c>
      <c r="C198" s="32">
        <v>1.0676757790176454</v>
      </c>
      <c r="D198" s="32">
        <v>1.1469893343896642</v>
      </c>
      <c r="E198" s="32">
        <v>1.0044390811793147</v>
      </c>
      <c r="F198" s="24">
        <v>33613</v>
      </c>
      <c r="G198" s="52" t="s">
        <v>2</v>
      </c>
      <c r="H198" s="32">
        <v>37.256728376629958</v>
      </c>
      <c r="I198" s="32">
        <v>42.203838527249921</v>
      </c>
      <c r="J198" s="12" t="s">
        <v>3743</v>
      </c>
      <c r="K198" s="12" t="s">
        <v>3744</v>
      </c>
      <c r="L198" s="14" t="s">
        <v>3745</v>
      </c>
      <c r="M198" s="12" t="s">
        <v>3746</v>
      </c>
      <c r="N198" s="15" t="s">
        <v>3747</v>
      </c>
      <c r="O198" s="12" t="s">
        <v>3748</v>
      </c>
      <c r="P198" s="12" t="s">
        <v>3749</v>
      </c>
      <c r="Q198" s="14">
        <v>2</v>
      </c>
      <c r="R198" s="21">
        <v>556.83730000000003</v>
      </c>
      <c r="S198" s="14">
        <v>3</v>
      </c>
      <c r="T198" s="52" t="s">
        <v>2</v>
      </c>
      <c r="U198" s="53">
        <v>28.663</v>
      </c>
      <c r="V198" s="24">
        <v>18658</v>
      </c>
      <c r="W198" s="24">
        <v>18716</v>
      </c>
      <c r="X198" s="24">
        <v>31739</v>
      </c>
      <c r="Y198" s="24">
        <v>22483</v>
      </c>
      <c r="Z198" s="24">
        <v>21496</v>
      </c>
      <c r="AA198" s="24">
        <v>23435</v>
      </c>
      <c r="AB198" s="24">
        <v>23582</v>
      </c>
      <c r="AC198" s="24">
        <v>43644</v>
      </c>
      <c r="AD198" s="24">
        <v>22899</v>
      </c>
      <c r="AE198" s="24">
        <v>28039.25</v>
      </c>
      <c r="AF198" s="24">
        <v>18687</v>
      </c>
      <c r="AG198" s="24">
        <v>27111</v>
      </c>
      <c r="AH198" s="24">
        <v>22465.5</v>
      </c>
      <c r="AI198" s="24">
        <v>33613</v>
      </c>
      <c r="AJ198" s="32">
        <v>26.896652627796325</v>
      </c>
      <c r="AK198" s="32">
        <v>37.256728376629958</v>
      </c>
      <c r="AL198" s="32">
        <v>0.21946911386964066</v>
      </c>
      <c r="AM198" s="32">
        <v>24.141419964821232</v>
      </c>
      <c r="AN198" s="32">
        <v>6.1030471109955968</v>
      </c>
      <c r="AO198" s="32">
        <v>42.203838527249921</v>
      </c>
      <c r="AP198" s="19">
        <v>1.2244748678981614</v>
      </c>
      <c r="AQ198" s="19">
        <v>1.2021993899502328</v>
      </c>
      <c r="AR198" s="19">
        <v>1.2398288517575893</v>
      </c>
      <c r="AS198" s="19">
        <v>0.29216316317850949</v>
      </c>
      <c r="AT198" s="19">
        <v>0.2656761930843326</v>
      </c>
      <c r="AU198" s="19">
        <v>0.31014098209434526</v>
      </c>
      <c r="AV198" s="19">
        <v>9.4473610492408933E-2</v>
      </c>
      <c r="AW198" s="19">
        <v>0.19785197610118288</v>
      </c>
      <c r="AX198" s="19">
        <v>6.3900678585523396E-3</v>
      </c>
      <c r="AY198" s="19">
        <v>1.2244748678981614</v>
      </c>
      <c r="AZ198" s="19">
        <v>1.2021993899502328</v>
      </c>
      <c r="BA198" s="19">
        <v>1.2398288517575893</v>
      </c>
      <c r="BB198" s="19">
        <v>1.0676757790176454</v>
      </c>
      <c r="BC198" s="19">
        <v>1.1469893343896642</v>
      </c>
      <c r="BD198" s="19">
        <v>1.0044390811793147</v>
      </c>
      <c r="BE198" s="14" t="s">
        <v>4857</v>
      </c>
    </row>
    <row r="199" spans="1:57" s="30" customFormat="1" ht="17.100000000000001" customHeight="1">
      <c r="A199" s="14">
        <v>188</v>
      </c>
      <c r="B199" s="14" t="s">
        <v>3750</v>
      </c>
      <c r="C199" s="32">
        <v>-1.1004078772490073</v>
      </c>
      <c r="D199" s="32">
        <v>1.0915858376840506</v>
      </c>
      <c r="E199" s="32">
        <v>-1.2791086835602028</v>
      </c>
      <c r="F199" s="24">
        <v>40994.5</v>
      </c>
      <c r="G199" s="52" t="s">
        <v>2</v>
      </c>
      <c r="H199" s="32">
        <v>24.04744215629853</v>
      </c>
      <c r="I199" s="32">
        <v>40.655430907391974</v>
      </c>
      <c r="J199" s="12" t="s">
        <v>3751</v>
      </c>
      <c r="K199" s="12" t="s">
        <v>3752</v>
      </c>
      <c r="L199" s="14" t="s">
        <v>3753</v>
      </c>
      <c r="M199" s="12" t="s">
        <v>3746</v>
      </c>
      <c r="N199" s="15" t="s">
        <v>3754</v>
      </c>
      <c r="O199" s="12" t="s">
        <v>3748</v>
      </c>
      <c r="P199" s="12" t="s">
        <v>3756</v>
      </c>
      <c r="Q199" s="14">
        <v>2</v>
      </c>
      <c r="R199" s="21">
        <v>810.90250000000003</v>
      </c>
      <c r="S199" s="14">
        <v>2</v>
      </c>
      <c r="T199" s="52" t="s">
        <v>2</v>
      </c>
      <c r="U199" s="53">
        <v>41.960537500000001</v>
      </c>
      <c r="V199" s="24">
        <v>29050</v>
      </c>
      <c r="W199" s="24">
        <v>33061</v>
      </c>
      <c r="X199" s="24">
        <v>37958</v>
      </c>
      <c r="Y199" s="24">
        <v>44031</v>
      </c>
      <c r="Z199" s="24">
        <v>25317</v>
      </c>
      <c r="AA199" s="24">
        <v>45746</v>
      </c>
      <c r="AB199" s="24">
        <v>42695</v>
      </c>
      <c r="AC199" s="24">
        <v>36425</v>
      </c>
      <c r="AD199" s="24">
        <v>36025</v>
      </c>
      <c r="AE199" s="24">
        <v>37545.75</v>
      </c>
      <c r="AF199" s="24">
        <v>31055.5</v>
      </c>
      <c r="AG199" s="24">
        <v>40994.5</v>
      </c>
      <c r="AH199" s="24">
        <v>35531.5</v>
      </c>
      <c r="AI199" s="24">
        <v>39560</v>
      </c>
      <c r="AJ199" s="32">
        <v>17.937265155460935</v>
      </c>
      <c r="AK199" s="32">
        <v>24.04744215629853</v>
      </c>
      <c r="AL199" s="32">
        <v>9.132698875687856</v>
      </c>
      <c r="AM199" s="32">
        <v>10.475208825930071</v>
      </c>
      <c r="AN199" s="32">
        <v>40.655430907391974</v>
      </c>
      <c r="AO199" s="32">
        <v>11.207177750353017</v>
      </c>
      <c r="AP199" s="19">
        <v>1.0422137404580152</v>
      </c>
      <c r="AQ199" s="19">
        <v>1.1441290592648645</v>
      </c>
      <c r="AR199" s="19">
        <v>0.96500750100623256</v>
      </c>
      <c r="AS199" s="19">
        <v>5.9651180377170751E-2</v>
      </c>
      <c r="AT199" s="19">
        <v>0.1942497991963627</v>
      </c>
      <c r="AU199" s="19">
        <v>-5.1387938390131463E-2</v>
      </c>
      <c r="AV199" s="19">
        <v>-0.13803837230892979</v>
      </c>
      <c r="AW199" s="19">
        <v>0.12642558221321298</v>
      </c>
      <c r="AX199" s="19">
        <v>-0.35513885262592437</v>
      </c>
      <c r="AY199" s="19">
        <v>1.0422137404580152</v>
      </c>
      <c r="AZ199" s="19">
        <v>1.1441290592648645</v>
      </c>
      <c r="BA199" s="19">
        <v>-1.0362613751263903</v>
      </c>
      <c r="BB199" s="19">
        <v>-1.1004078772490073</v>
      </c>
      <c r="BC199" s="19">
        <v>1.0915858376840506</v>
      </c>
      <c r="BD199" s="19">
        <v>-1.2791086835602028</v>
      </c>
      <c r="BE199" s="14" t="s">
        <v>4857</v>
      </c>
    </row>
    <row r="200" spans="1:57" s="30" customFormat="1" ht="17.100000000000001" customHeight="1">
      <c r="A200" s="14">
        <v>189</v>
      </c>
      <c r="B200" s="14" t="s">
        <v>3757</v>
      </c>
      <c r="C200" s="32">
        <v>1.2936188479287178</v>
      </c>
      <c r="D200" s="32">
        <v>1.3036790892754762</v>
      </c>
      <c r="E200" s="32">
        <v>1.2726517487218325</v>
      </c>
      <c r="F200" s="24">
        <v>690271</v>
      </c>
      <c r="G200" s="52" t="s">
        <v>2</v>
      </c>
      <c r="H200" s="32">
        <v>38.382836679383807</v>
      </c>
      <c r="I200" s="32">
        <v>36.835838856522763</v>
      </c>
      <c r="J200" s="12" t="s">
        <v>3758</v>
      </c>
      <c r="K200" s="15" t="s">
        <v>3759</v>
      </c>
      <c r="L200" s="14" t="s">
        <v>5317</v>
      </c>
      <c r="M200" s="12" t="s">
        <v>3760</v>
      </c>
      <c r="N200" s="15" t="s">
        <v>3761</v>
      </c>
      <c r="O200" s="12" t="s">
        <v>3762</v>
      </c>
      <c r="P200" s="12" t="s">
        <v>3764</v>
      </c>
      <c r="Q200" s="14">
        <v>3</v>
      </c>
      <c r="R200" s="21">
        <v>602.34379999999999</v>
      </c>
      <c r="S200" s="14">
        <v>3</v>
      </c>
      <c r="T200" s="52" t="s">
        <v>2</v>
      </c>
      <c r="U200" s="53">
        <v>67.117687500000002</v>
      </c>
      <c r="V200" s="24">
        <v>300048</v>
      </c>
      <c r="W200" s="24">
        <v>354724</v>
      </c>
      <c r="X200" s="24">
        <v>354665</v>
      </c>
      <c r="Y200" s="24">
        <v>524159</v>
      </c>
      <c r="Z200" s="24">
        <v>545677</v>
      </c>
      <c r="AA200" s="24">
        <v>349024</v>
      </c>
      <c r="AB200" s="24">
        <v>870065</v>
      </c>
      <c r="AC200" s="24">
        <v>510477</v>
      </c>
      <c r="AD200" s="24">
        <v>383399</v>
      </c>
      <c r="AE200" s="24">
        <v>568810.75</v>
      </c>
      <c r="AF200" s="24">
        <v>327386</v>
      </c>
      <c r="AG200" s="24">
        <v>439412</v>
      </c>
      <c r="AH200" s="24">
        <v>447350.5</v>
      </c>
      <c r="AI200" s="24">
        <v>690271</v>
      </c>
      <c r="AJ200" s="32">
        <v>25.381296997555808</v>
      </c>
      <c r="AK200" s="32">
        <v>38.382836679383807</v>
      </c>
      <c r="AL200" s="32">
        <v>11.80923141739588</v>
      </c>
      <c r="AM200" s="32">
        <v>27.275166989165676</v>
      </c>
      <c r="AN200" s="32">
        <v>31.084053743245647</v>
      </c>
      <c r="AO200" s="32">
        <v>36.835838856522763</v>
      </c>
      <c r="AP200" s="19">
        <v>1.4835999833072073</v>
      </c>
      <c r="AQ200" s="19">
        <v>1.3664313684763552</v>
      </c>
      <c r="AR200" s="19">
        <v>1.5708970169226149</v>
      </c>
      <c r="AS200" s="19">
        <v>0.5691021567210115</v>
      </c>
      <c r="AT200" s="19">
        <v>0.45041299967424953</v>
      </c>
      <c r="AU200" s="19">
        <v>0.6515886051738482</v>
      </c>
      <c r="AV200" s="19">
        <v>0.37141260403491094</v>
      </c>
      <c r="AW200" s="19">
        <v>0.3825887826910998</v>
      </c>
      <c r="AX200" s="19">
        <v>0.34783769093805528</v>
      </c>
      <c r="AY200" s="19">
        <v>1.4835999833072073</v>
      </c>
      <c r="AZ200" s="19">
        <v>1.3664313684763552</v>
      </c>
      <c r="BA200" s="19">
        <v>1.5708970169226149</v>
      </c>
      <c r="BB200" s="19">
        <v>1.2936188479287178</v>
      </c>
      <c r="BC200" s="19">
        <v>1.3036790892754762</v>
      </c>
      <c r="BD200" s="19">
        <v>1.2726517487218325</v>
      </c>
      <c r="BE200" s="14" t="s">
        <v>4857</v>
      </c>
    </row>
    <row r="201" spans="1:57" s="30" customFormat="1" ht="17.100000000000001" customHeight="1">
      <c r="A201" s="14">
        <v>190</v>
      </c>
      <c r="B201" s="14" t="s">
        <v>3765</v>
      </c>
      <c r="C201" s="32">
        <v>-1.0708390932687017</v>
      </c>
      <c r="D201" s="32">
        <v>1.3771253226207549</v>
      </c>
      <c r="E201" s="32">
        <v>-1.5647194044217754</v>
      </c>
      <c r="F201" s="24">
        <v>33039</v>
      </c>
      <c r="G201" s="52" t="s">
        <v>2</v>
      </c>
      <c r="H201" s="32">
        <v>33.91816801619516</v>
      </c>
      <c r="I201" s="32">
        <v>38.632860313842549</v>
      </c>
      <c r="J201" s="12" t="s">
        <v>3758</v>
      </c>
      <c r="K201" s="15" t="s">
        <v>3759</v>
      </c>
      <c r="L201" s="14" t="s">
        <v>4995</v>
      </c>
      <c r="M201" s="12" t="s">
        <v>3760</v>
      </c>
      <c r="N201" s="15" t="s">
        <v>3761</v>
      </c>
      <c r="O201" s="12" t="s">
        <v>3762</v>
      </c>
      <c r="P201" s="12" t="s">
        <v>3766</v>
      </c>
      <c r="Q201" s="14">
        <v>2</v>
      </c>
      <c r="R201" s="21">
        <v>635.34349999999995</v>
      </c>
      <c r="S201" s="14">
        <v>1</v>
      </c>
      <c r="T201" s="52" t="s">
        <v>2</v>
      </c>
      <c r="U201" s="53">
        <v>22.521837500000004</v>
      </c>
      <c r="V201" s="24">
        <v>28057</v>
      </c>
      <c r="W201" s="24">
        <v>17722</v>
      </c>
      <c r="X201" s="24">
        <v>21961</v>
      </c>
      <c r="Y201" s="24">
        <v>38469</v>
      </c>
      <c r="Z201" s="24">
        <v>27181</v>
      </c>
      <c r="AA201" s="24">
        <v>38897</v>
      </c>
      <c r="AB201" s="24">
        <v>24769</v>
      </c>
      <c r="AC201" s="24">
        <v>22902</v>
      </c>
      <c r="AD201" s="24">
        <v>26552.25</v>
      </c>
      <c r="AE201" s="24">
        <v>28437.25</v>
      </c>
      <c r="AF201" s="24">
        <v>22889.5</v>
      </c>
      <c r="AG201" s="24">
        <v>30215</v>
      </c>
      <c r="AH201" s="24">
        <v>33039</v>
      </c>
      <c r="AI201" s="24">
        <v>23835.5</v>
      </c>
      <c r="AJ201" s="32">
        <v>33.91816801619516</v>
      </c>
      <c r="AK201" s="32">
        <v>25.283028333178503</v>
      </c>
      <c r="AL201" s="32">
        <v>31.927078282893767</v>
      </c>
      <c r="AM201" s="32">
        <v>38.632860313842549</v>
      </c>
      <c r="AN201" s="32">
        <v>25.074799625840949</v>
      </c>
      <c r="AO201" s="32">
        <v>5.5386644311018616</v>
      </c>
      <c r="AP201" s="19">
        <v>1.0709921004811269</v>
      </c>
      <c r="AQ201" s="19">
        <v>1.4434129185871252</v>
      </c>
      <c r="AR201" s="19">
        <v>0.78886314744332287</v>
      </c>
      <c r="AS201" s="19">
        <v>9.8947838968903176E-2</v>
      </c>
      <c r="AT201" s="19">
        <v>0.52948407209614468</v>
      </c>
      <c r="AU201" s="19">
        <v>-0.34215305273427565</v>
      </c>
      <c r="AV201" s="19">
        <v>-9.874171371719738E-2</v>
      </c>
      <c r="AW201" s="19">
        <v>0.46165985511299495</v>
      </c>
      <c r="AX201" s="19">
        <v>-0.64590396697006858</v>
      </c>
      <c r="AY201" s="19">
        <v>1.0709921004811269</v>
      </c>
      <c r="AZ201" s="19">
        <v>1.4434129185871252</v>
      </c>
      <c r="BA201" s="19">
        <v>-1.2676469971261353</v>
      </c>
      <c r="BB201" s="19">
        <v>-1.0708390932687017</v>
      </c>
      <c r="BC201" s="19">
        <v>1.3771253226207549</v>
      </c>
      <c r="BD201" s="19">
        <v>-1.5647194044217754</v>
      </c>
      <c r="BE201" s="14" t="s">
        <v>4857</v>
      </c>
    </row>
    <row r="202" spans="1:57" s="30" customFormat="1" ht="17.100000000000001" customHeight="1">
      <c r="A202" s="14">
        <v>191</v>
      </c>
      <c r="B202" s="14" t="s">
        <v>3767</v>
      </c>
      <c r="C202" s="32">
        <v>1.0841528978173591</v>
      </c>
      <c r="D202" s="32">
        <v>1.3341121204970348</v>
      </c>
      <c r="E202" s="32">
        <v>-1.1342580695025894</v>
      </c>
      <c r="F202" s="24">
        <v>4022455</v>
      </c>
      <c r="G202" s="52" t="s">
        <v>2</v>
      </c>
      <c r="H202" s="32">
        <v>18.523553306609859</v>
      </c>
      <c r="I202" s="32">
        <v>25.92309851584314</v>
      </c>
      <c r="J202" s="12" t="s">
        <v>3721</v>
      </c>
      <c r="K202" s="15" t="s">
        <v>3722</v>
      </c>
      <c r="L202" s="14" t="s">
        <v>5176</v>
      </c>
      <c r="M202" s="12" t="s">
        <v>3760</v>
      </c>
      <c r="N202" s="15" t="s">
        <v>3723</v>
      </c>
      <c r="O202" s="12" t="s">
        <v>3762</v>
      </c>
      <c r="P202" s="12" t="s">
        <v>3725</v>
      </c>
      <c r="Q202" s="14">
        <v>2</v>
      </c>
      <c r="R202" s="21">
        <v>513.77689999999996</v>
      </c>
      <c r="S202" s="14">
        <v>8</v>
      </c>
      <c r="T202" s="52" t="s">
        <v>2</v>
      </c>
      <c r="U202" s="53">
        <v>24.928037500000002</v>
      </c>
      <c r="V202" s="24">
        <v>2349320</v>
      </c>
      <c r="W202" s="24">
        <v>3403910</v>
      </c>
      <c r="X202" s="24">
        <v>3257360</v>
      </c>
      <c r="Y202" s="24">
        <v>2489550</v>
      </c>
      <c r="Z202" s="24">
        <v>4234200</v>
      </c>
      <c r="AA202" s="24">
        <v>3810710</v>
      </c>
      <c r="AB202" s="24">
        <v>3230240</v>
      </c>
      <c r="AC202" s="24">
        <v>3023800</v>
      </c>
      <c r="AD202" s="24">
        <v>2875035</v>
      </c>
      <c r="AE202" s="24">
        <v>3574737.5</v>
      </c>
      <c r="AF202" s="24">
        <v>2876615</v>
      </c>
      <c r="AG202" s="24">
        <v>2873455</v>
      </c>
      <c r="AH202" s="24">
        <v>4022455</v>
      </c>
      <c r="AI202" s="24">
        <v>3127020</v>
      </c>
      <c r="AJ202" s="32">
        <v>18.523553306609859</v>
      </c>
      <c r="AK202" s="32">
        <v>15.430476472957036</v>
      </c>
      <c r="AL202" s="32">
        <v>25.92309851584314</v>
      </c>
      <c r="AM202" s="32">
        <v>18.894454851836656</v>
      </c>
      <c r="AN202" s="32">
        <v>7.4445245693162754</v>
      </c>
      <c r="AO202" s="32">
        <v>4.6681864493399745</v>
      </c>
      <c r="AP202" s="19">
        <v>1.2433718198213239</v>
      </c>
      <c r="AQ202" s="19">
        <v>1.3983292863313304</v>
      </c>
      <c r="AR202" s="19">
        <v>1.0882439432669033</v>
      </c>
      <c r="AS202" s="19">
        <v>0.31425778665428411</v>
      </c>
      <c r="AT202" s="19">
        <v>0.48370413454596689</v>
      </c>
      <c r="AU202" s="19">
        <v>0.1220019906811835</v>
      </c>
      <c r="AV202" s="19">
        <v>0.11656823396818355</v>
      </c>
      <c r="AW202" s="19">
        <v>0.41587991756281717</v>
      </c>
      <c r="AX202" s="19">
        <v>-0.18174892355460942</v>
      </c>
      <c r="AY202" s="19">
        <v>1.2433718198213239</v>
      </c>
      <c r="AZ202" s="19">
        <v>1.3983292863313304</v>
      </c>
      <c r="BA202" s="19">
        <v>1.0882439432669033</v>
      </c>
      <c r="BB202" s="19">
        <v>1.0841528978173591</v>
      </c>
      <c r="BC202" s="19">
        <v>1.3341121204970348</v>
      </c>
      <c r="BD202" s="19">
        <v>-1.1342580695025894</v>
      </c>
      <c r="BE202" s="14" t="s">
        <v>4857</v>
      </c>
    </row>
    <row r="203" spans="1:57" s="30" customFormat="1" ht="17.100000000000001" customHeight="1">
      <c r="A203" s="14">
        <v>192</v>
      </c>
      <c r="B203" s="14" t="s">
        <v>3726</v>
      </c>
      <c r="C203" s="32">
        <v>1.1188209555059128</v>
      </c>
      <c r="D203" s="32">
        <v>1.70741447806229</v>
      </c>
      <c r="E203" s="32">
        <v>-1.5007300093518632</v>
      </c>
      <c r="F203" s="24">
        <v>105126.5</v>
      </c>
      <c r="G203" s="52" t="s">
        <v>2</v>
      </c>
      <c r="H203" s="32">
        <v>43.538719574035667</v>
      </c>
      <c r="I203" s="32">
        <v>29.794639990078558</v>
      </c>
      <c r="J203" s="12" t="s">
        <v>3727</v>
      </c>
      <c r="K203" s="15" t="s">
        <v>3728</v>
      </c>
      <c r="L203" s="16" t="s">
        <v>5006</v>
      </c>
      <c r="M203" s="12" t="s">
        <v>3729</v>
      </c>
      <c r="N203" s="15" t="s">
        <v>3730</v>
      </c>
      <c r="O203" s="12" t="s">
        <v>3731</v>
      </c>
      <c r="P203" s="12" t="s">
        <v>3733</v>
      </c>
      <c r="Q203" s="14">
        <v>2</v>
      </c>
      <c r="R203" s="21">
        <v>527.79819999999995</v>
      </c>
      <c r="S203" s="14">
        <v>1</v>
      </c>
      <c r="T203" s="52" t="s">
        <v>2</v>
      </c>
      <c r="U203" s="53">
        <v>22.371675000000003</v>
      </c>
      <c r="V203" s="24">
        <v>60155</v>
      </c>
      <c r="W203" s="24">
        <v>57331</v>
      </c>
      <c r="X203" s="24">
        <v>50981</v>
      </c>
      <c r="Y203" s="24">
        <v>78196</v>
      </c>
      <c r="Z203" s="24">
        <v>85260</v>
      </c>
      <c r="AA203" s="24">
        <v>124993</v>
      </c>
      <c r="AB203" s="24">
        <v>58904</v>
      </c>
      <c r="AC203" s="24">
        <v>47344</v>
      </c>
      <c r="AD203" s="24">
        <v>61665.75</v>
      </c>
      <c r="AE203" s="24">
        <v>79125.25</v>
      </c>
      <c r="AF203" s="24">
        <v>58743</v>
      </c>
      <c r="AG203" s="24">
        <v>64588.5</v>
      </c>
      <c r="AH203" s="24">
        <v>105126.5</v>
      </c>
      <c r="AI203" s="24">
        <v>53124</v>
      </c>
      <c r="AJ203" s="32">
        <v>18.922724293355216</v>
      </c>
      <c r="AK203" s="32">
        <v>43.538719574035667</v>
      </c>
      <c r="AL203" s="32">
        <v>3.3993319205195687</v>
      </c>
      <c r="AM203" s="32">
        <v>29.794639990078558</v>
      </c>
      <c r="AN203" s="32">
        <v>26.725396295781835</v>
      </c>
      <c r="AO203" s="32">
        <v>15.386933195008826</v>
      </c>
      <c r="AP203" s="19">
        <v>1.2831312357345852</v>
      </c>
      <c r="AQ203" s="19">
        <v>1.7896004630338933</v>
      </c>
      <c r="AR203" s="19">
        <v>0.82249936134141521</v>
      </c>
      <c r="AS203" s="19">
        <v>0.3596687335303721</v>
      </c>
      <c r="AT203" s="19">
        <v>0.83963753478672321</v>
      </c>
      <c r="AU203" s="19">
        <v>-0.28191353627040217</v>
      </c>
      <c r="AV203" s="19">
        <v>0.16197918084427154</v>
      </c>
      <c r="AW203" s="19">
        <v>0.77181331780357354</v>
      </c>
      <c r="AX203" s="19">
        <v>-0.58566445050619509</v>
      </c>
      <c r="AY203" s="19">
        <v>1.2831312357345852</v>
      </c>
      <c r="AZ203" s="19">
        <v>1.7896004630338933</v>
      </c>
      <c r="BA203" s="19">
        <v>-1.21580641517958</v>
      </c>
      <c r="BB203" s="19">
        <v>1.1188209555059128</v>
      </c>
      <c r="BC203" s="19">
        <v>1.70741447806229</v>
      </c>
      <c r="BD203" s="19">
        <v>-1.5007300093518632</v>
      </c>
      <c r="BE203" s="14" t="s">
        <v>4857</v>
      </c>
    </row>
    <row r="204" spans="1:57" s="30" customFormat="1" ht="17.100000000000001" customHeight="1">
      <c r="A204" s="14">
        <v>193</v>
      </c>
      <c r="B204" s="14" t="s">
        <v>3734</v>
      </c>
      <c r="C204" s="32">
        <v>-1.323517689239033</v>
      </c>
      <c r="D204" s="32">
        <v>-1.2445857280745971</v>
      </c>
      <c r="E204" s="32">
        <v>-1.3892713376647341</v>
      </c>
      <c r="F204" s="24">
        <v>862518</v>
      </c>
      <c r="G204" s="52" t="s">
        <v>2</v>
      </c>
      <c r="H204" s="32">
        <v>10.695626882097425</v>
      </c>
      <c r="I204" s="32">
        <v>13.991373647040886</v>
      </c>
      <c r="J204" s="12" t="s">
        <v>3727</v>
      </c>
      <c r="K204" s="15" t="s">
        <v>3728</v>
      </c>
      <c r="L204" s="16" t="s">
        <v>5044</v>
      </c>
      <c r="M204" s="12" t="s">
        <v>3729</v>
      </c>
      <c r="N204" s="15" t="s">
        <v>3730</v>
      </c>
      <c r="O204" s="12" t="s">
        <v>3731</v>
      </c>
      <c r="P204" s="12" t="s">
        <v>3692</v>
      </c>
      <c r="Q204" s="14">
        <v>2</v>
      </c>
      <c r="R204" s="21">
        <v>612.851</v>
      </c>
      <c r="S204" s="14">
        <v>16</v>
      </c>
      <c r="T204" s="52" t="s">
        <v>2</v>
      </c>
      <c r="U204" s="53">
        <v>24.2258</v>
      </c>
      <c r="V204" s="24">
        <v>854264</v>
      </c>
      <c r="W204" s="24">
        <v>700450</v>
      </c>
      <c r="X204" s="24">
        <v>869790</v>
      </c>
      <c r="Y204" s="24">
        <v>855246</v>
      </c>
      <c r="Z204" s="24">
        <v>702329</v>
      </c>
      <c r="AA204" s="24">
        <v>606982</v>
      </c>
      <c r="AB204" s="24">
        <v>753961</v>
      </c>
      <c r="AC204" s="24">
        <v>778711</v>
      </c>
      <c r="AD204" s="24">
        <v>819937.5</v>
      </c>
      <c r="AE204" s="24">
        <v>710495.75</v>
      </c>
      <c r="AF204" s="24">
        <v>777357</v>
      </c>
      <c r="AG204" s="24">
        <v>862518</v>
      </c>
      <c r="AH204" s="24">
        <v>654655.5</v>
      </c>
      <c r="AI204" s="24">
        <v>766336</v>
      </c>
      <c r="AJ204" s="32">
        <v>9.7536730855060672</v>
      </c>
      <c r="AK204" s="32">
        <v>10.695626882097425</v>
      </c>
      <c r="AL204" s="32">
        <v>13.991373647040886</v>
      </c>
      <c r="AM204" s="32">
        <v>1.192341612068055</v>
      </c>
      <c r="AN204" s="32">
        <v>10.298624278844942</v>
      </c>
      <c r="AO204" s="32">
        <v>2.2837101264154431</v>
      </c>
      <c r="AP204" s="19">
        <v>0.86652427776507357</v>
      </c>
      <c r="AQ204" s="19">
        <v>0.84215553471570981</v>
      </c>
      <c r="AR204" s="19">
        <v>0.88848696490971779</v>
      </c>
      <c r="AS204" s="19">
        <v>-0.20668792435868566</v>
      </c>
      <c r="AT204" s="19">
        <v>-0.2478413907632136</v>
      </c>
      <c r="AU204" s="19">
        <v>-0.17057748441625295</v>
      </c>
      <c r="AV204" s="19">
        <v>-0.40437747704478622</v>
      </c>
      <c r="AW204" s="19">
        <v>-0.31566560774636332</v>
      </c>
      <c r="AX204" s="19">
        <v>-0.4743283986520459</v>
      </c>
      <c r="AY204" s="19">
        <v>-1.1540357560196524</v>
      </c>
      <c r="AZ204" s="19">
        <v>-1.1874291134802961</v>
      </c>
      <c r="BA204" s="19">
        <v>-1.1255089151494906</v>
      </c>
      <c r="BB204" s="19">
        <v>-1.323517689239033</v>
      </c>
      <c r="BC204" s="19">
        <v>-1.2445857280745971</v>
      </c>
      <c r="BD204" s="19">
        <v>-1.3892713376647341</v>
      </c>
      <c r="BE204" s="14" t="s">
        <v>4857</v>
      </c>
    </row>
    <row r="205" spans="1:57" s="30" customFormat="1" ht="17.100000000000001" customHeight="1">
      <c r="A205" s="14">
        <v>194</v>
      </c>
      <c r="B205" s="14" t="s">
        <v>3695</v>
      </c>
      <c r="C205" s="32">
        <v>-1.1738095910177249</v>
      </c>
      <c r="D205" s="32">
        <v>-1.4718248434382519</v>
      </c>
      <c r="E205" s="32">
        <v>1.0647869023168681</v>
      </c>
      <c r="F205" s="42">
        <v>771506</v>
      </c>
      <c r="G205" s="52" t="s">
        <v>4894</v>
      </c>
      <c r="H205" s="32">
        <v>24.502987523097932</v>
      </c>
      <c r="I205" s="32">
        <v>15.340660840154444</v>
      </c>
      <c r="J205" s="12" t="s">
        <v>3696</v>
      </c>
      <c r="K205" s="15" t="s">
        <v>3697</v>
      </c>
      <c r="L205" s="16" t="s">
        <v>5012</v>
      </c>
      <c r="M205" s="12" t="s">
        <v>3729</v>
      </c>
      <c r="N205" s="15" t="s">
        <v>3698</v>
      </c>
      <c r="O205" s="12" t="s">
        <v>3731</v>
      </c>
      <c r="P205" s="12" t="s">
        <v>3699</v>
      </c>
      <c r="Q205" s="14">
        <v>2</v>
      </c>
      <c r="R205" s="21">
        <v>833.48030000000006</v>
      </c>
      <c r="S205" s="14">
        <v>9</v>
      </c>
      <c r="T205" s="52" t="s">
        <v>4894</v>
      </c>
      <c r="U205" s="53">
        <v>36.1</v>
      </c>
      <c r="V205" s="42">
        <v>754407</v>
      </c>
      <c r="W205" s="42">
        <v>740317</v>
      </c>
      <c r="X205" s="42">
        <v>602611</v>
      </c>
      <c r="Y205" s="42">
        <v>571390</v>
      </c>
      <c r="Z205" s="42">
        <v>480878</v>
      </c>
      <c r="AA205" s="42">
        <v>583564</v>
      </c>
      <c r="AB205" s="42">
        <v>687817</v>
      </c>
      <c r="AC205" s="42">
        <v>855195</v>
      </c>
      <c r="AD205" s="42">
        <v>667181.25</v>
      </c>
      <c r="AE205" s="42">
        <v>651863.5</v>
      </c>
      <c r="AF205" s="42">
        <v>747362</v>
      </c>
      <c r="AG205" s="42">
        <v>587000.5</v>
      </c>
      <c r="AH205" s="42">
        <v>532221</v>
      </c>
      <c r="AI205" s="42">
        <v>771506</v>
      </c>
      <c r="AJ205" s="32">
        <v>14.03439330073097</v>
      </c>
      <c r="AK205" s="32">
        <v>24.502987523097932</v>
      </c>
      <c r="AL205" s="32">
        <v>1.3331069209992554</v>
      </c>
      <c r="AM205" s="32">
        <v>3.7609134601120786</v>
      </c>
      <c r="AN205" s="32">
        <v>13.642822611832644</v>
      </c>
      <c r="AO205" s="32">
        <v>15.340660840154444</v>
      </c>
      <c r="AP205" s="19">
        <v>0.97704109640371339</v>
      </c>
      <c r="AQ205" s="19">
        <v>0.71213280846497418</v>
      </c>
      <c r="AR205" s="19">
        <v>1.3143191530501253</v>
      </c>
      <c r="AS205" s="19">
        <v>-3.3508848629325121E-2</v>
      </c>
      <c r="AT205" s="19">
        <v>-0.48978177469796819</v>
      </c>
      <c r="AU205" s="19">
        <v>0.39431564446871009</v>
      </c>
      <c r="AV205" s="19">
        <v>-0.23119840131542568</v>
      </c>
      <c r="AW205" s="19">
        <v>-0.55760599168111791</v>
      </c>
      <c r="AX205" s="19">
        <v>9.0564730232917168E-2</v>
      </c>
      <c r="AY205" s="19">
        <v>-1.0234984011223209</v>
      </c>
      <c r="AZ205" s="19">
        <v>-1.4042324523083456</v>
      </c>
      <c r="BA205" s="19">
        <v>1.3143191530501253</v>
      </c>
      <c r="BB205" s="19">
        <v>-1.1738095910177249</v>
      </c>
      <c r="BC205" s="19">
        <v>-1.4718248434382519</v>
      </c>
      <c r="BD205" s="19">
        <v>1.0647869023168681</v>
      </c>
      <c r="BE205" s="14" t="s">
        <v>4857</v>
      </c>
    </row>
    <row r="206" spans="1:57" s="30" customFormat="1" ht="17.100000000000001" customHeight="1">
      <c r="A206" s="14">
        <v>195</v>
      </c>
      <c r="B206" s="14" t="s">
        <v>3701</v>
      </c>
      <c r="C206" s="32">
        <v>1.0077985896009705</v>
      </c>
      <c r="D206" s="32">
        <v>1.0323296342610888</v>
      </c>
      <c r="E206" s="32">
        <v>-1.0054181321606572</v>
      </c>
      <c r="F206" s="42">
        <v>15011568</v>
      </c>
      <c r="G206" s="52" t="s">
        <v>4894</v>
      </c>
      <c r="H206" s="32">
        <v>9.9965627852672121</v>
      </c>
      <c r="I206" s="32">
        <v>8.4784693215230931</v>
      </c>
      <c r="J206" s="12" t="s">
        <v>3696</v>
      </c>
      <c r="K206" s="15" t="s">
        <v>3697</v>
      </c>
      <c r="L206" s="16" t="s">
        <v>5174</v>
      </c>
      <c r="M206" s="12" t="s">
        <v>3729</v>
      </c>
      <c r="N206" s="15" t="s">
        <v>3698</v>
      </c>
      <c r="O206" s="12" t="s">
        <v>3731</v>
      </c>
      <c r="P206" s="12" t="s">
        <v>3702</v>
      </c>
      <c r="Q206" s="14">
        <v>2</v>
      </c>
      <c r="R206" s="21">
        <v>536.82169999999996</v>
      </c>
      <c r="S206" s="14">
        <v>10</v>
      </c>
      <c r="T206" s="52" t="s">
        <v>4894</v>
      </c>
      <c r="U206" s="53">
        <v>25.9</v>
      </c>
      <c r="V206" s="42">
        <v>12139596</v>
      </c>
      <c r="W206" s="42">
        <v>11688816</v>
      </c>
      <c r="X206" s="42">
        <v>11870885</v>
      </c>
      <c r="Y206" s="42">
        <v>12583944</v>
      </c>
      <c r="Z206" s="42">
        <v>13664280</v>
      </c>
      <c r="AA206" s="42">
        <v>12118552</v>
      </c>
      <c r="AB206" s="42">
        <v>15281409</v>
      </c>
      <c r="AC206" s="42">
        <v>14741727</v>
      </c>
      <c r="AD206" s="42">
        <v>12070810.25</v>
      </c>
      <c r="AE206" s="42">
        <v>13951492</v>
      </c>
      <c r="AF206" s="42">
        <v>11914206</v>
      </c>
      <c r="AG206" s="42">
        <v>12227414.5</v>
      </c>
      <c r="AH206" s="42">
        <v>12891416</v>
      </c>
      <c r="AI206" s="42">
        <v>15011568</v>
      </c>
      <c r="AJ206" s="32">
        <v>3.2225240467691143</v>
      </c>
      <c r="AK206" s="32">
        <v>9.9965627852672121</v>
      </c>
      <c r="AL206" s="32">
        <v>2.6753742114520422</v>
      </c>
      <c r="AM206" s="32">
        <v>4.1235933752478777</v>
      </c>
      <c r="AN206" s="32">
        <v>8.4784693215230931</v>
      </c>
      <c r="AO206" s="32">
        <v>2.5421248592040375</v>
      </c>
      <c r="AP206" s="19">
        <v>1.1558041018828873</v>
      </c>
      <c r="AQ206" s="19">
        <v>1.0820205727515539</v>
      </c>
      <c r="AR206" s="19">
        <v>1.2276976461377014</v>
      </c>
      <c r="AS206" s="19">
        <v>0.20889689507771836</v>
      </c>
      <c r="AT206" s="19">
        <v>0.11372792977885354</v>
      </c>
      <c r="AU206" s="19">
        <v>0.29595530164709016</v>
      </c>
      <c r="AV206" s="19">
        <v>1.1207342391617803E-2</v>
      </c>
      <c r="AW206" s="19">
        <v>4.5903712795703835E-2</v>
      </c>
      <c r="AX206" s="19">
        <v>-7.7956125887027605E-3</v>
      </c>
      <c r="AY206" s="19">
        <v>1.1558041018828873</v>
      </c>
      <c r="AZ206" s="19">
        <v>1.0820205727515539</v>
      </c>
      <c r="BA206" s="19">
        <v>1.2276976461377014</v>
      </c>
      <c r="BB206" s="19">
        <v>1.0077985896009705</v>
      </c>
      <c r="BC206" s="19">
        <v>1.0323296342610888</v>
      </c>
      <c r="BD206" s="19">
        <v>-1.0054181321606572</v>
      </c>
      <c r="BE206" s="14" t="s">
        <v>4857</v>
      </c>
    </row>
    <row r="207" spans="1:57" s="30" customFormat="1" ht="17.100000000000001" customHeight="1">
      <c r="A207" s="14">
        <v>196</v>
      </c>
      <c r="B207" s="14" t="s">
        <v>3704</v>
      </c>
      <c r="C207" s="32">
        <v>1.0625279551324607</v>
      </c>
      <c r="D207" s="32">
        <v>-1.1859671185306582</v>
      </c>
      <c r="E207" s="32">
        <v>1.2956377773927832</v>
      </c>
      <c r="F207" s="42">
        <v>13231268.5</v>
      </c>
      <c r="G207" s="52" t="s">
        <v>4894</v>
      </c>
      <c r="H207" s="32">
        <v>27.12318329043854</v>
      </c>
      <c r="I207" s="32">
        <v>9.0629412072450837</v>
      </c>
      <c r="J207" s="12" t="s">
        <v>3696</v>
      </c>
      <c r="K207" s="15" t="s">
        <v>3697</v>
      </c>
      <c r="L207" s="16" t="s">
        <v>5142</v>
      </c>
      <c r="M207" s="12" t="s">
        <v>3729</v>
      </c>
      <c r="N207" s="15" t="s">
        <v>3698</v>
      </c>
      <c r="O207" s="12" t="s">
        <v>3731</v>
      </c>
      <c r="P207" s="12" t="s">
        <v>3705</v>
      </c>
      <c r="Q207" s="14">
        <v>2</v>
      </c>
      <c r="R207" s="21">
        <v>721.42229999999995</v>
      </c>
      <c r="S207" s="14">
        <v>15</v>
      </c>
      <c r="T207" s="52" t="s">
        <v>4894</v>
      </c>
      <c r="U207" s="53">
        <v>32.5</v>
      </c>
      <c r="V207" s="42">
        <v>9558048</v>
      </c>
      <c r="W207" s="42">
        <v>9257558</v>
      </c>
      <c r="X207" s="42">
        <v>8721542</v>
      </c>
      <c r="Y207" s="42">
        <v>7825095</v>
      </c>
      <c r="Z207" s="42">
        <v>8314737</v>
      </c>
      <c r="AA207" s="42">
        <v>8314131</v>
      </c>
      <c r="AB207" s="42">
        <v>12383347</v>
      </c>
      <c r="AC207" s="42">
        <v>14079190</v>
      </c>
      <c r="AD207" s="42">
        <v>8840560.75</v>
      </c>
      <c r="AE207" s="42">
        <v>10772851.25</v>
      </c>
      <c r="AF207" s="42">
        <v>9407803</v>
      </c>
      <c r="AG207" s="42">
        <v>8273318.5</v>
      </c>
      <c r="AH207" s="42">
        <v>8314434</v>
      </c>
      <c r="AI207" s="42">
        <v>13231268.5</v>
      </c>
      <c r="AJ207" s="32">
        <v>8.5997427564828861</v>
      </c>
      <c r="AK207" s="32">
        <v>27.12318329043854</v>
      </c>
      <c r="AL207" s="32">
        <v>2.2585349276419335</v>
      </c>
      <c r="AM207" s="32">
        <v>7.6617835113484025</v>
      </c>
      <c r="AN207" s="32">
        <v>5.1537688482348621E-3</v>
      </c>
      <c r="AO207" s="32">
        <v>9.0629412072450837</v>
      </c>
      <c r="AP207" s="19">
        <v>1.2185710335173026</v>
      </c>
      <c r="AQ207" s="19">
        <v>0.88378062338252616</v>
      </c>
      <c r="AR207" s="19">
        <v>1.599269809327418</v>
      </c>
      <c r="AS207" s="19">
        <v>0.28519035177212249</v>
      </c>
      <c r="AT207" s="19">
        <v>-0.1782397940893255</v>
      </c>
      <c r="AU207" s="19">
        <v>0.67741335329093255</v>
      </c>
      <c r="AV207" s="19">
        <v>8.750079908602193E-2</v>
      </c>
      <c r="AW207" s="19">
        <v>-0.24606401107247522</v>
      </c>
      <c r="AX207" s="19">
        <v>0.37366243905513963</v>
      </c>
      <c r="AY207" s="19">
        <v>1.2185710335173026</v>
      </c>
      <c r="AZ207" s="19">
        <v>-1.1315025171887829</v>
      </c>
      <c r="BA207" s="19">
        <v>1.599269809327418</v>
      </c>
      <c r="BB207" s="19">
        <v>1.0625279551324607</v>
      </c>
      <c r="BC207" s="19">
        <v>-1.1859671185306582</v>
      </c>
      <c r="BD207" s="19">
        <v>1.2956377773927832</v>
      </c>
      <c r="BE207" s="14" t="s">
        <v>4857</v>
      </c>
    </row>
    <row r="208" spans="1:57" s="30" customFormat="1" ht="17.100000000000001" customHeight="1">
      <c r="A208" s="14">
        <v>197</v>
      </c>
      <c r="B208" s="14" t="s">
        <v>3707</v>
      </c>
      <c r="C208" s="32">
        <v>1.4240244386956633</v>
      </c>
      <c r="D208" s="32">
        <v>1.5472926580115878</v>
      </c>
      <c r="E208" s="32">
        <v>1.3315362588832256</v>
      </c>
      <c r="F208" s="24">
        <v>97300</v>
      </c>
      <c r="G208" s="52" t="s">
        <v>2</v>
      </c>
      <c r="H208" s="32">
        <v>10.438970535292036</v>
      </c>
      <c r="I208" s="32">
        <v>12.899921008132962</v>
      </c>
      <c r="J208" s="12" t="s">
        <v>3696</v>
      </c>
      <c r="K208" s="15" t="s">
        <v>3697</v>
      </c>
      <c r="L208" s="14" t="s">
        <v>5131</v>
      </c>
      <c r="M208" s="12" t="s">
        <v>3729</v>
      </c>
      <c r="N208" s="15" t="s">
        <v>3698</v>
      </c>
      <c r="O208" s="12" t="s">
        <v>3731</v>
      </c>
      <c r="P208" s="12" t="s">
        <v>3708</v>
      </c>
      <c r="Q208" s="14">
        <v>2</v>
      </c>
      <c r="R208" s="21">
        <v>479.29</v>
      </c>
      <c r="S208" s="14">
        <v>9</v>
      </c>
      <c r="T208" s="52" t="s">
        <v>2</v>
      </c>
      <c r="U208" s="53">
        <v>23.647272727272732</v>
      </c>
      <c r="V208" s="24">
        <v>50900</v>
      </c>
      <c r="W208" s="24">
        <v>57500</v>
      </c>
      <c r="X208" s="24">
        <v>53800</v>
      </c>
      <c r="Y208" s="24">
        <v>64600</v>
      </c>
      <c r="Z208" s="24">
        <v>88200</v>
      </c>
      <c r="AA208" s="24">
        <v>87600</v>
      </c>
      <c r="AB208" s="24">
        <v>99800</v>
      </c>
      <c r="AC208" s="24">
        <v>94800</v>
      </c>
      <c r="AD208" s="24">
        <v>56700</v>
      </c>
      <c r="AE208" s="24">
        <v>92600</v>
      </c>
      <c r="AF208" s="24">
        <v>54200</v>
      </c>
      <c r="AG208" s="24">
        <v>59200</v>
      </c>
      <c r="AH208" s="24">
        <v>87900</v>
      </c>
      <c r="AI208" s="24">
        <v>97300</v>
      </c>
      <c r="AJ208" s="32">
        <v>10.438970535292036</v>
      </c>
      <c r="AK208" s="32">
        <v>6.267221653799961</v>
      </c>
      <c r="AL208" s="32">
        <v>8.6105253797623877</v>
      </c>
      <c r="AM208" s="32">
        <v>12.899921008132962</v>
      </c>
      <c r="AN208" s="32">
        <v>0.48266674483723382</v>
      </c>
      <c r="AO208" s="32">
        <v>3.6336422465906861</v>
      </c>
      <c r="AP208" s="19">
        <v>1.6331569664902998</v>
      </c>
      <c r="AQ208" s="19">
        <v>1.621771217712177</v>
      </c>
      <c r="AR208" s="19">
        <v>1.6435810810810811</v>
      </c>
      <c r="AS208" s="19">
        <v>0.70766345831800759</v>
      </c>
      <c r="AT208" s="19">
        <v>0.69757031378953249</v>
      </c>
      <c r="AU208" s="19">
        <v>0.71684262915216179</v>
      </c>
      <c r="AV208" s="19">
        <v>0.50997390563190703</v>
      </c>
      <c r="AW208" s="19">
        <v>0.62974609680638283</v>
      </c>
      <c r="AX208" s="19">
        <v>0.41309171491636887</v>
      </c>
      <c r="AY208" s="19">
        <v>1.6331569664902998</v>
      </c>
      <c r="AZ208" s="19">
        <v>1.621771217712177</v>
      </c>
      <c r="BA208" s="19">
        <v>1.6435810810810811</v>
      </c>
      <c r="BB208" s="19">
        <v>1.4240244386956633</v>
      </c>
      <c r="BC208" s="19">
        <v>1.5472926580115878</v>
      </c>
      <c r="BD208" s="19">
        <v>1.3315362588832256</v>
      </c>
      <c r="BE208" s="14" t="s">
        <v>4857</v>
      </c>
    </row>
    <row r="209" spans="1:105" s="30" customFormat="1" ht="17.100000000000001" customHeight="1">
      <c r="A209" s="14">
        <v>198</v>
      </c>
      <c r="B209" s="14" t="s">
        <v>3710</v>
      </c>
      <c r="C209" s="32">
        <v>1.1532855592680245</v>
      </c>
      <c r="D209" s="32">
        <v>1.1411184219666519</v>
      </c>
      <c r="E209" s="32">
        <v>1.1741448300623216</v>
      </c>
      <c r="F209" s="24">
        <v>121323.5</v>
      </c>
      <c r="G209" s="52" t="s">
        <v>2</v>
      </c>
      <c r="H209" s="32">
        <v>14.543281541523804</v>
      </c>
      <c r="I209" s="32">
        <v>14.3742100299815</v>
      </c>
      <c r="J209" s="12" t="s">
        <v>3711</v>
      </c>
      <c r="K209" s="15" t="s">
        <v>3712</v>
      </c>
      <c r="L209" s="14" t="s">
        <v>5308</v>
      </c>
      <c r="M209" s="12" t="s">
        <v>3729</v>
      </c>
      <c r="N209" s="15" t="s">
        <v>3713</v>
      </c>
      <c r="O209" s="12" t="s">
        <v>3731</v>
      </c>
      <c r="P209" s="12" t="s">
        <v>3715</v>
      </c>
      <c r="Q209" s="14">
        <v>2</v>
      </c>
      <c r="R209" s="21">
        <v>654.32950000000005</v>
      </c>
      <c r="S209" s="14">
        <v>1</v>
      </c>
      <c r="T209" s="52" t="s">
        <v>2</v>
      </c>
      <c r="U209" s="53">
        <v>49.414637499999998</v>
      </c>
      <c r="V209" s="24">
        <v>87765</v>
      </c>
      <c r="W209" s="24">
        <v>79706</v>
      </c>
      <c r="X209" s="24">
        <v>84574</v>
      </c>
      <c r="Y209" s="24">
        <v>82849</v>
      </c>
      <c r="Z209" s="24">
        <v>110331</v>
      </c>
      <c r="AA209" s="24">
        <v>89972</v>
      </c>
      <c r="AB209" s="24">
        <v>129153</v>
      </c>
      <c r="AC209" s="24">
        <v>113494</v>
      </c>
      <c r="AD209" s="24">
        <v>83723.5</v>
      </c>
      <c r="AE209" s="24">
        <v>110737.5</v>
      </c>
      <c r="AF209" s="24">
        <v>83735.5</v>
      </c>
      <c r="AG209" s="24">
        <v>83711.5</v>
      </c>
      <c r="AH209" s="24">
        <v>100151.5</v>
      </c>
      <c r="AI209" s="24">
        <v>121323.5</v>
      </c>
      <c r="AJ209" s="32">
        <v>4.0187357550278069</v>
      </c>
      <c r="AK209" s="32">
        <v>14.543281541523804</v>
      </c>
      <c r="AL209" s="32">
        <v>6.8054451810550916</v>
      </c>
      <c r="AM209" s="32">
        <v>1.4570987230509482</v>
      </c>
      <c r="AN209" s="32">
        <v>14.3742100299815</v>
      </c>
      <c r="AO209" s="32">
        <v>9.1264965868938397</v>
      </c>
      <c r="AP209" s="19">
        <v>1.3226573184350869</v>
      </c>
      <c r="AQ209" s="19">
        <v>1.1960458825707136</v>
      </c>
      <c r="AR209" s="19">
        <v>1.4493050536664616</v>
      </c>
      <c r="AS209" s="19">
        <v>0.40343932840962898</v>
      </c>
      <c r="AT209" s="19">
        <v>0.25827273509416321</v>
      </c>
      <c r="AU209" s="19">
        <v>0.53536128923017634</v>
      </c>
      <c r="AV209" s="19">
        <v>0.20574977572352843</v>
      </c>
      <c r="AW209" s="19">
        <v>0.19044851811101349</v>
      </c>
      <c r="AX209" s="19">
        <v>0.23161037499438342</v>
      </c>
      <c r="AY209" s="19">
        <v>1.3226573184350869</v>
      </c>
      <c r="AZ209" s="19">
        <v>1.1960458825707136</v>
      </c>
      <c r="BA209" s="19">
        <v>1.4493050536664616</v>
      </c>
      <c r="BB209" s="19">
        <v>1.1532855592680245</v>
      </c>
      <c r="BC209" s="19">
        <v>1.1411184219666519</v>
      </c>
      <c r="BD209" s="19">
        <v>1.1741448300623216</v>
      </c>
      <c r="BE209" s="14" t="s">
        <v>4857</v>
      </c>
    </row>
    <row r="210" spans="1:105" s="30" customFormat="1" ht="17.100000000000001" customHeight="1">
      <c r="A210" s="14">
        <v>199</v>
      </c>
      <c r="B210" s="14" t="s">
        <v>3716</v>
      </c>
      <c r="C210" s="32">
        <v>-1.2188768098570009</v>
      </c>
      <c r="D210" s="32">
        <v>-1.4646884653026941</v>
      </c>
      <c r="E210" s="32">
        <v>1.030869821909115</v>
      </c>
      <c r="F210" s="42">
        <v>1019457</v>
      </c>
      <c r="G210" s="52" t="s">
        <v>4894</v>
      </c>
      <c r="H210" s="32">
        <v>25.224599013163552</v>
      </c>
      <c r="I210" s="32">
        <v>15.496661168906432</v>
      </c>
      <c r="J210" s="12" t="s">
        <v>3717</v>
      </c>
      <c r="K210" s="15" t="s">
        <v>3718</v>
      </c>
      <c r="L210" s="16" t="s">
        <v>5014</v>
      </c>
      <c r="M210" s="12" t="s">
        <v>3719</v>
      </c>
      <c r="N210" s="15" t="s">
        <v>3720</v>
      </c>
      <c r="O210" s="12" t="s">
        <v>3678</v>
      </c>
      <c r="P210" s="12" t="s">
        <v>3680</v>
      </c>
      <c r="Q210" s="14">
        <v>2</v>
      </c>
      <c r="R210" s="21">
        <v>833.48030000000006</v>
      </c>
      <c r="S210" s="14">
        <v>9</v>
      </c>
      <c r="T210" s="52" t="s">
        <v>4894</v>
      </c>
      <c r="U210" s="53">
        <v>34.299999999999997</v>
      </c>
      <c r="V210" s="42">
        <v>907747</v>
      </c>
      <c r="W210" s="42">
        <v>1131167</v>
      </c>
      <c r="X210" s="42">
        <v>628538</v>
      </c>
      <c r="Y210" s="42">
        <v>757107</v>
      </c>
      <c r="Z210" s="42">
        <v>737581</v>
      </c>
      <c r="AA210" s="42">
        <v>721471</v>
      </c>
      <c r="AB210" s="42">
        <v>837197</v>
      </c>
      <c r="AC210" s="42">
        <v>925972</v>
      </c>
      <c r="AD210" s="42">
        <v>856139.75</v>
      </c>
      <c r="AE210" s="42">
        <v>805555.25</v>
      </c>
      <c r="AF210" s="42">
        <v>1019457</v>
      </c>
      <c r="AG210" s="42">
        <v>692822.5</v>
      </c>
      <c r="AH210" s="42">
        <v>729526</v>
      </c>
      <c r="AI210" s="42">
        <v>881584.5</v>
      </c>
      <c r="AJ210" s="32">
        <v>25.224599013163552</v>
      </c>
      <c r="AK210" s="32">
        <v>11.818573094674631</v>
      </c>
      <c r="AL210" s="32">
        <v>15.496661168906432</v>
      </c>
      <c r="AM210" s="32">
        <v>13.121977382428145</v>
      </c>
      <c r="AN210" s="32">
        <v>1.5614920160371641</v>
      </c>
      <c r="AO210" s="32">
        <v>7.1205204378974178</v>
      </c>
      <c r="AP210" s="19">
        <v>0.94091560402375896</v>
      </c>
      <c r="AQ210" s="19">
        <v>0.7156025217346097</v>
      </c>
      <c r="AR210" s="19">
        <v>1.272453622681134</v>
      </c>
      <c r="AS210" s="19">
        <v>-8.7862769507187743E-2</v>
      </c>
      <c r="AT210" s="19">
        <v>-0.48276962352939468</v>
      </c>
      <c r="AU210" s="19">
        <v>0.3476130751243639</v>
      </c>
      <c r="AV210" s="19">
        <v>-0.2855523221932883</v>
      </c>
      <c r="AW210" s="19">
        <v>-0.55059384051254434</v>
      </c>
      <c r="AX210" s="19">
        <v>4.3862160888570978E-2</v>
      </c>
      <c r="AY210" s="19">
        <v>-1.0627945755427701</v>
      </c>
      <c r="AZ210" s="19">
        <v>-1.3974238066909199</v>
      </c>
      <c r="BA210" s="19">
        <v>1.272453622681134</v>
      </c>
      <c r="BB210" s="19">
        <v>-1.2188768098570009</v>
      </c>
      <c r="BC210" s="19">
        <v>-1.4646884653026941</v>
      </c>
      <c r="BD210" s="19">
        <v>1.030869821909115</v>
      </c>
      <c r="BE210" s="14" t="s">
        <v>4857</v>
      </c>
    </row>
    <row r="211" spans="1:105" s="30" customFormat="1" ht="17.100000000000001" customHeight="1">
      <c r="A211" s="14">
        <v>200</v>
      </c>
      <c r="B211" s="14" t="s">
        <v>3681</v>
      </c>
      <c r="C211" s="32">
        <v>-1.0046905996740199</v>
      </c>
      <c r="D211" s="32">
        <v>1.140669255148592</v>
      </c>
      <c r="E211" s="32">
        <v>-1.1288040526330387</v>
      </c>
      <c r="F211" s="42">
        <v>15598451</v>
      </c>
      <c r="G211" s="52" t="s">
        <v>4894</v>
      </c>
      <c r="H211" s="32">
        <v>7.7398706332874783</v>
      </c>
      <c r="I211" s="32">
        <v>6.4302029771043046</v>
      </c>
      <c r="J211" s="12" t="s">
        <v>3682</v>
      </c>
      <c r="K211" s="15" t="s">
        <v>3683</v>
      </c>
      <c r="L211" s="16" t="s">
        <v>5180</v>
      </c>
      <c r="M211" s="12" t="s">
        <v>3719</v>
      </c>
      <c r="N211" s="15" t="s">
        <v>3684</v>
      </c>
      <c r="O211" s="12" t="s">
        <v>3678</v>
      </c>
      <c r="P211" s="12" t="s">
        <v>3686</v>
      </c>
      <c r="Q211" s="14">
        <v>2</v>
      </c>
      <c r="R211" s="21">
        <v>536.82169999999996</v>
      </c>
      <c r="S211" s="14">
        <v>9</v>
      </c>
      <c r="T211" s="52" t="s">
        <v>4894</v>
      </c>
      <c r="U211" s="53">
        <v>24.3</v>
      </c>
      <c r="V211" s="42">
        <v>13240333</v>
      </c>
      <c r="W211" s="42">
        <v>12088664</v>
      </c>
      <c r="X211" s="42">
        <v>14395901</v>
      </c>
      <c r="Y211" s="42">
        <v>14133450</v>
      </c>
      <c r="Z211" s="42">
        <v>15132049</v>
      </c>
      <c r="AA211" s="42">
        <v>15150669</v>
      </c>
      <c r="AB211" s="42">
        <v>15574874</v>
      </c>
      <c r="AC211" s="42">
        <v>15622028</v>
      </c>
      <c r="AD211" s="42">
        <v>13464587</v>
      </c>
      <c r="AE211" s="42">
        <v>15369905</v>
      </c>
      <c r="AF211" s="42">
        <v>12664498.5</v>
      </c>
      <c r="AG211" s="42">
        <v>14264675.5</v>
      </c>
      <c r="AH211" s="42">
        <v>15141359</v>
      </c>
      <c r="AI211" s="42">
        <v>15598451</v>
      </c>
      <c r="AJ211" s="32">
        <v>7.7398706332874783</v>
      </c>
      <c r="AK211" s="32">
        <v>1.7222783587105537</v>
      </c>
      <c r="AL211" s="32">
        <v>6.4302029771043046</v>
      </c>
      <c r="AM211" s="32">
        <v>1.3009821487295004</v>
      </c>
      <c r="AN211" s="32">
        <v>8.695605371812079E-2</v>
      </c>
      <c r="AO211" s="32">
        <v>0.21375784787906479</v>
      </c>
      <c r="AP211" s="19">
        <v>1.1415058627494479</v>
      </c>
      <c r="AQ211" s="19">
        <v>1.1955750952159692</v>
      </c>
      <c r="AR211" s="19">
        <v>1.0935019867784583</v>
      </c>
      <c r="AS211" s="19">
        <v>0.19093826923220189</v>
      </c>
      <c r="AT211" s="19">
        <v>0.25770474995179793</v>
      </c>
      <c r="AU211" s="19">
        <v>0.12895584161401288</v>
      </c>
      <c r="AV211" s="19">
        <v>-6.7512834538986655E-3</v>
      </c>
      <c r="AW211" s="19">
        <v>0.18988053296864821</v>
      </c>
      <c r="AX211" s="19">
        <v>-0.17479507262178004</v>
      </c>
      <c r="AY211" s="19">
        <v>1.1415058627494479</v>
      </c>
      <c r="AZ211" s="19">
        <v>1.1955750952159692</v>
      </c>
      <c r="BA211" s="19">
        <v>1.0935019867784583</v>
      </c>
      <c r="BB211" s="19">
        <v>-1.0046905996740199</v>
      </c>
      <c r="BC211" s="19">
        <v>1.140669255148592</v>
      </c>
      <c r="BD211" s="19">
        <v>-1.1288040526330387</v>
      </c>
      <c r="BE211" s="14" t="s">
        <v>4857</v>
      </c>
    </row>
    <row r="212" spans="1:105" s="30" customFormat="1" ht="17.100000000000001" customHeight="1">
      <c r="A212" s="14">
        <v>201</v>
      </c>
      <c r="B212" s="14" t="s">
        <v>3688</v>
      </c>
      <c r="C212" s="32">
        <v>-1.0002485486900103</v>
      </c>
      <c r="D212" s="32">
        <v>-1.1753435823301248</v>
      </c>
      <c r="E212" s="32">
        <v>1.169007815403178</v>
      </c>
      <c r="F212" s="42">
        <v>56048311</v>
      </c>
      <c r="G212" s="52" t="s">
        <v>4894</v>
      </c>
      <c r="H212" s="32">
        <v>19.06365005102338</v>
      </c>
      <c r="I212" s="32">
        <v>6.0151480611423542</v>
      </c>
      <c r="J212" s="12" t="s">
        <v>3689</v>
      </c>
      <c r="K212" s="15" t="s">
        <v>3690</v>
      </c>
      <c r="L212" s="16" t="s">
        <v>5145</v>
      </c>
      <c r="M212" s="12" t="s">
        <v>3719</v>
      </c>
      <c r="N212" s="15" t="s">
        <v>3691</v>
      </c>
      <c r="O212" s="12" t="s">
        <v>3678</v>
      </c>
      <c r="P212" s="12" t="s">
        <v>3666</v>
      </c>
      <c r="Q212" s="14">
        <v>2</v>
      </c>
      <c r="R212" s="21">
        <v>721.42229999999995</v>
      </c>
      <c r="S212" s="14">
        <v>15</v>
      </c>
      <c r="T212" s="52" t="s">
        <v>4894</v>
      </c>
      <c r="U212" s="53">
        <v>30.048237500000003</v>
      </c>
      <c r="V212" s="42">
        <v>45919696</v>
      </c>
      <c r="W212" s="42">
        <v>44442887</v>
      </c>
      <c r="X212" s="42">
        <v>40494590</v>
      </c>
      <c r="Y212" s="42">
        <v>37190375</v>
      </c>
      <c r="Z212" s="42">
        <v>41539925</v>
      </c>
      <c r="AA212" s="42">
        <v>39042609</v>
      </c>
      <c r="AB212" s="42">
        <v>55160806</v>
      </c>
      <c r="AC212" s="42">
        <v>56935816</v>
      </c>
      <c r="AD212" s="42">
        <v>42011887</v>
      </c>
      <c r="AE212" s="42">
        <v>48169789</v>
      </c>
      <c r="AF212" s="42">
        <v>45181291.5</v>
      </c>
      <c r="AG212" s="42">
        <v>38842482.5</v>
      </c>
      <c r="AH212" s="42">
        <v>40291267</v>
      </c>
      <c r="AI212" s="42">
        <v>56048311</v>
      </c>
      <c r="AJ212" s="32">
        <v>9.3943040317706554</v>
      </c>
      <c r="AK212" s="32">
        <v>19.06365005102338</v>
      </c>
      <c r="AL212" s="32">
        <v>2.3112700495011835</v>
      </c>
      <c r="AM212" s="32">
        <v>6.0151480611423542</v>
      </c>
      <c r="AN212" s="32">
        <v>4.3827588702178666</v>
      </c>
      <c r="AO212" s="32">
        <v>2.2393567001045467</v>
      </c>
      <c r="AP212" s="19">
        <v>1.1465752300057361</v>
      </c>
      <c r="AQ212" s="19">
        <v>0.89176881984438183</v>
      </c>
      <c r="AR212" s="19">
        <v>1.4429641823227957</v>
      </c>
      <c r="AS212" s="19">
        <v>0.19733101727851071</v>
      </c>
      <c r="AT212" s="19">
        <v>-0.16525833731032058</v>
      </c>
      <c r="AU212" s="19">
        <v>0.52903548927706201</v>
      </c>
      <c r="AV212" s="19">
        <v>-3.5853540758984392E-4</v>
      </c>
      <c r="AW212" s="19">
        <v>-0.2330825542934703</v>
      </c>
      <c r="AX212" s="19">
        <v>0.22528457504126909</v>
      </c>
      <c r="AY212" s="19">
        <v>1.1465752300057361</v>
      </c>
      <c r="AZ212" s="19">
        <v>-1.1213668584807721</v>
      </c>
      <c r="BA212" s="19">
        <v>1.4429641823227957</v>
      </c>
      <c r="BB212" s="19">
        <v>-1.0002485486900103</v>
      </c>
      <c r="BC212" s="19">
        <v>-1.1753435823301248</v>
      </c>
      <c r="BD212" s="19">
        <v>1.169007815403178</v>
      </c>
      <c r="BE212" s="14" t="s">
        <v>4857</v>
      </c>
    </row>
    <row r="213" spans="1:105" s="30" customFormat="1" ht="17.100000000000001" customHeight="1">
      <c r="A213" s="14">
        <v>202</v>
      </c>
      <c r="B213" s="14" t="s">
        <v>3668</v>
      </c>
      <c r="C213" s="32">
        <v>1.1632363105793444</v>
      </c>
      <c r="D213" s="32">
        <v>1.2022414114977769</v>
      </c>
      <c r="E213" s="32">
        <v>1.1290727140827583</v>
      </c>
      <c r="F213" s="24">
        <v>587462</v>
      </c>
      <c r="G213" s="52" t="s">
        <v>2</v>
      </c>
      <c r="H213" s="32">
        <v>25.156998572508581</v>
      </c>
      <c r="I213" s="32">
        <v>30.326834743962365</v>
      </c>
      <c r="J213" s="12" t="s">
        <v>3689</v>
      </c>
      <c r="K213" s="15" t="s">
        <v>3690</v>
      </c>
      <c r="L213" s="16" t="s">
        <v>5305</v>
      </c>
      <c r="M213" s="12" t="s">
        <v>3719</v>
      </c>
      <c r="N213" s="15" t="s">
        <v>3691</v>
      </c>
      <c r="O213" s="12" t="s">
        <v>3678</v>
      </c>
      <c r="P213" s="12" t="s">
        <v>3669</v>
      </c>
      <c r="Q213" s="14">
        <v>3</v>
      </c>
      <c r="R213" s="21">
        <v>467.28039999999999</v>
      </c>
      <c r="S213" s="14">
        <v>3</v>
      </c>
      <c r="T213" s="52" t="s">
        <v>2</v>
      </c>
      <c r="U213" s="53">
        <v>25.363333333333333</v>
      </c>
      <c r="V213" s="24">
        <v>412536</v>
      </c>
      <c r="W213" s="24">
        <v>266847</v>
      </c>
      <c r="X213" s="24">
        <v>492918</v>
      </c>
      <c r="Y213" s="24">
        <v>350125</v>
      </c>
      <c r="Z213" s="24">
        <v>414681</v>
      </c>
      <c r="AA213" s="24">
        <v>441417</v>
      </c>
      <c r="AB213" s="24">
        <v>693223</v>
      </c>
      <c r="AC213" s="24">
        <v>481701</v>
      </c>
      <c r="AD213" s="24">
        <v>380606.5</v>
      </c>
      <c r="AE213" s="24">
        <v>507755.5</v>
      </c>
      <c r="AF213" s="24">
        <v>339691.5</v>
      </c>
      <c r="AG213" s="24">
        <v>421521.5</v>
      </c>
      <c r="AH213" s="24">
        <v>428049</v>
      </c>
      <c r="AI213" s="24">
        <v>587462</v>
      </c>
      <c r="AJ213" s="32">
        <v>25.156998572508581</v>
      </c>
      <c r="AK213" s="32">
        <v>24.948296113531395</v>
      </c>
      <c r="AL213" s="32">
        <v>30.326834743962365</v>
      </c>
      <c r="AM213" s="32">
        <v>23.953677002470972</v>
      </c>
      <c r="AN213" s="32">
        <v>4.4165987776641309</v>
      </c>
      <c r="AO213" s="32">
        <v>25.460138795384367</v>
      </c>
      <c r="AP213" s="19">
        <v>1.3340694391714276</v>
      </c>
      <c r="AQ213" s="19">
        <v>1.2601110124922172</v>
      </c>
      <c r="AR213" s="19">
        <v>1.3936703110043023</v>
      </c>
      <c r="AS213" s="19">
        <v>0.41583376168067782</v>
      </c>
      <c r="AT213" s="19">
        <v>0.33355083699271315</v>
      </c>
      <c r="AU213" s="19">
        <v>0.47888931519925354</v>
      </c>
      <c r="AV213" s="19">
        <v>0.21814420899457726</v>
      </c>
      <c r="AW213" s="19">
        <v>0.26572662000956343</v>
      </c>
      <c r="AX213" s="19">
        <v>0.17513840096346062</v>
      </c>
      <c r="AY213" s="19">
        <v>1.3340694391714276</v>
      </c>
      <c r="AZ213" s="19">
        <v>1.2601110124922172</v>
      </c>
      <c r="BA213" s="19">
        <v>1.3936703110043023</v>
      </c>
      <c r="BB213" s="19">
        <v>1.1632363105793444</v>
      </c>
      <c r="BC213" s="19">
        <v>1.2022414114977769</v>
      </c>
      <c r="BD213" s="19">
        <v>1.1290727140827583</v>
      </c>
      <c r="BE213" s="14" t="s">
        <v>4857</v>
      </c>
    </row>
    <row r="214" spans="1:105" s="30" customFormat="1" ht="17.100000000000001" customHeight="1">
      <c r="A214" s="14">
        <v>203</v>
      </c>
      <c r="B214" s="14" t="s">
        <v>3670</v>
      </c>
      <c r="C214" s="32">
        <v>-1.2303996544735576</v>
      </c>
      <c r="D214" s="32">
        <v>-1.2083935669111916</v>
      </c>
      <c r="E214" s="32">
        <v>-1.2482183003183684</v>
      </c>
      <c r="F214" s="24">
        <v>104222</v>
      </c>
      <c r="G214" s="52" t="s">
        <v>2</v>
      </c>
      <c r="H214" s="32">
        <v>25.446197062712923</v>
      </c>
      <c r="I214" s="32">
        <v>32.030196253974125</v>
      </c>
      <c r="J214" s="12" t="s">
        <v>3689</v>
      </c>
      <c r="K214" s="15" t="s">
        <v>3690</v>
      </c>
      <c r="L214" s="16" t="s">
        <v>5103</v>
      </c>
      <c r="M214" s="12" t="s">
        <v>3719</v>
      </c>
      <c r="N214" s="15" t="s">
        <v>3691</v>
      </c>
      <c r="O214" s="12" t="s">
        <v>3678</v>
      </c>
      <c r="P214" s="12" t="s">
        <v>3671</v>
      </c>
      <c r="Q214" s="14">
        <v>2</v>
      </c>
      <c r="R214" s="21">
        <v>700.41700000000003</v>
      </c>
      <c r="S214" s="14">
        <v>9</v>
      </c>
      <c r="T214" s="52" t="s">
        <v>2</v>
      </c>
      <c r="U214" s="53">
        <v>23.666799999999995</v>
      </c>
      <c r="V214" s="24">
        <v>108485</v>
      </c>
      <c r="W214" s="24">
        <v>74389</v>
      </c>
      <c r="X214" s="24">
        <v>127827</v>
      </c>
      <c r="Y214" s="24">
        <v>80617</v>
      </c>
      <c r="Z214" s="24">
        <v>75988</v>
      </c>
      <c r="AA214" s="24">
        <v>82633</v>
      </c>
      <c r="AB214" s="24">
        <v>108858</v>
      </c>
      <c r="AC214" s="24">
        <v>97270</v>
      </c>
      <c r="AD214" s="24">
        <v>97829.5</v>
      </c>
      <c r="AE214" s="24">
        <v>91187.25</v>
      </c>
      <c r="AF214" s="24">
        <v>91437</v>
      </c>
      <c r="AG214" s="24">
        <v>104222</v>
      </c>
      <c r="AH214" s="24">
        <v>79310.5</v>
      </c>
      <c r="AI214" s="24">
        <v>103064</v>
      </c>
      <c r="AJ214" s="32">
        <v>25.446197062712923</v>
      </c>
      <c r="AK214" s="32">
        <v>16.184923582437637</v>
      </c>
      <c r="AL214" s="32">
        <v>26.367348897422843</v>
      </c>
      <c r="AM214" s="32">
        <v>32.030196253974125</v>
      </c>
      <c r="AN214" s="32">
        <v>5.9244672029360661</v>
      </c>
      <c r="AO214" s="32">
        <v>7.9503545179594344</v>
      </c>
      <c r="AP214" s="19">
        <v>0.93210381326695935</v>
      </c>
      <c r="AQ214" s="19">
        <v>0.86737863228233647</v>
      </c>
      <c r="AR214" s="19">
        <v>0.98888910210895975</v>
      </c>
      <c r="AS214" s="19">
        <v>-0.10143745058213252</v>
      </c>
      <c r="AT214" s="19">
        <v>-0.2052661917832051</v>
      </c>
      <c r="AU214" s="19">
        <v>-1.611935429546222E-2</v>
      </c>
      <c r="AV214" s="19">
        <v>-0.29912700326823305</v>
      </c>
      <c r="AW214" s="19">
        <v>-0.27309040876635482</v>
      </c>
      <c r="AX214" s="19">
        <v>-0.31987026853125516</v>
      </c>
      <c r="AY214" s="19">
        <v>-1.0728418720818975</v>
      </c>
      <c r="AZ214" s="19">
        <v>-1.1528990486757744</v>
      </c>
      <c r="BA214" s="19">
        <v>-1.0112357370177754</v>
      </c>
      <c r="BB214" s="19">
        <v>-1.2303996544735576</v>
      </c>
      <c r="BC214" s="19">
        <v>-1.2083935669111916</v>
      </c>
      <c r="BD214" s="19">
        <v>-1.2482183003183684</v>
      </c>
      <c r="BE214" s="14" t="s">
        <v>4857</v>
      </c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V214" s="28"/>
      <c r="BW214" s="28"/>
      <c r="BX214" s="28"/>
      <c r="BY214" s="28"/>
      <c r="BZ214" s="28"/>
      <c r="CA214" s="28"/>
      <c r="CB214" s="28"/>
      <c r="CC214" s="28"/>
      <c r="CD214" s="28"/>
      <c r="CE214" s="28"/>
      <c r="CF214" s="28"/>
      <c r="CG214" s="28"/>
      <c r="CH214" s="28"/>
      <c r="CI214" s="28"/>
      <c r="CJ214" s="28"/>
      <c r="CK214" s="28"/>
      <c r="CL214" s="28"/>
      <c r="CM214" s="28"/>
      <c r="CN214" s="28"/>
      <c r="CO214" s="28"/>
      <c r="CP214" s="28"/>
      <c r="CQ214" s="28"/>
      <c r="CR214" s="28"/>
      <c r="CS214" s="28"/>
      <c r="CT214" s="28"/>
      <c r="CU214" s="28"/>
      <c r="CV214" s="28"/>
      <c r="CW214" s="28"/>
      <c r="CX214" s="28"/>
      <c r="CY214" s="28"/>
      <c r="CZ214" s="28"/>
      <c r="DA214" s="28"/>
    </row>
    <row r="215" spans="1:105" s="30" customFormat="1" ht="17.100000000000001" customHeight="1">
      <c r="A215" s="14">
        <v>204</v>
      </c>
      <c r="B215" s="14" t="s">
        <v>3675</v>
      </c>
      <c r="C215" s="32">
        <v>1.0668045689570778</v>
      </c>
      <c r="D215" s="32">
        <v>-1.3123168907618858</v>
      </c>
      <c r="E215" s="32">
        <v>1.4448557813434644</v>
      </c>
      <c r="F215" s="24">
        <v>87388.5</v>
      </c>
      <c r="G215" s="52" t="s">
        <v>2</v>
      </c>
      <c r="H215" s="32">
        <v>36.456839457671094</v>
      </c>
      <c r="I215" s="32">
        <v>42.461765220637965</v>
      </c>
      <c r="J215" s="12" t="s">
        <v>3689</v>
      </c>
      <c r="K215" s="15" t="s">
        <v>3690</v>
      </c>
      <c r="L215" s="16" t="s">
        <v>5071</v>
      </c>
      <c r="M215" s="12" t="s">
        <v>3719</v>
      </c>
      <c r="N215" s="15" t="s">
        <v>3691</v>
      </c>
      <c r="O215" s="12" t="s">
        <v>3678</v>
      </c>
      <c r="P215" s="12" t="s">
        <v>3676</v>
      </c>
      <c r="Q215" s="14">
        <v>2</v>
      </c>
      <c r="R215" s="21">
        <v>543.33749999999998</v>
      </c>
      <c r="S215" s="14">
        <v>2</v>
      </c>
      <c r="T215" s="52" t="s">
        <v>2</v>
      </c>
      <c r="U215" s="53">
        <v>23.6325</v>
      </c>
      <c r="V215" s="24">
        <v>83989</v>
      </c>
      <c r="W215" s="24">
        <v>45200</v>
      </c>
      <c r="X215" s="24">
        <v>61057</v>
      </c>
      <c r="Y215" s="24">
        <v>36942</v>
      </c>
      <c r="Z215" s="24">
        <v>45801</v>
      </c>
      <c r="AA215" s="24">
        <v>57381</v>
      </c>
      <c r="AB215" s="24">
        <v>80893</v>
      </c>
      <c r="AC215" s="24">
        <v>93884</v>
      </c>
      <c r="AD215" s="24">
        <v>56797</v>
      </c>
      <c r="AE215" s="24">
        <v>69489.75</v>
      </c>
      <c r="AF215" s="24">
        <v>64594.5</v>
      </c>
      <c r="AG215" s="24">
        <v>48999.5</v>
      </c>
      <c r="AH215" s="24">
        <v>51591</v>
      </c>
      <c r="AI215" s="24">
        <v>87388.5</v>
      </c>
      <c r="AJ215" s="32">
        <v>36.456839457671094</v>
      </c>
      <c r="AK215" s="32">
        <v>31.450343254775053</v>
      </c>
      <c r="AL215" s="32">
        <v>42.461765220637965</v>
      </c>
      <c r="AM215" s="32">
        <v>34.800110262989605</v>
      </c>
      <c r="AN215" s="32">
        <v>15.871560012677058</v>
      </c>
      <c r="AO215" s="32">
        <v>10.511708284722175</v>
      </c>
      <c r="AP215" s="19">
        <v>1.2234757117453388</v>
      </c>
      <c r="AQ215" s="19">
        <v>0.79869029096904531</v>
      </c>
      <c r="AR215" s="19">
        <v>1.7834569740507555</v>
      </c>
      <c r="AS215" s="19">
        <v>0.29098546153797356</v>
      </c>
      <c r="AT215" s="19">
        <v>-0.32429191877164587</v>
      </c>
      <c r="AU215" s="19">
        <v>0.83467641116645264</v>
      </c>
      <c r="AV215" s="19">
        <v>9.3295908851873E-2</v>
      </c>
      <c r="AW215" s="19">
        <v>-0.39211613575479559</v>
      </c>
      <c r="AX215" s="19">
        <v>0.53092549693065971</v>
      </c>
      <c r="AY215" s="19">
        <v>1.2234757117453388</v>
      </c>
      <c r="AZ215" s="19">
        <v>-1.2520497761237426</v>
      </c>
      <c r="BA215" s="19">
        <v>1.7834569740507555</v>
      </c>
      <c r="BB215" s="19">
        <v>1.0668045689570778</v>
      </c>
      <c r="BC215" s="19">
        <v>-1.3123168907618858</v>
      </c>
      <c r="BD215" s="19">
        <v>1.4448557813434644</v>
      </c>
      <c r="BE215" s="14" t="s">
        <v>4857</v>
      </c>
    </row>
    <row r="216" spans="1:105" s="30" customFormat="1" ht="17.100000000000001" customHeight="1">
      <c r="A216" s="14">
        <v>205</v>
      </c>
      <c r="B216" s="14" t="s">
        <v>3677</v>
      </c>
      <c r="C216" s="32">
        <v>1.0371774475262516</v>
      </c>
      <c r="D216" s="32">
        <v>1.0408017774967413</v>
      </c>
      <c r="E216" s="32">
        <v>1.0220398888660491</v>
      </c>
      <c r="F216" s="24">
        <v>503542.5</v>
      </c>
      <c r="G216" s="52" t="s">
        <v>2</v>
      </c>
      <c r="H216" s="32">
        <v>26.74910916809737</v>
      </c>
      <c r="I216" s="32">
        <v>29.137443399000762</v>
      </c>
      <c r="J216" s="12" t="s">
        <v>3689</v>
      </c>
      <c r="K216" s="15" t="s">
        <v>3690</v>
      </c>
      <c r="L216" s="16" t="s">
        <v>5271</v>
      </c>
      <c r="M216" s="12" t="s">
        <v>3719</v>
      </c>
      <c r="N216" s="15" t="s">
        <v>3691</v>
      </c>
      <c r="O216" s="12" t="s">
        <v>3678</v>
      </c>
      <c r="P216" s="12" t="s">
        <v>3652</v>
      </c>
      <c r="Q216" s="14">
        <v>2</v>
      </c>
      <c r="R216" s="21">
        <v>564.34280000000001</v>
      </c>
      <c r="S216" s="14">
        <v>7</v>
      </c>
      <c r="T216" s="52" t="s">
        <v>2</v>
      </c>
      <c r="U216" s="53">
        <v>25.586450000000003</v>
      </c>
      <c r="V216" s="24">
        <v>351804</v>
      </c>
      <c r="W216" s="24">
        <v>231603</v>
      </c>
      <c r="X216" s="24">
        <v>390841</v>
      </c>
      <c r="Y216" s="24">
        <v>407448</v>
      </c>
      <c r="Z216" s="24">
        <v>288285</v>
      </c>
      <c r="AA216" s="24">
        <v>348154</v>
      </c>
      <c r="AB216" s="24">
        <v>510680</v>
      </c>
      <c r="AC216" s="24">
        <v>496405</v>
      </c>
      <c r="AD216" s="24">
        <v>345424</v>
      </c>
      <c r="AE216" s="24">
        <v>410881</v>
      </c>
      <c r="AF216" s="24">
        <v>291703.5</v>
      </c>
      <c r="AG216" s="24">
        <v>399144.5</v>
      </c>
      <c r="AH216" s="24">
        <v>318219.5</v>
      </c>
      <c r="AI216" s="24">
        <v>503542.5</v>
      </c>
      <c r="AJ216" s="32">
        <v>22.981700071754869</v>
      </c>
      <c r="AK216" s="32">
        <v>26.74910916809737</v>
      </c>
      <c r="AL216" s="32">
        <v>29.137443399000762</v>
      </c>
      <c r="AM216" s="32">
        <v>2.942022830119166</v>
      </c>
      <c r="AN216" s="32">
        <v>13.30332549792122</v>
      </c>
      <c r="AO216" s="32">
        <v>2.0045873588501397</v>
      </c>
      <c r="AP216" s="19">
        <v>1.1894975450460883</v>
      </c>
      <c r="AQ216" s="19">
        <v>1.0909005205628317</v>
      </c>
      <c r="AR216" s="19">
        <v>1.2615543994718705</v>
      </c>
      <c r="AS216" s="19">
        <v>0.25035229424855504</v>
      </c>
      <c r="AT216" s="19">
        <v>0.12551954800962817</v>
      </c>
      <c r="AU216" s="19">
        <v>0.33520241809079909</v>
      </c>
      <c r="AV216" s="19">
        <v>5.2662741562454485E-2</v>
      </c>
      <c r="AW216" s="19">
        <v>5.7695331026478461E-2</v>
      </c>
      <c r="AX216" s="19">
        <v>3.1451503855006169E-2</v>
      </c>
      <c r="AY216" s="19">
        <v>1.1894975450460883</v>
      </c>
      <c r="AZ216" s="19">
        <v>1.0909005205628317</v>
      </c>
      <c r="BA216" s="19">
        <v>1.2615543994718705</v>
      </c>
      <c r="BB216" s="19">
        <v>1.0371774475262516</v>
      </c>
      <c r="BC216" s="19">
        <v>1.0408017774967413</v>
      </c>
      <c r="BD216" s="19">
        <v>1.0220398888660491</v>
      </c>
      <c r="BE216" s="14" t="s">
        <v>4857</v>
      </c>
    </row>
    <row r="217" spans="1:105" s="30" customFormat="1" ht="17.100000000000001" customHeight="1">
      <c r="A217" s="14">
        <v>206</v>
      </c>
      <c r="B217" s="14" t="s">
        <v>4792</v>
      </c>
      <c r="C217" s="32">
        <v>1.0626941611342506</v>
      </c>
      <c r="D217" s="32">
        <v>1.2293963098542793</v>
      </c>
      <c r="E217" s="32">
        <v>-1.0682923134725903</v>
      </c>
      <c r="F217" s="24">
        <v>197300.5</v>
      </c>
      <c r="G217" s="52" t="s">
        <v>2</v>
      </c>
      <c r="H217" s="32">
        <v>20.793120924372317</v>
      </c>
      <c r="I217" s="32">
        <v>32.216513783617422</v>
      </c>
      <c r="J217" s="12" t="s">
        <v>3653</v>
      </c>
      <c r="K217" s="15" t="s">
        <v>3654</v>
      </c>
      <c r="L217" s="16" t="s">
        <v>5219</v>
      </c>
      <c r="M217" s="12" t="s">
        <v>3719</v>
      </c>
      <c r="N217" s="15" t="s">
        <v>3655</v>
      </c>
      <c r="O217" s="12" t="s">
        <v>3678</v>
      </c>
      <c r="P217" s="12" t="s">
        <v>3657</v>
      </c>
      <c r="Q217" s="14">
        <v>2</v>
      </c>
      <c r="R217" s="21">
        <v>567.81129999999996</v>
      </c>
      <c r="S217" s="14">
        <v>1</v>
      </c>
      <c r="T217" s="52" t="s">
        <v>2</v>
      </c>
      <c r="U217" s="53">
        <v>25.071712499999997</v>
      </c>
      <c r="V217" s="24">
        <v>118235</v>
      </c>
      <c r="W217" s="24">
        <v>187996</v>
      </c>
      <c r="X217" s="24">
        <v>187264</v>
      </c>
      <c r="Y217" s="24">
        <v>150361</v>
      </c>
      <c r="Z217" s="24">
        <v>207903</v>
      </c>
      <c r="AA217" s="24">
        <v>186698</v>
      </c>
      <c r="AB217" s="24">
        <v>199448</v>
      </c>
      <c r="AC217" s="24">
        <v>190658</v>
      </c>
      <c r="AD217" s="24">
        <v>160964</v>
      </c>
      <c r="AE217" s="24">
        <v>196176.75</v>
      </c>
      <c r="AF217" s="24">
        <v>153115.5</v>
      </c>
      <c r="AG217" s="24">
        <v>168812.5</v>
      </c>
      <c r="AH217" s="24">
        <v>197300.5</v>
      </c>
      <c r="AI217" s="24">
        <v>195053</v>
      </c>
      <c r="AJ217" s="32">
        <v>20.793120924372317</v>
      </c>
      <c r="AK217" s="32">
        <v>4.8224920298667326</v>
      </c>
      <c r="AL217" s="32">
        <v>32.216513783617422</v>
      </c>
      <c r="AM217" s="32">
        <v>15.457600323511093</v>
      </c>
      <c r="AN217" s="32">
        <v>7.5996762780939431</v>
      </c>
      <c r="AO217" s="32">
        <v>3.1865537093147775</v>
      </c>
      <c r="AP217" s="19">
        <v>1.2187616485673816</v>
      </c>
      <c r="AQ217" s="19">
        <v>1.2885730053456377</v>
      </c>
      <c r="AR217" s="19">
        <v>1.155441688263606</v>
      </c>
      <c r="AS217" s="19">
        <v>0.2854160077853945</v>
      </c>
      <c r="AT217" s="19">
        <v>0.36577427679118762</v>
      </c>
      <c r="AU217" s="19">
        <v>0.20844445307626444</v>
      </c>
      <c r="AV217" s="19">
        <v>8.7726455099293943E-2</v>
      </c>
      <c r="AW217" s="19">
        <v>0.2979500598080379</v>
      </c>
      <c r="AX217" s="19">
        <v>-9.5306461159528483E-2</v>
      </c>
      <c r="AY217" s="19">
        <v>1.2187616485673816</v>
      </c>
      <c r="AZ217" s="19">
        <v>1.2885730053456377</v>
      </c>
      <c r="BA217" s="19">
        <v>1.155441688263606</v>
      </c>
      <c r="BB217" s="19">
        <v>1.0626941611342506</v>
      </c>
      <c r="BC217" s="19">
        <v>1.2293963098542793</v>
      </c>
      <c r="BD217" s="19">
        <v>-1.0682923134725903</v>
      </c>
      <c r="BE217" s="14" t="s">
        <v>4857</v>
      </c>
    </row>
    <row r="218" spans="1:105" s="30" customFormat="1" ht="17.100000000000001" customHeight="1">
      <c r="A218" s="14">
        <v>207</v>
      </c>
      <c r="B218" s="14" t="s">
        <v>3658</v>
      </c>
      <c r="C218" s="32">
        <v>1.0084084869485341</v>
      </c>
      <c r="D218" s="32">
        <v>-1.6051674375375966</v>
      </c>
      <c r="E218" s="32">
        <v>1.3355626658361961</v>
      </c>
      <c r="F218" s="24">
        <v>42695</v>
      </c>
      <c r="G218" s="52" t="s">
        <v>2</v>
      </c>
      <c r="H218" s="32">
        <v>58.499757672227425</v>
      </c>
      <c r="I218" s="32">
        <v>33.438308729725719</v>
      </c>
      <c r="J218" s="12" t="s">
        <v>3653</v>
      </c>
      <c r="K218" s="15" t="s">
        <v>3654</v>
      </c>
      <c r="L218" s="16" t="s">
        <v>4985</v>
      </c>
      <c r="M218" s="12" t="s">
        <v>3719</v>
      </c>
      <c r="N218" s="15" t="s">
        <v>3655</v>
      </c>
      <c r="O218" s="12" t="s">
        <v>3678</v>
      </c>
      <c r="P218" s="12" t="s">
        <v>3659</v>
      </c>
      <c r="Q218" s="14">
        <v>2</v>
      </c>
      <c r="R218" s="21">
        <v>809.94359999999995</v>
      </c>
      <c r="S218" s="14">
        <v>1</v>
      </c>
      <c r="T218" s="52" t="s">
        <v>2</v>
      </c>
      <c r="U218" s="53">
        <v>30.618850000000002</v>
      </c>
      <c r="V218" s="24">
        <v>25320</v>
      </c>
      <c r="W218" s="24">
        <v>25296</v>
      </c>
      <c r="X218" s="24">
        <v>24206</v>
      </c>
      <c r="Y218" s="24">
        <v>27591</v>
      </c>
      <c r="Z218" s="24">
        <v>18922</v>
      </c>
      <c r="AA218" s="24">
        <v>14129</v>
      </c>
      <c r="AB218" s="24">
        <v>32600</v>
      </c>
      <c r="AC218" s="24">
        <v>52790</v>
      </c>
      <c r="AD218" s="24">
        <v>25603.25</v>
      </c>
      <c r="AE218" s="24">
        <v>29610.25</v>
      </c>
      <c r="AF218" s="24">
        <v>25308</v>
      </c>
      <c r="AG218" s="24">
        <v>25898.5</v>
      </c>
      <c r="AH218" s="24">
        <v>16525.5</v>
      </c>
      <c r="AI218" s="24">
        <v>42695</v>
      </c>
      <c r="AJ218" s="32">
        <v>5.5593992715618041</v>
      </c>
      <c r="AK218" s="32">
        <v>58.499757672227425</v>
      </c>
      <c r="AL218" s="32">
        <v>6.7056119600431244E-2</v>
      </c>
      <c r="AM218" s="32">
        <v>9.2420659664322766</v>
      </c>
      <c r="AN218" s="32">
        <v>20.508685378518791</v>
      </c>
      <c r="AO218" s="32">
        <v>33.438308729725719</v>
      </c>
      <c r="AP218" s="19">
        <v>1.1565035688828567</v>
      </c>
      <c r="AQ218" s="19">
        <v>0.65297534376481747</v>
      </c>
      <c r="AR218" s="19">
        <v>1.6485510743865475</v>
      </c>
      <c r="AS218" s="19">
        <v>0.20976971802914399</v>
      </c>
      <c r="AT218" s="19">
        <v>-0.61489957800049833</v>
      </c>
      <c r="AU218" s="19">
        <v>0.7211985843833375</v>
      </c>
      <c r="AV218" s="19">
        <v>1.2080165343043431E-2</v>
      </c>
      <c r="AW218" s="19">
        <v>-0.68272379498364799</v>
      </c>
      <c r="AX218" s="19">
        <v>0.41744767014754458</v>
      </c>
      <c r="AY218" s="19">
        <v>1.1565035688828567</v>
      </c>
      <c r="AZ218" s="19">
        <v>-1.5314513933012617</v>
      </c>
      <c r="BA218" s="19">
        <v>1.6485510743865475</v>
      </c>
      <c r="BB218" s="19">
        <v>1.0084084869485341</v>
      </c>
      <c r="BC218" s="19">
        <v>-1.6051674375375966</v>
      </c>
      <c r="BD218" s="19">
        <v>1.3355626658361961</v>
      </c>
      <c r="BE218" s="14" t="s">
        <v>4857</v>
      </c>
    </row>
    <row r="219" spans="1:105" s="30" customFormat="1" ht="17.100000000000001" customHeight="1">
      <c r="A219" s="14">
        <v>208</v>
      </c>
      <c r="B219" s="14" t="s">
        <v>3662</v>
      </c>
      <c r="C219" s="32">
        <v>1</v>
      </c>
      <c r="D219" s="32">
        <v>1.0096165030975566</v>
      </c>
      <c r="E219" s="32">
        <v>-1.0086305779897433</v>
      </c>
      <c r="F219" s="39">
        <v>424584.5</v>
      </c>
      <c r="G219" s="52" t="s">
        <v>2</v>
      </c>
      <c r="H219" s="32">
        <v>19.775302912234874</v>
      </c>
      <c r="I219" s="32">
        <v>27.160896854191225</v>
      </c>
      <c r="J219" s="12" t="s">
        <v>3653</v>
      </c>
      <c r="K219" s="15" t="s">
        <v>3654</v>
      </c>
      <c r="L219" s="16" t="s">
        <v>5258</v>
      </c>
      <c r="M219" s="12" t="s">
        <v>3719</v>
      </c>
      <c r="N219" s="15" t="s">
        <v>3655</v>
      </c>
      <c r="O219" s="12" t="s">
        <v>3678</v>
      </c>
      <c r="P219" s="12" t="s">
        <v>3661</v>
      </c>
      <c r="Q219" s="14">
        <v>3</v>
      </c>
      <c r="R219" s="21">
        <v>597</v>
      </c>
      <c r="S219" s="14">
        <v>8</v>
      </c>
      <c r="T219" s="52" t="s">
        <v>2</v>
      </c>
      <c r="U219" s="53">
        <v>33.099199999999996</v>
      </c>
      <c r="V219" s="39">
        <v>358902</v>
      </c>
      <c r="W219" s="39">
        <v>243254</v>
      </c>
      <c r="X219" s="39">
        <v>359252</v>
      </c>
      <c r="Y219" s="39">
        <v>334634</v>
      </c>
      <c r="Z219" s="39">
        <v>280905</v>
      </c>
      <c r="AA219" s="39">
        <v>356305</v>
      </c>
      <c r="AB219" s="39">
        <v>391985</v>
      </c>
      <c r="AC219" s="39">
        <v>457184</v>
      </c>
      <c r="AD219" s="39">
        <v>324010.5</v>
      </c>
      <c r="AE219" s="39">
        <v>371594.75</v>
      </c>
      <c r="AF219" s="39">
        <v>301078</v>
      </c>
      <c r="AG219" s="39">
        <v>346943</v>
      </c>
      <c r="AH219" s="39">
        <v>318605</v>
      </c>
      <c r="AI219" s="39">
        <v>424584.5</v>
      </c>
      <c r="AJ219" s="32">
        <v>16.992379885437767</v>
      </c>
      <c r="AK219" s="32">
        <v>19.775302912234874</v>
      </c>
      <c r="AL219" s="32">
        <v>27.160896854191225</v>
      </c>
      <c r="AM219" s="32">
        <v>5.0174105657847043</v>
      </c>
      <c r="AN219" s="32">
        <v>16.734153984233043</v>
      </c>
      <c r="AO219" s="32">
        <v>10.858299119864649</v>
      </c>
      <c r="AP219" s="19">
        <v>1.1468602097771523</v>
      </c>
      <c r="AQ219" s="19">
        <v>1.0582141504859206</v>
      </c>
      <c r="AR219" s="19">
        <v>1.2237874809406732</v>
      </c>
      <c r="AS219" s="19">
        <v>0.19768955268610056</v>
      </c>
      <c r="AT219" s="19">
        <v>8.1631614768085586E-2</v>
      </c>
      <c r="AU219" s="19">
        <v>0.29135304592839673</v>
      </c>
      <c r="AV219" s="19">
        <v>0</v>
      </c>
      <c r="AW219" s="19">
        <v>1.3807397784935879E-2</v>
      </c>
      <c r="AX219" s="19">
        <v>-1.2397868307396198E-2</v>
      </c>
      <c r="AY219" s="19">
        <v>1.1468602097771523</v>
      </c>
      <c r="AZ219" s="19">
        <v>1.0582141504859206</v>
      </c>
      <c r="BA219" s="19">
        <v>1.2237874809406732</v>
      </c>
      <c r="BB219" s="19">
        <v>1</v>
      </c>
      <c r="BC219" s="19">
        <v>1.0096165030975566</v>
      </c>
      <c r="BD219" s="19">
        <v>-1.0086305779897433</v>
      </c>
      <c r="BE219" s="14" t="s">
        <v>4857</v>
      </c>
    </row>
    <row r="220" spans="1:105" s="30" customFormat="1" ht="17.100000000000001" customHeight="1">
      <c r="A220" s="14">
        <v>209</v>
      </c>
      <c r="B220" s="14" t="s">
        <v>3663</v>
      </c>
      <c r="C220" s="32">
        <v>1</v>
      </c>
      <c r="D220" s="32">
        <v>1.0096165030975566</v>
      </c>
      <c r="E220" s="32">
        <v>-1.0086305779897433</v>
      </c>
      <c r="F220" s="39">
        <v>424584.5</v>
      </c>
      <c r="G220" s="52" t="s">
        <v>2</v>
      </c>
      <c r="H220" s="32">
        <v>19.775302912234874</v>
      </c>
      <c r="I220" s="32">
        <v>27.160896854191225</v>
      </c>
      <c r="J220" s="12" t="s">
        <v>3653</v>
      </c>
      <c r="K220" s="15" t="s">
        <v>3654</v>
      </c>
      <c r="L220" s="16" t="s">
        <v>5259</v>
      </c>
      <c r="M220" s="12" t="s">
        <v>3719</v>
      </c>
      <c r="N220" s="15" t="s">
        <v>3655</v>
      </c>
      <c r="O220" s="12" t="s">
        <v>3678</v>
      </c>
      <c r="P220" s="12" t="s">
        <v>3664</v>
      </c>
      <c r="Q220" s="14">
        <v>3</v>
      </c>
      <c r="R220" s="21">
        <v>597</v>
      </c>
      <c r="S220" s="14">
        <v>1</v>
      </c>
      <c r="T220" s="52" t="s">
        <v>2</v>
      </c>
      <c r="U220" s="53">
        <v>33.099199999999996</v>
      </c>
      <c r="V220" s="39">
        <v>358902</v>
      </c>
      <c r="W220" s="39">
        <v>243254</v>
      </c>
      <c r="X220" s="39">
        <v>359252</v>
      </c>
      <c r="Y220" s="39">
        <v>334634</v>
      </c>
      <c r="Z220" s="39">
        <v>280905</v>
      </c>
      <c r="AA220" s="39">
        <v>356305</v>
      </c>
      <c r="AB220" s="39">
        <v>391985</v>
      </c>
      <c r="AC220" s="39">
        <v>457184</v>
      </c>
      <c r="AD220" s="39">
        <v>324010.5</v>
      </c>
      <c r="AE220" s="39">
        <v>371594.75</v>
      </c>
      <c r="AF220" s="39">
        <v>301078</v>
      </c>
      <c r="AG220" s="39">
        <v>346943</v>
      </c>
      <c r="AH220" s="39">
        <v>318605</v>
      </c>
      <c r="AI220" s="39">
        <v>424584.5</v>
      </c>
      <c r="AJ220" s="32">
        <v>16.992379885437767</v>
      </c>
      <c r="AK220" s="32">
        <v>19.775302912234874</v>
      </c>
      <c r="AL220" s="32">
        <v>27.160896854191225</v>
      </c>
      <c r="AM220" s="32">
        <v>5.0174105657847043</v>
      </c>
      <c r="AN220" s="32">
        <v>16.734153984233043</v>
      </c>
      <c r="AO220" s="32">
        <v>10.858299119864649</v>
      </c>
      <c r="AP220" s="19">
        <v>1.1468602097771523</v>
      </c>
      <c r="AQ220" s="19">
        <v>1.0582141504859206</v>
      </c>
      <c r="AR220" s="19">
        <v>1.2237874809406732</v>
      </c>
      <c r="AS220" s="19">
        <v>0.19768955268610056</v>
      </c>
      <c r="AT220" s="19">
        <v>8.1631614768085586E-2</v>
      </c>
      <c r="AU220" s="19">
        <v>0.29135304592839673</v>
      </c>
      <c r="AV220" s="19">
        <v>0</v>
      </c>
      <c r="AW220" s="19">
        <v>1.3807397784935879E-2</v>
      </c>
      <c r="AX220" s="19">
        <v>-1.2397868307396198E-2</v>
      </c>
      <c r="AY220" s="19">
        <v>1.1468602097771523</v>
      </c>
      <c r="AZ220" s="19">
        <v>1.0582141504859206</v>
      </c>
      <c r="BA220" s="19">
        <v>1.2237874809406732</v>
      </c>
      <c r="BB220" s="19">
        <v>1</v>
      </c>
      <c r="BC220" s="19">
        <v>1.0096165030975566</v>
      </c>
      <c r="BD220" s="19">
        <v>-1.0086305779897433</v>
      </c>
      <c r="BE220" s="14" t="s">
        <v>4857</v>
      </c>
    </row>
    <row r="221" spans="1:105" s="30" customFormat="1" ht="17.100000000000001" customHeight="1">
      <c r="A221" s="14">
        <v>210</v>
      </c>
      <c r="B221" s="14" t="s">
        <v>3665</v>
      </c>
      <c r="C221" s="32">
        <v>-1.0572620566986135</v>
      </c>
      <c r="D221" s="32">
        <v>-1.1994416927520863</v>
      </c>
      <c r="E221" s="32">
        <v>1.0253130821561369</v>
      </c>
      <c r="F221" s="24">
        <v>93542</v>
      </c>
      <c r="G221" s="52" t="s">
        <v>2</v>
      </c>
      <c r="H221" s="32">
        <v>31.201362278795475</v>
      </c>
      <c r="I221" s="32">
        <v>40.345539167003729</v>
      </c>
      <c r="J221" s="12" t="s">
        <v>3653</v>
      </c>
      <c r="K221" s="15" t="s">
        <v>3654</v>
      </c>
      <c r="L221" s="16" t="s">
        <v>5132</v>
      </c>
      <c r="M221" s="12" t="s">
        <v>3719</v>
      </c>
      <c r="N221" s="15" t="s">
        <v>3655</v>
      </c>
      <c r="O221" s="12" t="s">
        <v>3678</v>
      </c>
      <c r="P221" s="12" t="s">
        <v>3593</v>
      </c>
      <c r="Q221" s="14">
        <v>3</v>
      </c>
      <c r="R221" s="21">
        <v>540.29809999999998</v>
      </c>
      <c r="S221" s="14">
        <v>2</v>
      </c>
      <c r="T221" s="52" t="s">
        <v>2</v>
      </c>
      <c r="U221" s="53">
        <v>30.649825</v>
      </c>
      <c r="V221" s="24">
        <v>81464</v>
      </c>
      <c r="W221" s="24">
        <v>45300</v>
      </c>
      <c r="X221" s="24">
        <v>63265</v>
      </c>
      <c r="Y221" s="24">
        <v>84558</v>
      </c>
      <c r="Z221" s="24">
        <v>59097</v>
      </c>
      <c r="AA221" s="24">
        <v>51676</v>
      </c>
      <c r="AB221" s="24">
        <v>101790</v>
      </c>
      <c r="AC221" s="24">
        <v>85294</v>
      </c>
      <c r="AD221" s="24">
        <v>68646.75</v>
      </c>
      <c r="AE221" s="24">
        <v>74464.25</v>
      </c>
      <c r="AF221" s="24">
        <v>63382</v>
      </c>
      <c r="AG221" s="24">
        <v>73911.5</v>
      </c>
      <c r="AH221" s="24">
        <v>55386.5</v>
      </c>
      <c r="AI221" s="24">
        <v>93542</v>
      </c>
      <c r="AJ221" s="32">
        <v>26.482695713337307</v>
      </c>
      <c r="AK221" s="32">
        <v>31.201362278795475</v>
      </c>
      <c r="AL221" s="32">
        <v>40.345539167003729</v>
      </c>
      <c r="AM221" s="32">
        <v>20.370882327926175</v>
      </c>
      <c r="AN221" s="32">
        <v>9.4742210162862239</v>
      </c>
      <c r="AO221" s="32">
        <v>12.46972853098425</v>
      </c>
      <c r="AP221" s="19">
        <v>1.0847454540819486</v>
      </c>
      <c r="AQ221" s="19">
        <v>0.87385219778486001</v>
      </c>
      <c r="AR221" s="19">
        <v>1.2655946638885693</v>
      </c>
      <c r="AS221" s="19">
        <v>0.11735654016509886</v>
      </c>
      <c r="AT221" s="19">
        <v>-0.19453881007546756</v>
      </c>
      <c r="AU221" s="19">
        <v>0.33981542211856369</v>
      </c>
      <c r="AV221" s="19">
        <v>-8.0333012521001695E-2</v>
      </c>
      <c r="AW221" s="19">
        <v>-0.26236302705861725</v>
      </c>
      <c r="AX221" s="19">
        <v>3.6064507882770769E-2</v>
      </c>
      <c r="AY221" s="19">
        <v>1.0847454540819486</v>
      </c>
      <c r="AZ221" s="19">
        <v>-1.1443582822528957</v>
      </c>
      <c r="BA221" s="19">
        <v>1.2655946638885693</v>
      </c>
      <c r="BB221" s="19">
        <v>-1.0572620566986135</v>
      </c>
      <c r="BC221" s="19">
        <v>-1.1994416927520863</v>
      </c>
      <c r="BD221" s="19">
        <v>1.0253130821561369</v>
      </c>
      <c r="BE221" s="14" t="s">
        <v>4857</v>
      </c>
    </row>
    <row r="222" spans="1:105" s="30" customFormat="1" ht="17.100000000000001" customHeight="1">
      <c r="A222" s="14">
        <v>211</v>
      </c>
      <c r="B222" s="14" t="s">
        <v>3594</v>
      </c>
      <c r="C222" s="32">
        <v>-1.166094810282515</v>
      </c>
      <c r="D222" s="32">
        <v>-1.3471137279295113</v>
      </c>
      <c r="E222" s="32">
        <v>1.0577427830164408</v>
      </c>
      <c r="F222" s="24">
        <v>46918</v>
      </c>
      <c r="G222" s="52" t="s">
        <v>2</v>
      </c>
      <c r="H222" s="32">
        <v>31.860932853509489</v>
      </c>
      <c r="I222" s="32">
        <v>29.75640151373166</v>
      </c>
      <c r="J222" s="12" t="s">
        <v>3595</v>
      </c>
      <c r="K222" s="15" t="s">
        <v>3596</v>
      </c>
      <c r="L222" s="16" t="s">
        <v>5012</v>
      </c>
      <c r="M222" s="12" t="s">
        <v>3597</v>
      </c>
      <c r="N222" s="15" t="s">
        <v>3598</v>
      </c>
      <c r="O222" s="12" t="s">
        <v>3599</v>
      </c>
      <c r="P222" s="12" t="s">
        <v>3600</v>
      </c>
      <c r="Q222" s="14">
        <v>2</v>
      </c>
      <c r="R222" s="21">
        <v>840.48820000000001</v>
      </c>
      <c r="S222" s="14">
        <v>1</v>
      </c>
      <c r="T222" s="52" t="s">
        <v>2</v>
      </c>
      <c r="U222" s="53">
        <v>39.836212500000002</v>
      </c>
      <c r="V222" s="24">
        <v>55872</v>
      </c>
      <c r="W222" s="24">
        <v>37964</v>
      </c>
      <c r="X222" s="24">
        <v>29475</v>
      </c>
      <c r="Y222" s="24">
        <v>30373</v>
      </c>
      <c r="Z222" s="24">
        <v>28824</v>
      </c>
      <c r="AA222" s="24">
        <v>44186</v>
      </c>
      <c r="AB222" s="24">
        <v>38294</v>
      </c>
      <c r="AC222" s="24">
        <v>39845</v>
      </c>
      <c r="AD222" s="24">
        <v>38421</v>
      </c>
      <c r="AE222" s="24">
        <v>37787.25</v>
      </c>
      <c r="AF222" s="24">
        <v>46918</v>
      </c>
      <c r="AG222" s="24">
        <v>29924</v>
      </c>
      <c r="AH222" s="24">
        <v>36505</v>
      </c>
      <c r="AI222" s="24">
        <v>39069.5</v>
      </c>
      <c r="AJ222" s="32">
        <v>31.860932853509489</v>
      </c>
      <c r="AK222" s="32">
        <v>17.135280533124533</v>
      </c>
      <c r="AL222" s="32">
        <v>26.989360666457852</v>
      </c>
      <c r="AM222" s="32">
        <v>2.1219819860497249</v>
      </c>
      <c r="AN222" s="32">
        <v>29.75640151373166</v>
      </c>
      <c r="AO222" s="32">
        <v>2.8071068675573922</v>
      </c>
      <c r="AP222" s="19">
        <v>0.98350511439056765</v>
      </c>
      <c r="AQ222" s="19">
        <v>0.77805959333304919</v>
      </c>
      <c r="AR222" s="19">
        <v>1.3056242480951745</v>
      </c>
      <c r="AS222" s="19">
        <v>-2.3995540109307375E-2</v>
      </c>
      <c r="AT222" s="19">
        <v>-0.36204743618814889</v>
      </c>
      <c r="AU222" s="19">
        <v>0.38473975644916647</v>
      </c>
      <c r="AV222" s="19">
        <v>-0.22168509279540793</v>
      </c>
      <c r="AW222" s="19">
        <v>-0.42987165317129861</v>
      </c>
      <c r="AX222" s="19">
        <v>8.0988842213373546E-2</v>
      </c>
      <c r="AY222" s="19">
        <v>-1.0167715300795903</v>
      </c>
      <c r="AZ222" s="19">
        <v>-1.2852485960827282</v>
      </c>
      <c r="BA222" s="19">
        <v>1.3056242480951745</v>
      </c>
      <c r="BB222" s="19">
        <v>-1.166094810282515</v>
      </c>
      <c r="BC222" s="19">
        <v>-1.3471137279295113</v>
      </c>
      <c r="BD222" s="19">
        <v>1.0577427830164408</v>
      </c>
      <c r="BE222" s="14" t="s">
        <v>4857</v>
      </c>
    </row>
    <row r="223" spans="1:105" s="30" customFormat="1" ht="17.100000000000001" customHeight="1">
      <c r="A223" s="14">
        <v>212</v>
      </c>
      <c r="B223" s="14" t="s">
        <v>3601</v>
      </c>
      <c r="C223" s="32">
        <v>-1.0330956814786549</v>
      </c>
      <c r="D223" s="32">
        <v>1.4196612790183725</v>
      </c>
      <c r="E223" s="32">
        <v>-1.40116410433111</v>
      </c>
      <c r="F223" s="24">
        <v>158276.5</v>
      </c>
      <c r="G223" s="52" t="s">
        <v>2</v>
      </c>
      <c r="H223" s="32">
        <v>31.412515722555256</v>
      </c>
      <c r="I223" s="32">
        <v>28.305191675401559</v>
      </c>
      <c r="J223" s="12" t="s">
        <v>3602</v>
      </c>
      <c r="K223" s="15" t="s">
        <v>3603</v>
      </c>
      <c r="L223" s="14" t="s">
        <v>5036</v>
      </c>
      <c r="M223" s="12" t="s">
        <v>3604</v>
      </c>
      <c r="N223" s="15" t="s">
        <v>3605</v>
      </c>
      <c r="O223" s="12" t="s">
        <v>3606</v>
      </c>
      <c r="P223" s="12" t="s">
        <v>3607</v>
      </c>
      <c r="Q223" s="14">
        <v>2</v>
      </c>
      <c r="R223" s="21">
        <v>582.81659999999999</v>
      </c>
      <c r="S223" s="14">
        <v>2</v>
      </c>
      <c r="T223" s="52" t="s">
        <v>2</v>
      </c>
      <c r="U223" s="53">
        <v>25.518350000000002</v>
      </c>
      <c r="V223" s="24">
        <v>115204</v>
      </c>
      <c r="W223" s="24">
        <v>76779</v>
      </c>
      <c r="X223" s="24">
        <v>149139</v>
      </c>
      <c r="Y223" s="24">
        <v>167414</v>
      </c>
      <c r="Z223" s="24">
        <v>138394</v>
      </c>
      <c r="AA223" s="24">
        <v>147276</v>
      </c>
      <c r="AB223" s="24">
        <v>142678</v>
      </c>
      <c r="AC223" s="24">
        <v>136188</v>
      </c>
      <c r="AD223" s="24">
        <v>127134</v>
      </c>
      <c r="AE223" s="24">
        <v>141134</v>
      </c>
      <c r="AF223" s="24">
        <v>95991.5</v>
      </c>
      <c r="AG223" s="24">
        <v>158276.5</v>
      </c>
      <c r="AH223" s="24">
        <v>142835</v>
      </c>
      <c r="AI223" s="24">
        <v>139433</v>
      </c>
      <c r="AJ223" s="32">
        <v>31.412515722555256</v>
      </c>
      <c r="AK223" s="32">
        <v>3.4730492485969164</v>
      </c>
      <c r="AL223" s="32">
        <v>28.305191675401559</v>
      </c>
      <c r="AM223" s="32">
        <v>8.1644315019501654</v>
      </c>
      <c r="AN223" s="32">
        <v>4.3970472436720094</v>
      </c>
      <c r="AO223" s="32">
        <v>3.2912746694833315</v>
      </c>
      <c r="AP223" s="19">
        <v>1.1101200308336086</v>
      </c>
      <c r="AQ223" s="19">
        <v>1.4879963330086519</v>
      </c>
      <c r="AR223" s="19">
        <v>0.88094568682021657</v>
      </c>
      <c r="AS223" s="19">
        <v>0.15071567524767335</v>
      </c>
      <c r="AT223" s="19">
        <v>0.57337097109866497</v>
      </c>
      <c r="AU223" s="19">
        <v>-0.18287501986264085</v>
      </c>
      <c r="AV223" s="19">
        <v>-4.6973877438427208E-2</v>
      </c>
      <c r="AW223" s="19">
        <v>0.50554675411551531</v>
      </c>
      <c r="AX223" s="19">
        <v>-0.4866259340984338</v>
      </c>
      <c r="AY223" s="19">
        <v>1.1101200308336086</v>
      </c>
      <c r="AZ223" s="19">
        <v>1.4879963330086519</v>
      </c>
      <c r="BA223" s="19">
        <v>-1.1351437608026793</v>
      </c>
      <c r="BB223" s="19">
        <v>-1.0330956814786549</v>
      </c>
      <c r="BC223" s="19">
        <v>1.4196612790183725</v>
      </c>
      <c r="BD223" s="19">
        <v>-1.40116410433111</v>
      </c>
      <c r="BE223" s="14" t="s">
        <v>4857</v>
      </c>
    </row>
    <row r="224" spans="1:105" ht="17.100000000000001" customHeight="1">
      <c r="A224" s="14">
        <v>213</v>
      </c>
      <c r="B224" s="14" t="s">
        <v>3616</v>
      </c>
      <c r="C224" s="32">
        <v>-1.1602757602647946</v>
      </c>
      <c r="D224" s="32">
        <v>1.0052682148817782</v>
      </c>
      <c r="E224" s="32">
        <v>-1.3243072310964059</v>
      </c>
      <c r="F224" s="24">
        <v>175479500</v>
      </c>
      <c r="G224" s="52" t="s">
        <v>2</v>
      </c>
      <c r="H224" s="32">
        <v>10.506319351369642</v>
      </c>
      <c r="I224" s="32">
        <v>15.950961467511164</v>
      </c>
      <c r="J224" s="12" t="s">
        <v>3609</v>
      </c>
      <c r="K224" s="15" t="s">
        <v>3610</v>
      </c>
      <c r="L224" s="16" t="s">
        <v>5068</v>
      </c>
      <c r="M224" s="12" t="s">
        <v>3611</v>
      </c>
      <c r="N224" s="15" t="s">
        <v>3612</v>
      </c>
      <c r="O224" s="12" t="s">
        <v>3613</v>
      </c>
      <c r="P224" s="12" t="s">
        <v>3617</v>
      </c>
      <c r="Q224" s="14">
        <v>2</v>
      </c>
      <c r="R224" s="21">
        <v>464.2722</v>
      </c>
      <c r="S224" s="14">
        <v>13</v>
      </c>
      <c r="T224" s="52" t="s">
        <v>2</v>
      </c>
      <c r="U224" s="53">
        <v>25.703787500000001</v>
      </c>
      <c r="V224" s="24">
        <v>161978000</v>
      </c>
      <c r="W224" s="24">
        <v>141340000</v>
      </c>
      <c r="X224" s="24">
        <v>168213000</v>
      </c>
      <c r="Y224" s="24">
        <v>182746000</v>
      </c>
      <c r="Z224" s="24">
        <v>141773000</v>
      </c>
      <c r="AA224" s="24">
        <v>177820000</v>
      </c>
      <c r="AB224" s="24">
        <v>169019000</v>
      </c>
      <c r="AC224" s="24">
        <v>158100000</v>
      </c>
      <c r="AD224" s="24">
        <v>163569250</v>
      </c>
      <c r="AE224" s="24">
        <v>161678000</v>
      </c>
      <c r="AF224" s="24">
        <v>151659000</v>
      </c>
      <c r="AG224" s="24">
        <v>175479500</v>
      </c>
      <c r="AH224" s="24">
        <v>159796500</v>
      </c>
      <c r="AI224" s="24">
        <v>163559500</v>
      </c>
      <c r="AJ224" s="32">
        <v>10.506319351369642</v>
      </c>
      <c r="AK224" s="32">
        <v>9.6050000949310679</v>
      </c>
      <c r="AL224" s="32">
        <v>9.6224225071561644</v>
      </c>
      <c r="AM224" s="32">
        <v>5.8561728583590069</v>
      </c>
      <c r="AN224" s="32">
        <v>15.950961467511164</v>
      </c>
      <c r="AO224" s="32">
        <v>4.7205444769493132</v>
      </c>
      <c r="AP224" s="19">
        <v>0.98843761892898574</v>
      </c>
      <c r="AQ224" s="19">
        <v>1.0536565584633948</v>
      </c>
      <c r="AR224" s="19">
        <v>0.93207183745109823</v>
      </c>
      <c r="AS224" s="19">
        <v>-1.6778175672003081E-2</v>
      </c>
      <c r="AT224" s="19">
        <v>7.5404694162492208E-2</v>
      </c>
      <c r="AU224" s="19">
        <v>-0.10148694307599485</v>
      </c>
      <c r="AV224" s="19">
        <v>-0.21446772835810363</v>
      </c>
      <c r="AW224" s="19">
        <v>7.5804771793425013E-3</v>
      </c>
      <c r="AX224" s="19">
        <v>-0.40523785731178774</v>
      </c>
      <c r="AY224" s="19">
        <v>-1.0116976335679562</v>
      </c>
      <c r="AZ224" s="19">
        <v>1.0536565584633948</v>
      </c>
      <c r="BA224" s="19">
        <v>-1.0728786771786414</v>
      </c>
      <c r="BB224" s="19">
        <v>-1.1602757602647946</v>
      </c>
      <c r="BC224" s="19">
        <v>1.0052682148817782</v>
      </c>
      <c r="BD224" s="19">
        <v>-1.3243072310964059</v>
      </c>
      <c r="BE224" s="14" t="s">
        <v>4857</v>
      </c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s="30" customFormat="1" ht="17.100000000000001" customHeight="1">
      <c r="A225" s="14">
        <v>214</v>
      </c>
      <c r="B225" s="14" t="s">
        <v>3620</v>
      </c>
      <c r="C225" s="32">
        <v>-1.2365651172745731</v>
      </c>
      <c r="D225" s="32">
        <v>-1.3758274656902576</v>
      </c>
      <c r="E225" s="32">
        <v>-1.1119878741829254</v>
      </c>
      <c r="F225" s="24">
        <v>287500</v>
      </c>
      <c r="G225" s="52" t="s">
        <v>2</v>
      </c>
      <c r="H225" s="32">
        <v>16.143978536975329</v>
      </c>
      <c r="I225" s="32">
        <v>19.070830876134558</v>
      </c>
      <c r="J225" s="12" t="s">
        <v>3609</v>
      </c>
      <c r="K225" s="15" t="s">
        <v>3610</v>
      </c>
      <c r="L225" s="14" t="s">
        <v>5048</v>
      </c>
      <c r="M225" s="12" t="s">
        <v>3611</v>
      </c>
      <c r="N225" s="15" t="s">
        <v>3612</v>
      </c>
      <c r="O225" s="12" t="s">
        <v>3613</v>
      </c>
      <c r="P225" s="12" t="s">
        <v>3621</v>
      </c>
      <c r="Q225" s="14">
        <v>2</v>
      </c>
      <c r="R225" s="21">
        <v>684.38570000000004</v>
      </c>
      <c r="S225" s="14">
        <v>1</v>
      </c>
      <c r="T225" s="52" t="s">
        <v>2</v>
      </c>
      <c r="U225" s="53">
        <v>54.788333333333334</v>
      </c>
      <c r="V225" s="24">
        <v>324000</v>
      </c>
      <c r="W225" s="24">
        <v>247000</v>
      </c>
      <c r="X225" s="24">
        <v>271000</v>
      </c>
      <c r="Y225" s="24">
        <v>247000</v>
      </c>
      <c r="Z225" s="24">
        <v>224000</v>
      </c>
      <c r="AA225" s="24">
        <v>211000</v>
      </c>
      <c r="AB225" s="24">
        <v>288000</v>
      </c>
      <c r="AC225" s="24">
        <v>287000</v>
      </c>
      <c r="AD225" s="24">
        <v>272250</v>
      </c>
      <c r="AE225" s="24">
        <v>252500</v>
      </c>
      <c r="AF225" s="24">
        <v>285500</v>
      </c>
      <c r="AG225" s="24">
        <v>259000</v>
      </c>
      <c r="AH225" s="24">
        <v>217500</v>
      </c>
      <c r="AI225" s="24">
        <v>287500</v>
      </c>
      <c r="AJ225" s="32">
        <v>13.336166273375266</v>
      </c>
      <c r="AK225" s="32">
        <v>16.143978536975329</v>
      </c>
      <c r="AL225" s="32">
        <v>19.070830876134558</v>
      </c>
      <c r="AM225" s="32">
        <v>6.5523408295278527</v>
      </c>
      <c r="AN225" s="32">
        <v>4.2263853588161462</v>
      </c>
      <c r="AO225" s="32">
        <v>0.24595018476053829</v>
      </c>
      <c r="AP225" s="19">
        <v>0.92745638200183655</v>
      </c>
      <c r="AQ225" s="19">
        <v>0.76182136602451844</v>
      </c>
      <c r="AR225" s="19">
        <v>1.1100386100386099</v>
      </c>
      <c r="AS225" s="19">
        <v>-0.10864866107774977</v>
      </c>
      <c r="AT225" s="19">
        <v>-0.3924753446267521</v>
      </c>
      <c r="AU225" s="19">
        <v>0.15060985814518354</v>
      </c>
      <c r="AV225" s="19">
        <v>-0.30633821376385034</v>
      </c>
      <c r="AW225" s="19">
        <v>-0.46029956160990182</v>
      </c>
      <c r="AX225" s="19">
        <v>-0.15314105609060938</v>
      </c>
      <c r="AY225" s="19">
        <v>-1.0782178217821783</v>
      </c>
      <c r="AZ225" s="19">
        <v>-1.3126436781609194</v>
      </c>
      <c r="BA225" s="19">
        <v>1.1100386100386099</v>
      </c>
      <c r="BB225" s="19">
        <v>-1.2365651172745731</v>
      </c>
      <c r="BC225" s="19">
        <v>-1.3758274656902576</v>
      </c>
      <c r="BD225" s="19">
        <v>-1.1119878741829254</v>
      </c>
      <c r="BE225" s="14" t="s">
        <v>4857</v>
      </c>
    </row>
    <row r="226" spans="1:105" s="30" customFormat="1" ht="17.100000000000001" customHeight="1">
      <c r="A226" s="14">
        <v>215</v>
      </c>
      <c r="B226" s="14" t="s">
        <v>4768</v>
      </c>
      <c r="C226" s="32">
        <v>-1.0172075760466548</v>
      </c>
      <c r="D226" s="32">
        <v>1.1241959233246792</v>
      </c>
      <c r="E226" s="32">
        <v>-1.1395397657291388</v>
      </c>
      <c r="F226" s="24">
        <v>33850000</v>
      </c>
      <c r="G226" s="52" t="s">
        <v>2</v>
      </c>
      <c r="H226" s="32">
        <v>17.364481073731756</v>
      </c>
      <c r="I226" s="32">
        <v>28.618501926900151</v>
      </c>
      <c r="J226" s="12" t="s">
        <v>3609</v>
      </c>
      <c r="K226" s="15" t="s">
        <v>3610</v>
      </c>
      <c r="L226" s="16" t="s">
        <v>5171</v>
      </c>
      <c r="M226" s="12" t="s">
        <v>3611</v>
      </c>
      <c r="N226" s="15" t="s">
        <v>3612</v>
      </c>
      <c r="O226" s="12" t="s">
        <v>3613</v>
      </c>
      <c r="P226" s="12" t="s">
        <v>3623</v>
      </c>
      <c r="Q226" s="14">
        <v>3</v>
      </c>
      <c r="R226" s="21">
        <v>466.2722</v>
      </c>
      <c r="S226" s="14">
        <v>7</v>
      </c>
      <c r="T226" s="52" t="s">
        <v>2</v>
      </c>
      <c r="U226" s="53">
        <v>28.499285714285719</v>
      </c>
      <c r="V226" s="24">
        <v>32200000</v>
      </c>
      <c r="W226" s="24">
        <v>22200000</v>
      </c>
      <c r="X226" s="24">
        <v>30600000</v>
      </c>
      <c r="Y226" s="24">
        <v>31900000</v>
      </c>
      <c r="Z226" s="24">
        <v>32800000</v>
      </c>
      <c r="AA226" s="24">
        <v>31300000</v>
      </c>
      <c r="AB226" s="24">
        <v>40700000</v>
      </c>
      <c r="AC226" s="24">
        <v>27000000</v>
      </c>
      <c r="AD226" s="24">
        <v>29225000</v>
      </c>
      <c r="AE226" s="24">
        <v>32950000</v>
      </c>
      <c r="AF226" s="24">
        <v>27200000</v>
      </c>
      <c r="AG226" s="24">
        <v>31250000</v>
      </c>
      <c r="AH226" s="24">
        <v>32050000</v>
      </c>
      <c r="AI226" s="24">
        <v>33850000</v>
      </c>
      <c r="AJ226" s="32">
        <v>16.200295062884713</v>
      </c>
      <c r="AK226" s="32">
        <v>17.364481073731756</v>
      </c>
      <c r="AL226" s="32">
        <v>25.996572837740718</v>
      </c>
      <c r="AM226" s="32">
        <v>2.9415642097360375</v>
      </c>
      <c r="AN226" s="32">
        <v>3.309392111637508</v>
      </c>
      <c r="AO226" s="32">
        <v>28.618501926900151</v>
      </c>
      <c r="AP226" s="19">
        <v>1.127459366980325</v>
      </c>
      <c r="AQ226" s="19">
        <v>1.1783088235294117</v>
      </c>
      <c r="AR226" s="19">
        <v>1.0831999999999999</v>
      </c>
      <c r="AS226" s="19">
        <v>0.17307544047639534</v>
      </c>
      <c r="AT226" s="19">
        <v>0.23671770536840153</v>
      </c>
      <c r="AU226" s="19">
        <v>0.11529964402554728</v>
      </c>
      <c r="AV226" s="19">
        <v>-2.4614112209705219E-2</v>
      </c>
      <c r="AW226" s="19">
        <v>0.16889348838525181</v>
      </c>
      <c r="AX226" s="19">
        <v>-0.18845127021024566</v>
      </c>
      <c r="AY226" s="19">
        <v>1.127459366980325</v>
      </c>
      <c r="AZ226" s="19">
        <v>1.1783088235294117</v>
      </c>
      <c r="BA226" s="19">
        <v>1.0831999999999999</v>
      </c>
      <c r="BB226" s="19">
        <v>-1.0172075760466548</v>
      </c>
      <c r="BC226" s="19">
        <v>1.1241959233246792</v>
      </c>
      <c r="BD226" s="19">
        <v>-1.1395397657291388</v>
      </c>
      <c r="BE226" s="14" t="s">
        <v>4857</v>
      </c>
    </row>
    <row r="227" spans="1:105" ht="17.100000000000001" customHeight="1">
      <c r="A227" s="14">
        <v>216</v>
      </c>
      <c r="B227" s="14" t="s">
        <v>3624</v>
      </c>
      <c r="C227" s="32">
        <v>1.0517326707586869</v>
      </c>
      <c r="D227" s="32">
        <v>1.1958583463700527</v>
      </c>
      <c r="E227" s="32">
        <v>-1.0680518732576125</v>
      </c>
      <c r="F227" s="39">
        <v>2483885</v>
      </c>
      <c r="G227" s="52" t="s">
        <v>2</v>
      </c>
      <c r="H227" s="32">
        <v>9.3122919293905415</v>
      </c>
      <c r="I227" s="32">
        <v>11.71314868738618</v>
      </c>
      <c r="J227" s="12" t="s">
        <v>3609</v>
      </c>
      <c r="K227" s="15" t="s">
        <v>3610</v>
      </c>
      <c r="L227" s="16" t="s">
        <v>5220</v>
      </c>
      <c r="M227" s="12" t="s">
        <v>3611</v>
      </c>
      <c r="N227" s="15" t="s">
        <v>3612</v>
      </c>
      <c r="O227" s="12" t="s">
        <v>3613</v>
      </c>
      <c r="P227" s="12" t="s">
        <v>3625</v>
      </c>
      <c r="Q227" s="14">
        <v>2</v>
      </c>
      <c r="R227" s="21">
        <v>443.26130000000001</v>
      </c>
      <c r="S227" s="14">
        <v>7</v>
      </c>
      <c r="T227" s="52" t="s">
        <v>2</v>
      </c>
      <c r="U227" s="53">
        <v>24.772425000000005</v>
      </c>
      <c r="V227" s="39">
        <v>1949120</v>
      </c>
      <c r="W227" s="39">
        <v>2014250</v>
      </c>
      <c r="X227" s="39">
        <v>1700260</v>
      </c>
      <c r="Y227" s="39">
        <v>2007340</v>
      </c>
      <c r="Z227" s="39">
        <v>2584110</v>
      </c>
      <c r="AA227" s="39">
        <v>2383660</v>
      </c>
      <c r="AB227" s="39">
        <v>2177990</v>
      </c>
      <c r="AC227" s="39">
        <v>2106890</v>
      </c>
      <c r="AD227" s="39">
        <v>1917742.5</v>
      </c>
      <c r="AE227" s="39">
        <v>2313162.5</v>
      </c>
      <c r="AF227" s="39">
        <v>1981685</v>
      </c>
      <c r="AG227" s="39">
        <v>1853800</v>
      </c>
      <c r="AH227" s="39">
        <v>2483885</v>
      </c>
      <c r="AI227" s="39">
        <v>2142440</v>
      </c>
      <c r="AJ227" s="32">
        <v>7.712273052958321</v>
      </c>
      <c r="AK227" s="32">
        <v>9.3122919293905415</v>
      </c>
      <c r="AL227" s="32">
        <v>2.323975034310692</v>
      </c>
      <c r="AM227" s="32">
        <v>11.71314868738618</v>
      </c>
      <c r="AN227" s="32">
        <v>5.7063654029410955</v>
      </c>
      <c r="AO227" s="32">
        <v>2.3466371120014342</v>
      </c>
      <c r="AP227" s="19">
        <v>1.2061903514157923</v>
      </c>
      <c r="AQ227" s="19">
        <v>1.2534207000608069</v>
      </c>
      <c r="AR227" s="19">
        <v>1.1557018017046068</v>
      </c>
      <c r="AS227" s="19">
        <v>0.27045759991904894</v>
      </c>
      <c r="AT227" s="19">
        <v>0.32587072433461206</v>
      </c>
      <c r="AU227" s="19">
        <v>0.20876919654166473</v>
      </c>
      <c r="AV227" s="19">
        <v>7.2768047232948385E-2</v>
      </c>
      <c r="AW227" s="19">
        <v>0.25804650735146234</v>
      </c>
      <c r="AX227" s="19">
        <v>-9.4981717694128193E-2</v>
      </c>
      <c r="AY227" s="19">
        <v>1.2061903514157923</v>
      </c>
      <c r="AZ227" s="19">
        <v>1.2534207000608069</v>
      </c>
      <c r="BA227" s="19">
        <v>1.1557018017046068</v>
      </c>
      <c r="BB227" s="19">
        <v>1.0517326707586869</v>
      </c>
      <c r="BC227" s="19">
        <v>1.1958583463700527</v>
      </c>
      <c r="BD227" s="19">
        <v>-1.0680518732576125</v>
      </c>
      <c r="BE227" s="14" t="s">
        <v>4857</v>
      </c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s="30" customFormat="1" ht="17.100000000000001" customHeight="1">
      <c r="A228" s="14">
        <v>217</v>
      </c>
      <c r="B228" s="14" t="s">
        <v>3626</v>
      </c>
      <c r="C228" s="32">
        <v>1.034380499906735</v>
      </c>
      <c r="D228" s="32">
        <v>-1.0027615926379976</v>
      </c>
      <c r="E228" s="32">
        <v>1.0651844445131189</v>
      </c>
      <c r="F228" s="24">
        <v>3119840</v>
      </c>
      <c r="G228" s="52" t="s">
        <v>2</v>
      </c>
      <c r="H228" s="32">
        <v>23.620689406225097</v>
      </c>
      <c r="I228" s="32">
        <v>22.709190357643735</v>
      </c>
      <c r="J228" s="12" t="s">
        <v>3609</v>
      </c>
      <c r="K228" s="15" t="s">
        <v>3610</v>
      </c>
      <c r="L228" s="16" t="s">
        <v>5262</v>
      </c>
      <c r="M228" s="12" t="s">
        <v>3611</v>
      </c>
      <c r="N228" s="15" t="s">
        <v>3612</v>
      </c>
      <c r="O228" s="12" t="s">
        <v>3613</v>
      </c>
      <c r="P228" s="12" t="s">
        <v>3627</v>
      </c>
      <c r="Q228" s="14">
        <v>2</v>
      </c>
      <c r="R228" s="21">
        <v>620.85400000000004</v>
      </c>
      <c r="S228" s="14">
        <v>16</v>
      </c>
      <c r="T228" s="52" t="s">
        <v>2</v>
      </c>
      <c r="U228" s="53">
        <v>29.531824999999998</v>
      </c>
      <c r="V228" s="24">
        <v>2125660</v>
      </c>
      <c r="W228" s="24">
        <v>2198710</v>
      </c>
      <c r="X228" s="24">
        <v>2167240</v>
      </c>
      <c r="Y228" s="24">
        <v>2578450</v>
      </c>
      <c r="Z228" s="24">
        <v>2622930</v>
      </c>
      <c r="AA228" s="24">
        <v>1897110</v>
      </c>
      <c r="AB228" s="24">
        <v>3442660</v>
      </c>
      <c r="AC228" s="24">
        <v>2797020</v>
      </c>
      <c r="AD228" s="24">
        <v>2267515</v>
      </c>
      <c r="AE228" s="24">
        <v>2689930</v>
      </c>
      <c r="AF228" s="24">
        <v>2162185</v>
      </c>
      <c r="AG228" s="24">
        <v>2372845</v>
      </c>
      <c r="AH228" s="24">
        <v>2260020</v>
      </c>
      <c r="AI228" s="24">
        <v>3119840</v>
      </c>
      <c r="AJ228" s="32">
        <v>9.2364475637279835</v>
      </c>
      <c r="AK228" s="32">
        <v>23.620689406225097</v>
      </c>
      <c r="AL228" s="32">
        <v>2.388979220819555</v>
      </c>
      <c r="AM228" s="32">
        <v>12.254040170837969</v>
      </c>
      <c r="AN228" s="32">
        <v>22.709190357643735</v>
      </c>
      <c r="AO228" s="32">
        <v>14.633328061864791</v>
      </c>
      <c r="AP228" s="19">
        <v>1.1862898371124337</v>
      </c>
      <c r="AQ228" s="19">
        <v>1.0452482095657865</v>
      </c>
      <c r="AR228" s="19">
        <v>1.3148098590510549</v>
      </c>
      <c r="AS228" s="19">
        <v>0.24645653558319058</v>
      </c>
      <c r="AT228" s="19">
        <v>6.3845572152418109E-2</v>
      </c>
      <c r="AU228" s="19">
        <v>0.39485417956458219</v>
      </c>
      <c r="AV228" s="19">
        <v>4.8766982897090028E-2</v>
      </c>
      <c r="AW228" s="19">
        <v>-3.978644830731598E-3</v>
      </c>
      <c r="AX228" s="19">
        <v>9.1103265328789262E-2</v>
      </c>
      <c r="AY228" s="19">
        <v>1.1862898371124337</v>
      </c>
      <c r="AZ228" s="19">
        <v>1.0452482095657865</v>
      </c>
      <c r="BA228" s="19">
        <v>1.3148098590510549</v>
      </c>
      <c r="BB228" s="19">
        <v>1.034380499906735</v>
      </c>
      <c r="BC228" s="19">
        <v>-1.0027615926379976</v>
      </c>
      <c r="BD228" s="19">
        <v>1.0651844445131189</v>
      </c>
      <c r="BE228" s="14" t="s">
        <v>4857</v>
      </c>
    </row>
    <row r="229" spans="1:105" s="30" customFormat="1" ht="17.100000000000001" customHeight="1">
      <c r="A229" s="14">
        <v>218</v>
      </c>
      <c r="B229" s="14" t="s">
        <v>3632</v>
      </c>
      <c r="C229" s="32">
        <v>-1.3225587181437053</v>
      </c>
      <c r="D229" s="32">
        <v>-1.4350948115018387</v>
      </c>
      <c r="E229" s="32">
        <v>-1.1908072403090542</v>
      </c>
      <c r="F229" s="24">
        <v>141186000</v>
      </c>
      <c r="G229" s="52" t="s">
        <v>2</v>
      </c>
      <c r="H229" s="32">
        <v>16.247504329099385</v>
      </c>
      <c r="I229" s="32">
        <v>13.780934505637275</v>
      </c>
      <c r="J229" s="12" t="s">
        <v>3609</v>
      </c>
      <c r="K229" s="15" t="s">
        <v>3610</v>
      </c>
      <c r="L229" s="16" t="s">
        <v>5025</v>
      </c>
      <c r="M229" s="12" t="s">
        <v>3611</v>
      </c>
      <c r="N229" s="15" t="s">
        <v>3612</v>
      </c>
      <c r="O229" s="12" t="s">
        <v>3613</v>
      </c>
      <c r="P229" s="12" t="s">
        <v>3633</v>
      </c>
      <c r="Q229" s="14">
        <v>2</v>
      </c>
      <c r="R229" s="21">
        <v>719.90989999999999</v>
      </c>
      <c r="S229" s="14">
        <v>46</v>
      </c>
      <c r="T229" s="52" t="s">
        <v>2</v>
      </c>
      <c r="U229" s="53">
        <v>33.305612500000002</v>
      </c>
      <c r="V229" s="24">
        <v>154944000</v>
      </c>
      <c r="W229" s="24">
        <v>127428000</v>
      </c>
      <c r="X229" s="24">
        <v>123268000</v>
      </c>
      <c r="Y229" s="24">
        <v>104735000</v>
      </c>
      <c r="Z229" s="24">
        <v>100519000</v>
      </c>
      <c r="AA229" s="24">
        <v>105714000</v>
      </c>
      <c r="AB229" s="24">
        <v>128135000</v>
      </c>
      <c r="AC229" s="24">
        <v>108205000</v>
      </c>
      <c r="AD229" s="24">
        <v>127593750</v>
      </c>
      <c r="AE229" s="24">
        <v>110643250</v>
      </c>
      <c r="AF229" s="24">
        <v>141186000</v>
      </c>
      <c r="AG229" s="24">
        <v>114001500</v>
      </c>
      <c r="AH229" s="24">
        <v>103116500</v>
      </c>
      <c r="AI229" s="24">
        <v>118170000</v>
      </c>
      <c r="AJ229" s="32">
        <v>16.247504329099385</v>
      </c>
      <c r="AK229" s="32">
        <v>10.929502817696353</v>
      </c>
      <c r="AL229" s="32">
        <v>13.780934505637275</v>
      </c>
      <c r="AM229" s="32">
        <v>11.495296093235865</v>
      </c>
      <c r="AN229" s="32">
        <v>3.5623976068467358</v>
      </c>
      <c r="AO229" s="32">
        <v>11.925732545525847</v>
      </c>
      <c r="AP229" s="19">
        <v>0.86715258388439875</v>
      </c>
      <c r="AQ229" s="19">
        <v>0.73035924241780348</v>
      </c>
      <c r="AR229" s="19">
        <v>1.0365653083512059</v>
      </c>
      <c r="AS229" s="19">
        <v>-0.20564222295694506</v>
      </c>
      <c r="AT229" s="19">
        <v>-0.45332183668785425</v>
      </c>
      <c r="AU229" s="19">
        <v>5.1811015691133389E-2</v>
      </c>
      <c r="AV229" s="19">
        <v>-0.40333177564304562</v>
      </c>
      <c r="AW229" s="19">
        <v>-0.52114605367100397</v>
      </c>
      <c r="AX229" s="19">
        <v>-0.25193989854465954</v>
      </c>
      <c r="AY229" s="19">
        <v>-1.1531995851531838</v>
      </c>
      <c r="AZ229" s="19">
        <v>-1.3691892180203944</v>
      </c>
      <c r="BA229" s="19">
        <v>1.0365653083512059</v>
      </c>
      <c r="BB229" s="19">
        <v>-1.3225587181437053</v>
      </c>
      <c r="BC229" s="19">
        <v>-1.4350948115018387</v>
      </c>
      <c r="BD229" s="19">
        <v>-1.1908072403090542</v>
      </c>
      <c r="BE229" s="14" t="s">
        <v>4857</v>
      </c>
    </row>
    <row r="230" spans="1:105" s="30" customFormat="1" ht="17.100000000000001" customHeight="1">
      <c r="A230" s="14">
        <v>219</v>
      </c>
      <c r="B230" s="14" t="s">
        <v>3643</v>
      </c>
      <c r="C230" s="32">
        <v>-1.2566127881487512</v>
      </c>
      <c r="D230" s="32">
        <v>-1.7827295784653019</v>
      </c>
      <c r="E230" s="32">
        <v>1.0951042533239628</v>
      </c>
      <c r="F230" s="24">
        <v>86910.5</v>
      </c>
      <c r="G230" s="52" t="s">
        <v>2</v>
      </c>
      <c r="H230" s="32">
        <v>41.288432990351659</v>
      </c>
      <c r="I230" s="32">
        <v>38.965443400993685</v>
      </c>
      <c r="J230" s="12" t="s">
        <v>3609</v>
      </c>
      <c r="K230" s="15" t="s">
        <v>3610</v>
      </c>
      <c r="L230" s="14" t="s">
        <v>4968</v>
      </c>
      <c r="M230" s="12" t="s">
        <v>3611</v>
      </c>
      <c r="N230" s="15" t="s">
        <v>3612</v>
      </c>
      <c r="O230" s="12" t="s">
        <v>3613</v>
      </c>
      <c r="P230" s="12" t="s">
        <v>3644</v>
      </c>
      <c r="Q230" s="14">
        <v>2</v>
      </c>
      <c r="R230" s="21">
        <v>666.83079999999995</v>
      </c>
      <c r="S230" s="14">
        <v>14</v>
      </c>
      <c r="T230" s="52" t="s">
        <v>2</v>
      </c>
      <c r="U230" s="53">
        <v>30.095100000000002</v>
      </c>
      <c r="V230" s="24">
        <v>100594</v>
      </c>
      <c r="W230" s="24">
        <v>73227</v>
      </c>
      <c r="X230" s="24">
        <v>75714</v>
      </c>
      <c r="Y230" s="24">
        <v>52835</v>
      </c>
      <c r="Z230" s="24">
        <v>49155</v>
      </c>
      <c r="AA230" s="24">
        <v>53041</v>
      </c>
      <c r="AB230" s="24">
        <v>62944</v>
      </c>
      <c r="AC230" s="24">
        <v>110821</v>
      </c>
      <c r="AD230" s="24">
        <v>75592.5</v>
      </c>
      <c r="AE230" s="24">
        <v>68990.25</v>
      </c>
      <c r="AF230" s="24">
        <v>86910.5</v>
      </c>
      <c r="AG230" s="24">
        <v>64274.5</v>
      </c>
      <c r="AH230" s="24">
        <v>51098</v>
      </c>
      <c r="AI230" s="24">
        <v>86882.5</v>
      </c>
      <c r="AJ230" s="32">
        <v>25.884693140973798</v>
      </c>
      <c r="AK230" s="32">
        <v>41.288432990351659</v>
      </c>
      <c r="AL230" s="32">
        <v>22.265884192050724</v>
      </c>
      <c r="AM230" s="32">
        <v>25.170006840608671</v>
      </c>
      <c r="AN230" s="32">
        <v>5.3775430578318604</v>
      </c>
      <c r="AO230" s="32">
        <v>38.965443400993685</v>
      </c>
      <c r="AP230" s="19">
        <v>0.91265998610973309</v>
      </c>
      <c r="AQ230" s="19">
        <v>0.5879381662745008</v>
      </c>
      <c r="AR230" s="19">
        <v>1.3517413593260157</v>
      </c>
      <c r="AS230" s="19">
        <v>-0.13185061443392607</v>
      </c>
      <c r="AT230" s="19">
        <v>-0.76626366074401253</v>
      </c>
      <c r="AU230" s="19">
        <v>0.43481913437637648</v>
      </c>
      <c r="AV230" s="19">
        <v>-0.32954016712002665</v>
      </c>
      <c r="AW230" s="19">
        <v>-0.8340878777271622</v>
      </c>
      <c r="AX230" s="19">
        <v>0.13106822014058356</v>
      </c>
      <c r="AY230" s="19">
        <v>-1.0956983051952993</v>
      </c>
      <c r="AZ230" s="19">
        <v>-1.7008591334298797</v>
      </c>
      <c r="BA230" s="19">
        <v>1.3517413593260157</v>
      </c>
      <c r="BB230" s="19">
        <v>-1.2566127881487512</v>
      </c>
      <c r="BC230" s="19">
        <v>-1.7827295784653019</v>
      </c>
      <c r="BD230" s="19">
        <v>1.0951042533239628</v>
      </c>
      <c r="BE230" s="14" t="s">
        <v>4857</v>
      </c>
    </row>
    <row r="231" spans="1:105" s="30" customFormat="1" ht="17.100000000000001" customHeight="1">
      <c r="A231" s="14">
        <v>220</v>
      </c>
      <c r="B231" s="14" t="s">
        <v>3645</v>
      </c>
      <c r="C231" s="32">
        <v>-1.0047026608056795</v>
      </c>
      <c r="D231" s="32">
        <v>1.1092882241411588</v>
      </c>
      <c r="E231" s="32">
        <v>-1.1011914940312941</v>
      </c>
      <c r="F231" s="24">
        <v>461790</v>
      </c>
      <c r="G231" s="52" t="s">
        <v>2</v>
      </c>
      <c r="H231" s="32">
        <v>12.725171610770122</v>
      </c>
      <c r="I231" s="32">
        <v>18.521983325009842</v>
      </c>
      <c r="J231" s="12" t="s">
        <v>3609</v>
      </c>
      <c r="K231" s="15" t="s">
        <v>3610</v>
      </c>
      <c r="L231" s="16" t="s">
        <v>5196</v>
      </c>
      <c r="M231" s="12" t="s">
        <v>3611</v>
      </c>
      <c r="N231" s="15" t="s">
        <v>3612</v>
      </c>
      <c r="O231" s="12" t="s">
        <v>3613</v>
      </c>
      <c r="P231" s="12" t="s">
        <v>3646</v>
      </c>
      <c r="Q231" s="14">
        <v>2</v>
      </c>
      <c r="R231" s="21">
        <v>507.29050000000001</v>
      </c>
      <c r="S231" s="14">
        <v>14</v>
      </c>
      <c r="T231" s="52" t="s">
        <v>2</v>
      </c>
      <c r="U231" s="53">
        <v>26.195762500000001</v>
      </c>
      <c r="V231" s="24">
        <v>422170</v>
      </c>
      <c r="W231" s="24">
        <v>372182</v>
      </c>
      <c r="X231" s="24">
        <v>372611</v>
      </c>
      <c r="Y231" s="24">
        <v>445720</v>
      </c>
      <c r="Z231" s="24">
        <v>500922</v>
      </c>
      <c r="AA231" s="24">
        <v>422658</v>
      </c>
      <c r="AB231" s="24">
        <v>398574</v>
      </c>
      <c r="AC231" s="24">
        <v>518711</v>
      </c>
      <c r="AD231" s="24">
        <v>403170.75</v>
      </c>
      <c r="AE231" s="24">
        <v>460216.25</v>
      </c>
      <c r="AF231" s="24">
        <v>397176</v>
      </c>
      <c r="AG231" s="24">
        <v>409165.5</v>
      </c>
      <c r="AH231" s="24">
        <v>461790</v>
      </c>
      <c r="AI231" s="24">
        <v>458642.5</v>
      </c>
      <c r="AJ231" s="32">
        <v>9.1308934302384195</v>
      </c>
      <c r="AK231" s="32">
        <v>12.725171610770122</v>
      </c>
      <c r="AL231" s="32">
        <v>8.8995442267289917</v>
      </c>
      <c r="AM231" s="32">
        <v>12.634464456501663</v>
      </c>
      <c r="AN231" s="32">
        <v>11.984019819135096</v>
      </c>
      <c r="AO231" s="32">
        <v>18.521983325009842</v>
      </c>
      <c r="AP231" s="19">
        <v>1.1414921593394363</v>
      </c>
      <c r="AQ231" s="19">
        <v>1.1626835458335851</v>
      </c>
      <c r="AR231" s="19">
        <v>1.1209217297157263</v>
      </c>
      <c r="AS231" s="19">
        <v>0.19092095003921444</v>
      </c>
      <c r="AT231" s="19">
        <v>0.21745848375748444</v>
      </c>
      <c r="AU231" s="19">
        <v>0.16468554300212604</v>
      </c>
      <c r="AV231" s="19">
        <v>-6.7686026468861127E-3</v>
      </c>
      <c r="AW231" s="19">
        <v>0.14963426677433472</v>
      </c>
      <c r="AX231" s="19">
        <v>-0.13906537123366688</v>
      </c>
      <c r="AY231" s="19">
        <v>1.1414921593394363</v>
      </c>
      <c r="AZ231" s="19">
        <v>1.1626835458335851</v>
      </c>
      <c r="BA231" s="19">
        <v>1.1209217297157263</v>
      </c>
      <c r="BB231" s="19">
        <v>-1.0047026608056795</v>
      </c>
      <c r="BC231" s="19">
        <v>1.1092882241411588</v>
      </c>
      <c r="BD231" s="19">
        <v>-1.1011914940312941</v>
      </c>
      <c r="BE231" s="14" t="s">
        <v>4857</v>
      </c>
    </row>
    <row r="232" spans="1:105" s="30" customFormat="1" ht="17.100000000000001" customHeight="1">
      <c r="A232" s="14">
        <v>221</v>
      </c>
      <c r="B232" s="14" t="s">
        <v>3651</v>
      </c>
      <c r="C232" s="32">
        <v>-1.1352385501702191</v>
      </c>
      <c r="D232" s="32">
        <v>-1.1042383357079983</v>
      </c>
      <c r="E232" s="32">
        <v>-1.1538262987393204</v>
      </c>
      <c r="F232" s="24">
        <v>96307500</v>
      </c>
      <c r="G232" s="52" t="s">
        <v>2</v>
      </c>
      <c r="H232" s="32">
        <v>12.09853316078539</v>
      </c>
      <c r="I232" s="32">
        <v>14.17701096792155</v>
      </c>
      <c r="J232" s="12" t="s">
        <v>3609</v>
      </c>
      <c r="K232" s="15" t="s">
        <v>3610</v>
      </c>
      <c r="L232" s="16" t="s">
        <v>5159</v>
      </c>
      <c r="M232" s="12" t="s">
        <v>3611</v>
      </c>
      <c r="N232" s="15" t="s">
        <v>3612</v>
      </c>
      <c r="O232" s="12" t="s">
        <v>3613</v>
      </c>
      <c r="P232" s="12" t="s">
        <v>3531</v>
      </c>
      <c r="Q232" s="14">
        <v>2</v>
      </c>
      <c r="R232" s="21">
        <v>606.34640000000002</v>
      </c>
      <c r="S232" s="14">
        <v>51</v>
      </c>
      <c r="T232" s="52" t="s">
        <v>2</v>
      </c>
      <c r="U232" s="53">
        <v>30.310487500000004</v>
      </c>
      <c r="V232" s="24">
        <v>93694100</v>
      </c>
      <c r="W232" s="24">
        <v>81949300</v>
      </c>
      <c r="X232" s="24">
        <v>95439200</v>
      </c>
      <c r="Y232" s="24">
        <v>84610500</v>
      </c>
      <c r="Z232" s="24">
        <v>82964900</v>
      </c>
      <c r="AA232" s="24">
        <v>83754500</v>
      </c>
      <c r="AB232" s="24">
        <v>86653000</v>
      </c>
      <c r="AC232" s="24">
        <v>105962000</v>
      </c>
      <c r="AD232" s="24">
        <v>88923275</v>
      </c>
      <c r="AE232" s="24">
        <v>89833600</v>
      </c>
      <c r="AF232" s="24">
        <v>87821700</v>
      </c>
      <c r="AG232" s="24">
        <v>90024850</v>
      </c>
      <c r="AH232" s="24">
        <v>83359700</v>
      </c>
      <c r="AI232" s="24">
        <v>96307500</v>
      </c>
      <c r="AJ232" s="32">
        <v>7.4723486444425307</v>
      </c>
      <c r="AK232" s="32">
        <v>12.09853316078539</v>
      </c>
      <c r="AL232" s="32">
        <v>9.4564643176797567</v>
      </c>
      <c r="AM232" s="32">
        <v>8.5054817657955173</v>
      </c>
      <c r="AN232" s="32">
        <v>0.66978589705205027</v>
      </c>
      <c r="AO232" s="32">
        <v>14.17701096792155</v>
      </c>
      <c r="AP232" s="19">
        <v>1.0102371960546888</v>
      </c>
      <c r="AQ232" s="19">
        <v>0.94919251164575502</v>
      </c>
      <c r="AR232" s="19">
        <v>1.0697879529929792</v>
      </c>
      <c r="AS232" s="19">
        <v>1.4694066635983568E-2</v>
      </c>
      <c r="AT232" s="19">
        <v>-7.5227375997040158E-2</v>
      </c>
      <c r="AU232" s="19">
        <v>9.7324862530908066E-2</v>
      </c>
      <c r="AV232" s="19">
        <v>-0.18299548605011698</v>
      </c>
      <c r="AW232" s="19">
        <v>-0.14305159298018988</v>
      </c>
      <c r="AX232" s="19">
        <v>-0.20642605170488487</v>
      </c>
      <c r="AY232" s="19">
        <v>1.0102371960546888</v>
      </c>
      <c r="AZ232" s="19">
        <v>-1.0535270640369387</v>
      </c>
      <c r="BA232" s="19">
        <v>1.0697879529929792</v>
      </c>
      <c r="BB232" s="19">
        <v>-1.1352385501702191</v>
      </c>
      <c r="BC232" s="19">
        <v>-1.1042383357079983</v>
      </c>
      <c r="BD232" s="19">
        <v>-1.1538262987393204</v>
      </c>
      <c r="BE232" s="14" t="s">
        <v>4857</v>
      </c>
    </row>
    <row r="233" spans="1:105" s="30" customFormat="1" ht="17.100000000000001" customHeight="1">
      <c r="A233" s="14">
        <v>222</v>
      </c>
      <c r="B233" s="14" t="s">
        <v>3545</v>
      </c>
      <c r="C233" s="32">
        <v>1.0312251928613776</v>
      </c>
      <c r="D233" s="32">
        <v>-1.0231887028188955</v>
      </c>
      <c r="E233" s="32">
        <v>1.085433500346062</v>
      </c>
      <c r="F233" s="24">
        <v>1238225</v>
      </c>
      <c r="G233" s="52" t="s">
        <v>2</v>
      </c>
      <c r="H233" s="32">
        <v>19.168579506192714</v>
      </c>
      <c r="I233" s="32">
        <v>21.540786023262445</v>
      </c>
      <c r="J233" s="12" t="s">
        <v>3546</v>
      </c>
      <c r="K233" s="15" t="s">
        <v>3547</v>
      </c>
      <c r="L233" s="16" t="s">
        <v>5142</v>
      </c>
      <c r="M233" s="12" t="s">
        <v>3548</v>
      </c>
      <c r="N233" s="15" t="s">
        <v>3549</v>
      </c>
      <c r="O233" s="12" t="s">
        <v>3550</v>
      </c>
      <c r="P233" s="12" t="s">
        <v>3551</v>
      </c>
      <c r="Q233" s="14">
        <v>2</v>
      </c>
      <c r="R233" s="21">
        <v>735.43790000000001</v>
      </c>
      <c r="S233" s="14">
        <v>16</v>
      </c>
      <c r="T233" s="52" t="s">
        <v>2</v>
      </c>
      <c r="U233" s="53">
        <v>34.255762500000003</v>
      </c>
      <c r="V233" s="24">
        <v>939524</v>
      </c>
      <c r="W233" s="24">
        <v>895329</v>
      </c>
      <c r="X233" s="24">
        <v>879611</v>
      </c>
      <c r="Y233" s="24">
        <v>968756</v>
      </c>
      <c r="Z233" s="24">
        <v>796648</v>
      </c>
      <c r="AA233" s="24">
        <v>1082940</v>
      </c>
      <c r="AB233" s="24">
        <v>1256720</v>
      </c>
      <c r="AC233" s="24">
        <v>1219730</v>
      </c>
      <c r="AD233" s="24">
        <v>920805</v>
      </c>
      <c r="AE233" s="24">
        <v>1089009.5</v>
      </c>
      <c r="AF233" s="24">
        <v>917426.5</v>
      </c>
      <c r="AG233" s="24">
        <v>924183.5</v>
      </c>
      <c r="AH233" s="24">
        <v>939794</v>
      </c>
      <c r="AI233" s="24">
        <v>1238225</v>
      </c>
      <c r="AJ233" s="32">
        <v>4.4316825489935194</v>
      </c>
      <c r="AK233" s="32">
        <v>19.168579506192714</v>
      </c>
      <c r="AL233" s="32">
        <v>3.4063311005883814</v>
      </c>
      <c r="AM233" s="32">
        <v>6.8206188499226368</v>
      </c>
      <c r="AN233" s="32">
        <v>21.540786023262445</v>
      </c>
      <c r="AO233" s="32">
        <v>2.1123689019435394</v>
      </c>
      <c r="AP233" s="19">
        <v>1.1826711410124837</v>
      </c>
      <c r="AQ233" s="19">
        <v>1.0243806997072791</v>
      </c>
      <c r="AR233" s="19">
        <v>1.3398042704722601</v>
      </c>
      <c r="AS233" s="19">
        <v>0.24204896701052989</v>
      </c>
      <c r="AT233" s="19">
        <v>3.4751976577009486E-2</v>
      </c>
      <c r="AU233" s="19">
        <v>0.42202225542628452</v>
      </c>
      <c r="AV233" s="19">
        <v>4.435941432442933E-2</v>
      </c>
      <c r="AW233" s="19">
        <v>-3.3072240406140221E-2</v>
      </c>
      <c r="AX233" s="19">
        <v>0.1182713411904916</v>
      </c>
      <c r="AY233" s="19">
        <v>1.1826711410124837</v>
      </c>
      <c r="AZ233" s="19">
        <v>1.0243806997072791</v>
      </c>
      <c r="BA233" s="19">
        <v>1.3398042704722601</v>
      </c>
      <c r="BB233" s="19">
        <v>1.0312251928613776</v>
      </c>
      <c r="BC233" s="19">
        <v>-1.0231887028188955</v>
      </c>
      <c r="BD233" s="19">
        <v>1.085433500346062</v>
      </c>
      <c r="BE233" s="14" t="s">
        <v>4857</v>
      </c>
    </row>
    <row r="234" spans="1:105" s="30" customFormat="1" ht="17.100000000000001" customHeight="1">
      <c r="A234" s="14">
        <v>223</v>
      </c>
      <c r="B234" s="14" t="s">
        <v>3553</v>
      </c>
      <c r="C234" s="32">
        <v>1.396261046328066</v>
      </c>
      <c r="D234" s="32">
        <v>1.5056948207607581</v>
      </c>
      <c r="E234" s="32">
        <v>1.312330920056868</v>
      </c>
      <c r="F234" s="39">
        <v>231542.5</v>
      </c>
      <c r="G234" s="52" t="s">
        <v>2</v>
      </c>
      <c r="H234" s="32">
        <v>22.255601081442027</v>
      </c>
      <c r="I234" s="32">
        <v>24.894483890049248</v>
      </c>
      <c r="J234" s="12" t="s">
        <v>3546</v>
      </c>
      <c r="K234" s="15" t="s">
        <v>3547</v>
      </c>
      <c r="L234" s="16" t="s">
        <v>5322</v>
      </c>
      <c r="M234" s="12" t="s">
        <v>3548</v>
      </c>
      <c r="N234" s="15" t="s">
        <v>3549</v>
      </c>
      <c r="O234" s="12" t="s">
        <v>3550</v>
      </c>
      <c r="P234" s="12" t="s">
        <v>3554</v>
      </c>
      <c r="Q234" s="14">
        <v>3</v>
      </c>
      <c r="R234" s="21">
        <v>476.62419999999997</v>
      </c>
      <c r="S234" s="14">
        <v>6</v>
      </c>
      <c r="T234" s="52" t="s">
        <v>2</v>
      </c>
      <c r="U234" s="53">
        <v>26.718300000000003</v>
      </c>
      <c r="V234" s="39">
        <v>96245</v>
      </c>
      <c r="W234" s="39">
        <v>132983</v>
      </c>
      <c r="X234" s="39">
        <v>165154</v>
      </c>
      <c r="Y234" s="39">
        <v>120723</v>
      </c>
      <c r="Z234" s="39">
        <v>149040</v>
      </c>
      <c r="AA234" s="39">
        <v>212721</v>
      </c>
      <c r="AB234" s="39">
        <v>232169</v>
      </c>
      <c r="AC234" s="39">
        <v>230916</v>
      </c>
      <c r="AD234" s="39">
        <v>128776.25</v>
      </c>
      <c r="AE234" s="39">
        <v>206211.5</v>
      </c>
      <c r="AF234" s="39">
        <v>114614</v>
      </c>
      <c r="AG234" s="39">
        <v>142938.5</v>
      </c>
      <c r="AH234" s="39">
        <v>180880.5</v>
      </c>
      <c r="AI234" s="39">
        <v>231542.5</v>
      </c>
      <c r="AJ234" s="32">
        <v>22.255601081442027</v>
      </c>
      <c r="AK234" s="32">
        <v>18.978941893512584</v>
      </c>
      <c r="AL234" s="32">
        <v>22.665371531602929</v>
      </c>
      <c r="AM234" s="32">
        <v>21.979705534127959</v>
      </c>
      <c r="AN234" s="32">
        <v>24.894483890049248</v>
      </c>
      <c r="AO234" s="32">
        <v>0.38265320484435644</v>
      </c>
      <c r="AP234" s="19">
        <v>1.6013162364954718</v>
      </c>
      <c r="AQ234" s="19">
        <v>1.5781710785767882</v>
      </c>
      <c r="AR234" s="19">
        <v>1.6198749811982076</v>
      </c>
      <c r="AS234" s="19">
        <v>0.67925824712409522</v>
      </c>
      <c r="AT234" s="19">
        <v>0.6582536063882175</v>
      </c>
      <c r="AU234" s="19">
        <v>0.69588247300788997</v>
      </c>
      <c r="AV234" s="19">
        <v>0.48156869443799466</v>
      </c>
      <c r="AW234" s="19">
        <v>0.59042938940506784</v>
      </c>
      <c r="AX234" s="19">
        <v>0.39213155877209704</v>
      </c>
      <c r="AY234" s="19">
        <v>1.6013162364954718</v>
      </c>
      <c r="AZ234" s="19">
        <v>1.5781710785767882</v>
      </c>
      <c r="BA234" s="19">
        <v>1.6198749811982076</v>
      </c>
      <c r="BB234" s="19">
        <v>1.396261046328066</v>
      </c>
      <c r="BC234" s="19">
        <v>1.5056948207607581</v>
      </c>
      <c r="BD234" s="19">
        <v>1.312330920056868</v>
      </c>
      <c r="BE234" s="14" t="s">
        <v>4857</v>
      </c>
    </row>
    <row r="235" spans="1:105" s="30" customFormat="1" ht="17.100000000000001" customHeight="1">
      <c r="A235" s="14">
        <v>224</v>
      </c>
      <c r="B235" s="14" t="s">
        <v>3555</v>
      </c>
      <c r="C235" s="32">
        <v>1.396261046328066</v>
      </c>
      <c r="D235" s="32">
        <v>1.5056948207607581</v>
      </c>
      <c r="E235" s="32">
        <v>1.312330920056868</v>
      </c>
      <c r="F235" s="39">
        <v>231542.5</v>
      </c>
      <c r="G235" s="52" t="s">
        <v>2</v>
      </c>
      <c r="H235" s="32">
        <v>22.255601081442027</v>
      </c>
      <c r="I235" s="32">
        <v>24.894483890049248</v>
      </c>
      <c r="J235" s="12" t="s">
        <v>3546</v>
      </c>
      <c r="K235" s="15" t="s">
        <v>3547</v>
      </c>
      <c r="L235" s="16" t="s">
        <v>5323</v>
      </c>
      <c r="M235" s="12" t="s">
        <v>3548</v>
      </c>
      <c r="N235" s="15" t="s">
        <v>3549</v>
      </c>
      <c r="O235" s="12" t="s">
        <v>3550</v>
      </c>
      <c r="P235" s="12" t="s">
        <v>3556</v>
      </c>
      <c r="Q235" s="14">
        <v>3</v>
      </c>
      <c r="R235" s="21">
        <v>476.62419999999997</v>
      </c>
      <c r="S235" s="14">
        <v>1</v>
      </c>
      <c r="T235" s="52" t="s">
        <v>2</v>
      </c>
      <c r="U235" s="53">
        <v>26.718300000000003</v>
      </c>
      <c r="V235" s="39">
        <v>96245</v>
      </c>
      <c r="W235" s="39">
        <v>132983</v>
      </c>
      <c r="X235" s="39">
        <v>165154</v>
      </c>
      <c r="Y235" s="39">
        <v>120723</v>
      </c>
      <c r="Z235" s="39">
        <v>149040</v>
      </c>
      <c r="AA235" s="39">
        <v>212721</v>
      </c>
      <c r="AB235" s="39">
        <v>232169</v>
      </c>
      <c r="AC235" s="39">
        <v>230916</v>
      </c>
      <c r="AD235" s="39">
        <v>128776.25</v>
      </c>
      <c r="AE235" s="39">
        <v>206211.5</v>
      </c>
      <c r="AF235" s="39">
        <v>114614</v>
      </c>
      <c r="AG235" s="39">
        <v>142938.5</v>
      </c>
      <c r="AH235" s="39">
        <v>180880.5</v>
      </c>
      <c r="AI235" s="39">
        <v>231542.5</v>
      </c>
      <c r="AJ235" s="32">
        <v>22.255601081442027</v>
      </c>
      <c r="AK235" s="32">
        <v>18.978941893512584</v>
      </c>
      <c r="AL235" s="32">
        <v>22.665371531602929</v>
      </c>
      <c r="AM235" s="32">
        <v>21.979705534127959</v>
      </c>
      <c r="AN235" s="32">
        <v>24.894483890049248</v>
      </c>
      <c r="AO235" s="32">
        <v>0.38265320484435644</v>
      </c>
      <c r="AP235" s="19">
        <v>1.6013162364954718</v>
      </c>
      <c r="AQ235" s="19">
        <v>1.5781710785767882</v>
      </c>
      <c r="AR235" s="19">
        <v>1.6198749811982076</v>
      </c>
      <c r="AS235" s="19">
        <v>0.67925824712409522</v>
      </c>
      <c r="AT235" s="19">
        <v>0.6582536063882175</v>
      </c>
      <c r="AU235" s="19">
        <v>0.69588247300788997</v>
      </c>
      <c r="AV235" s="19">
        <v>0.48156869443799466</v>
      </c>
      <c r="AW235" s="19">
        <v>0.59042938940506784</v>
      </c>
      <c r="AX235" s="19">
        <v>0.39213155877209704</v>
      </c>
      <c r="AY235" s="19">
        <v>1.6013162364954718</v>
      </c>
      <c r="AZ235" s="19">
        <v>1.5781710785767882</v>
      </c>
      <c r="BA235" s="19">
        <v>1.6198749811982076</v>
      </c>
      <c r="BB235" s="19">
        <v>1.396261046328066</v>
      </c>
      <c r="BC235" s="19">
        <v>1.5056948207607581</v>
      </c>
      <c r="BD235" s="19">
        <v>1.312330920056868</v>
      </c>
      <c r="BE235" s="14" t="s">
        <v>4857</v>
      </c>
    </row>
    <row r="236" spans="1:105" s="30" customFormat="1" ht="17.100000000000001" customHeight="1">
      <c r="A236" s="14">
        <v>225</v>
      </c>
      <c r="B236" s="14" t="s">
        <v>3557</v>
      </c>
      <c r="C236" s="32">
        <v>-1.1071101034778881</v>
      </c>
      <c r="D236" s="32">
        <v>-1.2597349790250176</v>
      </c>
      <c r="E236" s="32">
        <v>1.0479936472770734</v>
      </c>
      <c r="F236" s="24">
        <v>32473</v>
      </c>
      <c r="G236" s="52" t="s">
        <v>2</v>
      </c>
      <c r="H236" s="32">
        <v>18.251574262765658</v>
      </c>
      <c r="I236" s="32">
        <v>23.334551947374255</v>
      </c>
      <c r="J236" s="12" t="s">
        <v>3546</v>
      </c>
      <c r="K236" s="15" t="s">
        <v>3547</v>
      </c>
      <c r="L236" s="16" t="s">
        <v>5096</v>
      </c>
      <c r="M236" s="12" t="s">
        <v>3548</v>
      </c>
      <c r="N236" s="15" t="s">
        <v>3549</v>
      </c>
      <c r="O236" s="12" t="s">
        <v>3550</v>
      </c>
      <c r="P236" s="12" t="s">
        <v>3558</v>
      </c>
      <c r="Q236" s="14">
        <v>2</v>
      </c>
      <c r="R236" s="21">
        <v>714.43269999999995</v>
      </c>
      <c r="S236" s="14">
        <v>1</v>
      </c>
      <c r="T236" s="52" t="s">
        <v>2</v>
      </c>
      <c r="U236" s="53">
        <v>26.710400000000003</v>
      </c>
      <c r="V236" s="24">
        <v>30614</v>
      </c>
      <c r="W236" s="24">
        <v>32843</v>
      </c>
      <c r="X236" s="24">
        <v>29245</v>
      </c>
      <c r="Y236" s="24">
        <v>20961</v>
      </c>
      <c r="Z236" s="24">
        <v>22224</v>
      </c>
      <c r="AA236" s="24">
        <v>30574</v>
      </c>
      <c r="AB236" s="24">
        <v>30906</v>
      </c>
      <c r="AC236" s="24">
        <v>34040</v>
      </c>
      <c r="AD236" s="24">
        <v>28415.75</v>
      </c>
      <c r="AE236" s="24">
        <v>29436</v>
      </c>
      <c r="AF236" s="24">
        <v>31728.5</v>
      </c>
      <c r="AG236" s="24">
        <v>25103</v>
      </c>
      <c r="AH236" s="24">
        <v>26399</v>
      </c>
      <c r="AI236" s="24">
        <v>32473</v>
      </c>
      <c r="AJ236" s="32">
        <v>18.251574262765658</v>
      </c>
      <c r="AK236" s="32">
        <v>17.173592056511133</v>
      </c>
      <c r="AL236" s="32">
        <v>4.9675875483077192</v>
      </c>
      <c r="AM236" s="32">
        <v>23.334551947374255</v>
      </c>
      <c r="AN236" s="32">
        <v>22.365777578346421</v>
      </c>
      <c r="AO236" s="32">
        <v>6.8243545475891967</v>
      </c>
      <c r="AP236" s="19">
        <v>1.0359043840123876</v>
      </c>
      <c r="AQ236" s="19">
        <v>0.83202798745607265</v>
      </c>
      <c r="AR236" s="19">
        <v>1.2935904075210134</v>
      </c>
      <c r="AS236" s="19">
        <v>5.0890845613999001E-2</v>
      </c>
      <c r="AT236" s="19">
        <v>-0.26529603685155267</v>
      </c>
      <c r="AU236" s="19">
        <v>0.37138088581569767</v>
      </c>
      <c r="AV236" s="19">
        <v>-0.14679870707210155</v>
      </c>
      <c r="AW236" s="19">
        <v>-0.3331202538347024</v>
      </c>
      <c r="AX236" s="19">
        <v>6.7629971579904746E-2</v>
      </c>
      <c r="AY236" s="19">
        <v>1.0359043840123876</v>
      </c>
      <c r="AZ236" s="19">
        <v>-1.2018826470699646</v>
      </c>
      <c r="BA236" s="19">
        <v>1.2935904075210134</v>
      </c>
      <c r="BB236" s="19">
        <v>-1.1071101034778881</v>
      </c>
      <c r="BC236" s="19">
        <v>-1.2597349790250176</v>
      </c>
      <c r="BD236" s="19">
        <v>1.0479936472770734</v>
      </c>
      <c r="BE236" s="14" t="s">
        <v>4857</v>
      </c>
    </row>
    <row r="237" spans="1:105" s="30" customFormat="1" ht="17.100000000000001" customHeight="1">
      <c r="A237" s="14">
        <v>226</v>
      </c>
      <c r="B237" s="14" t="s">
        <v>3561</v>
      </c>
      <c r="C237" s="32">
        <v>1.0728971657279565</v>
      </c>
      <c r="D237" s="32">
        <v>1.448290021495952</v>
      </c>
      <c r="E237" s="32">
        <v>-1.2021359835642988</v>
      </c>
      <c r="F237" s="42">
        <v>236493.5</v>
      </c>
      <c r="G237" s="52" t="s">
        <v>4894</v>
      </c>
      <c r="H237" s="32">
        <v>21.431938335952371</v>
      </c>
      <c r="I237" s="32">
        <v>27.963663156100559</v>
      </c>
      <c r="J237" s="12" t="s">
        <v>3546</v>
      </c>
      <c r="K237" s="15" t="s">
        <v>3547</v>
      </c>
      <c r="L237" s="14" t="s">
        <v>5131</v>
      </c>
      <c r="M237" s="12" t="s">
        <v>3548</v>
      </c>
      <c r="N237" s="15" t="s">
        <v>3549</v>
      </c>
      <c r="O237" s="12" t="s">
        <v>3550</v>
      </c>
      <c r="P237" s="12" t="s">
        <v>3562</v>
      </c>
      <c r="Q237" s="14">
        <v>2</v>
      </c>
      <c r="R237" s="21">
        <v>557.35320000000002</v>
      </c>
      <c r="S237" s="14">
        <v>2</v>
      </c>
      <c r="T237" s="52" t="s">
        <v>4894</v>
      </c>
      <c r="U237" s="53">
        <v>22.4</v>
      </c>
      <c r="V237" s="42">
        <v>152371</v>
      </c>
      <c r="W237" s="42">
        <v>159214</v>
      </c>
      <c r="X237" s="42">
        <v>200925</v>
      </c>
      <c r="Y237" s="42">
        <v>238977</v>
      </c>
      <c r="Z237" s="42">
        <v>254257</v>
      </c>
      <c r="AA237" s="42">
        <v>218730</v>
      </c>
      <c r="AB237" s="42">
        <v>181188</v>
      </c>
      <c r="AC237" s="42">
        <v>270502</v>
      </c>
      <c r="AD237" s="42">
        <v>187871.75</v>
      </c>
      <c r="AE237" s="42">
        <v>231169.25</v>
      </c>
      <c r="AF237" s="42">
        <v>155792.5</v>
      </c>
      <c r="AG237" s="42">
        <v>219951</v>
      </c>
      <c r="AH237" s="42">
        <v>236493.5</v>
      </c>
      <c r="AI237" s="42">
        <v>225845</v>
      </c>
      <c r="AJ237" s="32">
        <v>21.431938335952371</v>
      </c>
      <c r="AK237" s="32">
        <v>17.182097195189499</v>
      </c>
      <c r="AL237" s="32">
        <v>3.1058823137567888</v>
      </c>
      <c r="AM237" s="32">
        <v>12.233100662288649</v>
      </c>
      <c r="AN237" s="32">
        <v>10.622441046039098</v>
      </c>
      <c r="AO237" s="32">
        <v>27.963663156100559</v>
      </c>
      <c r="AP237" s="19">
        <v>1.2304630685560762</v>
      </c>
      <c r="AQ237" s="19">
        <v>1.5180031131152014</v>
      </c>
      <c r="AR237" s="19">
        <v>1.0267968774863492</v>
      </c>
      <c r="AS237" s="19">
        <v>0.29920135701542599</v>
      </c>
      <c r="AT237" s="19">
        <v>0.60217474943009697</v>
      </c>
      <c r="AU237" s="19">
        <v>3.8150813762812721E-2</v>
      </c>
      <c r="AV237" s="19">
        <v>0.10151180432932544</v>
      </c>
      <c r="AW237" s="19">
        <v>0.5343505324469473</v>
      </c>
      <c r="AX237" s="19">
        <v>-0.26560010047298022</v>
      </c>
      <c r="AY237" s="19">
        <v>1.2304630685560762</v>
      </c>
      <c r="AZ237" s="19">
        <v>1.5180031131152014</v>
      </c>
      <c r="BA237" s="19">
        <v>1.0267968774863492</v>
      </c>
      <c r="BB237" s="19">
        <v>1.0728971657279565</v>
      </c>
      <c r="BC237" s="19">
        <v>1.448290021495952</v>
      </c>
      <c r="BD237" s="19">
        <v>-1.2021359835642988</v>
      </c>
      <c r="BE237" s="14" t="s">
        <v>4857</v>
      </c>
    </row>
    <row r="238" spans="1:105" s="30" customFormat="1" ht="17.100000000000001" customHeight="1">
      <c r="A238" s="14">
        <v>227</v>
      </c>
      <c r="B238" s="14" t="s">
        <v>3563</v>
      </c>
      <c r="C238" s="32">
        <v>-1.0213213515611226</v>
      </c>
      <c r="D238" s="32">
        <v>-1.2082548406092766</v>
      </c>
      <c r="E238" s="32">
        <v>1.116577990386457</v>
      </c>
      <c r="F238" s="24">
        <v>47799</v>
      </c>
      <c r="G238" s="52" t="s">
        <v>2</v>
      </c>
      <c r="H238" s="32">
        <v>28.553440373820127</v>
      </c>
      <c r="I238" s="32">
        <v>25.517526777371806</v>
      </c>
      <c r="J238" s="12" t="s">
        <v>3546</v>
      </c>
      <c r="K238" s="15" t="s">
        <v>3547</v>
      </c>
      <c r="L238" s="14" t="s">
        <v>5128</v>
      </c>
      <c r="M238" s="12" t="s">
        <v>3548</v>
      </c>
      <c r="N238" s="15" t="s">
        <v>3549</v>
      </c>
      <c r="O238" s="12" t="s">
        <v>3550</v>
      </c>
      <c r="P238" s="12" t="s">
        <v>3564</v>
      </c>
      <c r="Q238" s="14">
        <v>2</v>
      </c>
      <c r="R238" s="21">
        <v>578.35839999999996</v>
      </c>
      <c r="S238" s="14">
        <v>2</v>
      </c>
      <c r="T238" s="52" t="s">
        <v>2</v>
      </c>
      <c r="U238" s="53">
        <v>30.118687499999997</v>
      </c>
      <c r="V238" s="24">
        <v>28411</v>
      </c>
      <c r="W238" s="24">
        <v>40921</v>
      </c>
      <c r="X238" s="24">
        <v>39807</v>
      </c>
      <c r="Y238" s="24">
        <v>29555</v>
      </c>
      <c r="Z238" s="24">
        <v>35262</v>
      </c>
      <c r="AA238" s="24">
        <v>24882</v>
      </c>
      <c r="AB238" s="24">
        <v>48955</v>
      </c>
      <c r="AC238" s="24">
        <v>46643</v>
      </c>
      <c r="AD238" s="24">
        <v>34673.5</v>
      </c>
      <c r="AE238" s="24">
        <v>38935.5</v>
      </c>
      <c r="AF238" s="24">
        <v>34666</v>
      </c>
      <c r="AG238" s="24">
        <v>34681</v>
      </c>
      <c r="AH238" s="24">
        <v>30072</v>
      </c>
      <c r="AI238" s="24">
        <v>47799</v>
      </c>
      <c r="AJ238" s="32">
        <v>19.043594592044467</v>
      </c>
      <c r="AK238" s="32">
        <v>28.553440373820127</v>
      </c>
      <c r="AL238" s="32">
        <v>25.517526777371806</v>
      </c>
      <c r="AM238" s="32">
        <v>20.902680778306522</v>
      </c>
      <c r="AN238" s="32">
        <v>24.407317068091125</v>
      </c>
      <c r="AO238" s="32">
        <v>3.4202198332670095</v>
      </c>
      <c r="AP238" s="19">
        <v>1.1229180786479589</v>
      </c>
      <c r="AQ238" s="19">
        <v>0.86747822073501413</v>
      </c>
      <c r="AR238" s="19">
        <v>1.378247455379026</v>
      </c>
      <c r="AS238" s="19">
        <v>0.16725268122083509</v>
      </c>
      <c r="AT238" s="19">
        <v>-0.20510055763683066</v>
      </c>
      <c r="AU238" s="19">
        <v>0.46283493782267643</v>
      </c>
      <c r="AV238" s="19">
        <v>-3.0436871465265469E-2</v>
      </c>
      <c r="AW238" s="19">
        <v>-0.27292477461998038</v>
      </c>
      <c r="AX238" s="19">
        <v>0.15908402358688351</v>
      </c>
      <c r="AY238" s="19">
        <v>1.1229180786479589</v>
      </c>
      <c r="AZ238" s="19">
        <v>-1.1527666932694867</v>
      </c>
      <c r="BA238" s="19">
        <v>1.378247455379026</v>
      </c>
      <c r="BB238" s="19">
        <v>-1.0213213515611226</v>
      </c>
      <c r="BC238" s="19">
        <v>-1.2082548406092766</v>
      </c>
      <c r="BD238" s="19">
        <v>1.116577990386457</v>
      </c>
      <c r="BE238" s="14" t="s">
        <v>4857</v>
      </c>
    </row>
    <row r="239" spans="1:105" s="30" customFormat="1" ht="17.100000000000001" customHeight="1">
      <c r="A239" s="14">
        <v>228</v>
      </c>
      <c r="B239" s="14" t="s">
        <v>3565</v>
      </c>
      <c r="C239" s="32">
        <v>1.1426742757908146</v>
      </c>
      <c r="D239" s="32">
        <v>1.5432113670672247</v>
      </c>
      <c r="E239" s="32">
        <v>-1.1408595722094239</v>
      </c>
      <c r="F239" s="42">
        <v>948778</v>
      </c>
      <c r="G239" s="52" t="s">
        <v>4894</v>
      </c>
      <c r="H239" s="32">
        <v>19.044816281486476</v>
      </c>
      <c r="I239" s="32">
        <v>17.441243172739295</v>
      </c>
      <c r="J239" s="12" t="s">
        <v>3546</v>
      </c>
      <c r="K239" s="15" t="s">
        <v>3547</v>
      </c>
      <c r="L239" s="14" t="s">
        <v>5079</v>
      </c>
      <c r="M239" s="12" t="s">
        <v>3548</v>
      </c>
      <c r="N239" s="15" t="s">
        <v>3549</v>
      </c>
      <c r="O239" s="12" t="s">
        <v>3550</v>
      </c>
      <c r="P239" s="12" t="s">
        <v>3566</v>
      </c>
      <c r="Q239" s="14">
        <v>2</v>
      </c>
      <c r="R239" s="21">
        <v>472.30040000000002</v>
      </c>
      <c r="S239" s="14">
        <v>12</v>
      </c>
      <c r="T239" s="52" t="s">
        <v>4894</v>
      </c>
      <c r="U239" s="53">
        <v>20.719274999999996</v>
      </c>
      <c r="V239" s="42">
        <v>658914</v>
      </c>
      <c r="W239" s="42">
        <v>514232</v>
      </c>
      <c r="X239" s="42">
        <v>774326</v>
      </c>
      <c r="Y239" s="42">
        <v>801597</v>
      </c>
      <c r="Z239" s="42">
        <v>944312</v>
      </c>
      <c r="AA239" s="42">
        <v>953244</v>
      </c>
      <c r="AB239" s="42">
        <v>860721</v>
      </c>
      <c r="AC239" s="42">
        <v>844344</v>
      </c>
      <c r="AD239" s="42">
        <v>687267.25</v>
      </c>
      <c r="AE239" s="42">
        <v>900655.25</v>
      </c>
      <c r="AF239" s="42">
        <v>586573</v>
      </c>
      <c r="AG239" s="42">
        <v>787961.5</v>
      </c>
      <c r="AH239" s="42">
        <v>948778</v>
      </c>
      <c r="AI239" s="42">
        <v>852532.5</v>
      </c>
      <c r="AJ239" s="32">
        <v>19.044816281486476</v>
      </c>
      <c r="AK239" s="32">
        <v>6.2273335627949118</v>
      </c>
      <c r="AL239" s="32">
        <v>17.441243172739295</v>
      </c>
      <c r="AM239" s="32">
        <v>2.4472653841257896</v>
      </c>
      <c r="AN239" s="32">
        <v>0.66568552069696407</v>
      </c>
      <c r="AO239" s="32">
        <v>1.3583397413579059</v>
      </c>
      <c r="AP239" s="19">
        <v>1.3104876596404091</v>
      </c>
      <c r="AQ239" s="19">
        <v>1.6174934748104668</v>
      </c>
      <c r="AR239" s="19">
        <v>1.081946897151701</v>
      </c>
      <c r="AS239" s="19">
        <v>0.39010376842450822</v>
      </c>
      <c r="AT239" s="19">
        <v>0.69375989220073875</v>
      </c>
      <c r="AU239" s="19">
        <v>0.11362969223687407</v>
      </c>
      <c r="AV239" s="19">
        <v>0.19241421573840767</v>
      </c>
      <c r="AW239" s="19">
        <v>0.62593567521758908</v>
      </c>
      <c r="AX239" s="19">
        <v>-0.19012122199891884</v>
      </c>
      <c r="AY239" s="19">
        <v>1.3104876596404091</v>
      </c>
      <c r="AZ239" s="19">
        <v>1.6174934748104668</v>
      </c>
      <c r="BA239" s="19">
        <v>1.081946897151701</v>
      </c>
      <c r="BB239" s="19">
        <v>1.1426742757908146</v>
      </c>
      <c r="BC239" s="19">
        <v>1.5432113670672247</v>
      </c>
      <c r="BD239" s="19">
        <v>-1.1408595722094239</v>
      </c>
      <c r="BE239" s="14" t="s">
        <v>4857</v>
      </c>
    </row>
    <row r="240" spans="1:105" s="30" customFormat="1" ht="17.100000000000001" customHeight="1">
      <c r="A240" s="14">
        <v>229</v>
      </c>
      <c r="B240" s="14" t="s">
        <v>3569</v>
      </c>
      <c r="C240" s="32">
        <v>1.0056257603401273</v>
      </c>
      <c r="D240" s="32">
        <v>1.1597441755357454</v>
      </c>
      <c r="E240" s="32">
        <v>-1.1281241539871751</v>
      </c>
      <c r="F240" s="24">
        <v>283673.5</v>
      </c>
      <c r="G240" s="52" t="s">
        <v>2</v>
      </c>
      <c r="H240" s="32">
        <v>18.747272523893756</v>
      </c>
      <c r="I240" s="32">
        <v>24.388164032752766</v>
      </c>
      <c r="J240" s="12" t="s">
        <v>3570</v>
      </c>
      <c r="K240" s="15" t="s">
        <v>3571</v>
      </c>
      <c r="L240" s="14" t="s">
        <v>5181</v>
      </c>
      <c r="M240" s="12" t="s">
        <v>3572</v>
      </c>
      <c r="N240" s="15" t="s">
        <v>3573</v>
      </c>
      <c r="O240" s="12" t="s">
        <v>3574</v>
      </c>
      <c r="P240" s="12" t="s">
        <v>3575</v>
      </c>
      <c r="Q240" s="14">
        <v>2</v>
      </c>
      <c r="R240" s="21">
        <v>505.77949999999998</v>
      </c>
      <c r="S240" s="14">
        <v>8</v>
      </c>
      <c r="T240" s="52" t="s">
        <v>2</v>
      </c>
      <c r="U240" s="53">
        <v>26.274425000000001</v>
      </c>
      <c r="V240" s="24">
        <v>235986</v>
      </c>
      <c r="W240" s="24">
        <v>230748</v>
      </c>
      <c r="X240" s="24">
        <v>237583</v>
      </c>
      <c r="Y240" s="24">
        <v>253650</v>
      </c>
      <c r="Z240" s="24">
        <v>325658</v>
      </c>
      <c r="AA240" s="24">
        <v>241689</v>
      </c>
      <c r="AB240" s="24">
        <v>222399</v>
      </c>
      <c r="AC240" s="24">
        <v>315089</v>
      </c>
      <c r="AD240" s="24">
        <v>239491.75</v>
      </c>
      <c r="AE240" s="24">
        <v>276208.75</v>
      </c>
      <c r="AF240" s="24">
        <v>233367</v>
      </c>
      <c r="AG240" s="24">
        <v>245616.5</v>
      </c>
      <c r="AH240" s="24">
        <v>283673.5</v>
      </c>
      <c r="AI240" s="24">
        <v>268744</v>
      </c>
      <c r="AJ240" s="32">
        <v>4.12540036761889</v>
      </c>
      <c r="AK240" s="32">
        <v>18.747272523893756</v>
      </c>
      <c r="AL240" s="32">
        <v>1.5871247090870331</v>
      </c>
      <c r="AM240" s="32">
        <v>4.6255380454180637</v>
      </c>
      <c r="AN240" s="32">
        <v>20.930770519436326</v>
      </c>
      <c r="AO240" s="32">
        <v>24.388164032752766</v>
      </c>
      <c r="AP240" s="19">
        <v>1.1533121704609866</v>
      </c>
      <c r="AQ240" s="19">
        <v>1.2155681823051245</v>
      </c>
      <c r="AR240" s="19">
        <v>1.0941610193126277</v>
      </c>
      <c r="AS240" s="19">
        <v>0.20578306443757288</v>
      </c>
      <c r="AT240" s="19">
        <v>0.28163081768972031</v>
      </c>
      <c r="AU240" s="19">
        <v>0.1298250641541801</v>
      </c>
      <c r="AV240" s="19">
        <v>8.0935117514723265E-3</v>
      </c>
      <c r="AW240" s="19">
        <v>0.21380660070657059</v>
      </c>
      <c r="AX240" s="19">
        <v>-0.17392585008161282</v>
      </c>
      <c r="AY240" s="19">
        <v>1.1533121704609866</v>
      </c>
      <c r="AZ240" s="19">
        <v>1.2155681823051245</v>
      </c>
      <c r="BA240" s="19">
        <v>1.0941610193126277</v>
      </c>
      <c r="BB240" s="19">
        <v>1.0056257603401273</v>
      </c>
      <c r="BC240" s="19">
        <v>1.1597441755357454</v>
      </c>
      <c r="BD240" s="19">
        <v>-1.1281241539871751</v>
      </c>
      <c r="BE240" s="14" t="s">
        <v>4857</v>
      </c>
    </row>
    <row r="241" spans="1:57" s="30" customFormat="1" ht="17.100000000000001" customHeight="1">
      <c r="A241" s="14">
        <v>230</v>
      </c>
      <c r="B241" s="14" t="s">
        <v>3576</v>
      </c>
      <c r="C241" s="32">
        <v>-1.1664870212088734</v>
      </c>
      <c r="D241" s="32">
        <v>-1.264933120806178</v>
      </c>
      <c r="E241" s="32">
        <v>-1.0743650014941244</v>
      </c>
      <c r="F241" s="24">
        <v>55242.5</v>
      </c>
      <c r="G241" s="52" t="s">
        <v>2</v>
      </c>
      <c r="H241" s="32">
        <v>18.783638575913603</v>
      </c>
      <c r="I241" s="32">
        <v>29.163696932793474</v>
      </c>
      <c r="J241" s="12" t="s">
        <v>3577</v>
      </c>
      <c r="K241" s="15" t="s">
        <v>3577</v>
      </c>
      <c r="L241" s="14" t="s">
        <v>5091</v>
      </c>
      <c r="M241" s="12" t="s">
        <v>3578</v>
      </c>
      <c r="N241" s="15" t="s">
        <v>3579</v>
      </c>
      <c r="O241" s="12" t="s">
        <v>3580</v>
      </c>
      <c r="P241" s="12" t="s">
        <v>3581</v>
      </c>
      <c r="Q241" s="14">
        <v>2</v>
      </c>
      <c r="R241" s="21">
        <v>627.85630000000003</v>
      </c>
      <c r="S241" s="14">
        <v>4</v>
      </c>
      <c r="T241" s="52" t="s">
        <v>2</v>
      </c>
      <c r="U241" s="53">
        <v>24.6031625</v>
      </c>
      <c r="V241" s="24">
        <v>51491</v>
      </c>
      <c r="W241" s="24">
        <v>51624</v>
      </c>
      <c r="X241" s="24">
        <v>38167</v>
      </c>
      <c r="Y241" s="24">
        <v>57998</v>
      </c>
      <c r="Z241" s="24">
        <v>47329</v>
      </c>
      <c r="AA241" s="24">
        <v>38113</v>
      </c>
      <c r="AB241" s="24">
        <v>50013</v>
      </c>
      <c r="AC241" s="24">
        <v>60472</v>
      </c>
      <c r="AD241" s="24">
        <v>49820</v>
      </c>
      <c r="AE241" s="24">
        <v>48981.75</v>
      </c>
      <c r="AF241" s="24">
        <v>51557.5</v>
      </c>
      <c r="AG241" s="24">
        <v>48082.5</v>
      </c>
      <c r="AH241" s="24">
        <v>42721</v>
      </c>
      <c r="AI241" s="24">
        <v>55242.5</v>
      </c>
      <c r="AJ241" s="32">
        <v>16.742348664906494</v>
      </c>
      <c r="AK241" s="32">
        <v>18.783638575913603</v>
      </c>
      <c r="AL241" s="32">
        <v>0.18240838267528647</v>
      </c>
      <c r="AM241" s="32">
        <v>29.163696932793474</v>
      </c>
      <c r="AN241" s="32">
        <v>15.254081354404677</v>
      </c>
      <c r="AO241" s="32">
        <v>13.387572655890123</v>
      </c>
      <c r="AP241" s="19">
        <v>0.98317442794058607</v>
      </c>
      <c r="AQ241" s="19">
        <v>0.82860883479610148</v>
      </c>
      <c r="AR241" s="19">
        <v>1.1489107263557428</v>
      </c>
      <c r="AS241" s="19">
        <v>-2.4480702735657972E-2</v>
      </c>
      <c r="AT241" s="19">
        <v>-0.27123689217997821</v>
      </c>
      <c r="AU241" s="19">
        <v>0.20026670081468054</v>
      </c>
      <c r="AV241" s="19">
        <v>-0.22217025542175853</v>
      </c>
      <c r="AW241" s="19">
        <v>-0.33906110916312793</v>
      </c>
      <c r="AX241" s="19">
        <v>-0.10348421342111239</v>
      </c>
      <c r="AY241" s="19">
        <v>-1.0171135167690006</v>
      </c>
      <c r="AZ241" s="19">
        <v>-1.2068420683036445</v>
      </c>
      <c r="BA241" s="19">
        <v>1.1489107263557428</v>
      </c>
      <c r="BB241" s="19">
        <v>-1.1664870212088734</v>
      </c>
      <c r="BC241" s="19">
        <v>-1.264933120806178</v>
      </c>
      <c r="BD241" s="19">
        <v>-1.0743650014941244</v>
      </c>
      <c r="BE241" s="14" t="s">
        <v>4857</v>
      </c>
    </row>
    <row r="242" spans="1:57" s="30" customFormat="1" ht="17.100000000000001" customHeight="1">
      <c r="A242" s="14">
        <v>231</v>
      </c>
      <c r="B242" s="14" t="s">
        <v>3582</v>
      </c>
      <c r="C242" s="32">
        <v>1.0203684823529398</v>
      </c>
      <c r="D242" s="32">
        <v>-1.3928751902065566</v>
      </c>
      <c r="E242" s="32">
        <v>1.3838994464357581</v>
      </c>
      <c r="F242" s="24">
        <v>47136.5</v>
      </c>
      <c r="G242" s="52" t="s">
        <v>2</v>
      </c>
      <c r="H242" s="32">
        <v>33.333921658352963</v>
      </c>
      <c r="I242" s="32">
        <v>20.068580447989739</v>
      </c>
      <c r="J242" s="12" t="s">
        <v>3577</v>
      </c>
      <c r="K242" s="15" t="s">
        <v>3577</v>
      </c>
      <c r="L242" s="14" t="s">
        <v>5040</v>
      </c>
      <c r="M242" s="12" t="s">
        <v>3578</v>
      </c>
      <c r="N242" s="15" t="s">
        <v>3579</v>
      </c>
      <c r="O242" s="12" t="s">
        <v>3580</v>
      </c>
      <c r="P242" s="12" t="s">
        <v>3583</v>
      </c>
      <c r="Q242" s="14">
        <v>2</v>
      </c>
      <c r="R242" s="21">
        <v>855.49339999999995</v>
      </c>
      <c r="S242" s="14">
        <v>5</v>
      </c>
      <c r="T242" s="52" t="s">
        <v>2</v>
      </c>
      <c r="U242" s="53">
        <v>38.236662499999994</v>
      </c>
      <c r="V242" s="24">
        <v>40526</v>
      </c>
      <c r="W242" s="24">
        <v>30552</v>
      </c>
      <c r="X242" s="24">
        <v>31480</v>
      </c>
      <c r="Y242" s="24">
        <v>23708</v>
      </c>
      <c r="Z242" s="24">
        <v>22948</v>
      </c>
      <c r="AA242" s="24">
        <v>30538</v>
      </c>
      <c r="AB242" s="24">
        <v>49391</v>
      </c>
      <c r="AC242" s="24">
        <v>44882</v>
      </c>
      <c r="AD242" s="24">
        <v>31566.5</v>
      </c>
      <c r="AE242" s="24">
        <v>36939.75</v>
      </c>
      <c r="AF242" s="24">
        <v>35539</v>
      </c>
      <c r="AG242" s="24">
        <v>27594</v>
      </c>
      <c r="AH242" s="24">
        <v>26743</v>
      </c>
      <c r="AI242" s="24">
        <v>47136.5</v>
      </c>
      <c r="AJ242" s="32">
        <v>21.876617817673544</v>
      </c>
      <c r="AK242" s="32">
        <v>33.333921658352963</v>
      </c>
      <c r="AL242" s="32">
        <v>19.844911324332777</v>
      </c>
      <c r="AM242" s="32">
        <v>19.916046616590009</v>
      </c>
      <c r="AN242" s="32">
        <v>20.068580447989739</v>
      </c>
      <c r="AO242" s="32">
        <v>6.764067074072412</v>
      </c>
      <c r="AP242" s="19">
        <v>1.1702200117212869</v>
      </c>
      <c r="AQ242" s="19">
        <v>0.75249725653507415</v>
      </c>
      <c r="AR242" s="19">
        <v>1.7082155541059652</v>
      </c>
      <c r="AS242" s="19">
        <v>0.22677979474837215</v>
      </c>
      <c r="AT242" s="19">
        <v>-0.41024177280300722</v>
      </c>
      <c r="AU242" s="19">
        <v>0.77249003539060179</v>
      </c>
      <c r="AV242" s="19">
        <v>2.9090242062271593E-2</v>
      </c>
      <c r="AW242" s="19">
        <v>-0.47806598978615694</v>
      </c>
      <c r="AX242" s="19">
        <v>0.46873912115480887</v>
      </c>
      <c r="AY242" s="19">
        <v>1.1702200117212869</v>
      </c>
      <c r="AZ242" s="19">
        <v>-1.328908499420409</v>
      </c>
      <c r="BA242" s="19">
        <v>1.7082155541059652</v>
      </c>
      <c r="BB242" s="19">
        <v>1.0203684823529398</v>
      </c>
      <c r="BC242" s="19">
        <v>-1.3928751902065566</v>
      </c>
      <c r="BD242" s="19">
        <v>1.3838994464357581</v>
      </c>
      <c r="BE242" s="14" t="s">
        <v>4857</v>
      </c>
    </row>
    <row r="243" spans="1:57" s="30" customFormat="1" ht="17.100000000000001" customHeight="1">
      <c r="A243" s="14">
        <v>232</v>
      </c>
      <c r="B243" s="14" t="s">
        <v>3585</v>
      </c>
      <c r="C243" s="32">
        <v>-1.0246737522309612</v>
      </c>
      <c r="D243" s="32">
        <v>1.1067581423969366</v>
      </c>
      <c r="E243" s="32">
        <v>-1.1349143460349211</v>
      </c>
      <c r="F243" s="24">
        <v>1629225</v>
      </c>
      <c r="G243" s="52" t="s">
        <v>2</v>
      </c>
      <c r="H243" s="32">
        <v>17.361196174223245</v>
      </c>
      <c r="I243" s="32">
        <v>16.301905235211215</v>
      </c>
      <c r="J243" s="12" t="s">
        <v>3577</v>
      </c>
      <c r="K243" s="15" t="s">
        <v>3577</v>
      </c>
      <c r="L243" s="14" t="s">
        <v>5174</v>
      </c>
      <c r="M243" s="12" t="s">
        <v>3578</v>
      </c>
      <c r="N243" s="15" t="s">
        <v>3579</v>
      </c>
      <c r="O243" s="12" t="s">
        <v>3580</v>
      </c>
      <c r="P243" s="12" t="s">
        <v>3586</v>
      </c>
      <c r="Q243" s="14">
        <v>2</v>
      </c>
      <c r="R243" s="21">
        <v>543.82950000000005</v>
      </c>
      <c r="S243" s="14">
        <v>12</v>
      </c>
      <c r="T243" s="52" t="s">
        <v>2</v>
      </c>
      <c r="U243" s="53">
        <v>27.676837500000001</v>
      </c>
      <c r="V243" s="24">
        <v>1295550</v>
      </c>
      <c r="W243" s="24">
        <v>1027740</v>
      </c>
      <c r="X243" s="24">
        <v>1424080</v>
      </c>
      <c r="Y243" s="24">
        <v>1571880</v>
      </c>
      <c r="Z243" s="24">
        <v>1351590</v>
      </c>
      <c r="AA243" s="24">
        <v>1343500</v>
      </c>
      <c r="AB243" s="24">
        <v>1499120</v>
      </c>
      <c r="AC243" s="24">
        <v>1759330</v>
      </c>
      <c r="AD243" s="24">
        <v>1329812.5</v>
      </c>
      <c r="AE243" s="24">
        <v>1488385</v>
      </c>
      <c r="AF243" s="24">
        <v>1161645</v>
      </c>
      <c r="AG243" s="24">
        <v>1497980</v>
      </c>
      <c r="AH243" s="24">
        <v>1347545</v>
      </c>
      <c r="AI243" s="24">
        <v>1629225</v>
      </c>
      <c r="AJ243" s="32">
        <v>17.361196174223245</v>
      </c>
      <c r="AK243" s="32">
        <v>13.05289063055832</v>
      </c>
      <c r="AL243" s="32">
        <v>16.301905235211215</v>
      </c>
      <c r="AM243" s="32">
        <v>6.9767541795866252</v>
      </c>
      <c r="AN243" s="32">
        <v>0.42451226933417213</v>
      </c>
      <c r="AO243" s="32">
        <v>11.293483437373691</v>
      </c>
      <c r="AP243" s="19">
        <v>1.1192442543591672</v>
      </c>
      <c r="AQ243" s="19">
        <v>1.160031679213529</v>
      </c>
      <c r="AR243" s="19">
        <v>1.0876146544012604</v>
      </c>
      <c r="AS243" s="19">
        <v>0.16252491218489035</v>
      </c>
      <c r="AT243" s="19">
        <v>0.21416420433577502</v>
      </c>
      <c r="AU243" s="19">
        <v>0.12116749532193949</v>
      </c>
      <c r="AV243" s="19">
        <v>-3.5164640501210209E-2</v>
      </c>
      <c r="AW243" s="19">
        <v>0.14633998735262532</v>
      </c>
      <c r="AX243" s="19">
        <v>-0.18258341891385343</v>
      </c>
      <c r="AY243" s="19">
        <v>1.1192442543591672</v>
      </c>
      <c r="AZ243" s="19">
        <v>1.160031679213529</v>
      </c>
      <c r="BA243" s="19">
        <v>1.0876146544012604</v>
      </c>
      <c r="BB243" s="19">
        <v>-1.0246737522309612</v>
      </c>
      <c r="BC243" s="19">
        <v>1.1067581423969366</v>
      </c>
      <c r="BD243" s="19">
        <v>-1.1349143460349211</v>
      </c>
      <c r="BE243" s="14" t="s">
        <v>4857</v>
      </c>
    </row>
    <row r="244" spans="1:57" s="30" customFormat="1" ht="17.100000000000001" customHeight="1">
      <c r="A244" s="14">
        <v>233</v>
      </c>
      <c r="B244" s="14" t="s">
        <v>4052</v>
      </c>
      <c r="C244" s="32">
        <v>1.1418659998702576</v>
      </c>
      <c r="D244" s="32">
        <v>1.0319896993086661</v>
      </c>
      <c r="E244" s="32">
        <v>1.2337948688115181</v>
      </c>
      <c r="F244" s="24">
        <v>1185710</v>
      </c>
      <c r="G244" s="52" t="s">
        <v>2</v>
      </c>
      <c r="H244" s="32">
        <v>24.380450602322078</v>
      </c>
      <c r="I244" s="32">
        <v>14.525138041234051</v>
      </c>
      <c r="J244" s="12" t="s">
        <v>3577</v>
      </c>
      <c r="K244" s="15" t="s">
        <v>3577</v>
      </c>
      <c r="L244" s="14" t="s">
        <v>5142</v>
      </c>
      <c r="M244" s="12" t="s">
        <v>3578</v>
      </c>
      <c r="N244" s="15" t="s">
        <v>3579</v>
      </c>
      <c r="O244" s="12" t="s">
        <v>3580</v>
      </c>
      <c r="P244" s="12" t="s">
        <v>3588</v>
      </c>
      <c r="Q244" s="14">
        <v>2</v>
      </c>
      <c r="R244" s="21">
        <v>728.43010000000004</v>
      </c>
      <c r="S244" s="14">
        <v>31</v>
      </c>
      <c r="T244" s="52" t="s">
        <v>2</v>
      </c>
      <c r="U244" s="53">
        <v>34.135887499999995</v>
      </c>
      <c r="V244" s="24">
        <v>751167</v>
      </c>
      <c r="W244" s="24">
        <v>706741</v>
      </c>
      <c r="X244" s="24">
        <v>698604</v>
      </c>
      <c r="Y244" s="24">
        <v>858535</v>
      </c>
      <c r="Z244" s="24">
        <v>734995</v>
      </c>
      <c r="AA244" s="24">
        <v>841972</v>
      </c>
      <c r="AB244" s="24">
        <v>1114160</v>
      </c>
      <c r="AC244" s="24">
        <v>1257260</v>
      </c>
      <c r="AD244" s="24">
        <v>753761.75</v>
      </c>
      <c r="AE244" s="24">
        <v>987096.75</v>
      </c>
      <c r="AF244" s="24">
        <v>728954</v>
      </c>
      <c r="AG244" s="24">
        <v>778569.5</v>
      </c>
      <c r="AH244" s="24">
        <v>788483.5</v>
      </c>
      <c r="AI244" s="24">
        <v>1185710</v>
      </c>
      <c r="AJ244" s="32">
        <v>9.7603365290469242</v>
      </c>
      <c r="AK244" s="32">
        <v>24.380450602322078</v>
      </c>
      <c r="AL244" s="32">
        <v>4.3094524292333345</v>
      </c>
      <c r="AM244" s="32">
        <v>14.525138041234051</v>
      </c>
      <c r="AN244" s="32">
        <v>9.5936265160898486</v>
      </c>
      <c r="AO244" s="32">
        <v>8.533872564775109</v>
      </c>
      <c r="AP244" s="19">
        <v>1.3095606801486013</v>
      </c>
      <c r="AQ244" s="19">
        <v>1.0816642751120098</v>
      </c>
      <c r="AR244" s="19">
        <v>1.5229340476347968</v>
      </c>
      <c r="AS244" s="19">
        <v>0.38908291033473258</v>
      </c>
      <c r="AT244" s="19">
        <v>0.1132527877147913</v>
      </c>
      <c r="AU244" s="19">
        <v>0.60685346565287812</v>
      </c>
      <c r="AV244" s="19">
        <v>0.19139335764863202</v>
      </c>
      <c r="AW244" s="19">
        <v>4.5428570731641596E-2</v>
      </c>
      <c r="AX244" s="19">
        <v>0.3031025514170852</v>
      </c>
      <c r="AY244" s="19">
        <v>1.3095606801486013</v>
      </c>
      <c r="AZ244" s="19">
        <v>1.0816642751120098</v>
      </c>
      <c r="BA244" s="19">
        <v>1.5229340476347968</v>
      </c>
      <c r="BB244" s="19">
        <v>1.1418659998702576</v>
      </c>
      <c r="BC244" s="19">
        <v>1.0319896993086661</v>
      </c>
      <c r="BD244" s="19">
        <v>1.2337948688115181</v>
      </c>
      <c r="BE244" s="14" t="s">
        <v>4857</v>
      </c>
    </row>
    <row r="245" spans="1:57" s="30" customFormat="1" ht="17.100000000000001" customHeight="1">
      <c r="A245" s="14">
        <v>234</v>
      </c>
      <c r="B245" s="14" t="s">
        <v>3592</v>
      </c>
      <c r="C245" s="32">
        <v>-1.0841611619775482</v>
      </c>
      <c r="D245" s="32">
        <v>1.041558471767281</v>
      </c>
      <c r="E245" s="32">
        <v>-1.2067275392103147</v>
      </c>
      <c r="F245" s="42">
        <v>214353.5</v>
      </c>
      <c r="G245" s="52" t="s">
        <v>4894</v>
      </c>
      <c r="H245" s="32">
        <v>29.065017508469836</v>
      </c>
      <c r="I245" s="32">
        <v>49.488083431054619</v>
      </c>
      <c r="J245" s="12" t="s">
        <v>3577</v>
      </c>
      <c r="K245" s="15" t="s">
        <v>3577</v>
      </c>
      <c r="L245" s="14" t="s">
        <v>5130</v>
      </c>
      <c r="M245" s="12" t="s">
        <v>3578</v>
      </c>
      <c r="N245" s="15" t="s">
        <v>3579</v>
      </c>
      <c r="O245" s="12" t="s">
        <v>3580</v>
      </c>
      <c r="P245" s="12" t="s">
        <v>3468</v>
      </c>
      <c r="Q245" s="14">
        <v>2</v>
      </c>
      <c r="R245" s="21">
        <v>522.82420000000002</v>
      </c>
      <c r="S245" s="14">
        <v>2</v>
      </c>
      <c r="T245" s="52" t="s">
        <v>4894</v>
      </c>
      <c r="U245" s="53">
        <v>22.409862499999999</v>
      </c>
      <c r="V245" s="42">
        <v>189453</v>
      </c>
      <c r="W245" s="42">
        <v>203246</v>
      </c>
      <c r="X245" s="42">
        <v>145374</v>
      </c>
      <c r="Y245" s="42">
        <v>235186</v>
      </c>
      <c r="Z245" s="42">
        <v>235934</v>
      </c>
      <c r="AA245" s="42">
        <v>192773</v>
      </c>
      <c r="AB245" s="42">
        <v>126526</v>
      </c>
      <c r="AC245" s="42">
        <v>262745</v>
      </c>
      <c r="AD245" s="42">
        <v>193314.75</v>
      </c>
      <c r="AE245" s="42">
        <v>204494.5</v>
      </c>
      <c r="AF245" s="42">
        <v>196349.5</v>
      </c>
      <c r="AG245" s="42">
        <v>190280</v>
      </c>
      <c r="AH245" s="42">
        <v>214353.5</v>
      </c>
      <c r="AI245" s="42">
        <v>194635.5</v>
      </c>
      <c r="AJ245" s="32">
        <v>19.274583741174297</v>
      </c>
      <c r="AK245" s="32">
        <v>29.065017508469836</v>
      </c>
      <c r="AL245" s="32">
        <v>4.9672262129040563</v>
      </c>
      <c r="AM245" s="32">
        <v>33.375380613793467</v>
      </c>
      <c r="AN245" s="32">
        <v>14.237899443112697</v>
      </c>
      <c r="AO245" s="32">
        <v>49.488083431054619</v>
      </c>
      <c r="AP245" s="19">
        <v>1.0578318519409409</v>
      </c>
      <c r="AQ245" s="19">
        <v>1.0916936381299673</v>
      </c>
      <c r="AR245" s="19">
        <v>1.0228899516501997</v>
      </c>
      <c r="AS245" s="19">
        <v>8.1110321544450956E-2</v>
      </c>
      <c r="AT245" s="19">
        <v>0.12656804969901028</v>
      </c>
      <c r="AU245" s="19">
        <v>3.2650940050302286E-2</v>
      </c>
      <c r="AV245" s="19">
        <v>-0.1165792311416496</v>
      </c>
      <c r="AW245" s="19">
        <v>5.8743832715860575E-2</v>
      </c>
      <c r="AX245" s="19">
        <v>-0.27109997418549064</v>
      </c>
      <c r="AY245" s="19">
        <v>1.0578318519409409</v>
      </c>
      <c r="AZ245" s="19">
        <v>1.0916936381299673</v>
      </c>
      <c r="BA245" s="19">
        <v>1.0228899516501997</v>
      </c>
      <c r="BB245" s="19">
        <v>-1.0841611619775482</v>
      </c>
      <c r="BC245" s="19">
        <v>1.041558471767281</v>
      </c>
      <c r="BD245" s="19">
        <v>-1.2067275392103147</v>
      </c>
      <c r="BE245" s="14" t="s">
        <v>4857</v>
      </c>
    </row>
    <row r="246" spans="1:57" s="30" customFormat="1" ht="17.100000000000001" customHeight="1">
      <c r="A246" s="14">
        <v>235</v>
      </c>
      <c r="B246" s="14" t="s">
        <v>3469</v>
      </c>
      <c r="C246" s="32">
        <v>-1.0687111047736233</v>
      </c>
      <c r="D246" s="32">
        <v>-1.1585273582209283</v>
      </c>
      <c r="E246" s="32">
        <v>1.0157790808862459</v>
      </c>
      <c r="F246" s="24">
        <v>15360</v>
      </c>
      <c r="G246" s="52" t="s">
        <v>2</v>
      </c>
      <c r="H246" s="32">
        <v>17.302302847259647</v>
      </c>
      <c r="I246" s="32">
        <v>18.268584649242257</v>
      </c>
      <c r="J246" s="12" t="s">
        <v>3577</v>
      </c>
      <c r="K246" s="15" t="s">
        <v>3577</v>
      </c>
      <c r="L246" s="14" t="s">
        <v>5096</v>
      </c>
      <c r="M246" s="12" t="s">
        <v>3578</v>
      </c>
      <c r="N246" s="15" t="s">
        <v>3579</v>
      </c>
      <c r="O246" s="12" t="s">
        <v>3580</v>
      </c>
      <c r="P246" s="12" t="s">
        <v>3470</v>
      </c>
      <c r="Q246" s="14">
        <v>2</v>
      </c>
      <c r="R246" s="21">
        <v>707.4248</v>
      </c>
      <c r="S246" s="14">
        <v>8</v>
      </c>
      <c r="T246" s="52" t="s">
        <v>2</v>
      </c>
      <c r="U246" s="53">
        <v>26.437275000000003</v>
      </c>
      <c r="V246" s="24">
        <v>12388</v>
      </c>
      <c r="W246" s="24">
        <v>13901</v>
      </c>
      <c r="X246" s="24">
        <v>10668</v>
      </c>
      <c r="Y246" s="24">
        <v>13833</v>
      </c>
      <c r="Z246" s="24">
        <v>13270</v>
      </c>
      <c r="AA246" s="24">
        <v>10514</v>
      </c>
      <c r="AB246" s="24">
        <v>14708</v>
      </c>
      <c r="AC246" s="24">
        <v>16012</v>
      </c>
      <c r="AD246" s="24">
        <v>12697.5</v>
      </c>
      <c r="AE246" s="24">
        <v>13626</v>
      </c>
      <c r="AF246" s="24">
        <v>13144.5</v>
      </c>
      <c r="AG246" s="24">
        <v>12250.5</v>
      </c>
      <c r="AH246" s="24">
        <v>11892</v>
      </c>
      <c r="AI246" s="24">
        <v>15360</v>
      </c>
      <c r="AJ246" s="32">
        <v>11.989182118661862</v>
      </c>
      <c r="AK246" s="32">
        <v>17.302302847259647</v>
      </c>
      <c r="AL246" s="32">
        <v>8.1391651256057411</v>
      </c>
      <c r="AM246" s="32">
        <v>18.268584649242257</v>
      </c>
      <c r="AN246" s="32">
        <v>16.387372090061596</v>
      </c>
      <c r="AO246" s="32">
        <v>6.0030419444482943</v>
      </c>
      <c r="AP246" s="19">
        <v>1.073124630832841</v>
      </c>
      <c r="AQ246" s="19">
        <v>0.90471299783179282</v>
      </c>
      <c r="AR246" s="19">
        <v>1.2538263744336966</v>
      </c>
      <c r="AS246" s="19">
        <v>0.10181763792388367</v>
      </c>
      <c r="AT246" s="19">
        <v>-0.14446789636384666</v>
      </c>
      <c r="AU246" s="19">
        <v>0.32633758252106271</v>
      </c>
      <c r="AV246" s="19">
        <v>-9.5871914762216889E-2</v>
      </c>
      <c r="AW246" s="19">
        <v>-0.21229211334699638</v>
      </c>
      <c r="AX246" s="19">
        <v>2.2586668285269784E-2</v>
      </c>
      <c r="AY246" s="19">
        <v>1.073124630832841</v>
      </c>
      <c r="AZ246" s="19">
        <v>-1.1053229061553984</v>
      </c>
      <c r="BA246" s="19">
        <v>1.2538263744336966</v>
      </c>
      <c r="BB246" s="19">
        <v>-1.0687111047736233</v>
      </c>
      <c r="BC246" s="19">
        <v>-1.1585273582209283</v>
      </c>
      <c r="BD246" s="19">
        <v>1.0157790808862459</v>
      </c>
      <c r="BE246" s="14" t="s">
        <v>4857</v>
      </c>
    </row>
    <row r="247" spans="1:57" s="30" customFormat="1" ht="17.100000000000001" customHeight="1">
      <c r="A247" s="14">
        <v>236</v>
      </c>
      <c r="B247" s="14" t="s">
        <v>3472</v>
      </c>
      <c r="C247" s="32">
        <v>1.2068837791450933</v>
      </c>
      <c r="D247" s="32">
        <v>1.5765354957638433</v>
      </c>
      <c r="E247" s="32">
        <v>-1.0838190505502663</v>
      </c>
      <c r="F247" s="24">
        <v>87000</v>
      </c>
      <c r="G247" s="52" t="s">
        <v>2</v>
      </c>
      <c r="H247" s="32">
        <v>22.081448621911882</v>
      </c>
      <c r="I247" s="32">
        <v>30.181387001864834</v>
      </c>
      <c r="J247" s="12" t="s">
        <v>3577</v>
      </c>
      <c r="K247" s="15" t="s">
        <v>3577</v>
      </c>
      <c r="L247" s="14" t="s">
        <v>5131</v>
      </c>
      <c r="M247" s="12" t="s">
        <v>3578</v>
      </c>
      <c r="N247" s="15" t="s">
        <v>3579</v>
      </c>
      <c r="O247" s="12" t="s">
        <v>3580</v>
      </c>
      <c r="P247" s="12" t="s">
        <v>3473</v>
      </c>
      <c r="Q247" s="14">
        <v>2</v>
      </c>
      <c r="R247" s="21">
        <v>486.2978</v>
      </c>
      <c r="S247" s="14">
        <v>5</v>
      </c>
      <c r="T247" s="52" t="s">
        <v>2</v>
      </c>
      <c r="U247" s="53">
        <v>25.82</v>
      </c>
      <c r="V247" s="24">
        <v>45500</v>
      </c>
      <c r="W247" s="24">
        <v>59800</v>
      </c>
      <c r="X247" s="24">
        <v>58700</v>
      </c>
      <c r="Y247" s="24">
        <v>56500</v>
      </c>
      <c r="Z247" s="24">
        <v>87900</v>
      </c>
      <c r="AA247" s="24">
        <v>86100</v>
      </c>
      <c r="AB247" s="24">
        <v>79600</v>
      </c>
      <c r="AC247" s="24">
        <v>51600</v>
      </c>
      <c r="AD247" s="24">
        <v>55125</v>
      </c>
      <c r="AE247" s="24">
        <v>76300</v>
      </c>
      <c r="AF247" s="24">
        <v>52650</v>
      </c>
      <c r="AG247" s="24">
        <v>57600</v>
      </c>
      <c r="AH247" s="24">
        <v>87000</v>
      </c>
      <c r="AI247" s="24">
        <v>65600</v>
      </c>
      <c r="AJ247" s="32">
        <v>11.90330048979024</v>
      </c>
      <c r="AK247" s="32">
        <v>22.081448621911882</v>
      </c>
      <c r="AL247" s="32">
        <v>19.20536936556055</v>
      </c>
      <c r="AM247" s="32">
        <v>2.7007550670319524</v>
      </c>
      <c r="AN247" s="32">
        <v>1.4629795472825122</v>
      </c>
      <c r="AO247" s="32">
        <v>30.181387001864834</v>
      </c>
      <c r="AP247" s="19">
        <v>1.3841269841269841</v>
      </c>
      <c r="AQ247" s="19">
        <v>1.6524216524216524</v>
      </c>
      <c r="AR247" s="19">
        <v>1.1388888888888888</v>
      </c>
      <c r="AS247" s="19">
        <v>0.46897630638964749</v>
      </c>
      <c r="AT247" s="19">
        <v>0.72458186971037386</v>
      </c>
      <c r="AU247" s="19">
        <v>0.18762700317577127</v>
      </c>
      <c r="AV247" s="19">
        <v>0.27128675370354693</v>
      </c>
      <c r="AW247" s="19">
        <v>0.65675765272722419</v>
      </c>
      <c r="AX247" s="19">
        <v>-0.11612391106002165</v>
      </c>
      <c r="AY247" s="19">
        <v>1.3841269841269841</v>
      </c>
      <c r="AZ247" s="19">
        <v>1.6524216524216524</v>
      </c>
      <c r="BA247" s="19">
        <v>1.1388888888888888</v>
      </c>
      <c r="BB247" s="19">
        <v>1.2068837791450933</v>
      </c>
      <c r="BC247" s="19">
        <v>1.5765354957638433</v>
      </c>
      <c r="BD247" s="19">
        <v>-1.0838190505502663</v>
      </c>
      <c r="BE247" s="14" t="s">
        <v>4857</v>
      </c>
    </row>
    <row r="248" spans="1:57" s="30" customFormat="1" ht="17.100000000000001" customHeight="1">
      <c r="A248" s="14">
        <v>237</v>
      </c>
      <c r="B248" s="14" t="s">
        <v>3474</v>
      </c>
      <c r="C248" s="32">
        <v>-1.0439289794510105</v>
      </c>
      <c r="D248" s="32">
        <v>-1.0112073296333453</v>
      </c>
      <c r="E248" s="32">
        <v>-1.0728986115335033</v>
      </c>
      <c r="F248" s="24">
        <v>54832.5</v>
      </c>
      <c r="G248" s="52" t="s">
        <v>2</v>
      </c>
      <c r="H248" s="32">
        <v>24.803451685962568</v>
      </c>
      <c r="I248" s="32">
        <v>30.795901380036149</v>
      </c>
      <c r="J248" s="12" t="s">
        <v>3577</v>
      </c>
      <c r="K248" s="15" t="s">
        <v>3577</v>
      </c>
      <c r="L248" s="14" t="s">
        <v>5214</v>
      </c>
      <c r="M248" s="12" t="s">
        <v>3578</v>
      </c>
      <c r="N248" s="15" t="s">
        <v>3579</v>
      </c>
      <c r="O248" s="12" t="s">
        <v>3580</v>
      </c>
      <c r="P248" s="12" t="s">
        <v>3475</v>
      </c>
      <c r="Q248" s="14">
        <v>2</v>
      </c>
      <c r="R248" s="21">
        <v>571.35059999999999</v>
      </c>
      <c r="S248" s="14">
        <v>1</v>
      </c>
      <c r="T248" s="52" t="s">
        <v>2</v>
      </c>
      <c r="U248" s="53">
        <v>29.226887499999997</v>
      </c>
      <c r="V248" s="24">
        <v>42260</v>
      </c>
      <c r="W248" s="24">
        <v>37399</v>
      </c>
      <c r="X248" s="24">
        <v>46824</v>
      </c>
      <c r="Y248" s="24">
        <v>48497</v>
      </c>
      <c r="Z248" s="24">
        <v>32294</v>
      </c>
      <c r="AA248" s="24">
        <v>50274</v>
      </c>
      <c r="AB248" s="24">
        <v>48466</v>
      </c>
      <c r="AC248" s="24">
        <v>61199</v>
      </c>
      <c r="AD248" s="24">
        <v>43745</v>
      </c>
      <c r="AE248" s="24">
        <v>48058.25</v>
      </c>
      <c r="AF248" s="24">
        <v>39829.5</v>
      </c>
      <c r="AG248" s="24">
        <v>47660.5</v>
      </c>
      <c r="AH248" s="24">
        <v>41284</v>
      </c>
      <c r="AI248" s="24">
        <v>54832.5</v>
      </c>
      <c r="AJ248" s="32">
        <v>11.3946717294378</v>
      </c>
      <c r="AK248" s="32">
        <v>24.803451685962568</v>
      </c>
      <c r="AL248" s="32">
        <v>8.6299001075780701</v>
      </c>
      <c r="AM248" s="32">
        <v>2.4821175709971439</v>
      </c>
      <c r="AN248" s="32">
        <v>30.795901380036149</v>
      </c>
      <c r="AO248" s="32">
        <v>16.420171695341832</v>
      </c>
      <c r="AP248" s="19">
        <v>1.0985998399817123</v>
      </c>
      <c r="AQ248" s="19">
        <v>1.0365181586512509</v>
      </c>
      <c r="AR248" s="19">
        <v>1.1504810062840298</v>
      </c>
      <c r="AS248" s="19">
        <v>0.13566598683104378</v>
      </c>
      <c r="AT248" s="19">
        <v>5.1745391089520434E-2</v>
      </c>
      <c r="AU248" s="19">
        <v>0.2022371657731864</v>
      </c>
      <c r="AV248" s="19">
        <v>-6.2023565855056778E-2</v>
      </c>
      <c r="AW248" s="19">
        <v>-1.6078825893629273E-2</v>
      </c>
      <c r="AX248" s="19">
        <v>-0.10151374846260652</v>
      </c>
      <c r="AY248" s="19">
        <v>1.0985998399817123</v>
      </c>
      <c r="AZ248" s="19">
        <v>1.0365181586512509</v>
      </c>
      <c r="BA248" s="19">
        <v>1.1504810062840298</v>
      </c>
      <c r="BB248" s="19">
        <v>-1.0439289794510105</v>
      </c>
      <c r="BC248" s="19">
        <v>-1.0112073296333453</v>
      </c>
      <c r="BD248" s="19">
        <v>-1.0728986115335033</v>
      </c>
      <c r="BE248" s="14" t="s">
        <v>4857</v>
      </c>
    </row>
    <row r="249" spans="1:57" s="30" customFormat="1" ht="17.100000000000001" customHeight="1">
      <c r="A249" s="14">
        <v>238</v>
      </c>
      <c r="B249" s="14" t="s">
        <v>3476</v>
      </c>
      <c r="C249" s="32">
        <v>-1.0868369642174061</v>
      </c>
      <c r="D249" s="32">
        <v>1.2035853729067374</v>
      </c>
      <c r="E249" s="32">
        <v>-1.414190565020385</v>
      </c>
      <c r="F249" s="24">
        <v>1321650</v>
      </c>
      <c r="G249" s="52" t="s">
        <v>2</v>
      </c>
      <c r="H249" s="32">
        <v>16.68490052514187</v>
      </c>
      <c r="I249" s="32">
        <v>13.800259004975452</v>
      </c>
      <c r="J249" s="12" t="s">
        <v>3477</v>
      </c>
      <c r="K249" s="15" t="s">
        <v>3478</v>
      </c>
      <c r="L249" s="14" t="s">
        <v>5032</v>
      </c>
      <c r="M249" s="12" t="s">
        <v>3479</v>
      </c>
      <c r="N249" s="15" t="s">
        <v>3480</v>
      </c>
      <c r="O249" s="12" t="s">
        <v>3481</v>
      </c>
      <c r="P249" s="12" t="s">
        <v>3483</v>
      </c>
      <c r="Q249" s="14">
        <v>2</v>
      </c>
      <c r="R249" s="21">
        <v>622.82770000000005</v>
      </c>
      <c r="S249" s="14">
        <v>21</v>
      </c>
      <c r="T249" s="52" t="s">
        <v>2</v>
      </c>
      <c r="U249" s="53">
        <v>25.778700000000001</v>
      </c>
      <c r="V249" s="24">
        <v>1040990</v>
      </c>
      <c r="W249" s="24">
        <v>1054340</v>
      </c>
      <c r="X249" s="24">
        <v>1130190</v>
      </c>
      <c r="Y249" s="24">
        <v>1239650</v>
      </c>
      <c r="Z249" s="24">
        <v>1192680</v>
      </c>
      <c r="AA249" s="24">
        <v>1450620</v>
      </c>
      <c r="AB249" s="24">
        <v>1036270</v>
      </c>
      <c r="AC249" s="24">
        <v>1032200</v>
      </c>
      <c r="AD249" s="24">
        <v>1116292.5</v>
      </c>
      <c r="AE249" s="24">
        <v>1177942.5</v>
      </c>
      <c r="AF249" s="24">
        <v>1047665</v>
      </c>
      <c r="AG249" s="24">
        <v>1184920</v>
      </c>
      <c r="AH249" s="24">
        <v>1321650</v>
      </c>
      <c r="AI249" s="24">
        <v>1034235</v>
      </c>
      <c r="AJ249" s="32">
        <v>8.1644109954139807</v>
      </c>
      <c r="AK249" s="32">
        <v>16.68490052514187</v>
      </c>
      <c r="AL249" s="32">
        <v>0.90103950488375673</v>
      </c>
      <c r="AM249" s="32">
        <v>6.5320788128041967</v>
      </c>
      <c r="AN249" s="32">
        <v>13.800259004975452</v>
      </c>
      <c r="AO249" s="32">
        <v>0.27826602265725375</v>
      </c>
      <c r="AP249" s="19">
        <v>1.0552274605446152</v>
      </c>
      <c r="AQ249" s="19">
        <v>1.2615196651601419</v>
      </c>
      <c r="AR249" s="19">
        <v>0.87283107720352426</v>
      </c>
      <c r="AS249" s="19">
        <v>7.7554013936407484E-2</v>
      </c>
      <c r="AT249" s="19">
        <v>0.33516269589636555</v>
      </c>
      <c r="AU249" s="19">
        <v>-0.19622562506678567</v>
      </c>
      <c r="AV249" s="19">
        <v>-0.12013553874969307</v>
      </c>
      <c r="AW249" s="19">
        <v>0.26733847891321583</v>
      </c>
      <c r="AX249" s="19">
        <v>-0.49997653930257857</v>
      </c>
      <c r="AY249" s="19">
        <v>1.0552274605446152</v>
      </c>
      <c r="AZ249" s="19">
        <v>1.2615196651601419</v>
      </c>
      <c r="BA249" s="19">
        <v>-1.1456970611128032</v>
      </c>
      <c r="BB249" s="19">
        <v>-1.0868369642174061</v>
      </c>
      <c r="BC249" s="19">
        <v>1.2035853729067374</v>
      </c>
      <c r="BD249" s="19">
        <v>-1.414190565020385</v>
      </c>
      <c r="BE249" s="14" t="s">
        <v>4857</v>
      </c>
    </row>
    <row r="250" spans="1:57" s="30" customFormat="1" ht="17.100000000000001" customHeight="1">
      <c r="A250" s="14">
        <v>239</v>
      </c>
      <c r="B250" s="14" t="s">
        <v>3488</v>
      </c>
      <c r="C250" s="32">
        <v>1.0066414066063407</v>
      </c>
      <c r="D250" s="32">
        <v>1.1130013234352987</v>
      </c>
      <c r="E250" s="32">
        <v>-1.0770304768490817</v>
      </c>
      <c r="F250" s="24">
        <v>227260</v>
      </c>
      <c r="G250" s="52" t="s">
        <v>2</v>
      </c>
      <c r="H250" s="32">
        <v>27.115718191760518</v>
      </c>
      <c r="I250" s="32">
        <v>32.024508066187764</v>
      </c>
      <c r="J250" s="12" t="s">
        <v>3477</v>
      </c>
      <c r="K250" s="15" t="s">
        <v>3478</v>
      </c>
      <c r="L250" s="14" t="s">
        <v>5212</v>
      </c>
      <c r="M250" s="12" t="s">
        <v>3479</v>
      </c>
      <c r="N250" s="15" t="s">
        <v>3480</v>
      </c>
      <c r="O250" s="12" t="s">
        <v>3481</v>
      </c>
      <c r="P250" s="12" t="s">
        <v>3489</v>
      </c>
      <c r="Q250" s="14">
        <v>3</v>
      </c>
      <c r="R250" s="21">
        <v>644.33249999999998</v>
      </c>
      <c r="S250" s="14">
        <v>3</v>
      </c>
      <c r="T250" s="52" t="s">
        <v>2</v>
      </c>
      <c r="U250" s="53">
        <v>24.186</v>
      </c>
      <c r="V250" s="24">
        <v>106623</v>
      </c>
      <c r="W250" s="24">
        <v>169048</v>
      </c>
      <c r="X250" s="24">
        <v>180595</v>
      </c>
      <c r="Y250" s="24">
        <v>215996</v>
      </c>
      <c r="Z250" s="24">
        <v>181232</v>
      </c>
      <c r="AA250" s="24">
        <v>140359</v>
      </c>
      <c r="AB250" s="24">
        <v>204819</v>
      </c>
      <c r="AC250" s="24">
        <v>249701</v>
      </c>
      <c r="AD250" s="24">
        <v>168065.5</v>
      </c>
      <c r="AE250" s="24">
        <v>194027.75</v>
      </c>
      <c r="AF250" s="24">
        <v>137835.5</v>
      </c>
      <c r="AG250" s="24">
        <v>198295.5</v>
      </c>
      <c r="AH250" s="24">
        <v>160795.5</v>
      </c>
      <c r="AI250" s="24">
        <v>227260</v>
      </c>
      <c r="AJ250" s="32">
        <v>27.115718191760518</v>
      </c>
      <c r="AK250" s="32">
        <v>23.543100449986515</v>
      </c>
      <c r="AL250" s="32">
        <v>32.024508066187764</v>
      </c>
      <c r="AM250" s="32">
        <v>12.623729313466503</v>
      </c>
      <c r="AN250" s="32">
        <v>17.974119591305577</v>
      </c>
      <c r="AO250" s="32">
        <v>13.964783311279866</v>
      </c>
      <c r="AP250" s="19">
        <v>1.1544769747509156</v>
      </c>
      <c r="AQ250" s="19">
        <v>1.1665753742686027</v>
      </c>
      <c r="AR250" s="19">
        <v>1.146067359067654</v>
      </c>
      <c r="AS250" s="19">
        <v>0.20723939983881354</v>
      </c>
      <c r="AT250" s="19">
        <v>0.22227952512789842</v>
      </c>
      <c r="AU250" s="19">
        <v>0.19669183967685588</v>
      </c>
      <c r="AV250" s="19">
        <v>9.5498471527129813E-3</v>
      </c>
      <c r="AW250" s="19">
        <v>0.15445530814474873</v>
      </c>
      <c r="AX250" s="19">
        <v>-0.10705907455893704</v>
      </c>
      <c r="AY250" s="19">
        <v>1.1544769747509156</v>
      </c>
      <c r="AZ250" s="19">
        <v>1.1665753742686027</v>
      </c>
      <c r="BA250" s="19">
        <v>1.146067359067654</v>
      </c>
      <c r="BB250" s="19">
        <v>1.0066414066063407</v>
      </c>
      <c r="BC250" s="19">
        <v>1.1130013234352987</v>
      </c>
      <c r="BD250" s="19">
        <v>-1.0770304768490817</v>
      </c>
      <c r="BE250" s="14" t="s">
        <v>4857</v>
      </c>
    </row>
    <row r="251" spans="1:57" s="30" customFormat="1" ht="17.100000000000001" customHeight="1">
      <c r="A251" s="14">
        <v>240</v>
      </c>
      <c r="B251" s="14" t="s">
        <v>3490</v>
      </c>
      <c r="C251" s="32">
        <v>1.117463042068463</v>
      </c>
      <c r="D251" s="32">
        <v>-1.0702804561470594</v>
      </c>
      <c r="E251" s="32">
        <v>1.2695131546141509</v>
      </c>
      <c r="F251" s="42">
        <v>1272683.5</v>
      </c>
      <c r="G251" s="52" t="s">
        <v>4894</v>
      </c>
      <c r="H251" s="32">
        <v>30.291502477813697</v>
      </c>
      <c r="I251" s="32">
        <v>7.7444418738523879</v>
      </c>
      <c r="J251" s="12" t="s">
        <v>3491</v>
      </c>
      <c r="K251" s="15" t="s">
        <v>3492</v>
      </c>
      <c r="L251" s="14" t="s">
        <v>5216</v>
      </c>
      <c r="M251" s="12" t="s">
        <v>3493</v>
      </c>
      <c r="N251" s="15" t="s">
        <v>3494</v>
      </c>
      <c r="O251" s="12" t="s">
        <v>3495</v>
      </c>
      <c r="P251" s="12" t="s">
        <v>3497</v>
      </c>
      <c r="Q251" s="14">
        <v>3</v>
      </c>
      <c r="R251" s="21">
        <v>556.97</v>
      </c>
      <c r="S251" s="14">
        <v>6</v>
      </c>
      <c r="T251" s="52" t="s">
        <v>4894</v>
      </c>
      <c r="U251" s="53">
        <v>39.491462500000004</v>
      </c>
      <c r="V251" s="42">
        <v>759308</v>
      </c>
      <c r="W251" s="42">
        <v>774656</v>
      </c>
      <c r="X251" s="42">
        <v>793685</v>
      </c>
      <c r="Y251" s="42">
        <v>830648</v>
      </c>
      <c r="Z251" s="42">
        <v>709980</v>
      </c>
      <c r="AA251" s="42">
        <v>792244</v>
      </c>
      <c r="AB251" s="42">
        <v>1215933</v>
      </c>
      <c r="AC251" s="42">
        <v>1329434</v>
      </c>
      <c r="AD251" s="42">
        <v>789574.25</v>
      </c>
      <c r="AE251" s="42">
        <v>1011897.75</v>
      </c>
      <c r="AF251" s="42">
        <v>766982</v>
      </c>
      <c r="AG251" s="42">
        <v>812166.5</v>
      </c>
      <c r="AH251" s="42">
        <v>751112</v>
      </c>
      <c r="AI251" s="42">
        <v>1272683.5</v>
      </c>
      <c r="AJ251" s="32">
        <v>3.8985270328222623</v>
      </c>
      <c r="AK251" s="32">
        <v>30.291502477813697</v>
      </c>
      <c r="AL251" s="32">
        <v>1.4149842991949138</v>
      </c>
      <c r="AM251" s="32">
        <v>3.2181563697835793</v>
      </c>
      <c r="AN251" s="32">
        <v>7.7444418738523879</v>
      </c>
      <c r="AO251" s="32">
        <v>6.306149704263027</v>
      </c>
      <c r="AP251" s="19">
        <v>1.2815738988448522</v>
      </c>
      <c r="AQ251" s="19">
        <v>0.97930851049959455</v>
      </c>
      <c r="AR251" s="19">
        <v>1.5670228949359521</v>
      </c>
      <c r="AS251" s="19">
        <v>0.35791667053205189</v>
      </c>
      <c r="AT251" s="19">
        <v>-3.0164672798030066E-2</v>
      </c>
      <c r="AU251" s="19">
        <v>0.64802625841244832</v>
      </c>
      <c r="AV251" s="19">
        <v>0.16022711784595134</v>
      </c>
      <c r="AW251" s="19">
        <v>-9.7988889781179769E-2</v>
      </c>
      <c r="AX251" s="19">
        <v>0.3442753441766554</v>
      </c>
      <c r="AY251" s="19">
        <v>1.2815738988448522</v>
      </c>
      <c r="AZ251" s="19">
        <v>-1.0211286732205049</v>
      </c>
      <c r="BA251" s="19">
        <v>1.5670228949359521</v>
      </c>
      <c r="BB251" s="19">
        <v>1.117463042068463</v>
      </c>
      <c r="BC251" s="19">
        <v>-1.0702804561470594</v>
      </c>
      <c r="BD251" s="19">
        <v>1.2695131546141509</v>
      </c>
      <c r="BE251" s="14" t="s">
        <v>4857</v>
      </c>
    </row>
    <row r="252" spans="1:57" s="30" customFormat="1" ht="17.100000000000001" customHeight="1">
      <c r="A252" s="14">
        <v>241</v>
      </c>
      <c r="B252" s="14" t="s">
        <v>3506</v>
      </c>
      <c r="C252" s="32">
        <v>-1.4045578316196154</v>
      </c>
      <c r="D252" s="32">
        <v>-1.3408173804382406</v>
      </c>
      <c r="E252" s="32">
        <v>-1.4439215494412965</v>
      </c>
      <c r="F252" s="40">
        <v>1045185</v>
      </c>
      <c r="G252" s="52" t="s">
        <v>4894</v>
      </c>
      <c r="H252" s="32">
        <v>9.7131530683164744</v>
      </c>
      <c r="I252" s="32">
        <v>16.240596375717395</v>
      </c>
      <c r="J252" s="12" t="s">
        <v>3499</v>
      </c>
      <c r="K252" s="12" t="s">
        <v>3500</v>
      </c>
      <c r="L252" s="14" t="s">
        <v>5021</v>
      </c>
      <c r="M252" s="12" t="s">
        <v>3493</v>
      </c>
      <c r="N252" s="15" t="s">
        <v>3501</v>
      </c>
      <c r="O252" s="12" t="s">
        <v>3495</v>
      </c>
      <c r="P252" s="12" t="s">
        <v>3507</v>
      </c>
      <c r="Q252" s="14">
        <v>2</v>
      </c>
      <c r="R252" s="21">
        <v>492.22879999999998</v>
      </c>
      <c r="S252" s="14">
        <v>4</v>
      </c>
      <c r="T252" s="52" t="s">
        <v>4894</v>
      </c>
      <c r="U252" s="53">
        <v>27.47</v>
      </c>
      <c r="V252" s="40">
        <v>1048531</v>
      </c>
      <c r="W252" s="40">
        <v>1041839</v>
      </c>
      <c r="X252" s="40">
        <v>998797</v>
      </c>
      <c r="Y252" s="40">
        <v>899765</v>
      </c>
      <c r="Z252" s="40">
        <v>790898</v>
      </c>
      <c r="AA252" s="40">
        <v>843172</v>
      </c>
      <c r="AB252" s="40">
        <v>904693</v>
      </c>
      <c r="AC252" s="40">
        <v>718310</v>
      </c>
      <c r="AD252" s="40">
        <v>997233</v>
      </c>
      <c r="AE252" s="40">
        <v>814268.25</v>
      </c>
      <c r="AF252" s="40">
        <v>1045185</v>
      </c>
      <c r="AG252" s="40">
        <v>949281</v>
      </c>
      <c r="AH252" s="40">
        <v>817035</v>
      </c>
      <c r="AI252" s="40">
        <v>811501.5</v>
      </c>
      <c r="AJ252" s="32">
        <v>6.8804367528460837</v>
      </c>
      <c r="AK252" s="32">
        <v>9.7131530683164744</v>
      </c>
      <c r="AL252" s="32">
        <v>0.45273885290167531</v>
      </c>
      <c r="AM252" s="32">
        <v>7.3767618602359226</v>
      </c>
      <c r="AN252" s="32">
        <v>4.5240779011603651</v>
      </c>
      <c r="AO252" s="32">
        <v>16.240596375717395</v>
      </c>
      <c r="AP252" s="19">
        <v>0.81652758181889284</v>
      </c>
      <c r="AQ252" s="19">
        <v>0.78171328520788186</v>
      </c>
      <c r="AR252" s="19">
        <v>0.85485909862306309</v>
      </c>
      <c r="AS252" s="19">
        <v>-0.29242647489188001</v>
      </c>
      <c r="AT252" s="19">
        <v>-0.35528853832243668</v>
      </c>
      <c r="AU252" s="19">
        <v>-0.22624144619803604</v>
      </c>
      <c r="AV252" s="19">
        <v>-0.49011602757798056</v>
      </c>
      <c r="AW252" s="19">
        <v>-0.4231127553055864</v>
      </c>
      <c r="AX252" s="19">
        <v>-0.52999236043382902</v>
      </c>
      <c r="AY252" s="19">
        <v>-1.224698371820343</v>
      </c>
      <c r="AZ252" s="19">
        <v>-1.2792414033670527</v>
      </c>
      <c r="BA252" s="19">
        <v>-1.1697834199936785</v>
      </c>
      <c r="BB252" s="19">
        <v>-1.4045578316196154</v>
      </c>
      <c r="BC252" s="19">
        <v>-1.3408173804382406</v>
      </c>
      <c r="BD252" s="19">
        <v>-1.4439215494412965</v>
      </c>
      <c r="BE252" s="14" t="s">
        <v>4857</v>
      </c>
    </row>
    <row r="253" spans="1:57" s="30" customFormat="1" ht="17.100000000000001" customHeight="1">
      <c r="A253" s="14">
        <v>242</v>
      </c>
      <c r="B253" s="14" t="s">
        <v>3515</v>
      </c>
      <c r="C253" s="32">
        <v>-1.1095406165093229</v>
      </c>
      <c r="D253" s="32">
        <v>-1.0584839388891676</v>
      </c>
      <c r="E253" s="32">
        <v>-1.1377573407278418</v>
      </c>
      <c r="F253" s="24">
        <v>28791</v>
      </c>
      <c r="G253" s="52" t="s">
        <v>2</v>
      </c>
      <c r="H253" s="32">
        <v>20.179073852676865</v>
      </c>
      <c r="I253" s="32">
        <v>33.806934927384056</v>
      </c>
      <c r="J253" s="12" t="s">
        <v>3509</v>
      </c>
      <c r="K253" s="12" t="s">
        <v>3510</v>
      </c>
      <c r="L253" s="14" t="s">
        <v>4104</v>
      </c>
      <c r="M253" s="12" t="s">
        <v>3511</v>
      </c>
      <c r="N253" s="15" t="s">
        <v>3512</v>
      </c>
      <c r="O253" s="12" t="s">
        <v>3513</v>
      </c>
      <c r="P253" s="12" t="s">
        <v>3516</v>
      </c>
      <c r="Q253" s="14">
        <v>2</v>
      </c>
      <c r="R253" s="21">
        <v>559.30370000000005</v>
      </c>
      <c r="S253" s="14">
        <v>5</v>
      </c>
      <c r="T253" s="52" t="s">
        <v>2</v>
      </c>
      <c r="U253" s="53">
        <v>26.077000000000002</v>
      </c>
      <c r="V253" s="24">
        <v>26751</v>
      </c>
      <c r="W253" s="24">
        <v>30831</v>
      </c>
      <c r="X253" s="24">
        <v>18970</v>
      </c>
      <c r="Y253" s="24">
        <v>29795</v>
      </c>
      <c r="Z253" s="24">
        <v>28284</v>
      </c>
      <c r="AA253" s="24">
        <v>28735</v>
      </c>
      <c r="AB253" s="24">
        <v>20129</v>
      </c>
      <c r="AC253" s="24">
        <v>32776</v>
      </c>
      <c r="AD253" s="24">
        <v>26586.75</v>
      </c>
      <c r="AE253" s="24">
        <v>27481</v>
      </c>
      <c r="AF253" s="24">
        <v>28791</v>
      </c>
      <c r="AG253" s="24">
        <v>24382.5</v>
      </c>
      <c r="AH253" s="24">
        <v>28509.5</v>
      </c>
      <c r="AI253" s="24">
        <v>26452.5</v>
      </c>
      <c r="AJ253" s="32">
        <v>20.179073852676865</v>
      </c>
      <c r="AK253" s="32">
        <v>19.290200284931949</v>
      </c>
      <c r="AL253" s="32">
        <v>10.020477466017553</v>
      </c>
      <c r="AM253" s="32">
        <v>31.3931340360684</v>
      </c>
      <c r="AN253" s="32">
        <v>1.1185926035712059</v>
      </c>
      <c r="AO253" s="32">
        <v>33.806934927384056</v>
      </c>
      <c r="AP253" s="19">
        <v>1.0336351754163258</v>
      </c>
      <c r="AQ253" s="19">
        <v>0.99022263901913787</v>
      </c>
      <c r="AR253" s="19">
        <v>1.0848969547831437</v>
      </c>
      <c r="AS253" s="19">
        <v>4.7727072024504234E-2</v>
      </c>
      <c r="AT253" s="19">
        <v>-1.4175161516112436E-2</v>
      </c>
      <c r="AU253" s="19">
        <v>0.11755801973589602</v>
      </c>
      <c r="AV253" s="19">
        <v>-0.14996248066159631</v>
      </c>
      <c r="AW253" s="19">
        <v>-8.1999378499262143E-2</v>
      </c>
      <c r="AX253" s="19">
        <v>-0.1861928944998969</v>
      </c>
      <c r="AY253" s="19">
        <v>1.0336351754163258</v>
      </c>
      <c r="AZ253" s="19">
        <v>-1.0098739016818956</v>
      </c>
      <c r="BA253" s="19">
        <v>1.0848969547831437</v>
      </c>
      <c r="BB253" s="19">
        <v>-1.1095406165093229</v>
      </c>
      <c r="BC253" s="19">
        <v>-1.0584839388891676</v>
      </c>
      <c r="BD253" s="19">
        <v>-1.1377573407278418</v>
      </c>
      <c r="BE253" s="14" t="s">
        <v>4857</v>
      </c>
    </row>
    <row r="254" spans="1:57" s="30" customFormat="1" ht="17.100000000000001" customHeight="1">
      <c r="A254" s="14">
        <v>243</v>
      </c>
      <c r="B254" s="14" t="s">
        <v>3517</v>
      </c>
      <c r="C254" s="32">
        <v>-1.3039890889119745</v>
      </c>
      <c r="D254" s="32">
        <v>-1.0048695428959606</v>
      </c>
      <c r="E254" s="32">
        <v>-1.7219056249483036</v>
      </c>
      <c r="F254" s="24">
        <v>37550</v>
      </c>
      <c r="G254" s="52" t="s">
        <v>2</v>
      </c>
      <c r="H254" s="32">
        <v>22.788440899413835</v>
      </c>
      <c r="I254" s="32">
        <v>18.256706874565964</v>
      </c>
      <c r="J254" s="12" t="s">
        <v>3509</v>
      </c>
      <c r="K254" s="12" t="s">
        <v>3510</v>
      </c>
      <c r="L254" s="14" t="s">
        <v>4975</v>
      </c>
      <c r="M254" s="12" t="s">
        <v>3511</v>
      </c>
      <c r="N254" s="15" t="s">
        <v>3512</v>
      </c>
      <c r="O254" s="12" t="s">
        <v>3513</v>
      </c>
      <c r="P254" s="12" t="s">
        <v>3518</v>
      </c>
      <c r="Q254" s="14">
        <v>2</v>
      </c>
      <c r="R254" s="21">
        <v>507.23410000000001</v>
      </c>
      <c r="S254" s="14">
        <v>1</v>
      </c>
      <c r="T254" s="52" t="s">
        <v>2</v>
      </c>
      <c r="U254" s="53">
        <v>29.1</v>
      </c>
      <c r="V254" s="24">
        <v>34700</v>
      </c>
      <c r="W254" s="24">
        <v>37300</v>
      </c>
      <c r="X254" s="24">
        <v>37000</v>
      </c>
      <c r="Y254" s="24">
        <v>35400</v>
      </c>
      <c r="Z254" s="24">
        <v>37700</v>
      </c>
      <c r="AA254" s="24">
        <v>37400</v>
      </c>
      <c r="AB254" s="24">
        <v>22600</v>
      </c>
      <c r="AC254" s="24">
        <v>29300</v>
      </c>
      <c r="AD254" s="24">
        <v>36100</v>
      </c>
      <c r="AE254" s="24">
        <v>31750</v>
      </c>
      <c r="AF254" s="24">
        <v>36000</v>
      </c>
      <c r="AG254" s="24">
        <v>36200</v>
      </c>
      <c r="AH254" s="24">
        <v>37550</v>
      </c>
      <c r="AI254" s="24">
        <v>25950</v>
      </c>
      <c r="AJ254" s="32">
        <v>3.4672176095140514</v>
      </c>
      <c r="AK254" s="32">
        <v>22.788440899413835</v>
      </c>
      <c r="AL254" s="32">
        <v>5.1068823085695101</v>
      </c>
      <c r="AM254" s="32">
        <v>3.1253338394985528</v>
      </c>
      <c r="AN254" s="32">
        <v>0.56493218203985152</v>
      </c>
      <c r="AO254" s="32">
        <v>18.256706874565964</v>
      </c>
      <c r="AP254" s="19">
        <v>0.87950138504155129</v>
      </c>
      <c r="AQ254" s="19">
        <v>1.0430555555555556</v>
      </c>
      <c r="AR254" s="19">
        <v>0.71685082872928174</v>
      </c>
      <c r="AS254" s="19">
        <v>-0.18524224522764271</v>
      </c>
      <c r="AT254" s="19">
        <v>6.0816001184597165E-2</v>
      </c>
      <c r="AU254" s="19">
        <v>-0.48025515872532459</v>
      </c>
      <c r="AV254" s="19">
        <v>-0.38293179791374327</v>
      </c>
      <c r="AW254" s="19">
        <v>-7.0082157985525417E-3</v>
      </c>
      <c r="AX254" s="19">
        <v>-0.78400607296111757</v>
      </c>
      <c r="AY254" s="19">
        <v>-1.1370078740157479</v>
      </c>
      <c r="AZ254" s="19">
        <v>1.0430555555555556</v>
      </c>
      <c r="BA254" s="19">
        <v>-1.394990366088632</v>
      </c>
      <c r="BB254" s="19">
        <v>-1.3039890889119745</v>
      </c>
      <c r="BC254" s="19">
        <v>-1.0048695428959606</v>
      </c>
      <c r="BD254" s="19">
        <v>-1.7219056249483036</v>
      </c>
      <c r="BE254" s="14" t="s">
        <v>4857</v>
      </c>
    </row>
    <row r="255" spans="1:57" s="30" customFormat="1" ht="17.100000000000001" customHeight="1">
      <c r="A255" s="14">
        <v>244</v>
      </c>
      <c r="B255" s="14" t="s">
        <v>3519</v>
      </c>
      <c r="C255" s="32">
        <v>-1.0155487713768836</v>
      </c>
      <c r="D255" s="32">
        <v>-1.0303499264924965</v>
      </c>
      <c r="E255" s="32">
        <v>-1.0065015427790804</v>
      </c>
      <c r="F255" s="24">
        <v>89095</v>
      </c>
      <c r="G255" s="52" t="s">
        <v>2</v>
      </c>
      <c r="H255" s="32">
        <v>25.411884980590248</v>
      </c>
      <c r="I255" s="32">
        <v>31.796396822808482</v>
      </c>
      <c r="J255" s="12" t="s">
        <v>3520</v>
      </c>
      <c r="K255" s="15" t="s">
        <v>3521</v>
      </c>
      <c r="L255" s="14" t="s">
        <v>5156</v>
      </c>
      <c r="M255" s="12" t="s">
        <v>3522</v>
      </c>
      <c r="N255" s="15" t="s">
        <v>3523</v>
      </c>
      <c r="O255" s="12" t="s">
        <v>3524</v>
      </c>
      <c r="P255" s="12" t="s">
        <v>3525</v>
      </c>
      <c r="Q255" s="14">
        <v>2</v>
      </c>
      <c r="R255" s="21">
        <v>593.30909999999994</v>
      </c>
      <c r="S255" s="14">
        <v>5</v>
      </c>
      <c r="T255" s="52" t="s">
        <v>2</v>
      </c>
      <c r="U255" s="53">
        <v>25.921312500000003</v>
      </c>
      <c r="V255" s="24">
        <v>56565</v>
      </c>
      <c r="W255" s="24">
        <v>69326</v>
      </c>
      <c r="X255" s="24">
        <v>56315</v>
      </c>
      <c r="Y255" s="24">
        <v>88983</v>
      </c>
      <c r="Z255" s="24">
        <v>53686</v>
      </c>
      <c r="AA255" s="24">
        <v>74378</v>
      </c>
      <c r="AB255" s="24">
        <v>101207</v>
      </c>
      <c r="AC255" s="24">
        <v>76983</v>
      </c>
      <c r="AD255" s="24">
        <v>67797.25</v>
      </c>
      <c r="AE255" s="24">
        <v>76563.5</v>
      </c>
      <c r="AF255" s="24">
        <v>62945.5</v>
      </c>
      <c r="AG255" s="24">
        <v>72649</v>
      </c>
      <c r="AH255" s="24">
        <v>64032</v>
      </c>
      <c r="AI255" s="24">
        <v>89095</v>
      </c>
      <c r="AJ255" s="32">
        <v>22.6780182592145</v>
      </c>
      <c r="AK255" s="32">
        <v>25.411884980590248</v>
      </c>
      <c r="AL255" s="32">
        <v>14.335241811919092</v>
      </c>
      <c r="AM255" s="32">
        <v>31.796396822808482</v>
      </c>
      <c r="AN255" s="32">
        <v>22.8502210087332</v>
      </c>
      <c r="AO255" s="32">
        <v>19.225494884632052</v>
      </c>
      <c r="AP255" s="19">
        <v>1.1293009672221219</v>
      </c>
      <c r="AQ255" s="19">
        <v>1.0172609638496795</v>
      </c>
      <c r="AR255" s="19">
        <v>1.2263761373177882</v>
      </c>
      <c r="AS255" s="19">
        <v>0.17543002646022801</v>
      </c>
      <c r="AT255" s="19">
        <v>2.4689829594540441E-2</v>
      </c>
      <c r="AU255" s="19">
        <v>0.29440153059251367</v>
      </c>
      <c r="AV255" s="19">
        <v>-2.2259526225872545E-2</v>
      </c>
      <c r="AW255" s="19">
        <v>-4.3134387388609266E-2</v>
      </c>
      <c r="AX255" s="19">
        <v>-9.3493836432792521E-3</v>
      </c>
      <c r="AY255" s="19">
        <v>1.1293009672221219</v>
      </c>
      <c r="AZ255" s="19">
        <v>1.0172609638496795</v>
      </c>
      <c r="BA255" s="19">
        <v>1.2263761373177882</v>
      </c>
      <c r="BB255" s="19">
        <v>-1.0155487713768836</v>
      </c>
      <c r="BC255" s="19">
        <v>-1.0303499264924965</v>
      </c>
      <c r="BD255" s="19">
        <v>-1.0065015427790804</v>
      </c>
      <c r="BE255" s="14" t="s">
        <v>4857</v>
      </c>
    </row>
    <row r="256" spans="1:57" s="30" customFormat="1" ht="17.100000000000001" customHeight="1">
      <c r="A256" s="14">
        <v>245</v>
      </c>
      <c r="B256" s="14" t="s">
        <v>3526</v>
      </c>
      <c r="C256" s="32">
        <v>1.1872272983714818</v>
      </c>
      <c r="D256" s="32">
        <v>1.0094903918961884</v>
      </c>
      <c r="E256" s="32">
        <v>1.3723694124781636</v>
      </c>
      <c r="F256" s="24">
        <v>87479</v>
      </c>
      <c r="G256" s="52" t="s">
        <v>2</v>
      </c>
      <c r="H256" s="32">
        <v>26.690218716591584</v>
      </c>
      <c r="I256" s="32">
        <v>33.651271477805288</v>
      </c>
      <c r="J256" s="12" t="s">
        <v>3527</v>
      </c>
      <c r="K256" s="15" t="s">
        <v>3528</v>
      </c>
      <c r="L256" s="14" t="s">
        <v>5267</v>
      </c>
      <c r="M256" s="12" t="s">
        <v>3529</v>
      </c>
      <c r="N256" s="15" t="s">
        <v>3530</v>
      </c>
      <c r="O256" s="12" t="s">
        <v>3399</v>
      </c>
      <c r="P256" s="12" t="s">
        <v>3400</v>
      </c>
      <c r="Q256" s="14">
        <v>4</v>
      </c>
      <c r="R256" s="21">
        <v>407.49489999999997</v>
      </c>
      <c r="S256" s="14">
        <v>1</v>
      </c>
      <c r="T256" s="52" t="s">
        <v>2</v>
      </c>
      <c r="U256" s="53">
        <v>26.279062499999998</v>
      </c>
      <c r="V256" s="24">
        <v>43100</v>
      </c>
      <c r="W256" s="24">
        <v>70016</v>
      </c>
      <c r="X256" s="24">
        <v>45504</v>
      </c>
      <c r="Y256" s="24">
        <v>57778</v>
      </c>
      <c r="Z256" s="24">
        <v>73472</v>
      </c>
      <c r="AA256" s="24">
        <v>46214</v>
      </c>
      <c r="AB256" s="24">
        <v>83991</v>
      </c>
      <c r="AC256" s="24">
        <v>90967</v>
      </c>
      <c r="AD256" s="24">
        <v>54099.5</v>
      </c>
      <c r="AE256" s="24">
        <v>73661</v>
      </c>
      <c r="AF256" s="24">
        <v>56558</v>
      </c>
      <c r="AG256" s="24">
        <v>51641</v>
      </c>
      <c r="AH256" s="24">
        <v>59843</v>
      </c>
      <c r="AI256" s="24">
        <v>87479</v>
      </c>
      <c r="AJ256" s="32">
        <v>22.932104330285068</v>
      </c>
      <c r="AK256" s="32">
        <v>26.690218716591584</v>
      </c>
      <c r="AL256" s="32">
        <v>33.651271477805288</v>
      </c>
      <c r="AM256" s="32">
        <v>16.806468953513068</v>
      </c>
      <c r="AN256" s="32">
        <v>32.208139033108154</v>
      </c>
      <c r="AO256" s="32">
        <v>5.6388126356695389</v>
      </c>
      <c r="AP256" s="19">
        <v>1.3615837484634794</v>
      </c>
      <c r="AQ256" s="19">
        <v>1.0580819689522261</v>
      </c>
      <c r="AR256" s="19">
        <v>1.6939834627524641</v>
      </c>
      <c r="AS256" s="19">
        <v>0.4452857225778562</v>
      </c>
      <c r="AT256" s="19">
        <v>8.1451396469091761E-2</v>
      </c>
      <c r="AU256" s="19">
        <v>0.76041979065507881</v>
      </c>
      <c r="AV256" s="19">
        <v>0.24759616989175565</v>
      </c>
      <c r="AW256" s="19">
        <v>1.3627179485942054E-2</v>
      </c>
      <c r="AX256" s="19">
        <v>0.45666887641928589</v>
      </c>
      <c r="AY256" s="19">
        <v>1.3615837484634794</v>
      </c>
      <c r="AZ256" s="19">
        <v>1.0580819689522261</v>
      </c>
      <c r="BA256" s="19">
        <v>1.6939834627524641</v>
      </c>
      <c r="BB256" s="19">
        <v>1.1872272983714818</v>
      </c>
      <c r="BC256" s="19">
        <v>1.0094903918961884</v>
      </c>
      <c r="BD256" s="19">
        <v>1.3723694124781636</v>
      </c>
      <c r="BE256" s="14" t="s">
        <v>4857</v>
      </c>
    </row>
    <row r="257" spans="1:57" s="30" customFormat="1" ht="17.100000000000001" customHeight="1">
      <c r="A257" s="14">
        <v>246</v>
      </c>
      <c r="B257" s="14" t="s">
        <v>3401</v>
      </c>
      <c r="C257" s="32">
        <v>-1.0173541633513949</v>
      </c>
      <c r="D257" s="32">
        <v>1.0863020904884453</v>
      </c>
      <c r="E257" s="32">
        <v>-1.1074585726427326</v>
      </c>
      <c r="F257" s="24">
        <v>82278</v>
      </c>
      <c r="G257" s="52" t="s">
        <v>2</v>
      </c>
      <c r="H257" s="32">
        <v>15.37634041108889</v>
      </c>
      <c r="I257" s="32">
        <v>21.411940531010384</v>
      </c>
      <c r="J257" s="12" t="s">
        <v>3527</v>
      </c>
      <c r="K257" s="15" t="s">
        <v>3528</v>
      </c>
      <c r="L257" s="14" t="s">
        <v>4638</v>
      </c>
      <c r="M257" s="12" t="s">
        <v>3529</v>
      </c>
      <c r="N257" s="15" t="s">
        <v>3530</v>
      </c>
      <c r="O257" s="12" t="s">
        <v>3399</v>
      </c>
      <c r="P257" s="12" t="s">
        <v>3402</v>
      </c>
      <c r="Q257" s="14">
        <v>3</v>
      </c>
      <c r="R257" s="21">
        <v>628.96090000000004</v>
      </c>
      <c r="S257" s="14">
        <v>1</v>
      </c>
      <c r="T257" s="52" t="s">
        <v>2</v>
      </c>
      <c r="U257" s="53">
        <v>22.02</v>
      </c>
      <c r="V257" s="24">
        <v>83204</v>
      </c>
      <c r="W257" s="24">
        <v>61322</v>
      </c>
      <c r="X257" s="24">
        <v>60623</v>
      </c>
      <c r="Y257" s="24">
        <v>67717</v>
      </c>
      <c r="Z257" s="24">
        <v>75058</v>
      </c>
      <c r="AA257" s="24">
        <v>89498</v>
      </c>
      <c r="AB257" s="24">
        <v>78800</v>
      </c>
      <c r="AC257" s="24">
        <v>64245</v>
      </c>
      <c r="AD257" s="24">
        <v>68216.5</v>
      </c>
      <c r="AE257" s="24">
        <v>76900.25</v>
      </c>
      <c r="AF257" s="24">
        <v>72263</v>
      </c>
      <c r="AG257" s="24">
        <v>64170</v>
      </c>
      <c r="AH257" s="24">
        <v>82278</v>
      </c>
      <c r="AI257" s="24">
        <v>71522.5</v>
      </c>
      <c r="AJ257" s="32">
        <v>15.37634041108889</v>
      </c>
      <c r="AK257" s="32">
        <v>13.55277439440602</v>
      </c>
      <c r="AL257" s="32">
        <v>21.411940531010384</v>
      </c>
      <c r="AM257" s="32">
        <v>7.8170726285450662</v>
      </c>
      <c r="AN257" s="32">
        <v>12.409905345698419</v>
      </c>
      <c r="AO257" s="32">
        <v>14.389792303359361</v>
      </c>
      <c r="AP257" s="19">
        <v>1.1272969149692522</v>
      </c>
      <c r="AQ257" s="19">
        <v>1.1385909801696581</v>
      </c>
      <c r="AR257" s="19">
        <v>1.1145784634564437</v>
      </c>
      <c r="AS257" s="19">
        <v>0.17286755218883279</v>
      </c>
      <c r="AT257" s="19">
        <v>0.18724957596759953</v>
      </c>
      <c r="AU257" s="19">
        <v>0.15649818219206227</v>
      </c>
      <c r="AV257" s="19">
        <v>-2.4822000497267765E-2</v>
      </c>
      <c r="AW257" s="19">
        <v>0.11942535898444982</v>
      </c>
      <c r="AX257" s="19">
        <v>-0.14725273204373066</v>
      </c>
      <c r="AY257" s="19">
        <v>1.1272969149692522</v>
      </c>
      <c r="AZ257" s="19">
        <v>1.1385909801696581</v>
      </c>
      <c r="BA257" s="19">
        <v>1.1145784634564437</v>
      </c>
      <c r="BB257" s="19">
        <v>-1.0173541633513949</v>
      </c>
      <c r="BC257" s="19">
        <v>1.0863020904884453</v>
      </c>
      <c r="BD257" s="19">
        <v>-1.1074585726427326</v>
      </c>
      <c r="BE257" s="14" t="s">
        <v>4857</v>
      </c>
    </row>
    <row r="258" spans="1:57" s="30" customFormat="1" ht="17.100000000000001" customHeight="1">
      <c r="A258" s="14">
        <v>247</v>
      </c>
      <c r="B258" s="14" t="s">
        <v>3403</v>
      </c>
      <c r="C258" s="32">
        <v>-1.2541709637021399</v>
      </c>
      <c r="D258" s="32">
        <v>-1.0762740588001027</v>
      </c>
      <c r="E258" s="32">
        <v>-1.4330280288691331</v>
      </c>
      <c r="F258" s="24">
        <v>72315.5</v>
      </c>
      <c r="G258" s="52" t="s">
        <v>2</v>
      </c>
      <c r="H258" s="32">
        <v>21.876901536434897</v>
      </c>
      <c r="I258" s="32">
        <v>36.697349322451636</v>
      </c>
      <c r="J258" s="12" t="s">
        <v>3527</v>
      </c>
      <c r="K258" s="15" t="s">
        <v>3528</v>
      </c>
      <c r="L258" s="14" t="s">
        <v>5024</v>
      </c>
      <c r="M258" s="12" t="s">
        <v>3529</v>
      </c>
      <c r="N258" s="15" t="s">
        <v>3530</v>
      </c>
      <c r="O258" s="12" t="s">
        <v>3399</v>
      </c>
      <c r="P258" s="12" t="s">
        <v>3404</v>
      </c>
      <c r="Q258" s="14">
        <v>2</v>
      </c>
      <c r="R258" s="21">
        <v>850.37950000000001</v>
      </c>
      <c r="S258" s="14">
        <v>20</v>
      </c>
      <c r="T258" s="52" t="s">
        <v>2</v>
      </c>
      <c r="U258" s="53">
        <v>23.8817375</v>
      </c>
      <c r="V258" s="24">
        <v>71221</v>
      </c>
      <c r="W258" s="24">
        <v>57981</v>
      </c>
      <c r="X258" s="24">
        <v>82846</v>
      </c>
      <c r="Y258" s="24">
        <v>61785</v>
      </c>
      <c r="Z258" s="24">
        <v>46587</v>
      </c>
      <c r="AA258" s="24">
        <v>79237</v>
      </c>
      <c r="AB258" s="24">
        <v>66115</v>
      </c>
      <c r="AC258" s="24">
        <v>58464</v>
      </c>
      <c r="AD258" s="24">
        <v>68458.25</v>
      </c>
      <c r="AE258" s="24">
        <v>62600.75</v>
      </c>
      <c r="AF258" s="24">
        <v>64601</v>
      </c>
      <c r="AG258" s="24">
        <v>72315.5</v>
      </c>
      <c r="AH258" s="24">
        <v>62912</v>
      </c>
      <c r="AI258" s="24">
        <v>62289.5</v>
      </c>
      <c r="AJ258" s="32">
        <v>16.199234586484806</v>
      </c>
      <c r="AK258" s="32">
        <v>21.876901536434897</v>
      </c>
      <c r="AL258" s="32">
        <v>14.492180899536988</v>
      </c>
      <c r="AM258" s="32">
        <v>20.593615364022757</v>
      </c>
      <c r="AN258" s="32">
        <v>36.697349322451636</v>
      </c>
      <c r="AO258" s="32">
        <v>8.6853707010945271</v>
      </c>
      <c r="AP258" s="19">
        <v>0.91443690132306921</v>
      </c>
      <c r="AQ258" s="19">
        <v>0.97385489388709157</v>
      </c>
      <c r="AR258" s="19">
        <v>0.86135752362909745</v>
      </c>
      <c r="AS258" s="19">
        <v>-0.12904447142945319</v>
      </c>
      <c r="AT258" s="19">
        <v>-3.8221270695787721E-2</v>
      </c>
      <c r="AU258" s="19">
        <v>-0.21531591358829841</v>
      </c>
      <c r="AV258" s="19">
        <v>-0.32673402411555375</v>
      </c>
      <c r="AW258" s="19">
        <v>-0.10604548767893743</v>
      </c>
      <c r="AX258" s="19">
        <v>-0.5190668278240913</v>
      </c>
      <c r="AY258" s="19">
        <v>-1.0935691665035963</v>
      </c>
      <c r="AZ258" s="19">
        <v>-1.0268470244150558</v>
      </c>
      <c r="BA258" s="19">
        <v>-1.1609581069040529</v>
      </c>
      <c r="BB258" s="19">
        <v>-1.2541709637021399</v>
      </c>
      <c r="BC258" s="19">
        <v>-1.0762740588001027</v>
      </c>
      <c r="BD258" s="19">
        <v>-1.4330280288691331</v>
      </c>
      <c r="BE258" s="14" t="s">
        <v>4857</v>
      </c>
    </row>
    <row r="259" spans="1:57" s="30" customFormat="1" ht="17.100000000000001" customHeight="1">
      <c r="A259" s="14">
        <v>248</v>
      </c>
      <c r="B259" s="14" t="s">
        <v>3411</v>
      </c>
      <c r="C259" s="32">
        <v>1.1922794766306206</v>
      </c>
      <c r="D259" s="32">
        <v>1.173761178894059</v>
      </c>
      <c r="E259" s="32">
        <v>1.2100698708109974</v>
      </c>
      <c r="F259" s="24">
        <v>925932.5</v>
      </c>
      <c r="G259" s="52" t="s">
        <v>2</v>
      </c>
      <c r="H259" s="32">
        <v>16.21290409274372</v>
      </c>
      <c r="I259" s="32">
        <v>7.6512847235710879</v>
      </c>
      <c r="J259" s="12" t="s">
        <v>3412</v>
      </c>
      <c r="K259" s="12" t="s">
        <v>3413</v>
      </c>
      <c r="L259" s="14" t="s">
        <v>5311</v>
      </c>
      <c r="M259" s="12" t="s">
        <v>3414</v>
      </c>
      <c r="N259" s="15" t="s">
        <v>3415</v>
      </c>
      <c r="O259" s="12" t="s">
        <v>3416</v>
      </c>
      <c r="P259" s="12" t="s">
        <v>3417</v>
      </c>
      <c r="Q259" s="14">
        <v>2</v>
      </c>
      <c r="R259" s="21">
        <v>490.31299999999999</v>
      </c>
      <c r="S259" s="14">
        <v>1</v>
      </c>
      <c r="T259" s="52" t="s">
        <v>2</v>
      </c>
      <c r="U259" s="53">
        <v>50.613637499999996</v>
      </c>
      <c r="V259" s="24">
        <v>597371</v>
      </c>
      <c r="W259" s="24">
        <v>544378</v>
      </c>
      <c r="X259" s="24">
        <v>586374</v>
      </c>
      <c r="Y259" s="24">
        <v>653452</v>
      </c>
      <c r="Z259" s="24">
        <v>709665</v>
      </c>
      <c r="AA259" s="24">
        <v>694983</v>
      </c>
      <c r="AB259" s="24">
        <v>958785</v>
      </c>
      <c r="AC259" s="24">
        <v>893080</v>
      </c>
      <c r="AD259" s="24">
        <v>595393.75</v>
      </c>
      <c r="AE259" s="24">
        <v>814128.25</v>
      </c>
      <c r="AF259" s="24">
        <v>570874.5</v>
      </c>
      <c r="AG259" s="24">
        <v>619913</v>
      </c>
      <c r="AH259" s="24">
        <v>702324</v>
      </c>
      <c r="AI259" s="24">
        <v>925932.5</v>
      </c>
      <c r="AJ259" s="32">
        <v>7.547835180314638</v>
      </c>
      <c r="AK259" s="32">
        <v>16.21290409274372</v>
      </c>
      <c r="AL259" s="32">
        <v>6.5639137245434354</v>
      </c>
      <c r="AM259" s="32">
        <v>7.6512847235710879</v>
      </c>
      <c r="AN259" s="32">
        <v>1.4781983473981937</v>
      </c>
      <c r="AO259" s="32">
        <v>5.0176930886281781</v>
      </c>
      <c r="AP259" s="19">
        <v>1.3673778906815868</v>
      </c>
      <c r="AQ259" s="19">
        <v>1.2302598907465652</v>
      </c>
      <c r="AR259" s="19">
        <v>1.4936491088265611</v>
      </c>
      <c r="AS259" s="19">
        <v>0.45141200349397026</v>
      </c>
      <c r="AT259" s="19">
        <v>0.29896311514609381</v>
      </c>
      <c r="AU259" s="19">
        <v>0.57884126699372385</v>
      </c>
      <c r="AV259" s="19">
        <v>0.2537224508078697</v>
      </c>
      <c r="AW259" s="19">
        <v>0.23113889816294408</v>
      </c>
      <c r="AX259" s="19">
        <v>0.27509035275793092</v>
      </c>
      <c r="AY259" s="19">
        <v>1.3673778906815868</v>
      </c>
      <c r="AZ259" s="19">
        <v>1.2302598907465652</v>
      </c>
      <c r="BA259" s="19">
        <v>1.4936491088265611</v>
      </c>
      <c r="BB259" s="19">
        <v>1.1922794766306206</v>
      </c>
      <c r="BC259" s="19">
        <v>1.173761178894059</v>
      </c>
      <c r="BD259" s="19">
        <v>1.2100698708109974</v>
      </c>
      <c r="BE259" s="14" t="s">
        <v>4857</v>
      </c>
    </row>
    <row r="260" spans="1:57" s="30" customFormat="1" ht="17.100000000000001" customHeight="1">
      <c r="A260" s="14">
        <v>249</v>
      </c>
      <c r="B260" s="14" t="s">
        <v>3418</v>
      </c>
      <c r="C260" s="32">
        <v>-1.2406481463833778</v>
      </c>
      <c r="D260" s="32">
        <v>-1.1043624355141446</v>
      </c>
      <c r="E260" s="32">
        <v>-1.3586806079387164</v>
      </c>
      <c r="F260" s="24">
        <v>80806.5</v>
      </c>
      <c r="G260" s="52" t="s">
        <v>2</v>
      </c>
      <c r="H260" s="32">
        <v>28.963228872670189</v>
      </c>
      <c r="I260" s="32">
        <v>19.035793667913676</v>
      </c>
      <c r="J260" s="12" t="s">
        <v>3419</v>
      </c>
      <c r="K260" s="12" t="s">
        <v>3420</v>
      </c>
      <c r="L260" s="14" t="s">
        <v>5053</v>
      </c>
      <c r="M260" s="12" t="s">
        <v>3421</v>
      </c>
      <c r="N260" s="15" t="s">
        <v>3422</v>
      </c>
      <c r="O260" s="12" t="s">
        <v>3423</v>
      </c>
      <c r="P260" s="12" t="s">
        <v>3424</v>
      </c>
      <c r="Q260" s="14">
        <v>3</v>
      </c>
      <c r="R260" s="21">
        <v>574.58150000000001</v>
      </c>
      <c r="S260" s="14">
        <v>6</v>
      </c>
      <c r="T260" s="52" t="s">
        <v>2</v>
      </c>
      <c r="U260" s="53">
        <v>39.000137500000001</v>
      </c>
      <c r="V260" s="24">
        <v>59110</v>
      </c>
      <c r="W260" s="24">
        <v>45085</v>
      </c>
      <c r="X260" s="24">
        <v>90521</v>
      </c>
      <c r="Y260" s="24">
        <v>71092</v>
      </c>
      <c r="Z260" s="24">
        <v>47454</v>
      </c>
      <c r="AA260" s="24">
        <v>51436</v>
      </c>
      <c r="AB260" s="24">
        <v>68892</v>
      </c>
      <c r="AC260" s="24">
        <v>77932</v>
      </c>
      <c r="AD260" s="24">
        <v>66452</v>
      </c>
      <c r="AE260" s="24">
        <v>61428.5</v>
      </c>
      <c r="AF260" s="24">
        <v>52097.5</v>
      </c>
      <c r="AG260" s="24">
        <v>80806.5</v>
      </c>
      <c r="AH260" s="24">
        <v>49445</v>
      </c>
      <c r="AI260" s="24">
        <v>73412</v>
      </c>
      <c r="AJ260" s="32">
        <v>28.963228872670189</v>
      </c>
      <c r="AK260" s="32">
        <v>23.46309466311925</v>
      </c>
      <c r="AL260" s="32">
        <v>19.035793667913676</v>
      </c>
      <c r="AM260" s="32">
        <v>17.001574937255583</v>
      </c>
      <c r="AN260" s="32">
        <v>5.6946085603899927</v>
      </c>
      <c r="AO260" s="32">
        <v>8.7073575191063988</v>
      </c>
      <c r="AP260" s="19">
        <v>0.92440408114127492</v>
      </c>
      <c r="AQ260" s="19">
        <v>0.94908584864916745</v>
      </c>
      <c r="AR260" s="19">
        <v>0.90849127236051552</v>
      </c>
      <c r="AS260" s="19">
        <v>-0.11340446572950193</v>
      </c>
      <c r="AT260" s="19">
        <v>-7.5389504143895586E-2</v>
      </c>
      <c r="AU260" s="19">
        <v>-0.13845543995761739</v>
      </c>
      <c r="AV260" s="19">
        <v>-0.31109401841560247</v>
      </c>
      <c r="AW260" s="19">
        <v>-0.14321372112704528</v>
      </c>
      <c r="AX260" s="19">
        <v>-0.44220635419341031</v>
      </c>
      <c r="AY260" s="19">
        <v>-1.0817780020674443</v>
      </c>
      <c r="AZ260" s="19">
        <v>-1.0536454646577005</v>
      </c>
      <c r="BA260" s="19">
        <v>-1.1007260393396174</v>
      </c>
      <c r="BB260" s="19">
        <v>-1.2406481463833778</v>
      </c>
      <c r="BC260" s="19">
        <v>-1.1043624355141446</v>
      </c>
      <c r="BD260" s="19">
        <v>-1.3586806079387164</v>
      </c>
      <c r="BE260" s="14" t="s">
        <v>4857</v>
      </c>
    </row>
    <row r="261" spans="1:57" s="30" customFormat="1" ht="17.100000000000001" customHeight="1">
      <c r="A261" s="14">
        <v>250</v>
      </c>
      <c r="B261" s="14" t="s">
        <v>3427</v>
      </c>
      <c r="C261" s="32">
        <v>-1.0850099798797161</v>
      </c>
      <c r="D261" s="32">
        <v>1.3608206927845048</v>
      </c>
      <c r="E261" s="32">
        <v>-1.5525621980132047</v>
      </c>
      <c r="F261" s="33">
        <v>1602105</v>
      </c>
      <c r="G261" s="52" t="s">
        <v>2</v>
      </c>
      <c r="H261" s="32">
        <v>21.425081201123419</v>
      </c>
      <c r="I261" s="32">
        <v>16.414073908717544</v>
      </c>
      <c r="J261" s="12" t="s">
        <v>3428</v>
      </c>
      <c r="K261" s="12" t="s">
        <v>3429</v>
      </c>
      <c r="L261" s="14" t="s">
        <v>3430</v>
      </c>
      <c r="M261" s="12" t="s">
        <v>3431</v>
      </c>
      <c r="N261" s="15" t="s">
        <v>3432</v>
      </c>
      <c r="O261" s="12" t="s">
        <v>3433</v>
      </c>
      <c r="P261" s="12" t="s">
        <v>3435</v>
      </c>
      <c r="Q261" s="14">
        <v>3</v>
      </c>
      <c r="R261" s="21">
        <v>426.58109999999999</v>
      </c>
      <c r="S261" s="14">
        <v>2</v>
      </c>
      <c r="T261" s="52" t="s">
        <v>2</v>
      </c>
      <c r="U261" s="53">
        <v>42.815837500000001</v>
      </c>
      <c r="V261" s="33">
        <v>992872</v>
      </c>
      <c r="W261" s="33">
        <v>1253610</v>
      </c>
      <c r="X261" s="33">
        <v>1527160</v>
      </c>
      <c r="Y261" s="33">
        <v>1639950</v>
      </c>
      <c r="Z261" s="33">
        <v>1644580</v>
      </c>
      <c r="AA261" s="33">
        <v>1559630</v>
      </c>
      <c r="AB261" s="33">
        <v>1243600</v>
      </c>
      <c r="AC261" s="33">
        <v>1274380</v>
      </c>
      <c r="AD261" s="33">
        <v>1353398</v>
      </c>
      <c r="AE261" s="33">
        <v>1430547.5</v>
      </c>
      <c r="AF261" s="33">
        <v>1123241</v>
      </c>
      <c r="AG261" s="33">
        <v>1583555</v>
      </c>
      <c r="AH261" s="33">
        <v>1602105</v>
      </c>
      <c r="AI261" s="33">
        <v>1258990</v>
      </c>
      <c r="AJ261" s="32">
        <v>21.425081201123419</v>
      </c>
      <c r="AK261" s="32">
        <v>14.085695949383728</v>
      </c>
      <c r="AL261" s="32">
        <v>16.414073908717544</v>
      </c>
      <c r="AM261" s="32">
        <v>5.036425880378685</v>
      </c>
      <c r="AN261" s="32">
        <v>3.7493623115711645</v>
      </c>
      <c r="AO261" s="32">
        <v>1.7287465925004912</v>
      </c>
      <c r="AP261" s="19">
        <v>1.0570042958538435</v>
      </c>
      <c r="AQ261" s="19">
        <v>1.4263234693178044</v>
      </c>
      <c r="AR261" s="19">
        <v>0.79504027330910509</v>
      </c>
      <c r="AS261" s="19">
        <v>7.9981240102282122E-2</v>
      </c>
      <c r="AT261" s="19">
        <v>0.51230120103845034</v>
      </c>
      <c r="AU261" s="19">
        <v>-0.3309001519347714</v>
      </c>
      <c r="AV261" s="19">
        <v>-0.11770831258381843</v>
      </c>
      <c r="AW261" s="19">
        <v>0.44447698405530062</v>
      </c>
      <c r="AX261" s="19">
        <v>-0.63465106617056433</v>
      </c>
      <c r="AY261" s="19">
        <v>1.0570042958538435</v>
      </c>
      <c r="AZ261" s="19">
        <v>1.4263234693178044</v>
      </c>
      <c r="BA261" s="19">
        <v>-1.2577979173782159</v>
      </c>
      <c r="BB261" s="19">
        <v>-1.0850099798797161</v>
      </c>
      <c r="BC261" s="19">
        <v>1.3608206927845048</v>
      </c>
      <c r="BD261" s="19">
        <v>-1.5525621980132047</v>
      </c>
      <c r="BE261" s="14" t="s">
        <v>4857</v>
      </c>
    </row>
    <row r="262" spans="1:57" s="30" customFormat="1" ht="17.100000000000001" customHeight="1">
      <c r="A262" s="14">
        <v>251</v>
      </c>
      <c r="B262" s="14" t="s">
        <v>3436</v>
      </c>
      <c r="C262" s="32">
        <v>-1.0850099798797161</v>
      </c>
      <c r="D262" s="32">
        <v>1.3608206927845048</v>
      </c>
      <c r="E262" s="32">
        <v>-1.5525621980132047</v>
      </c>
      <c r="F262" s="33">
        <v>1602105</v>
      </c>
      <c r="G262" s="52" t="s">
        <v>2</v>
      </c>
      <c r="H262" s="32">
        <v>21.425081201123419</v>
      </c>
      <c r="I262" s="32">
        <v>16.414073908717544</v>
      </c>
      <c r="J262" s="12" t="s">
        <v>3428</v>
      </c>
      <c r="K262" s="12" t="s">
        <v>3429</v>
      </c>
      <c r="L262" s="14" t="s">
        <v>3437</v>
      </c>
      <c r="M262" s="12" t="s">
        <v>3431</v>
      </c>
      <c r="N262" s="15" t="s">
        <v>3432</v>
      </c>
      <c r="O262" s="12" t="s">
        <v>3433</v>
      </c>
      <c r="P262" s="12" t="s">
        <v>3438</v>
      </c>
      <c r="Q262" s="14">
        <v>3</v>
      </c>
      <c r="R262" s="21">
        <v>426.58109999999999</v>
      </c>
      <c r="S262" s="14">
        <v>2</v>
      </c>
      <c r="T262" s="52" t="s">
        <v>2</v>
      </c>
      <c r="U262" s="53">
        <v>42.815837500000001</v>
      </c>
      <c r="V262" s="33">
        <v>992872</v>
      </c>
      <c r="W262" s="33">
        <v>1253610</v>
      </c>
      <c r="X262" s="33">
        <v>1527160</v>
      </c>
      <c r="Y262" s="33">
        <v>1639950</v>
      </c>
      <c r="Z262" s="33">
        <v>1644580</v>
      </c>
      <c r="AA262" s="33">
        <v>1559630</v>
      </c>
      <c r="AB262" s="33">
        <v>1243600</v>
      </c>
      <c r="AC262" s="33">
        <v>1274380</v>
      </c>
      <c r="AD262" s="33">
        <v>1353398</v>
      </c>
      <c r="AE262" s="33">
        <v>1430547.5</v>
      </c>
      <c r="AF262" s="33">
        <v>1123241</v>
      </c>
      <c r="AG262" s="33">
        <v>1583555</v>
      </c>
      <c r="AH262" s="33">
        <v>1602105</v>
      </c>
      <c r="AI262" s="33">
        <v>1258990</v>
      </c>
      <c r="AJ262" s="32">
        <v>21.425081201123419</v>
      </c>
      <c r="AK262" s="32">
        <v>14.085695949383728</v>
      </c>
      <c r="AL262" s="32">
        <v>16.414073908717544</v>
      </c>
      <c r="AM262" s="32">
        <v>5.036425880378685</v>
      </c>
      <c r="AN262" s="32">
        <v>3.7493623115711645</v>
      </c>
      <c r="AO262" s="32">
        <v>1.7287465925004912</v>
      </c>
      <c r="AP262" s="19">
        <v>1.0570042958538435</v>
      </c>
      <c r="AQ262" s="19">
        <v>1.4263234693178044</v>
      </c>
      <c r="AR262" s="19">
        <v>0.79504027330910509</v>
      </c>
      <c r="AS262" s="19">
        <v>7.9981240102282122E-2</v>
      </c>
      <c r="AT262" s="19">
        <v>0.51230120103845034</v>
      </c>
      <c r="AU262" s="19">
        <v>-0.3309001519347714</v>
      </c>
      <c r="AV262" s="19">
        <v>-0.11770831258381843</v>
      </c>
      <c r="AW262" s="19">
        <v>0.44447698405530062</v>
      </c>
      <c r="AX262" s="19">
        <v>-0.63465106617056433</v>
      </c>
      <c r="AY262" s="19">
        <v>1.0570042958538435</v>
      </c>
      <c r="AZ262" s="19">
        <v>1.4263234693178044</v>
      </c>
      <c r="BA262" s="19">
        <v>-1.2577979173782159</v>
      </c>
      <c r="BB262" s="19">
        <v>-1.0850099798797161</v>
      </c>
      <c r="BC262" s="19">
        <v>1.3608206927845048</v>
      </c>
      <c r="BD262" s="19">
        <v>-1.5525621980132047</v>
      </c>
      <c r="BE262" s="14" t="s">
        <v>4857</v>
      </c>
    </row>
    <row r="263" spans="1:57" s="30" customFormat="1" ht="17.100000000000001" customHeight="1">
      <c r="A263" s="14">
        <v>252</v>
      </c>
      <c r="B263" s="14" t="s">
        <v>3439</v>
      </c>
      <c r="C263" s="32">
        <v>-1.1585162314712727</v>
      </c>
      <c r="D263" s="32">
        <v>-1.1731821219660528</v>
      </c>
      <c r="E263" s="32">
        <v>-1.1564305537995667</v>
      </c>
      <c r="F263" s="24">
        <v>29726.5</v>
      </c>
      <c r="G263" s="52" t="s">
        <v>2</v>
      </c>
      <c r="H263" s="32">
        <v>27.809666151555962</v>
      </c>
      <c r="I263" s="32">
        <v>41.104161813771107</v>
      </c>
      <c r="J263" s="12" t="s">
        <v>3440</v>
      </c>
      <c r="K263" s="12" t="s">
        <v>3441</v>
      </c>
      <c r="L263" s="14" t="s">
        <v>4780</v>
      </c>
      <c r="M263" s="12" t="s">
        <v>3442</v>
      </c>
      <c r="N263" s="15" t="s">
        <v>3443</v>
      </c>
      <c r="O263" s="12" t="s">
        <v>3444</v>
      </c>
      <c r="P263" s="12" t="s">
        <v>3445</v>
      </c>
      <c r="Q263" s="14">
        <v>3</v>
      </c>
      <c r="R263" s="21">
        <v>488.28410000000002</v>
      </c>
      <c r="S263" s="14">
        <v>2</v>
      </c>
      <c r="T263" s="52" t="s">
        <v>2</v>
      </c>
      <c r="U263" s="53">
        <v>23.595424999999999</v>
      </c>
      <c r="V263" s="24">
        <v>28837</v>
      </c>
      <c r="W263" s="24">
        <v>15849</v>
      </c>
      <c r="X263" s="24">
        <v>31514</v>
      </c>
      <c r="Y263" s="24">
        <v>24186</v>
      </c>
      <c r="Z263" s="24">
        <v>20093</v>
      </c>
      <c r="AA263" s="24">
        <v>19830</v>
      </c>
      <c r="AB263" s="24">
        <v>34616</v>
      </c>
      <c r="AC263" s="24">
        <v>24837</v>
      </c>
      <c r="AD263" s="24">
        <v>25096.5</v>
      </c>
      <c r="AE263" s="24">
        <v>24844</v>
      </c>
      <c r="AF263" s="24">
        <v>22343</v>
      </c>
      <c r="AG263" s="24">
        <v>27850</v>
      </c>
      <c r="AH263" s="24">
        <v>19961.5</v>
      </c>
      <c r="AI263" s="24">
        <v>29726.5</v>
      </c>
      <c r="AJ263" s="32">
        <v>27.367588125725401</v>
      </c>
      <c r="AK263" s="32">
        <v>27.809666151555962</v>
      </c>
      <c r="AL263" s="32">
        <v>41.104161813771107</v>
      </c>
      <c r="AM263" s="32">
        <v>18.605667836750523</v>
      </c>
      <c r="AN263" s="32">
        <v>0.93163882199264569</v>
      </c>
      <c r="AO263" s="32">
        <v>23.261390386433813</v>
      </c>
      <c r="AP263" s="19">
        <v>0.98993883609268229</v>
      </c>
      <c r="AQ263" s="19">
        <v>0.89341180682987964</v>
      </c>
      <c r="AR263" s="19">
        <v>1.0673788150807899</v>
      </c>
      <c r="AS263" s="19">
        <v>-1.4588704636243718E-2</v>
      </c>
      <c r="AT263" s="19">
        <v>-0.16260277427086106</v>
      </c>
      <c r="AU263" s="19">
        <v>9.4072282673465624E-2</v>
      </c>
      <c r="AV263" s="19">
        <v>-0.21227825732234429</v>
      </c>
      <c r="AW263" s="19">
        <v>-0.23042699125401078</v>
      </c>
      <c r="AX263" s="19">
        <v>-0.2096786315623273</v>
      </c>
      <c r="AY263" s="19">
        <v>-1.0101634197391725</v>
      </c>
      <c r="AZ263" s="19">
        <v>-1.1193046614733362</v>
      </c>
      <c r="BA263" s="19">
        <v>1.0673788150807899</v>
      </c>
      <c r="BB263" s="19">
        <v>-1.1585162314712727</v>
      </c>
      <c r="BC263" s="19">
        <v>-1.1731821219660528</v>
      </c>
      <c r="BD263" s="19">
        <v>-1.1564305537995667</v>
      </c>
      <c r="BE263" s="14" t="s">
        <v>4857</v>
      </c>
    </row>
    <row r="264" spans="1:57" s="30" customFormat="1" ht="17.100000000000001" customHeight="1">
      <c r="A264" s="14">
        <v>253</v>
      </c>
      <c r="B264" s="14" t="s">
        <v>3446</v>
      </c>
      <c r="C264" s="32">
        <v>1.2038177956889913</v>
      </c>
      <c r="D264" s="32">
        <v>1.2888870206319618</v>
      </c>
      <c r="E264" s="32">
        <v>1.1382613068800613</v>
      </c>
      <c r="F264" s="42">
        <v>2958734.5</v>
      </c>
      <c r="G264" s="52" t="s">
        <v>4894</v>
      </c>
      <c r="H264" s="32">
        <v>15.530721369970065</v>
      </c>
      <c r="I264" s="32">
        <v>12.776652847371459</v>
      </c>
      <c r="J264" s="12" t="s">
        <v>3447</v>
      </c>
      <c r="K264" s="12" t="s">
        <v>3448</v>
      </c>
      <c r="L264" s="14" t="s">
        <v>5306</v>
      </c>
      <c r="M264" s="12" t="s">
        <v>3442</v>
      </c>
      <c r="N264" s="15" t="s">
        <v>3449</v>
      </c>
      <c r="O264" s="12" t="s">
        <v>3444</v>
      </c>
      <c r="P264" s="12" t="s">
        <v>3451</v>
      </c>
      <c r="Q264" s="14">
        <v>3</v>
      </c>
      <c r="R264" s="21">
        <v>421.24369999999999</v>
      </c>
      <c r="S264" s="14">
        <v>2</v>
      </c>
      <c r="T264" s="52" t="s">
        <v>4894</v>
      </c>
      <c r="U264" s="53">
        <v>44.417112500000002</v>
      </c>
      <c r="V264" s="42">
        <v>1852991</v>
      </c>
      <c r="W264" s="42">
        <v>1609259</v>
      </c>
      <c r="X264" s="42">
        <v>2103696</v>
      </c>
      <c r="Y264" s="42">
        <v>2107989</v>
      </c>
      <c r="Z264" s="42">
        <v>2127342</v>
      </c>
      <c r="AA264" s="42">
        <v>2549906</v>
      </c>
      <c r="AB264" s="42">
        <v>2828674</v>
      </c>
      <c r="AC264" s="42">
        <v>3088795</v>
      </c>
      <c r="AD264" s="42">
        <v>1918483.75</v>
      </c>
      <c r="AE264" s="42">
        <v>2648679.25</v>
      </c>
      <c r="AF264" s="42">
        <v>1731125</v>
      </c>
      <c r="AG264" s="42">
        <v>2105842.5</v>
      </c>
      <c r="AH264" s="42">
        <v>2338624</v>
      </c>
      <c r="AI264" s="42">
        <v>2958734.5</v>
      </c>
      <c r="AJ264" s="32">
        <v>12.4126753875611</v>
      </c>
      <c r="AK264" s="32">
        <v>15.530721369970065</v>
      </c>
      <c r="AL264" s="32">
        <v>9.9556386738196032</v>
      </c>
      <c r="AM264" s="32">
        <v>0.14415177828512096</v>
      </c>
      <c r="AN264" s="32">
        <v>12.776652847371459</v>
      </c>
      <c r="AO264" s="32">
        <v>6.2166214315284432</v>
      </c>
      <c r="AP264" s="19">
        <v>1.3806107296973456</v>
      </c>
      <c r="AQ264" s="19">
        <v>1.3509272871687485</v>
      </c>
      <c r="AR264" s="19">
        <v>1.4050122456926384</v>
      </c>
      <c r="AS264" s="19">
        <v>0.46530660163757442</v>
      </c>
      <c r="AT264" s="19">
        <v>0.43395002457909748</v>
      </c>
      <c r="AU264" s="19">
        <v>0.4905827046263096</v>
      </c>
      <c r="AV264" s="19">
        <v>0.26761704895147387</v>
      </c>
      <c r="AW264" s="19">
        <v>0.36612580759594776</v>
      </c>
      <c r="AX264" s="19">
        <v>0.18683179039051667</v>
      </c>
      <c r="AY264" s="19">
        <v>1.3806107296973456</v>
      </c>
      <c r="AZ264" s="19">
        <v>1.3509272871687485</v>
      </c>
      <c r="BA264" s="19">
        <v>1.4050122456926384</v>
      </c>
      <c r="BB264" s="19">
        <v>1.2038177956889913</v>
      </c>
      <c r="BC264" s="19">
        <v>1.2888870206319618</v>
      </c>
      <c r="BD264" s="19">
        <v>1.1382613068800613</v>
      </c>
      <c r="BE264" s="14" t="s">
        <v>4857</v>
      </c>
    </row>
    <row r="265" spans="1:57" s="30" customFormat="1" ht="17.100000000000001" customHeight="1">
      <c r="A265" s="14">
        <v>254</v>
      </c>
      <c r="B265" s="14" t="s">
        <v>3452</v>
      </c>
      <c r="C265" s="32">
        <v>1.1398328275044609</v>
      </c>
      <c r="D265" s="32">
        <v>1.2506796643765996</v>
      </c>
      <c r="E265" s="32">
        <v>1.0564707007788798</v>
      </c>
      <c r="F265" s="24">
        <v>28950</v>
      </c>
      <c r="G265" s="52" t="s">
        <v>2</v>
      </c>
      <c r="H265" s="32">
        <v>22.885617267145307</v>
      </c>
      <c r="I265" s="32">
        <v>34.439397632919928</v>
      </c>
      <c r="J265" s="12" t="s">
        <v>3453</v>
      </c>
      <c r="K265" s="12" t="s">
        <v>3454</v>
      </c>
      <c r="L265" s="14" t="s">
        <v>3455</v>
      </c>
      <c r="M265" s="12" t="s">
        <v>3456</v>
      </c>
      <c r="N265" s="15" t="s">
        <v>3457</v>
      </c>
      <c r="O265" s="12" t="s">
        <v>3458</v>
      </c>
      <c r="P265" s="12" t="s">
        <v>3460</v>
      </c>
      <c r="Q265" s="14">
        <v>2</v>
      </c>
      <c r="R265" s="21">
        <v>691.37530000000004</v>
      </c>
      <c r="S265" s="14">
        <v>1</v>
      </c>
      <c r="T265" s="52" t="s">
        <v>2</v>
      </c>
      <c r="U265" s="53">
        <v>31.67</v>
      </c>
      <c r="V265" s="24">
        <v>18200</v>
      </c>
      <c r="W265" s="24">
        <v>20400</v>
      </c>
      <c r="X265" s="24">
        <v>17000</v>
      </c>
      <c r="Y265" s="24">
        <v>27400</v>
      </c>
      <c r="Z265" s="24">
        <v>26500</v>
      </c>
      <c r="AA265" s="24">
        <v>24100</v>
      </c>
      <c r="AB265" s="24">
        <v>36000</v>
      </c>
      <c r="AC265" s="24">
        <v>21900</v>
      </c>
      <c r="AD265" s="24">
        <v>20750</v>
      </c>
      <c r="AE265" s="24">
        <v>27125</v>
      </c>
      <c r="AF265" s="24">
        <v>19300</v>
      </c>
      <c r="AG265" s="24">
        <v>22200</v>
      </c>
      <c r="AH265" s="24">
        <v>25300</v>
      </c>
      <c r="AI265" s="24">
        <v>28950</v>
      </c>
      <c r="AJ265" s="32">
        <v>22.416978544884707</v>
      </c>
      <c r="AK265" s="32">
        <v>22.885617267145307</v>
      </c>
      <c r="AL265" s="32">
        <v>8.0602845523855162</v>
      </c>
      <c r="AM265" s="32">
        <v>33.125723082613042</v>
      </c>
      <c r="AN265" s="32">
        <v>6.7077323116510437</v>
      </c>
      <c r="AO265" s="32">
        <v>34.439397632919928</v>
      </c>
      <c r="AP265" s="19">
        <v>1.3072289156626506</v>
      </c>
      <c r="AQ265" s="19">
        <v>1.310880829015544</v>
      </c>
      <c r="AR265" s="19">
        <v>1.3040540540540539</v>
      </c>
      <c r="AS265" s="19">
        <v>0.38651180109755462</v>
      </c>
      <c r="AT265" s="19">
        <v>0.39053653742622974</v>
      </c>
      <c r="AU265" s="19">
        <v>0.38300367163913052</v>
      </c>
      <c r="AV265" s="19">
        <v>0.18882224841145406</v>
      </c>
      <c r="AW265" s="19">
        <v>0.32271232044308001</v>
      </c>
      <c r="AX265" s="19">
        <v>7.9252757403337593E-2</v>
      </c>
      <c r="AY265" s="19">
        <v>1.3072289156626506</v>
      </c>
      <c r="AZ265" s="19">
        <v>1.310880829015544</v>
      </c>
      <c r="BA265" s="19">
        <v>1.3040540540540539</v>
      </c>
      <c r="BB265" s="19">
        <v>1.1398328275044609</v>
      </c>
      <c r="BC265" s="19">
        <v>1.2506796643765996</v>
      </c>
      <c r="BD265" s="19">
        <v>1.0564707007788798</v>
      </c>
      <c r="BE265" s="14" t="s">
        <v>4857</v>
      </c>
    </row>
    <row r="266" spans="1:57" s="30" customFormat="1" ht="17.100000000000001" customHeight="1">
      <c r="A266" s="14">
        <v>255</v>
      </c>
      <c r="B266" s="14" t="s">
        <v>3461</v>
      </c>
      <c r="C266" s="32">
        <v>-1.354743221325353</v>
      </c>
      <c r="D266" s="32">
        <v>-1.3708697787446316</v>
      </c>
      <c r="E266" s="32">
        <v>-1.3184375489609441</v>
      </c>
      <c r="F266" s="42">
        <v>45450</v>
      </c>
      <c r="G266" s="52" t="s">
        <v>2</v>
      </c>
      <c r="H266" s="32">
        <v>34.520030941792484</v>
      </c>
      <c r="I266" s="32">
        <v>46.518135880039104</v>
      </c>
      <c r="J266" s="12" t="s">
        <v>3462</v>
      </c>
      <c r="K266" s="15" t="s">
        <v>3463</v>
      </c>
      <c r="L266" s="14" t="s">
        <v>3464</v>
      </c>
      <c r="M266" s="12" t="s">
        <v>3465</v>
      </c>
      <c r="N266" s="15" t="s">
        <v>3466</v>
      </c>
      <c r="O266" s="12" t="s">
        <v>3467</v>
      </c>
      <c r="P266" s="12" t="s">
        <v>3328</v>
      </c>
      <c r="Q266" s="14">
        <v>4</v>
      </c>
      <c r="R266" s="21">
        <v>699.36900000000003</v>
      </c>
      <c r="S266" s="14">
        <v>1</v>
      </c>
      <c r="T266" s="52" t="s">
        <v>2</v>
      </c>
      <c r="U266" s="53">
        <v>105.3</v>
      </c>
      <c r="V266" s="42">
        <v>60400</v>
      </c>
      <c r="W266" s="42">
        <v>30500</v>
      </c>
      <c r="X266" s="42">
        <v>51900</v>
      </c>
      <c r="Y266" s="42">
        <v>31200</v>
      </c>
      <c r="Z266" s="42">
        <v>42300</v>
      </c>
      <c r="AA266" s="42">
        <v>27200</v>
      </c>
      <c r="AB266" s="42">
        <v>38500</v>
      </c>
      <c r="AC266" s="42">
        <v>39300</v>
      </c>
      <c r="AD266" s="42">
        <v>43500</v>
      </c>
      <c r="AE266" s="42">
        <v>36825</v>
      </c>
      <c r="AF266" s="42">
        <v>45450</v>
      </c>
      <c r="AG266" s="42">
        <v>41550</v>
      </c>
      <c r="AH266" s="42">
        <v>34750</v>
      </c>
      <c r="AI266" s="42">
        <v>38900</v>
      </c>
      <c r="AJ266" s="32">
        <v>34.520030941792484</v>
      </c>
      <c r="AK266" s="32">
        <v>17.981996822673697</v>
      </c>
      <c r="AL266" s="32">
        <v>46.518135880039104</v>
      </c>
      <c r="AM266" s="32">
        <v>35.22770245622511</v>
      </c>
      <c r="AN266" s="32">
        <v>30.726078837170846</v>
      </c>
      <c r="AO266" s="32">
        <v>1.4542041772473986</v>
      </c>
      <c r="AP266" s="19">
        <v>0.84655172413793101</v>
      </c>
      <c r="AQ266" s="19">
        <v>0.76457645764576454</v>
      </c>
      <c r="AR266" s="19">
        <v>0.93622141997593256</v>
      </c>
      <c r="AS266" s="19">
        <v>-0.24032987570024145</v>
      </c>
      <c r="AT266" s="19">
        <v>-0.38726731658323738</v>
      </c>
      <c r="AU266" s="19">
        <v>-9.5078321784152667E-2</v>
      </c>
      <c r="AV266" s="19">
        <v>-0.438019428386342</v>
      </c>
      <c r="AW266" s="19">
        <v>-0.4550915335663871</v>
      </c>
      <c r="AX266" s="19">
        <v>-0.39882923601994558</v>
      </c>
      <c r="AY266" s="19">
        <v>-1.1812627291242364</v>
      </c>
      <c r="AZ266" s="19">
        <v>-1.3079136690647484</v>
      </c>
      <c r="BA266" s="19">
        <v>-1.0681233933161955</v>
      </c>
      <c r="BB266" s="19">
        <v>-1.354743221325353</v>
      </c>
      <c r="BC266" s="19">
        <v>-1.3708697787446316</v>
      </c>
      <c r="BD266" s="19">
        <v>-1.3184375489609441</v>
      </c>
      <c r="BE266" s="14" t="s">
        <v>4857</v>
      </c>
    </row>
    <row r="267" spans="1:57" s="30" customFormat="1" ht="17.100000000000001" customHeight="1">
      <c r="A267" s="14">
        <v>256</v>
      </c>
      <c r="B267" s="14" t="s">
        <v>3329</v>
      </c>
      <c r="C267" s="32">
        <v>1.2998827095362617</v>
      </c>
      <c r="D267" s="32">
        <v>1.6813467231174271</v>
      </c>
      <c r="E267" s="32">
        <v>-1.1199628279102944</v>
      </c>
      <c r="F267" s="42">
        <v>616936.5</v>
      </c>
      <c r="G267" s="52" t="s">
        <v>4894</v>
      </c>
      <c r="H267" s="32">
        <v>50.262536527823201</v>
      </c>
      <c r="I267" s="32">
        <v>49.071751296976508</v>
      </c>
      <c r="J267" s="15" t="s">
        <v>3330</v>
      </c>
      <c r="K267" s="15" t="s">
        <v>3331</v>
      </c>
      <c r="L267" s="14" t="s">
        <v>3332</v>
      </c>
      <c r="M267" s="12" t="s">
        <v>3333</v>
      </c>
      <c r="N267" s="15" t="s">
        <v>3334</v>
      </c>
      <c r="O267" s="12" t="s">
        <v>3335</v>
      </c>
      <c r="P267" s="12" t="s">
        <v>3336</v>
      </c>
      <c r="Q267" s="14">
        <v>4</v>
      </c>
      <c r="R267" s="21">
        <v>465.97190000000001</v>
      </c>
      <c r="S267" s="14">
        <v>1</v>
      </c>
      <c r="T267" s="52" t="s">
        <v>4894</v>
      </c>
      <c r="U267" s="53">
        <v>38.299174999999998</v>
      </c>
      <c r="V267" s="42">
        <v>346354</v>
      </c>
      <c r="W267" s="42">
        <v>353804</v>
      </c>
      <c r="X267" s="42">
        <v>329407</v>
      </c>
      <c r="Y267" s="42">
        <v>159694</v>
      </c>
      <c r="Z267" s="42">
        <v>731775</v>
      </c>
      <c r="AA267" s="42">
        <v>502098</v>
      </c>
      <c r="AB267" s="42">
        <v>239332</v>
      </c>
      <c r="AC267" s="42">
        <v>299723</v>
      </c>
      <c r="AD267" s="42">
        <v>297314.75</v>
      </c>
      <c r="AE267" s="42">
        <v>443232</v>
      </c>
      <c r="AF267" s="42">
        <v>350079</v>
      </c>
      <c r="AG267" s="42">
        <v>244550.5</v>
      </c>
      <c r="AH267" s="42">
        <v>616936.5</v>
      </c>
      <c r="AI267" s="42">
        <v>269527.5</v>
      </c>
      <c r="AJ267" s="32">
        <v>31.049033182506243</v>
      </c>
      <c r="AK267" s="32">
        <v>50.262536527823201</v>
      </c>
      <c r="AL267" s="32">
        <v>1.5047876393156343</v>
      </c>
      <c r="AM267" s="32">
        <v>49.071751296976508</v>
      </c>
      <c r="AN267" s="32">
        <v>26.324615934149246</v>
      </c>
      <c r="AO267" s="32">
        <v>15.843609881231711</v>
      </c>
      <c r="AP267" s="19">
        <v>1.4907837569444502</v>
      </c>
      <c r="AQ267" s="19">
        <v>1.7622779429785849</v>
      </c>
      <c r="AR267" s="19">
        <v>1.1021343239944306</v>
      </c>
      <c r="AS267" s="19">
        <v>0.57607100516722365</v>
      </c>
      <c r="AT267" s="19">
        <v>0.81744148120143578</v>
      </c>
      <c r="AU267" s="19">
        <v>0.14030006488098204</v>
      </c>
      <c r="AV267" s="19">
        <v>0.37838145248112309</v>
      </c>
      <c r="AW267" s="19">
        <v>0.74961726421828612</v>
      </c>
      <c r="AX267" s="19">
        <v>-0.16345084935481088</v>
      </c>
      <c r="AY267" s="19">
        <v>1.4907837569444502</v>
      </c>
      <c r="AZ267" s="19">
        <v>1.7622779429785849</v>
      </c>
      <c r="BA267" s="19">
        <v>1.1021343239944306</v>
      </c>
      <c r="BB267" s="19">
        <v>1.2998827095362617</v>
      </c>
      <c r="BC267" s="19">
        <v>1.6813467231174271</v>
      </c>
      <c r="BD267" s="19">
        <v>-1.1199628279102944</v>
      </c>
      <c r="BE267" s="14" t="s">
        <v>4857</v>
      </c>
    </row>
    <row r="268" spans="1:57" s="30" customFormat="1" ht="17.100000000000001" customHeight="1">
      <c r="A268" s="14">
        <v>257</v>
      </c>
      <c r="B268" s="14" t="s">
        <v>3337</v>
      </c>
      <c r="C268" s="32">
        <v>1.008781116229029</v>
      </c>
      <c r="D268" s="32">
        <v>1.6871850942354742</v>
      </c>
      <c r="E268" s="32">
        <v>-1.601671430287863</v>
      </c>
      <c r="F268" s="24">
        <v>31011.5</v>
      </c>
      <c r="G268" s="52" t="s">
        <v>2</v>
      </c>
      <c r="H268" s="32">
        <v>32.152505739889961</v>
      </c>
      <c r="I268" s="32">
        <v>39.422820971464517</v>
      </c>
      <c r="J268" s="12" t="s">
        <v>3338</v>
      </c>
      <c r="K268" s="12" t="s">
        <v>3339</v>
      </c>
      <c r="L268" s="14" t="s">
        <v>4986</v>
      </c>
      <c r="M268" s="12" t="s">
        <v>3340</v>
      </c>
      <c r="N268" s="15" t="s">
        <v>3341</v>
      </c>
      <c r="O268" s="12" t="s">
        <v>3342</v>
      </c>
      <c r="P268" s="12" t="s">
        <v>3343</v>
      </c>
      <c r="Q268" s="14">
        <v>2</v>
      </c>
      <c r="R268" s="21">
        <v>599.29089999999997</v>
      </c>
      <c r="S268" s="14">
        <v>1</v>
      </c>
      <c r="T268" s="52" t="s">
        <v>2</v>
      </c>
      <c r="U268" s="53">
        <v>22.842637499999999</v>
      </c>
      <c r="V268" s="24">
        <v>12648</v>
      </c>
      <c r="W268" s="24">
        <v>22425</v>
      </c>
      <c r="X268" s="24">
        <v>29599</v>
      </c>
      <c r="Y268" s="24">
        <v>25922</v>
      </c>
      <c r="Z268" s="24">
        <v>26745</v>
      </c>
      <c r="AA268" s="24">
        <v>35278</v>
      </c>
      <c r="AB268" s="24">
        <v>20230</v>
      </c>
      <c r="AC268" s="24">
        <v>22558</v>
      </c>
      <c r="AD268" s="24">
        <v>22648.5</v>
      </c>
      <c r="AE268" s="24">
        <v>26202.75</v>
      </c>
      <c r="AF268" s="24">
        <v>17536.5</v>
      </c>
      <c r="AG268" s="24">
        <v>27760.5</v>
      </c>
      <c r="AH268" s="24">
        <v>31011.5</v>
      </c>
      <c r="AI268" s="24">
        <v>21394</v>
      </c>
      <c r="AJ268" s="32">
        <v>32.152505739889961</v>
      </c>
      <c r="AK268" s="32">
        <v>25.277870190821044</v>
      </c>
      <c r="AL268" s="32">
        <v>39.422820971464517</v>
      </c>
      <c r="AM268" s="32">
        <v>9.3659394982905049</v>
      </c>
      <c r="AN268" s="32">
        <v>19.456466678054305</v>
      </c>
      <c r="AO268" s="32">
        <v>7.6944217378811004</v>
      </c>
      <c r="AP268" s="19">
        <v>1.1569309225776541</v>
      </c>
      <c r="AQ268" s="19">
        <v>1.7683973426852564</v>
      </c>
      <c r="AR268" s="19">
        <v>0.77066335260532048</v>
      </c>
      <c r="AS268" s="19">
        <v>0.21030272734103811</v>
      </c>
      <c r="AT268" s="19">
        <v>0.82244247151404748</v>
      </c>
      <c r="AU268" s="19">
        <v>-0.37582730684902144</v>
      </c>
      <c r="AV268" s="19">
        <v>1.2613174654937553E-2</v>
      </c>
      <c r="AW268" s="19">
        <v>0.75461825453089781</v>
      </c>
      <c r="AX268" s="19">
        <v>-0.67957822108481436</v>
      </c>
      <c r="AY268" s="19">
        <v>1.1569309225776541</v>
      </c>
      <c r="AZ268" s="19">
        <v>1.7683973426852564</v>
      </c>
      <c r="BA268" s="19">
        <v>-1.2975834346078341</v>
      </c>
      <c r="BB268" s="19">
        <v>1.008781116229029</v>
      </c>
      <c r="BC268" s="19">
        <v>1.6871850942354742</v>
      </c>
      <c r="BD268" s="19">
        <v>-1.601671430287863</v>
      </c>
      <c r="BE268" s="14" t="s">
        <v>4857</v>
      </c>
    </row>
    <row r="269" spans="1:57" s="30" customFormat="1" ht="17.100000000000001" customHeight="1">
      <c r="A269" s="31">
        <v>258</v>
      </c>
      <c r="B269" s="11" t="s">
        <v>3344</v>
      </c>
      <c r="C269" s="57"/>
      <c r="D269" s="57"/>
      <c r="E269" s="57"/>
      <c r="F269" s="27"/>
      <c r="G269" s="54"/>
      <c r="H269" s="57"/>
      <c r="I269" s="57"/>
      <c r="J269" s="13"/>
      <c r="K269" s="13"/>
      <c r="L269" s="13"/>
      <c r="M269" s="13"/>
      <c r="N269" s="13"/>
      <c r="O269" s="13"/>
      <c r="P269" s="13"/>
      <c r="Q269" s="13"/>
      <c r="R269" s="22"/>
      <c r="S269" s="18"/>
      <c r="T269" s="54"/>
      <c r="U269" s="5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57"/>
      <c r="AK269" s="57"/>
      <c r="AL269" s="57"/>
      <c r="AM269" s="57"/>
      <c r="AN269" s="57"/>
      <c r="AO269" s="5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13"/>
    </row>
    <row r="270" spans="1:57" s="30" customFormat="1" ht="17.100000000000001" customHeight="1">
      <c r="A270" s="14">
        <v>259</v>
      </c>
      <c r="B270" s="14" t="s">
        <v>3345</v>
      </c>
      <c r="C270" s="32">
        <v>1.3050502975687499</v>
      </c>
      <c r="D270" s="32">
        <v>-1.1127492795892273</v>
      </c>
      <c r="E270" s="32">
        <v>1.7697184918823592</v>
      </c>
      <c r="F270" s="24">
        <v>257123</v>
      </c>
      <c r="G270" s="52" t="s">
        <v>2</v>
      </c>
      <c r="H270" s="32">
        <v>39.119971054066994</v>
      </c>
      <c r="I270" s="32">
        <v>20.505087377959715</v>
      </c>
      <c r="J270" s="12" t="s">
        <v>3346</v>
      </c>
      <c r="K270" s="12" t="s">
        <v>3347</v>
      </c>
      <c r="L270" s="14" t="s">
        <v>5189</v>
      </c>
      <c r="M270" s="12" t="s">
        <v>3348</v>
      </c>
      <c r="N270" s="15" t="s">
        <v>3349</v>
      </c>
      <c r="O270" s="12" t="s">
        <v>3350</v>
      </c>
      <c r="P270" s="12" t="s">
        <v>3351</v>
      </c>
      <c r="Q270" s="14">
        <v>2</v>
      </c>
      <c r="R270" s="21">
        <v>613.31029999999998</v>
      </c>
      <c r="S270" s="14">
        <v>9</v>
      </c>
      <c r="T270" s="52" t="s">
        <v>2</v>
      </c>
      <c r="U270" s="53">
        <v>47.358687500000002</v>
      </c>
      <c r="V270" s="24">
        <v>146603</v>
      </c>
      <c r="W270" s="24">
        <v>145230</v>
      </c>
      <c r="X270" s="24">
        <v>129717</v>
      </c>
      <c r="Y270" s="24">
        <v>105695</v>
      </c>
      <c r="Z270" s="24">
        <v>157014</v>
      </c>
      <c r="AA270" s="24">
        <v>117873</v>
      </c>
      <c r="AB270" s="24">
        <v>294404</v>
      </c>
      <c r="AC270" s="24">
        <v>219842</v>
      </c>
      <c r="AD270" s="24">
        <v>131811.25</v>
      </c>
      <c r="AE270" s="24">
        <v>197283.25</v>
      </c>
      <c r="AF270" s="24">
        <v>145916.5</v>
      </c>
      <c r="AG270" s="24">
        <v>117706</v>
      </c>
      <c r="AH270" s="24">
        <v>137443.5</v>
      </c>
      <c r="AI270" s="24">
        <v>257123</v>
      </c>
      <c r="AJ270" s="32">
        <v>14.429870021766328</v>
      </c>
      <c r="AK270" s="32">
        <v>39.119971054066994</v>
      </c>
      <c r="AL270" s="32">
        <v>0.66535149251053149</v>
      </c>
      <c r="AM270" s="32">
        <v>14.43097131638425</v>
      </c>
      <c r="AN270" s="32">
        <v>20.136904635302987</v>
      </c>
      <c r="AO270" s="32">
        <v>20.505087377959715</v>
      </c>
      <c r="AP270" s="19">
        <v>1.4967102580394314</v>
      </c>
      <c r="AQ270" s="19">
        <v>0.94193254361227141</v>
      </c>
      <c r="AR270" s="19">
        <v>2.184451090003908</v>
      </c>
      <c r="AS270" s="19">
        <v>0.58179496304804268</v>
      </c>
      <c r="AT270" s="19">
        <v>-8.6304349784668333E-2</v>
      </c>
      <c r="AU270" s="19">
        <v>1.1272708041118389</v>
      </c>
      <c r="AV270" s="19">
        <v>0.38410541036194212</v>
      </c>
      <c r="AW270" s="19">
        <v>-0.15412856676781805</v>
      </c>
      <c r="AX270" s="19">
        <v>0.82351988987604596</v>
      </c>
      <c r="AY270" s="19">
        <v>1.4967102580394314</v>
      </c>
      <c r="AZ270" s="19">
        <v>-1.0616471495559994</v>
      </c>
      <c r="BA270" s="19">
        <v>2.184451090003908</v>
      </c>
      <c r="BB270" s="19">
        <v>1.3050502975687499</v>
      </c>
      <c r="BC270" s="19">
        <v>-1.1127492795892273</v>
      </c>
      <c r="BD270" s="19">
        <v>1.7697184918823592</v>
      </c>
      <c r="BE270" s="14" t="s">
        <v>4857</v>
      </c>
    </row>
    <row r="271" spans="1:57" s="30" customFormat="1" ht="17.100000000000001" customHeight="1">
      <c r="A271" s="14">
        <v>260</v>
      </c>
      <c r="B271" s="14" t="s">
        <v>3354</v>
      </c>
      <c r="C271" s="32">
        <v>-1.0206344300120922</v>
      </c>
      <c r="D271" s="32">
        <v>-1.0597878943897436</v>
      </c>
      <c r="E271" s="32">
        <v>1.0177974032082349</v>
      </c>
      <c r="F271" s="24">
        <v>104400</v>
      </c>
      <c r="G271" s="52" t="s">
        <v>2</v>
      </c>
      <c r="H271" s="32">
        <v>21.883210627056222</v>
      </c>
      <c r="I271" s="32">
        <v>23.655317108286429</v>
      </c>
      <c r="J271" s="12" t="s">
        <v>3355</v>
      </c>
      <c r="K271" s="12" t="s">
        <v>3356</v>
      </c>
      <c r="L271" s="14" t="s">
        <v>5227</v>
      </c>
      <c r="M271" s="12" t="s">
        <v>3357</v>
      </c>
      <c r="N271" s="15" t="s">
        <v>3358</v>
      </c>
      <c r="O271" s="12" t="s">
        <v>3359</v>
      </c>
      <c r="P271" s="12" t="s">
        <v>3360</v>
      </c>
      <c r="Q271" s="14">
        <v>2</v>
      </c>
      <c r="R271" s="21">
        <v>695.85730000000001</v>
      </c>
      <c r="S271" s="14">
        <v>8</v>
      </c>
      <c r="T271" s="52" t="s">
        <v>2</v>
      </c>
      <c r="U271" s="53">
        <v>43.604999999999997</v>
      </c>
      <c r="V271" s="24">
        <v>72500</v>
      </c>
      <c r="W271" s="24">
        <v>91200</v>
      </c>
      <c r="X271" s="24">
        <v>97000</v>
      </c>
      <c r="Y271" s="24">
        <v>69200</v>
      </c>
      <c r="Z271" s="24">
        <v>89100</v>
      </c>
      <c r="AA271" s="24">
        <v>72800</v>
      </c>
      <c r="AB271" s="24">
        <v>121000</v>
      </c>
      <c r="AC271" s="24">
        <v>87800</v>
      </c>
      <c r="AD271" s="24">
        <v>82475</v>
      </c>
      <c r="AE271" s="24">
        <v>92675</v>
      </c>
      <c r="AF271" s="24">
        <v>81850</v>
      </c>
      <c r="AG271" s="24">
        <v>83100</v>
      </c>
      <c r="AH271" s="24">
        <v>80950</v>
      </c>
      <c r="AI271" s="24">
        <v>104400</v>
      </c>
      <c r="AJ271" s="32">
        <v>16.607516896806786</v>
      </c>
      <c r="AK271" s="32">
        <v>21.883210627056222</v>
      </c>
      <c r="AL271" s="32">
        <v>16.155035807194185</v>
      </c>
      <c r="AM271" s="32">
        <v>23.655317108286429</v>
      </c>
      <c r="AN271" s="32">
        <v>14.238221783002746</v>
      </c>
      <c r="AO271" s="32">
        <v>22.486537486008981</v>
      </c>
      <c r="AP271" s="19">
        <v>1.1236738405577447</v>
      </c>
      <c r="AQ271" s="19">
        <v>0.98900427611484421</v>
      </c>
      <c r="AR271" s="19">
        <v>1.256317689530686</v>
      </c>
      <c r="AS271" s="19">
        <v>0.16822333725422484</v>
      </c>
      <c r="AT271" s="19">
        <v>-1.5951336171587571E-2</v>
      </c>
      <c r="AU271" s="19">
        <v>0.32920132979954009</v>
      </c>
      <c r="AV271" s="19">
        <v>-2.946621543187572E-2</v>
      </c>
      <c r="AW271" s="19">
        <v>-8.3775553154737281E-2</v>
      </c>
      <c r="AX271" s="19">
        <v>2.5450415563747164E-2</v>
      </c>
      <c r="AY271" s="19">
        <v>1.1236738405577447</v>
      </c>
      <c r="AZ271" s="19">
        <v>-1.0111179740580605</v>
      </c>
      <c r="BA271" s="19">
        <v>1.256317689530686</v>
      </c>
      <c r="BB271" s="19">
        <v>-1.0206344300120922</v>
      </c>
      <c r="BC271" s="19">
        <v>-1.0597878943897436</v>
      </c>
      <c r="BD271" s="19">
        <v>1.0177974032082349</v>
      </c>
      <c r="BE271" s="14" t="s">
        <v>4857</v>
      </c>
    </row>
    <row r="272" spans="1:57" s="30" customFormat="1" ht="17.100000000000001" customHeight="1">
      <c r="A272" s="14">
        <v>261</v>
      </c>
      <c r="B272" s="14" t="s">
        <v>3361</v>
      </c>
      <c r="C272" s="32">
        <v>1.3981200692049791</v>
      </c>
      <c r="D272" s="32">
        <v>1.1868017764218082</v>
      </c>
      <c r="E272" s="32">
        <v>1.6024617347541459</v>
      </c>
      <c r="F272" s="24">
        <v>89900000</v>
      </c>
      <c r="G272" s="52" t="s">
        <v>2</v>
      </c>
      <c r="H272" s="32">
        <v>24.503195670468923</v>
      </c>
      <c r="I272" s="32">
        <v>10.602868313462487</v>
      </c>
      <c r="J272" s="12" t="s">
        <v>3362</v>
      </c>
      <c r="K272" s="12" t="s">
        <v>3363</v>
      </c>
      <c r="L272" s="14" t="s">
        <v>3364</v>
      </c>
      <c r="M272" s="12" t="s">
        <v>3365</v>
      </c>
      <c r="N272" s="15" t="s">
        <v>3366</v>
      </c>
      <c r="O272" s="12" t="s">
        <v>3367</v>
      </c>
      <c r="P272" s="12" t="s">
        <v>3368</v>
      </c>
      <c r="Q272" s="14">
        <v>4</v>
      </c>
      <c r="R272" s="21">
        <v>535.30550000000005</v>
      </c>
      <c r="S272" s="14">
        <v>1</v>
      </c>
      <c r="T272" s="52" t="s">
        <v>2</v>
      </c>
      <c r="U272" s="53">
        <v>68.5</v>
      </c>
      <c r="V272" s="24">
        <v>50900000</v>
      </c>
      <c r="W272" s="24">
        <v>43800000</v>
      </c>
      <c r="X272" s="24">
        <v>43700000</v>
      </c>
      <c r="Y272" s="24">
        <v>47200000</v>
      </c>
      <c r="Z272" s="24">
        <v>54800000</v>
      </c>
      <c r="AA272" s="24">
        <v>63000000</v>
      </c>
      <c r="AB272" s="24">
        <v>91000000</v>
      </c>
      <c r="AC272" s="24">
        <v>88800000</v>
      </c>
      <c r="AD272" s="24">
        <v>46400000</v>
      </c>
      <c r="AE272" s="24">
        <v>74400000</v>
      </c>
      <c r="AF272" s="24">
        <v>47350000</v>
      </c>
      <c r="AG272" s="24">
        <v>45450000</v>
      </c>
      <c r="AH272" s="24">
        <v>58900000</v>
      </c>
      <c r="AI272" s="24">
        <v>89900000</v>
      </c>
      <c r="AJ272" s="32">
        <v>7.3550028002062922</v>
      </c>
      <c r="AK272" s="32">
        <v>24.503195670468923</v>
      </c>
      <c r="AL272" s="32">
        <v>10.602868313462487</v>
      </c>
      <c r="AM272" s="32">
        <v>5.4452667418105971</v>
      </c>
      <c r="AN272" s="32">
        <v>9.8442709774697619</v>
      </c>
      <c r="AO272" s="32">
        <v>1.7304059161406056</v>
      </c>
      <c r="AP272" s="19">
        <v>1.603448275862069</v>
      </c>
      <c r="AQ272" s="19">
        <v>1.2439281942977825</v>
      </c>
      <c r="AR272" s="19">
        <v>1.977997799779978</v>
      </c>
      <c r="AS272" s="19">
        <v>0.68117781598045923</v>
      </c>
      <c r="AT272" s="19">
        <v>0.31490320836207569</v>
      </c>
      <c r="AU272" s="19">
        <v>0.98404082132034032</v>
      </c>
      <c r="AV272" s="19">
        <v>0.48348826329435868</v>
      </c>
      <c r="AW272" s="19">
        <v>0.24707899137892597</v>
      </c>
      <c r="AX272" s="19">
        <v>0.6802899070845474</v>
      </c>
      <c r="AY272" s="19">
        <v>1.603448275862069</v>
      </c>
      <c r="AZ272" s="19">
        <v>1.2439281942977825</v>
      </c>
      <c r="BA272" s="19">
        <v>1.977997799779978</v>
      </c>
      <c r="BB272" s="19">
        <v>1.3981200692049791</v>
      </c>
      <c r="BC272" s="19">
        <v>1.1868017764218082</v>
      </c>
      <c r="BD272" s="19">
        <v>1.6024617347541459</v>
      </c>
      <c r="BE272" s="14" t="s">
        <v>4857</v>
      </c>
    </row>
    <row r="273" spans="1:105" s="30" customFormat="1" ht="17.100000000000001" customHeight="1">
      <c r="A273" s="14">
        <v>262</v>
      </c>
      <c r="B273" s="14" t="s">
        <v>3369</v>
      </c>
      <c r="C273" s="32">
        <v>1.0164102507308068</v>
      </c>
      <c r="D273" s="32">
        <v>1.2854447725648137</v>
      </c>
      <c r="E273" s="32">
        <v>-1.261644671456821</v>
      </c>
      <c r="F273" s="24">
        <v>28900</v>
      </c>
      <c r="G273" s="52" t="s">
        <v>2</v>
      </c>
      <c r="H273" s="32">
        <v>21.568447676799906</v>
      </c>
      <c r="I273" s="32">
        <v>11.7443340819911</v>
      </c>
      <c r="J273" s="12" t="s">
        <v>3370</v>
      </c>
      <c r="K273" s="12" t="s">
        <v>3371</v>
      </c>
      <c r="L273" s="14" t="s">
        <v>3372</v>
      </c>
      <c r="M273" s="12" t="s">
        <v>3373</v>
      </c>
      <c r="N273" s="15" t="s">
        <v>3374</v>
      </c>
      <c r="O273" s="12" t="s">
        <v>3375</v>
      </c>
      <c r="P273" s="12" t="s">
        <v>3376</v>
      </c>
      <c r="Q273" s="14">
        <v>2</v>
      </c>
      <c r="R273" s="21">
        <v>567.27530000000002</v>
      </c>
      <c r="S273" s="14">
        <v>2</v>
      </c>
      <c r="T273" s="52" t="s">
        <v>2</v>
      </c>
      <c r="U273" s="53">
        <v>23.4</v>
      </c>
      <c r="V273" s="24">
        <v>22500</v>
      </c>
      <c r="W273" s="24">
        <v>20400</v>
      </c>
      <c r="X273" s="24">
        <v>22100</v>
      </c>
      <c r="Y273" s="24">
        <v>19500</v>
      </c>
      <c r="Z273" s="24">
        <v>31300</v>
      </c>
      <c r="AA273" s="24">
        <v>26500</v>
      </c>
      <c r="AB273" s="24">
        <v>20400</v>
      </c>
      <c r="AC273" s="24">
        <v>20300</v>
      </c>
      <c r="AD273" s="24">
        <v>21125</v>
      </c>
      <c r="AE273" s="24">
        <v>24625</v>
      </c>
      <c r="AF273" s="24">
        <v>21450</v>
      </c>
      <c r="AG273" s="24">
        <v>20800</v>
      </c>
      <c r="AH273" s="24">
        <v>28900</v>
      </c>
      <c r="AI273" s="24">
        <v>20350</v>
      </c>
      <c r="AJ273" s="32">
        <v>6.6986848274958142</v>
      </c>
      <c r="AK273" s="32">
        <v>21.568447676799906</v>
      </c>
      <c r="AL273" s="32">
        <v>6.9227237318962684</v>
      </c>
      <c r="AM273" s="32">
        <v>8.8388347648318444</v>
      </c>
      <c r="AN273" s="32">
        <v>11.7443340819911</v>
      </c>
      <c r="AO273" s="32">
        <v>0.34747261974768923</v>
      </c>
      <c r="AP273" s="19">
        <v>1.165680473372781</v>
      </c>
      <c r="AQ273" s="19">
        <v>1.3473193473193472</v>
      </c>
      <c r="AR273" s="19">
        <v>0.97836538461538458</v>
      </c>
      <c r="AS273" s="19">
        <v>0.22117238317419188</v>
      </c>
      <c r="AT273" s="19">
        <v>0.43009184500113312</v>
      </c>
      <c r="AU273" s="19">
        <v>-3.155473387484517E-2</v>
      </c>
      <c r="AV273" s="19">
        <v>2.3482830488091327E-2</v>
      </c>
      <c r="AW273" s="19">
        <v>0.3622676280179834</v>
      </c>
      <c r="AX273" s="19">
        <v>-0.33530564811063812</v>
      </c>
      <c r="AY273" s="19">
        <v>1.165680473372781</v>
      </c>
      <c r="AZ273" s="19">
        <v>1.3473193473193472</v>
      </c>
      <c r="BA273" s="19">
        <v>-1.0221130221130221</v>
      </c>
      <c r="BB273" s="19">
        <v>1.0164102507308068</v>
      </c>
      <c r="BC273" s="19">
        <v>1.2854447725648137</v>
      </c>
      <c r="BD273" s="19">
        <v>-1.261644671456821</v>
      </c>
      <c r="BE273" s="14" t="s">
        <v>4857</v>
      </c>
    </row>
    <row r="274" spans="1:105" s="30" customFormat="1" ht="17.100000000000001" customHeight="1">
      <c r="A274" s="14">
        <v>263</v>
      </c>
      <c r="B274" s="14" t="s">
        <v>3377</v>
      </c>
      <c r="C274" s="32">
        <v>1.0422454520482356</v>
      </c>
      <c r="D274" s="32">
        <v>1.6749752064824024</v>
      </c>
      <c r="E274" s="32">
        <v>-1.382531646908244</v>
      </c>
      <c r="F274" s="24">
        <v>62888.5</v>
      </c>
      <c r="G274" s="52" t="s">
        <v>2</v>
      </c>
      <c r="H274" s="32">
        <v>34.894025370320307</v>
      </c>
      <c r="I274" s="32">
        <v>14.384436942923607</v>
      </c>
      <c r="J274" s="12" t="s">
        <v>3378</v>
      </c>
      <c r="K274" s="15" t="s">
        <v>3379</v>
      </c>
      <c r="L274" s="14" t="s">
        <v>4383</v>
      </c>
      <c r="M274" s="12" t="s">
        <v>3380</v>
      </c>
      <c r="N274" s="15" t="s">
        <v>3381</v>
      </c>
      <c r="O274" s="12" t="s">
        <v>3382</v>
      </c>
      <c r="P274" s="12" t="s">
        <v>3383</v>
      </c>
      <c r="Q274" s="14">
        <v>3</v>
      </c>
      <c r="R274" s="21">
        <v>577.97370000000001</v>
      </c>
      <c r="S274" s="14">
        <v>2</v>
      </c>
      <c r="T274" s="52" t="s">
        <v>2</v>
      </c>
      <c r="U274" s="53">
        <v>56.506050000000002</v>
      </c>
      <c r="V274" s="24">
        <v>30901</v>
      </c>
      <c r="W274" s="24">
        <v>37004</v>
      </c>
      <c r="X274" s="24">
        <v>63386</v>
      </c>
      <c r="Y274" s="24">
        <v>62391</v>
      </c>
      <c r="Z274" s="24">
        <v>60496</v>
      </c>
      <c r="AA274" s="24">
        <v>58718</v>
      </c>
      <c r="AB274" s="24">
        <v>61859</v>
      </c>
      <c r="AC274" s="24">
        <v>50437</v>
      </c>
      <c r="AD274" s="24">
        <v>48420.5</v>
      </c>
      <c r="AE274" s="24">
        <v>57877.5</v>
      </c>
      <c r="AF274" s="24">
        <v>33952.5</v>
      </c>
      <c r="AG274" s="24">
        <v>62888.5</v>
      </c>
      <c r="AH274" s="24">
        <v>59607</v>
      </c>
      <c r="AI274" s="24">
        <v>56148</v>
      </c>
      <c r="AJ274" s="32">
        <v>34.894025370320307</v>
      </c>
      <c r="AK274" s="32">
        <v>8.8537565802283869</v>
      </c>
      <c r="AL274" s="32">
        <v>12.71032379230248</v>
      </c>
      <c r="AM274" s="32">
        <v>1.1187597848265021</v>
      </c>
      <c r="AN274" s="32">
        <v>2.1092084100016466</v>
      </c>
      <c r="AO274" s="32">
        <v>14.384436942923607</v>
      </c>
      <c r="AP274" s="19">
        <v>1.1953098377753224</v>
      </c>
      <c r="AQ274" s="19">
        <v>1.7555997349237906</v>
      </c>
      <c r="AR274" s="19">
        <v>0.89281824180891578</v>
      </c>
      <c r="AS274" s="19">
        <v>0.25738462948889357</v>
      </c>
      <c r="AT274" s="19">
        <v>0.81196395747916061</v>
      </c>
      <c r="AU274" s="19">
        <v>-0.16356159068351975</v>
      </c>
      <c r="AV274" s="19">
        <v>5.9695076802793012E-2</v>
      </c>
      <c r="AW274" s="19">
        <v>0.74413974049601095</v>
      </c>
      <c r="AX274" s="19">
        <v>-0.46731250491931264</v>
      </c>
      <c r="AY274" s="19">
        <v>1.1953098377753224</v>
      </c>
      <c r="AZ274" s="19">
        <v>1.7555997349237906</v>
      </c>
      <c r="BA274" s="19">
        <v>-1.1200487996010544</v>
      </c>
      <c r="BB274" s="19">
        <v>1.0422454520482356</v>
      </c>
      <c r="BC274" s="19">
        <v>1.6749752064824024</v>
      </c>
      <c r="BD274" s="19">
        <v>-1.382531646908244</v>
      </c>
      <c r="BE274" s="14" t="s">
        <v>4857</v>
      </c>
    </row>
    <row r="275" spans="1:105" s="30" customFormat="1" ht="17.100000000000001" customHeight="1">
      <c r="A275" s="14">
        <v>264</v>
      </c>
      <c r="B275" s="14" t="s">
        <v>3384</v>
      </c>
      <c r="C275" s="32">
        <v>1.6548976619454181</v>
      </c>
      <c r="D275" s="32">
        <v>1.6745917296542256</v>
      </c>
      <c r="E275" s="32">
        <v>1.6355538010291459</v>
      </c>
      <c r="F275" s="24">
        <v>58921</v>
      </c>
      <c r="G275" s="52" t="s">
        <v>2</v>
      </c>
      <c r="H275" s="32">
        <v>18.176601317860797</v>
      </c>
      <c r="I275" s="32">
        <v>14.049826880131535</v>
      </c>
      <c r="J275" s="12" t="s">
        <v>3378</v>
      </c>
      <c r="K275" s="15" t="s">
        <v>3379</v>
      </c>
      <c r="L275" s="14" t="s">
        <v>3800</v>
      </c>
      <c r="M275" s="12" t="s">
        <v>3380</v>
      </c>
      <c r="N275" s="15" t="s">
        <v>3381</v>
      </c>
      <c r="O275" s="12" t="s">
        <v>3382</v>
      </c>
      <c r="P275" s="12" t="s">
        <v>3385</v>
      </c>
      <c r="Q275" s="14">
        <v>3</v>
      </c>
      <c r="R275" s="21">
        <v>565.28589999999997</v>
      </c>
      <c r="S275" s="14">
        <v>1</v>
      </c>
      <c r="T275" s="52" t="s">
        <v>2</v>
      </c>
      <c r="U275" s="53">
        <v>48.443750000000001</v>
      </c>
      <c r="V275" s="24">
        <v>24529</v>
      </c>
      <c r="W275" s="24">
        <v>24915</v>
      </c>
      <c r="X275" s="24">
        <v>26286</v>
      </c>
      <c r="Y275" s="24">
        <v>32085</v>
      </c>
      <c r="Z275" s="24">
        <v>46081</v>
      </c>
      <c r="AA275" s="24">
        <v>40703</v>
      </c>
      <c r="AB275" s="24">
        <v>57547</v>
      </c>
      <c r="AC275" s="24">
        <v>60295</v>
      </c>
      <c r="AD275" s="24">
        <v>26953.75</v>
      </c>
      <c r="AE275" s="24">
        <v>51156.5</v>
      </c>
      <c r="AF275" s="24">
        <v>24722</v>
      </c>
      <c r="AG275" s="24">
        <v>29185.5</v>
      </c>
      <c r="AH275" s="24">
        <v>43392</v>
      </c>
      <c r="AI275" s="24">
        <v>58921</v>
      </c>
      <c r="AJ275" s="32">
        <v>12.99607219884339</v>
      </c>
      <c r="AK275" s="32">
        <v>18.176601317860797</v>
      </c>
      <c r="AL275" s="32">
        <v>1.1040499050967048</v>
      </c>
      <c r="AM275" s="32">
        <v>14.049826880131535</v>
      </c>
      <c r="AN275" s="32">
        <v>8.7638741455135794</v>
      </c>
      <c r="AO275" s="32">
        <v>3.2978554924401022</v>
      </c>
      <c r="AP275" s="19">
        <v>1.8979362797384409</v>
      </c>
      <c r="AQ275" s="19">
        <v>1.7551977995307824</v>
      </c>
      <c r="AR275" s="19">
        <v>2.0188449743879668</v>
      </c>
      <c r="AS275" s="19">
        <v>0.9244315569277668</v>
      </c>
      <c r="AT275" s="19">
        <v>0.81163362216640433</v>
      </c>
      <c r="AU275" s="19">
        <v>1.0135301314377816</v>
      </c>
      <c r="AV275" s="19">
        <v>0.72674200424166624</v>
      </c>
      <c r="AW275" s="19">
        <v>0.74380940518325467</v>
      </c>
      <c r="AX275" s="19">
        <v>0.70977921720198867</v>
      </c>
      <c r="AY275" s="19">
        <v>1.8979362797384409</v>
      </c>
      <c r="AZ275" s="19">
        <v>1.7551977995307824</v>
      </c>
      <c r="BA275" s="19">
        <v>2.0188449743879668</v>
      </c>
      <c r="BB275" s="19">
        <v>1.6548976619454181</v>
      </c>
      <c r="BC275" s="19">
        <v>1.6745917296542256</v>
      </c>
      <c r="BD275" s="19">
        <v>1.6355538010291459</v>
      </c>
      <c r="BE275" s="14" t="s">
        <v>4857</v>
      </c>
    </row>
    <row r="276" spans="1:105" ht="17.100000000000001" customHeight="1">
      <c r="A276" s="14">
        <v>265</v>
      </c>
      <c r="B276" s="14" t="s">
        <v>3386</v>
      </c>
      <c r="C276" s="32">
        <v>-1.1532058395615712</v>
      </c>
      <c r="D276" s="32">
        <v>-1.3679853314315198</v>
      </c>
      <c r="E276" s="32">
        <v>1.0504646574659875</v>
      </c>
      <c r="F276" s="24">
        <v>105946.5</v>
      </c>
      <c r="G276" s="52" t="s">
        <v>2</v>
      </c>
      <c r="H276" s="32">
        <v>24.080691472471543</v>
      </c>
      <c r="I276" s="32">
        <v>28.249294164358108</v>
      </c>
      <c r="J276" s="12" t="s">
        <v>3378</v>
      </c>
      <c r="K276" s="15" t="s">
        <v>3379</v>
      </c>
      <c r="L276" s="14" t="s">
        <v>5053</v>
      </c>
      <c r="M276" s="12" t="s">
        <v>3380</v>
      </c>
      <c r="N276" s="15" t="s">
        <v>3381</v>
      </c>
      <c r="O276" s="12" t="s">
        <v>3382</v>
      </c>
      <c r="P276" s="12" t="s">
        <v>3387</v>
      </c>
      <c r="Q276" s="14">
        <v>3</v>
      </c>
      <c r="R276" s="21">
        <v>759.72190000000001</v>
      </c>
      <c r="S276" s="14">
        <v>10</v>
      </c>
      <c r="T276" s="52" t="s">
        <v>2</v>
      </c>
      <c r="U276" s="53">
        <v>54.531725000000002</v>
      </c>
      <c r="V276" s="24">
        <v>94825</v>
      </c>
      <c r="W276" s="24">
        <v>117068</v>
      </c>
      <c r="X276" s="24">
        <v>64065</v>
      </c>
      <c r="Y276" s="24">
        <v>96048</v>
      </c>
      <c r="Z276" s="24">
        <v>65478</v>
      </c>
      <c r="AA276" s="24">
        <v>96872</v>
      </c>
      <c r="AB276" s="24">
        <v>88260</v>
      </c>
      <c r="AC276" s="24">
        <v>119349</v>
      </c>
      <c r="AD276" s="24">
        <v>93001.5</v>
      </c>
      <c r="AE276" s="24">
        <v>92489.75</v>
      </c>
      <c r="AF276" s="24">
        <v>105946.5</v>
      </c>
      <c r="AG276" s="24">
        <v>80056.5</v>
      </c>
      <c r="AH276" s="24">
        <v>81175</v>
      </c>
      <c r="AI276" s="24">
        <v>103804.5</v>
      </c>
      <c r="AJ276" s="32">
        <v>23.468446407443334</v>
      </c>
      <c r="AK276" s="32">
        <v>24.080691472471543</v>
      </c>
      <c r="AL276" s="32">
        <v>14.845394735958598</v>
      </c>
      <c r="AM276" s="32">
        <v>28.249294164358108</v>
      </c>
      <c r="AN276" s="32">
        <v>27.346979105106833</v>
      </c>
      <c r="AO276" s="32">
        <v>21.177543093323099</v>
      </c>
      <c r="AP276" s="19">
        <v>0.9944974005795606</v>
      </c>
      <c r="AQ276" s="19">
        <v>0.76618859518719351</v>
      </c>
      <c r="AR276" s="19">
        <v>1.2966404976485357</v>
      </c>
      <c r="AS276" s="19">
        <v>-7.9604947442588597E-3</v>
      </c>
      <c r="AT276" s="19">
        <v>-0.38422854366137604</v>
      </c>
      <c r="AU276" s="19">
        <v>0.37477853806846695</v>
      </c>
      <c r="AV276" s="19">
        <v>-0.20565004743035942</v>
      </c>
      <c r="AW276" s="19">
        <v>-0.45205276064452576</v>
      </c>
      <c r="AX276" s="19">
        <v>7.1027623832674025E-2</v>
      </c>
      <c r="AY276" s="19">
        <v>-1.0055330455536964</v>
      </c>
      <c r="AZ276" s="19">
        <v>-1.305161687711734</v>
      </c>
      <c r="BA276" s="19">
        <v>1.2966404976485357</v>
      </c>
      <c r="BB276" s="19">
        <v>-1.1532058395615712</v>
      </c>
      <c r="BC276" s="19">
        <v>-1.3679853314315198</v>
      </c>
      <c r="BD276" s="19">
        <v>1.0504646574659875</v>
      </c>
      <c r="BE276" s="14" t="s">
        <v>4857</v>
      </c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s="30" customFormat="1" ht="17.100000000000001" customHeight="1">
      <c r="A277" s="14">
        <v>266</v>
      </c>
      <c r="B277" s="14" t="s">
        <v>3389</v>
      </c>
      <c r="C277" s="32">
        <v>1.1622704143248397</v>
      </c>
      <c r="D277" s="32">
        <v>1.3463163006129693</v>
      </c>
      <c r="E277" s="32">
        <v>1.0449121605844647</v>
      </c>
      <c r="F277" s="24">
        <v>266034</v>
      </c>
      <c r="G277" s="52" t="s">
        <v>2</v>
      </c>
      <c r="H277" s="32">
        <v>35.713839804460214</v>
      </c>
      <c r="I277" s="32">
        <v>16.55682050216981</v>
      </c>
      <c r="J277" s="12" t="s">
        <v>3378</v>
      </c>
      <c r="K277" s="15" t="s">
        <v>3379</v>
      </c>
      <c r="L277" s="14" t="s">
        <v>5277</v>
      </c>
      <c r="M277" s="12" t="s">
        <v>3380</v>
      </c>
      <c r="N277" s="15" t="s">
        <v>3381</v>
      </c>
      <c r="O277" s="12" t="s">
        <v>3382</v>
      </c>
      <c r="P277" s="12" t="s">
        <v>3390</v>
      </c>
      <c r="Q277" s="14">
        <v>3</v>
      </c>
      <c r="R277" s="21">
        <v>549.61770000000001</v>
      </c>
      <c r="S277" s="14">
        <v>1</v>
      </c>
      <c r="T277" s="52" t="s">
        <v>2</v>
      </c>
      <c r="U277" s="53">
        <v>39.086800000000004</v>
      </c>
      <c r="V277" s="24">
        <v>121622</v>
      </c>
      <c r="W277" s="24">
        <v>106255</v>
      </c>
      <c r="X277" s="24">
        <v>182114</v>
      </c>
      <c r="Y277" s="24">
        <v>230410</v>
      </c>
      <c r="Z277" s="24">
        <v>155345</v>
      </c>
      <c r="AA277" s="24">
        <v>166217</v>
      </c>
      <c r="AB277" s="24">
        <v>247980</v>
      </c>
      <c r="AC277" s="24">
        <v>284088</v>
      </c>
      <c r="AD277" s="24">
        <v>160100.25</v>
      </c>
      <c r="AE277" s="24">
        <v>213407.5</v>
      </c>
      <c r="AF277" s="24">
        <v>113938.5</v>
      </c>
      <c r="AG277" s="24">
        <v>206262</v>
      </c>
      <c r="AH277" s="24">
        <v>160781</v>
      </c>
      <c r="AI277" s="24">
        <v>266034</v>
      </c>
      <c r="AJ277" s="32">
        <v>35.713839804460214</v>
      </c>
      <c r="AK277" s="32">
        <v>29.374578374522955</v>
      </c>
      <c r="AL277" s="32">
        <v>9.5368202201131975</v>
      </c>
      <c r="AM277" s="32">
        <v>16.55682050216981</v>
      </c>
      <c r="AN277" s="32">
        <v>4.7814511198836582</v>
      </c>
      <c r="AO277" s="32">
        <v>9.597349081351954</v>
      </c>
      <c r="AP277" s="19">
        <v>1.3329616911903635</v>
      </c>
      <c r="AQ277" s="19">
        <v>1.411120911719919</v>
      </c>
      <c r="AR277" s="19">
        <v>1.2897867760421211</v>
      </c>
      <c r="AS277" s="19">
        <v>0.41463531851850877</v>
      </c>
      <c r="AT277" s="19">
        <v>0.49684161037679181</v>
      </c>
      <c r="AU277" s="19">
        <v>0.36713258303423912</v>
      </c>
      <c r="AV277" s="19">
        <v>0.21694576583240821</v>
      </c>
      <c r="AW277" s="19">
        <v>0.42901739339364209</v>
      </c>
      <c r="AX277" s="19">
        <v>6.33816687984462E-2</v>
      </c>
      <c r="AY277" s="19">
        <v>1.3329616911903635</v>
      </c>
      <c r="AZ277" s="19">
        <v>1.411120911719919</v>
      </c>
      <c r="BA277" s="19">
        <v>1.2897867760421211</v>
      </c>
      <c r="BB277" s="19">
        <v>1.1622704143248397</v>
      </c>
      <c r="BC277" s="19">
        <v>1.3463163006129693</v>
      </c>
      <c r="BD277" s="19">
        <v>1.0449121605844647</v>
      </c>
      <c r="BE277" s="14" t="s">
        <v>4857</v>
      </c>
    </row>
    <row r="278" spans="1:105" s="30" customFormat="1" ht="17.100000000000001" customHeight="1">
      <c r="A278" s="14">
        <v>267</v>
      </c>
      <c r="B278" s="14" t="s">
        <v>3391</v>
      </c>
      <c r="C278" s="32">
        <v>1.3605234892240612</v>
      </c>
      <c r="D278" s="32">
        <v>1.3236688571866713</v>
      </c>
      <c r="E278" s="32">
        <v>1.4033991551263059</v>
      </c>
      <c r="F278" s="24">
        <v>763809.5</v>
      </c>
      <c r="G278" s="52" t="s">
        <v>2</v>
      </c>
      <c r="H278" s="32">
        <v>17.553570103495062</v>
      </c>
      <c r="I278" s="32">
        <v>15.400415157938454</v>
      </c>
      <c r="J278" s="12" t="s">
        <v>3392</v>
      </c>
      <c r="K278" s="12" t="s">
        <v>3393</v>
      </c>
      <c r="L278" s="14" t="s">
        <v>3832</v>
      </c>
      <c r="M278" s="12" t="s">
        <v>3394</v>
      </c>
      <c r="N278" s="15" t="s">
        <v>3395</v>
      </c>
      <c r="O278" s="12" t="s">
        <v>3396</v>
      </c>
      <c r="P278" s="12" t="s">
        <v>3397</v>
      </c>
      <c r="Q278" s="14">
        <v>3</v>
      </c>
      <c r="R278" s="21">
        <v>789.41139999999996</v>
      </c>
      <c r="S278" s="14">
        <v>8</v>
      </c>
      <c r="T278" s="52" t="s">
        <v>2</v>
      </c>
      <c r="U278" s="53">
        <v>74.818399999999997</v>
      </c>
      <c r="V278" s="24">
        <v>427551</v>
      </c>
      <c r="W278" s="24">
        <v>449242</v>
      </c>
      <c r="X278" s="24">
        <v>418076</v>
      </c>
      <c r="Y278" s="24">
        <v>463776</v>
      </c>
      <c r="Z278" s="24">
        <v>674458</v>
      </c>
      <c r="AA278" s="24">
        <v>541990</v>
      </c>
      <c r="AB278" s="24">
        <v>691275</v>
      </c>
      <c r="AC278" s="24">
        <v>836344</v>
      </c>
      <c r="AD278" s="24">
        <v>439661.25</v>
      </c>
      <c r="AE278" s="24">
        <v>686016.75</v>
      </c>
      <c r="AF278" s="24">
        <v>438396.5</v>
      </c>
      <c r="AG278" s="24">
        <v>440926</v>
      </c>
      <c r="AH278" s="24">
        <v>608224</v>
      </c>
      <c r="AI278" s="24">
        <v>763809.5</v>
      </c>
      <c r="AJ278" s="32">
        <v>4.7089449908373142</v>
      </c>
      <c r="AK278" s="32">
        <v>17.553570103495062</v>
      </c>
      <c r="AL278" s="32">
        <v>3.4986258308899369</v>
      </c>
      <c r="AM278" s="32">
        <v>7.3288442732397776</v>
      </c>
      <c r="AN278" s="32">
        <v>15.400415157938454</v>
      </c>
      <c r="AO278" s="32">
        <v>13.42995519693736</v>
      </c>
      <c r="AP278" s="19">
        <v>1.56033025425825</v>
      </c>
      <c r="AQ278" s="19">
        <v>1.3873833390549424</v>
      </c>
      <c r="AR278" s="19">
        <v>1.732285009275933</v>
      </c>
      <c r="AS278" s="19">
        <v>0.64185141739168705</v>
      </c>
      <c r="AT278" s="19">
        <v>0.472366464621025</v>
      </c>
      <c r="AU278" s="19">
        <v>0.79267631322960419</v>
      </c>
      <c r="AV278" s="19">
        <v>0.4441618647055865</v>
      </c>
      <c r="AW278" s="19">
        <v>0.40454224763787527</v>
      </c>
      <c r="AX278" s="19">
        <v>0.48892539899381127</v>
      </c>
      <c r="AY278" s="19">
        <v>1.56033025425825</v>
      </c>
      <c r="AZ278" s="19">
        <v>1.3873833390549424</v>
      </c>
      <c r="BA278" s="19">
        <v>1.732285009275933</v>
      </c>
      <c r="BB278" s="19">
        <v>1.3605234892240612</v>
      </c>
      <c r="BC278" s="19">
        <v>1.3236688571866713</v>
      </c>
      <c r="BD278" s="19">
        <v>1.4033991551263059</v>
      </c>
      <c r="BE278" s="14" t="s">
        <v>4857</v>
      </c>
    </row>
    <row r="279" spans="1:105" s="30" customFormat="1" ht="17.100000000000001" customHeight="1">
      <c r="A279" s="14">
        <v>268</v>
      </c>
      <c r="B279" s="14" t="s">
        <v>3398</v>
      </c>
      <c r="C279" s="32">
        <v>-1.0445071759992475</v>
      </c>
      <c r="D279" s="32">
        <v>1.2263773630690373</v>
      </c>
      <c r="E279" s="32">
        <v>-1.3062772225311365</v>
      </c>
      <c r="F279" s="24">
        <v>2061410</v>
      </c>
      <c r="G279" s="52" t="s">
        <v>2</v>
      </c>
      <c r="H279" s="32">
        <v>18.613077803098175</v>
      </c>
      <c r="I279" s="32">
        <v>22.06466839165374</v>
      </c>
      <c r="J279" s="12" t="s">
        <v>3258</v>
      </c>
      <c r="K279" s="15" t="s">
        <v>3259</v>
      </c>
      <c r="L279" s="14" t="s">
        <v>3260</v>
      </c>
      <c r="M279" s="12" t="s">
        <v>3261</v>
      </c>
      <c r="N279" s="15" t="s">
        <v>3262</v>
      </c>
      <c r="O279" s="12" t="s">
        <v>3263</v>
      </c>
      <c r="P279" s="12" t="s">
        <v>3265</v>
      </c>
      <c r="Q279" s="14">
        <v>2</v>
      </c>
      <c r="R279" s="21">
        <v>715.91629999999998</v>
      </c>
      <c r="S279" s="14">
        <v>11</v>
      </c>
      <c r="T279" s="52" t="s">
        <v>2</v>
      </c>
      <c r="U279" s="53">
        <v>62.868350000000007</v>
      </c>
      <c r="V279" s="24">
        <v>1522130</v>
      </c>
      <c r="W279" s="24">
        <v>1685270</v>
      </c>
      <c r="X279" s="24">
        <v>1657360</v>
      </c>
      <c r="Y279" s="24">
        <v>2270130</v>
      </c>
      <c r="Z279" s="24">
        <v>2139480</v>
      </c>
      <c r="AA279" s="24">
        <v>1983340</v>
      </c>
      <c r="AB279" s="24">
        <v>1960030</v>
      </c>
      <c r="AC279" s="24">
        <v>1751200</v>
      </c>
      <c r="AD279" s="24">
        <v>1783722.5</v>
      </c>
      <c r="AE279" s="24">
        <v>1958512.5</v>
      </c>
      <c r="AF279" s="24">
        <v>1603700</v>
      </c>
      <c r="AG279" s="24">
        <v>1963745</v>
      </c>
      <c r="AH279" s="24">
        <v>2061410</v>
      </c>
      <c r="AI279" s="24">
        <v>1855615</v>
      </c>
      <c r="AJ279" s="32">
        <v>18.613077803098175</v>
      </c>
      <c r="AK279" s="32">
        <v>8.1453050342884978</v>
      </c>
      <c r="AL279" s="32">
        <v>7.1932032351919544</v>
      </c>
      <c r="AM279" s="32">
        <v>22.06466839165374</v>
      </c>
      <c r="AN279" s="32">
        <v>5.3559288455216345</v>
      </c>
      <c r="AO279" s="32">
        <v>7.9577449586895304</v>
      </c>
      <c r="AP279" s="19">
        <v>1.0979916999421155</v>
      </c>
      <c r="AQ279" s="19">
        <v>1.2854087422834695</v>
      </c>
      <c r="AR279" s="19">
        <v>0.94493684261449429</v>
      </c>
      <c r="AS279" s="19">
        <v>0.13486714860758503</v>
      </c>
      <c r="AT279" s="19">
        <v>0.36222718953487243</v>
      </c>
      <c r="AU279" s="19">
        <v>-8.1710188719594956E-2</v>
      </c>
      <c r="AV279" s="19">
        <v>-6.2822404078515526E-2</v>
      </c>
      <c r="AW279" s="19">
        <v>0.29440297255172271</v>
      </c>
      <c r="AX279" s="19">
        <v>-0.38546110295538788</v>
      </c>
      <c r="AY279" s="19">
        <v>1.0979916999421155</v>
      </c>
      <c r="AZ279" s="19">
        <v>1.2854087422834695</v>
      </c>
      <c r="BA279" s="19">
        <v>-1.0582717859038646</v>
      </c>
      <c r="BB279" s="19">
        <v>-1.0445071759992475</v>
      </c>
      <c r="BC279" s="19">
        <v>1.2263773630690373</v>
      </c>
      <c r="BD279" s="19">
        <v>-1.3062772225311365</v>
      </c>
      <c r="BE279" s="14" t="s">
        <v>4857</v>
      </c>
    </row>
    <row r="280" spans="1:105" s="30" customFormat="1" ht="17.100000000000001" customHeight="1">
      <c r="A280" s="14">
        <v>269</v>
      </c>
      <c r="B280" s="14" t="s">
        <v>3267</v>
      </c>
      <c r="C280" s="32">
        <v>-1.2946831491049784</v>
      </c>
      <c r="D280" s="32">
        <v>-1.5349113523660058</v>
      </c>
      <c r="E280" s="32">
        <v>-1.1476334267641126</v>
      </c>
      <c r="F280" s="24">
        <v>52411</v>
      </c>
      <c r="G280" s="52" t="s">
        <v>2</v>
      </c>
      <c r="H280" s="32">
        <v>29.570531279494112</v>
      </c>
      <c r="I280" s="32">
        <v>33.456574005288516</v>
      </c>
      <c r="J280" s="12" t="s">
        <v>3268</v>
      </c>
      <c r="K280" s="15" t="s">
        <v>3269</v>
      </c>
      <c r="L280" s="14" t="s">
        <v>3270</v>
      </c>
      <c r="M280" s="12" t="s">
        <v>3271</v>
      </c>
      <c r="N280" s="15" t="s">
        <v>3272</v>
      </c>
      <c r="O280" s="12" t="s">
        <v>3273</v>
      </c>
      <c r="P280" s="12" t="s">
        <v>3275</v>
      </c>
      <c r="Q280" s="14">
        <v>3</v>
      </c>
      <c r="R280" s="21">
        <v>867.08429999999998</v>
      </c>
      <c r="S280" s="14">
        <v>13</v>
      </c>
      <c r="T280" s="52" t="s">
        <v>2</v>
      </c>
      <c r="U280" s="53">
        <v>32.580762499999999</v>
      </c>
      <c r="V280" s="24">
        <v>40242</v>
      </c>
      <c r="W280" s="24">
        <v>50867</v>
      </c>
      <c r="X280" s="24">
        <v>60257</v>
      </c>
      <c r="Y280" s="24">
        <v>37201</v>
      </c>
      <c r="Z280" s="24">
        <v>32305</v>
      </c>
      <c r="AA280" s="24">
        <v>29910</v>
      </c>
      <c r="AB280" s="24">
        <v>51801</v>
      </c>
      <c r="AC280" s="24">
        <v>53021</v>
      </c>
      <c r="AD280" s="24">
        <v>47141.75</v>
      </c>
      <c r="AE280" s="24">
        <v>41759.25</v>
      </c>
      <c r="AF280" s="24">
        <v>45554.5</v>
      </c>
      <c r="AG280" s="24">
        <v>48729</v>
      </c>
      <c r="AH280" s="24">
        <v>31107.5</v>
      </c>
      <c r="AI280" s="24">
        <v>52411</v>
      </c>
      <c r="AJ280" s="32">
        <v>22.325793346094734</v>
      </c>
      <c r="AK280" s="32">
        <v>29.570531279494112</v>
      </c>
      <c r="AL280" s="32">
        <v>16.492354323079098</v>
      </c>
      <c r="AM280" s="32">
        <v>33.456574005288516</v>
      </c>
      <c r="AN280" s="32">
        <v>5.4440914279250379</v>
      </c>
      <c r="AO280" s="32">
        <v>1.6459717865478392</v>
      </c>
      <c r="AP280" s="19">
        <v>0.88582307614800049</v>
      </c>
      <c r="AQ280" s="19">
        <v>0.68286338341985975</v>
      </c>
      <c r="AR280" s="19">
        <v>1.0755607543762442</v>
      </c>
      <c r="AS280" s="19">
        <v>-0.17490951422470599</v>
      </c>
      <c r="AT280" s="19">
        <v>-0.55033111926701728</v>
      </c>
      <c r="AU280" s="19">
        <v>0.10508901947205056</v>
      </c>
      <c r="AV280" s="19">
        <v>-0.37259906691080658</v>
      </c>
      <c r="AW280" s="19">
        <v>-0.61815533625016694</v>
      </c>
      <c r="AX280" s="19">
        <v>-0.19866189476374235</v>
      </c>
      <c r="AY280" s="19">
        <v>-1.1288935984243011</v>
      </c>
      <c r="AZ280" s="19">
        <v>-1.464421763240376</v>
      </c>
      <c r="BA280" s="19">
        <v>1.0755607543762442</v>
      </c>
      <c r="BB280" s="19">
        <v>-1.2946831491049784</v>
      </c>
      <c r="BC280" s="19">
        <v>-1.5349113523660058</v>
      </c>
      <c r="BD280" s="19">
        <v>-1.1476334267641126</v>
      </c>
      <c r="BE280" s="14" t="s">
        <v>4857</v>
      </c>
    </row>
    <row r="281" spans="1:105" s="30" customFormat="1" ht="17.100000000000001" customHeight="1">
      <c r="A281" s="14">
        <v>270</v>
      </c>
      <c r="B281" s="14" t="s">
        <v>3278</v>
      </c>
      <c r="C281" s="32">
        <v>1.0705498372820963</v>
      </c>
      <c r="D281" s="32">
        <v>-1.0239841888348162</v>
      </c>
      <c r="E281" s="32">
        <v>1.1713407417361743</v>
      </c>
      <c r="F281" s="24">
        <v>57400</v>
      </c>
      <c r="G281" s="52" t="s">
        <v>2</v>
      </c>
      <c r="H281" s="32">
        <v>22.35880175208483</v>
      </c>
      <c r="I281" s="32">
        <v>22.15818484824204</v>
      </c>
      <c r="J281" s="12" t="s">
        <v>3268</v>
      </c>
      <c r="K281" s="15" t="s">
        <v>3269</v>
      </c>
      <c r="L281" s="14" t="s">
        <v>3279</v>
      </c>
      <c r="M281" s="12" t="s">
        <v>3271</v>
      </c>
      <c r="N281" s="15" t="s">
        <v>3272</v>
      </c>
      <c r="O281" s="12" t="s">
        <v>3273</v>
      </c>
      <c r="P281" s="12" t="s">
        <v>3280</v>
      </c>
      <c r="Q281" s="14">
        <v>3</v>
      </c>
      <c r="R281" s="21">
        <v>858.0806</v>
      </c>
      <c r="S281" s="14">
        <v>10</v>
      </c>
      <c r="T281" s="52" t="s">
        <v>2</v>
      </c>
      <c r="U281" s="53">
        <v>32.797499999999999</v>
      </c>
      <c r="V281" s="24">
        <v>46300</v>
      </c>
      <c r="W281" s="24">
        <v>38500</v>
      </c>
      <c r="X281" s="24">
        <v>37700</v>
      </c>
      <c r="Y281" s="24">
        <v>41700</v>
      </c>
      <c r="Z281" s="24">
        <v>50200</v>
      </c>
      <c r="AA281" s="24">
        <v>36600</v>
      </c>
      <c r="AB281" s="24">
        <v>50600</v>
      </c>
      <c r="AC281" s="24">
        <v>64200</v>
      </c>
      <c r="AD281" s="24">
        <v>41050</v>
      </c>
      <c r="AE281" s="24">
        <v>50400</v>
      </c>
      <c r="AF281" s="24">
        <v>42400</v>
      </c>
      <c r="AG281" s="24">
        <v>39700</v>
      </c>
      <c r="AH281" s="24">
        <v>43400</v>
      </c>
      <c r="AI281" s="24">
        <v>57400</v>
      </c>
      <c r="AJ281" s="32">
        <v>9.5089337545472112</v>
      </c>
      <c r="AK281" s="32">
        <v>22.35880175208483</v>
      </c>
      <c r="AL281" s="32">
        <v>13.008096446356298</v>
      </c>
      <c r="AM281" s="32">
        <v>7.1245015736679846</v>
      </c>
      <c r="AN281" s="32">
        <v>22.15818484824204</v>
      </c>
      <c r="AO281" s="32">
        <v>16.753749519402518</v>
      </c>
      <c r="AP281" s="19">
        <v>1.2277710109622411</v>
      </c>
      <c r="AQ281" s="19">
        <v>1.0235849056603774</v>
      </c>
      <c r="AR281" s="19">
        <v>1.4458438287153652</v>
      </c>
      <c r="AS281" s="19">
        <v>0.29604151172211157</v>
      </c>
      <c r="AT281" s="19">
        <v>3.3630777881280209E-2</v>
      </c>
      <c r="AU281" s="19">
        <v>0.53191172953273003</v>
      </c>
      <c r="AV281" s="19">
        <v>9.8351959036011016E-2</v>
      </c>
      <c r="AW281" s="19">
        <v>-3.4193439101869498E-2</v>
      </c>
      <c r="AX281" s="19">
        <v>0.2281608152969371</v>
      </c>
      <c r="AY281" s="19">
        <v>1.2277710109622411</v>
      </c>
      <c r="AZ281" s="19">
        <v>1.0235849056603774</v>
      </c>
      <c r="BA281" s="19">
        <v>1.4458438287153652</v>
      </c>
      <c r="BB281" s="19">
        <v>1.0705498372820963</v>
      </c>
      <c r="BC281" s="19">
        <v>-1.0239841888348162</v>
      </c>
      <c r="BD281" s="19">
        <v>1.1713407417361743</v>
      </c>
      <c r="BE281" s="14" t="s">
        <v>4857</v>
      </c>
    </row>
    <row r="282" spans="1:105" ht="17.100000000000001" customHeight="1">
      <c r="A282" s="14">
        <v>271</v>
      </c>
      <c r="B282" s="14" t="s">
        <v>3282</v>
      </c>
      <c r="C282" s="32">
        <v>-1.0723378295248749</v>
      </c>
      <c r="D282" s="32">
        <v>-1.2269054075290371</v>
      </c>
      <c r="E282" s="32">
        <v>1.0793136229993296</v>
      </c>
      <c r="F282" s="24">
        <v>8200</v>
      </c>
      <c r="G282" s="52" t="s">
        <v>2</v>
      </c>
      <c r="H282" s="32">
        <v>28.856628289045471</v>
      </c>
      <c r="I282" s="32">
        <v>41.68307439329881</v>
      </c>
      <c r="J282" s="12" t="s">
        <v>3268</v>
      </c>
      <c r="K282" s="15" t="s">
        <v>3269</v>
      </c>
      <c r="L282" s="14" t="s">
        <v>3283</v>
      </c>
      <c r="M282" s="12" t="s">
        <v>3271</v>
      </c>
      <c r="N282" s="15" t="s">
        <v>3272</v>
      </c>
      <c r="O282" s="12" t="s">
        <v>3273</v>
      </c>
      <c r="P282" s="12" t="s">
        <v>3284</v>
      </c>
      <c r="Q282" s="14">
        <v>2</v>
      </c>
      <c r="R282" s="21">
        <v>664.84590000000003</v>
      </c>
      <c r="S282" s="14">
        <v>1</v>
      </c>
      <c r="T282" s="52" t="s">
        <v>2</v>
      </c>
      <c r="U282" s="53">
        <v>24.3</v>
      </c>
      <c r="V282" s="24">
        <v>9730</v>
      </c>
      <c r="W282" s="24">
        <v>5300</v>
      </c>
      <c r="X282" s="24">
        <v>6090</v>
      </c>
      <c r="Y282" s="24">
        <v>6220</v>
      </c>
      <c r="Z282" s="24">
        <v>5810</v>
      </c>
      <c r="AA282" s="24">
        <v>7030</v>
      </c>
      <c r="AB282" s="24">
        <v>9210</v>
      </c>
      <c r="AC282" s="24">
        <v>7190</v>
      </c>
      <c r="AD282" s="24">
        <v>6835</v>
      </c>
      <c r="AE282" s="24">
        <v>7310</v>
      </c>
      <c r="AF282" s="24">
        <v>7515</v>
      </c>
      <c r="AG282" s="24">
        <v>6155</v>
      </c>
      <c r="AH282" s="24">
        <v>6420</v>
      </c>
      <c r="AI282" s="24">
        <v>8200</v>
      </c>
      <c r="AJ282" s="32">
        <v>28.856628289045471</v>
      </c>
      <c r="AK282" s="32">
        <v>19.270041122542441</v>
      </c>
      <c r="AL282" s="32">
        <v>41.68307439329881</v>
      </c>
      <c r="AM282" s="32">
        <v>1.4934830471852345</v>
      </c>
      <c r="AN282" s="32">
        <v>13.437231667407911</v>
      </c>
      <c r="AO282" s="32">
        <v>17.418971926790562</v>
      </c>
      <c r="AP282" s="19">
        <v>1.06949524506218</v>
      </c>
      <c r="AQ282" s="19">
        <v>0.8542914171656687</v>
      </c>
      <c r="AR282" s="19">
        <v>1.3322502030869212</v>
      </c>
      <c r="AS282" s="19">
        <v>9.6930068346377365E-2</v>
      </c>
      <c r="AT282" s="19">
        <v>-0.2271998067940614</v>
      </c>
      <c r="AU282" s="19">
        <v>0.41386505302098875</v>
      </c>
      <c r="AV282" s="19">
        <v>-0.10075948433972319</v>
      </c>
      <c r="AW282" s="19">
        <v>-0.2950240237772111</v>
      </c>
      <c r="AX282" s="19">
        <v>0.11011413878519583</v>
      </c>
      <c r="AY282" s="19">
        <v>1.06949524506218</v>
      </c>
      <c r="AZ282" s="19">
        <v>-1.1705607476635513</v>
      </c>
      <c r="BA282" s="19">
        <v>1.3322502030869212</v>
      </c>
      <c r="BB282" s="19">
        <v>-1.0723378295248749</v>
      </c>
      <c r="BC282" s="19">
        <v>-1.2269054075290371</v>
      </c>
      <c r="BD282" s="19">
        <v>1.0793136229993296</v>
      </c>
      <c r="BE282" s="14" t="s">
        <v>4857</v>
      </c>
    </row>
    <row r="283" spans="1:105" s="30" customFormat="1" ht="17.100000000000001" customHeight="1">
      <c r="A283" s="14">
        <v>272</v>
      </c>
      <c r="B283" s="14" t="s">
        <v>4493</v>
      </c>
      <c r="C283" s="32">
        <v>1.1265035722855481</v>
      </c>
      <c r="D283" s="32">
        <v>1.2056063670196331</v>
      </c>
      <c r="E283" s="32">
        <v>1.0669233757388601</v>
      </c>
      <c r="F283" s="42">
        <v>40670167</v>
      </c>
      <c r="G283" s="52" t="s">
        <v>4894</v>
      </c>
      <c r="H283" s="32">
        <v>9.6146881139017211</v>
      </c>
      <c r="I283" s="32">
        <v>5.9995068562628138</v>
      </c>
      <c r="J283" s="12" t="s">
        <v>3285</v>
      </c>
      <c r="K283" s="12" t="s">
        <v>3286</v>
      </c>
      <c r="L283" s="14" t="s">
        <v>3287</v>
      </c>
      <c r="M283" s="12" t="s">
        <v>3288</v>
      </c>
      <c r="N283" s="15" t="s">
        <v>3289</v>
      </c>
      <c r="O283" s="12" t="s">
        <v>3290</v>
      </c>
      <c r="P283" s="12" t="s">
        <v>3291</v>
      </c>
      <c r="Q283" s="14">
        <v>2</v>
      </c>
      <c r="R283" s="21">
        <v>430.7636</v>
      </c>
      <c r="S283" s="14">
        <v>1</v>
      </c>
      <c r="T283" s="52" t="s">
        <v>4894</v>
      </c>
      <c r="U283" s="53">
        <v>41.7</v>
      </c>
      <c r="V283" s="42">
        <v>28450130</v>
      </c>
      <c r="W283" s="42">
        <v>26134491</v>
      </c>
      <c r="X283" s="42">
        <v>30617727</v>
      </c>
      <c r="Y283" s="42">
        <v>31146155</v>
      </c>
      <c r="Z283" s="42">
        <v>34817327</v>
      </c>
      <c r="AA283" s="42">
        <v>34157871</v>
      </c>
      <c r="AB283" s="42">
        <v>41270884</v>
      </c>
      <c r="AC283" s="42">
        <v>40069450</v>
      </c>
      <c r="AD283" s="42">
        <v>29087125.75</v>
      </c>
      <c r="AE283" s="42">
        <v>37578883</v>
      </c>
      <c r="AF283" s="42">
        <v>27292310.5</v>
      </c>
      <c r="AG283" s="42">
        <v>30881941</v>
      </c>
      <c r="AH283" s="42">
        <v>34487599</v>
      </c>
      <c r="AI283" s="42">
        <v>40670167</v>
      </c>
      <c r="AJ283" s="32">
        <v>7.8663548596332218</v>
      </c>
      <c r="AK283" s="32">
        <v>9.6146881139017211</v>
      </c>
      <c r="AL283" s="32">
        <v>5.9995068562628138</v>
      </c>
      <c r="AM283" s="32">
        <v>1.2099466875117886</v>
      </c>
      <c r="AN283" s="32">
        <v>1.3520970523177211</v>
      </c>
      <c r="AO283" s="32">
        <v>2.088858225116407</v>
      </c>
      <c r="AP283" s="19">
        <v>1.291942123226115</v>
      </c>
      <c r="AQ283" s="19">
        <v>1.2636379393382615</v>
      </c>
      <c r="AR283" s="19">
        <v>1.3169563078952842</v>
      </c>
      <c r="AS283" s="19">
        <v>0.36954144123544963</v>
      </c>
      <c r="AT283" s="19">
        <v>0.3375831581783344</v>
      </c>
      <c r="AU283" s="19">
        <v>0.39720748270268808</v>
      </c>
      <c r="AV283" s="19">
        <v>0.17185188854934907</v>
      </c>
      <c r="AW283" s="19">
        <v>0.26975894119518468</v>
      </c>
      <c r="AX283" s="19">
        <v>9.3456568466895151E-2</v>
      </c>
      <c r="AY283" s="19">
        <v>1.291942123226115</v>
      </c>
      <c r="AZ283" s="19">
        <v>1.2636379393382615</v>
      </c>
      <c r="BA283" s="19">
        <v>1.3169563078952842</v>
      </c>
      <c r="BB283" s="19">
        <v>1.1265035722855481</v>
      </c>
      <c r="BC283" s="19">
        <v>1.2056063670196331</v>
      </c>
      <c r="BD283" s="19">
        <v>1.0669233757388601</v>
      </c>
      <c r="BE283" s="14" t="s">
        <v>4857</v>
      </c>
    </row>
    <row r="284" spans="1:105" s="30" customFormat="1" ht="17.100000000000001" customHeight="1">
      <c r="A284" s="14">
        <v>273</v>
      </c>
      <c r="B284" s="14" t="s">
        <v>3292</v>
      </c>
      <c r="C284" s="32">
        <v>-1.2965340877254625</v>
      </c>
      <c r="D284" s="32">
        <v>-1.2198402765484226</v>
      </c>
      <c r="E284" s="32">
        <v>-1.3553446763174926</v>
      </c>
      <c r="F284" s="24">
        <v>38125</v>
      </c>
      <c r="G284" s="52" t="s">
        <v>2</v>
      </c>
      <c r="H284" s="32">
        <v>17.239236353407385</v>
      </c>
      <c r="I284" s="32">
        <v>28.617681124642203</v>
      </c>
      <c r="J284" s="12" t="s">
        <v>3293</v>
      </c>
      <c r="K284" s="15" t="s">
        <v>3294</v>
      </c>
      <c r="L284" s="14" t="s">
        <v>4340</v>
      </c>
      <c r="M284" s="12" t="s">
        <v>3295</v>
      </c>
      <c r="N284" s="15" t="s">
        <v>3296</v>
      </c>
      <c r="O284" s="12" t="s">
        <v>3297</v>
      </c>
      <c r="P284" s="12" t="s">
        <v>3298</v>
      </c>
      <c r="Q284" s="14">
        <v>2</v>
      </c>
      <c r="R284" s="21">
        <v>704.35940000000005</v>
      </c>
      <c r="S284" s="14">
        <v>6</v>
      </c>
      <c r="T284" s="52" t="s">
        <v>2</v>
      </c>
      <c r="U284" s="53">
        <v>37.546525000000003</v>
      </c>
      <c r="V284" s="24">
        <v>41450</v>
      </c>
      <c r="W284" s="24">
        <v>34800</v>
      </c>
      <c r="X284" s="24">
        <v>37304</v>
      </c>
      <c r="Y284" s="24">
        <v>36470</v>
      </c>
      <c r="Z284" s="24">
        <v>31176</v>
      </c>
      <c r="AA284" s="24">
        <v>34341</v>
      </c>
      <c r="AB284" s="24">
        <v>26796</v>
      </c>
      <c r="AC284" s="24">
        <v>40392</v>
      </c>
      <c r="AD284" s="24">
        <v>37506</v>
      </c>
      <c r="AE284" s="24">
        <v>33176.25</v>
      </c>
      <c r="AF284" s="24">
        <v>38125</v>
      </c>
      <c r="AG284" s="24">
        <v>36887</v>
      </c>
      <c r="AH284" s="24">
        <v>32758.5</v>
      </c>
      <c r="AI284" s="24">
        <v>33594</v>
      </c>
      <c r="AJ284" s="32">
        <v>7.539957207011275</v>
      </c>
      <c r="AK284" s="32">
        <v>17.239236353407385</v>
      </c>
      <c r="AL284" s="32">
        <v>12.333796970204698</v>
      </c>
      <c r="AM284" s="32">
        <v>1.5987395437676706</v>
      </c>
      <c r="AN284" s="32">
        <v>6.8317931604176723</v>
      </c>
      <c r="AO284" s="32">
        <v>28.617681124642203</v>
      </c>
      <c r="AP284" s="19">
        <v>0.88455847064469684</v>
      </c>
      <c r="AQ284" s="19">
        <v>0.85923934426229509</v>
      </c>
      <c r="AR284" s="19">
        <v>0.91072735652126768</v>
      </c>
      <c r="AS284" s="19">
        <v>-0.17697058450857167</v>
      </c>
      <c r="AT284" s="19">
        <v>-0.21886803956155762</v>
      </c>
      <c r="AU284" s="19">
        <v>-0.13490887430232015</v>
      </c>
      <c r="AV284" s="19">
        <v>-0.37466013719467223</v>
      </c>
      <c r="AW284" s="19">
        <v>-0.28669225654470731</v>
      </c>
      <c r="AX284" s="19">
        <v>-0.43865978853811305</v>
      </c>
      <c r="AY284" s="19">
        <v>-1.1305075166723184</v>
      </c>
      <c r="AZ284" s="19">
        <v>-1.1638200772318634</v>
      </c>
      <c r="BA284" s="19">
        <v>-1.0980234565696254</v>
      </c>
      <c r="BB284" s="19">
        <v>-1.2965340877254625</v>
      </c>
      <c r="BC284" s="19">
        <v>-1.2198402765484226</v>
      </c>
      <c r="BD284" s="19">
        <v>-1.3553446763174926</v>
      </c>
      <c r="BE284" s="14" t="s">
        <v>4857</v>
      </c>
    </row>
    <row r="285" spans="1:105" ht="17.100000000000001" customHeight="1">
      <c r="A285" s="14">
        <v>274</v>
      </c>
      <c r="B285" s="14" t="s">
        <v>3308</v>
      </c>
      <c r="C285" s="32">
        <v>-1.3063413246140418</v>
      </c>
      <c r="D285" s="32">
        <v>-1.2631262014500433</v>
      </c>
      <c r="E285" s="32">
        <v>-1.3247220967877418</v>
      </c>
      <c r="F285" s="24">
        <v>82811.5</v>
      </c>
      <c r="G285" s="52" t="s">
        <v>2</v>
      </c>
      <c r="H285" s="32">
        <v>21.394880001940781</v>
      </c>
      <c r="I285" s="32">
        <v>32.222684774019001</v>
      </c>
      <c r="J285" s="12" t="s">
        <v>3302</v>
      </c>
      <c r="K285" s="15" t="s">
        <v>3303</v>
      </c>
      <c r="L285" s="14" t="s">
        <v>5067</v>
      </c>
      <c r="M285" s="12" t="s">
        <v>3304</v>
      </c>
      <c r="N285" s="15" t="s">
        <v>3305</v>
      </c>
      <c r="O285" s="12" t="s">
        <v>3306</v>
      </c>
      <c r="P285" s="12" t="s">
        <v>3309</v>
      </c>
      <c r="Q285" s="14">
        <v>2</v>
      </c>
      <c r="R285" s="21">
        <v>602.80319999999995</v>
      </c>
      <c r="S285" s="14">
        <v>12</v>
      </c>
      <c r="T285" s="52" t="s">
        <v>2</v>
      </c>
      <c r="U285" s="53">
        <v>28.155362500000003</v>
      </c>
      <c r="V285" s="24">
        <v>63943</v>
      </c>
      <c r="W285" s="24">
        <v>101680</v>
      </c>
      <c r="X285" s="24">
        <v>68784</v>
      </c>
      <c r="Y285" s="24">
        <v>79193</v>
      </c>
      <c r="Z285" s="24">
        <v>69640</v>
      </c>
      <c r="AA285" s="24">
        <v>67793</v>
      </c>
      <c r="AB285" s="24">
        <v>70219</v>
      </c>
      <c r="AC285" s="24">
        <v>67663</v>
      </c>
      <c r="AD285" s="24">
        <v>78400</v>
      </c>
      <c r="AE285" s="24">
        <v>68828.75</v>
      </c>
      <c r="AF285" s="24">
        <v>82811.5</v>
      </c>
      <c r="AG285" s="24">
        <v>73988.5</v>
      </c>
      <c r="AH285" s="24">
        <v>68716.5</v>
      </c>
      <c r="AI285" s="24">
        <v>68941</v>
      </c>
      <c r="AJ285" s="32">
        <v>21.394880001940781</v>
      </c>
      <c r="AK285" s="32">
        <v>1.8799094527721525</v>
      </c>
      <c r="AL285" s="32">
        <v>32.222684774019001</v>
      </c>
      <c r="AM285" s="32">
        <v>9.9478628237777134</v>
      </c>
      <c r="AN285" s="32">
        <v>1.900600619722415</v>
      </c>
      <c r="AO285" s="32">
        <v>2.6216111351921434</v>
      </c>
      <c r="AP285" s="19">
        <v>0.87791772959183678</v>
      </c>
      <c r="AQ285" s="19">
        <v>0.82979417109942455</v>
      </c>
      <c r="AR285" s="19">
        <v>0.93177993877426901</v>
      </c>
      <c r="AS285" s="19">
        <v>-0.18784234495704447</v>
      </c>
      <c r="AT285" s="19">
        <v>-0.2691745718733759</v>
      </c>
      <c r="AU285" s="19">
        <v>-0.10193882533650306</v>
      </c>
      <c r="AV285" s="19">
        <v>-0.38553189764314499</v>
      </c>
      <c r="AW285" s="19">
        <v>-0.33699878885652562</v>
      </c>
      <c r="AX285" s="19">
        <v>-0.40568973957229598</v>
      </c>
      <c r="AY285" s="19">
        <v>-1.139058896173474</v>
      </c>
      <c r="AZ285" s="19">
        <v>-1.2051181302889409</v>
      </c>
      <c r="BA285" s="19">
        <v>-1.0732147778535268</v>
      </c>
      <c r="BB285" s="19">
        <v>-1.3063413246140418</v>
      </c>
      <c r="BC285" s="19">
        <v>-1.2631262014500433</v>
      </c>
      <c r="BD285" s="19">
        <v>-1.3247220967877418</v>
      </c>
      <c r="BE285" s="14" t="s">
        <v>4857</v>
      </c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s="30" customFormat="1" ht="17.100000000000001" customHeight="1">
      <c r="A286" s="14">
        <v>275</v>
      </c>
      <c r="B286" s="14" t="s">
        <v>3310</v>
      </c>
      <c r="C286" s="32">
        <v>1.0503969889267617</v>
      </c>
      <c r="D286" s="32">
        <v>1.2037687441974463</v>
      </c>
      <c r="E286" s="32">
        <v>-1.0774606765091499</v>
      </c>
      <c r="F286" s="24">
        <v>30056.5</v>
      </c>
      <c r="G286" s="52" t="s">
        <v>2</v>
      </c>
      <c r="H286" s="32">
        <v>20.128270389553219</v>
      </c>
      <c r="I286" s="32">
        <v>24.93936155742448</v>
      </c>
      <c r="J286" s="12" t="s">
        <v>3302</v>
      </c>
      <c r="K286" s="15" t="s">
        <v>3303</v>
      </c>
      <c r="L286" s="14" t="s">
        <v>4234</v>
      </c>
      <c r="M286" s="12" t="s">
        <v>3304</v>
      </c>
      <c r="N286" s="15" t="s">
        <v>3305</v>
      </c>
      <c r="O286" s="12" t="s">
        <v>3306</v>
      </c>
      <c r="P286" s="12" t="s">
        <v>3311</v>
      </c>
      <c r="Q286" s="14">
        <v>2</v>
      </c>
      <c r="R286" s="21">
        <v>795.84190000000001</v>
      </c>
      <c r="S286" s="14">
        <v>8</v>
      </c>
      <c r="T286" s="52" t="s">
        <v>2</v>
      </c>
      <c r="U286" s="53">
        <v>24.565750000000005</v>
      </c>
      <c r="V286" s="24">
        <v>27888</v>
      </c>
      <c r="W286" s="24">
        <v>19756</v>
      </c>
      <c r="X286" s="24">
        <v>18958</v>
      </c>
      <c r="Y286" s="24">
        <v>27076</v>
      </c>
      <c r="Z286" s="24">
        <v>32463</v>
      </c>
      <c r="AA286" s="24">
        <v>27650</v>
      </c>
      <c r="AB286" s="24">
        <v>24678</v>
      </c>
      <c r="AC286" s="24">
        <v>28059</v>
      </c>
      <c r="AD286" s="24">
        <v>23419.5</v>
      </c>
      <c r="AE286" s="24">
        <v>28212.5</v>
      </c>
      <c r="AF286" s="24">
        <v>23822</v>
      </c>
      <c r="AG286" s="24">
        <v>23017</v>
      </c>
      <c r="AH286" s="24">
        <v>30056.5</v>
      </c>
      <c r="AI286" s="24">
        <v>26368.5</v>
      </c>
      <c r="AJ286" s="32">
        <v>20.128270389553219</v>
      </c>
      <c r="AK286" s="32">
        <v>11.3755626603972</v>
      </c>
      <c r="AL286" s="32">
        <v>24.138159451805073</v>
      </c>
      <c r="AM286" s="32">
        <v>24.93936155742448</v>
      </c>
      <c r="AN286" s="32">
        <v>11.323024762866114</v>
      </c>
      <c r="AO286" s="32">
        <v>9.0666060913275963</v>
      </c>
      <c r="AP286" s="19">
        <v>1.2046585110698349</v>
      </c>
      <c r="AQ286" s="19">
        <v>1.2617118629837965</v>
      </c>
      <c r="AR286" s="19">
        <v>1.1456097666941825</v>
      </c>
      <c r="AS286" s="19">
        <v>0.26862423839867827</v>
      </c>
      <c r="AT286" s="19">
        <v>0.33538247980798808</v>
      </c>
      <c r="AU286" s="19">
        <v>0.19611569720956987</v>
      </c>
      <c r="AV286" s="19">
        <v>7.0934685712577716E-2</v>
      </c>
      <c r="AW286" s="19">
        <v>0.26755826282483836</v>
      </c>
      <c r="AX286" s="19">
        <v>-0.10763521702622306</v>
      </c>
      <c r="AY286" s="19">
        <v>1.2046585110698349</v>
      </c>
      <c r="AZ286" s="19">
        <v>1.2617118629837965</v>
      </c>
      <c r="BA286" s="19">
        <v>1.1456097666941825</v>
      </c>
      <c r="BB286" s="19">
        <v>1.0503969889267617</v>
      </c>
      <c r="BC286" s="19">
        <v>1.2037687441974463</v>
      </c>
      <c r="BD286" s="19">
        <v>-1.0774606765091499</v>
      </c>
      <c r="BE286" s="14" t="s">
        <v>4857</v>
      </c>
    </row>
    <row r="287" spans="1:105" s="30" customFormat="1" ht="17.100000000000001" customHeight="1">
      <c r="A287" s="14">
        <v>276</v>
      </c>
      <c r="B287" s="14" t="s">
        <v>3312</v>
      </c>
      <c r="C287" s="32">
        <v>-1.229716105353436</v>
      </c>
      <c r="D287" s="32">
        <v>-1.7907484181312843</v>
      </c>
      <c r="E287" s="32">
        <v>1.2023915443169124</v>
      </c>
      <c r="F287" s="24">
        <v>458291.5</v>
      </c>
      <c r="G287" s="52" t="s">
        <v>2</v>
      </c>
      <c r="H287" s="32">
        <v>28.43252939583299</v>
      </c>
      <c r="I287" s="32">
        <v>20.796350253469235</v>
      </c>
      <c r="J287" s="12" t="s">
        <v>3313</v>
      </c>
      <c r="K287" s="12" t="s">
        <v>3314</v>
      </c>
      <c r="L287" s="14" t="s">
        <v>4631</v>
      </c>
      <c r="M287" s="12" t="s">
        <v>3315</v>
      </c>
      <c r="N287" s="15" t="s">
        <v>3316</v>
      </c>
      <c r="O287" s="12" t="s">
        <v>3317</v>
      </c>
      <c r="P287" s="12" t="s">
        <v>3318</v>
      </c>
      <c r="Q287" s="14">
        <v>2</v>
      </c>
      <c r="R287" s="21">
        <v>971.98649999999998</v>
      </c>
      <c r="S287" s="14">
        <v>14</v>
      </c>
      <c r="T287" s="52" t="s">
        <v>2</v>
      </c>
      <c r="U287" s="53">
        <v>58.265349999999998</v>
      </c>
      <c r="V287" s="24">
        <v>448878</v>
      </c>
      <c r="W287" s="24">
        <v>467705</v>
      </c>
      <c r="X287" s="24">
        <v>331029</v>
      </c>
      <c r="Y287" s="24">
        <v>246153</v>
      </c>
      <c r="Z287" s="24">
        <v>273652</v>
      </c>
      <c r="AA287" s="24">
        <v>262829</v>
      </c>
      <c r="AB287" s="24">
        <v>471528</v>
      </c>
      <c r="AC287" s="24">
        <v>385109</v>
      </c>
      <c r="AD287" s="24">
        <v>373441.25</v>
      </c>
      <c r="AE287" s="24">
        <v>348279.5</v>
      </c>
      <c r="AF287" s="24">
        <v>458291.5</v>
      </c>
      <c r="AG287" s="24">
        <v>288591</v>
      </c>
      <c r="AH287" s="24">
        <v>268240.5</v>
      </c>
      <c r="AI287" s="24">
        <v>428318.5</v>
      </c>
      <c r="AJ287" s="32">
        <v>27.904591148017317</v>
      </c>
      <c r="AK287" s="32">
        <v>28.43252939583299</v>
      </c>
      <c r="AL287" s="32">
        <v>2.9048540872783217</v>
      </c>
      <c r="AM287" s="32">
        <v>20.796350253469235</v>
      </c>
      <c r="AN287" s="32">
        <v>2.8530429568920441</v>
      </c>
      <c r="AO287" s="32">
        <v>14.266827354727907</v>
      </c>
      <c r="AP287" s="19">
        <v>0.93262193182997322</v>
      </c>
      <c r="AQ287" s="19">
        <v>0.58530542242219197</v>
      </c>
      <c r="AR287" s="19">
        <v>1.4841713705555613</v>
      </c>
      <c r="AS287" s="19">
        <v>-0.10063573794138213</v>
      </c>
      <c r="AT287" s="19">
        <v>-0.77273845065396851</v>
      </c>
      <c r="AU287" s="19">
        <v>0.56965768304802455</v>
      </c>
      <c r="AV287" s="19">
        <v>-0.2983252906274827</v>
      </c>
      <c r="AW287" s="19">
        <v>-0.84056266763711818</v>
      </c>
      <c r="AX287" s="19">
        <v>0.26590676881223163</v>
      </c>
      <c r="AY287" s="19">
        <v>-1.0722458542636015</v>
      </c>
      <c r="AZ287" s="19">
        <v>-1.7085097142303269</v>
      </c>
      <c r="BA287" s="19">
        <v>1.4841713705555613</v>
      </c>
      <c r="BB287" s="19">
        <v>-1.229716105353436</v>
      </c>
      <c r="BC287" s="19">
        <v>-1.7907484181312843</v>
      </c>
      <c r="BD287" s="19">
        <v>1.2023915443169124</v>
      </c>
      <c r="BE287" s="14" t="s">
        <v>4857</v>
      </c>
    </row>
    <row r="288" spans="1:105" ht="17.100000000000001" customHeight="1">
      <c r="A288" s="31">
        <v>277</v>
      </c>
      <c r="B288" s="11" t="s">
        <v>3321</v>
      </c>
      <c r="C288" s="57"/>
      <c r="D288" s="57"/>
      <c r="E288" s="57"/>
      <c r="F288" s="27"/>
      <c r="G288" s="54"/>
      <c r="H288" s="57"/>
      <c r="I288" s="57"/>
      <c r="J288" s="13"/>
      <c r="K288" s="13"/>
      <c r="L288" s="13"/>
      <c r="M288" s="13"/>
      <c r="N288" s="13"/>
      <c r="O288" s="13"/>
      <c r="P288" s="13"/>
      <c r="Q288" s="13"/>
      <c r="R288" s="22"/>
      <c r="S288" s="18"/>
      <c r="T288" s="54"/>
      <c r="U288" s="5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57"/>
      <c r="AK288" s="57"/>
      <c r="AL288" s="57"/>
      <c r="AM288" s="57"/>
      <c r="AN288" s="57"/>
      <c r="AO288" s="5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13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s="30" customFormat="1" ht="17.100000000000001" customHeight="1">
      <c r="A289" s="14">
        <v>278</v>
      </c>
      <c r="B289" s="14" t="s">
        <v>3193</v>
      </c>
      <c r="C289" s="32">
        <v>-1.0826304662282937</v>
      </c>
      <c r="D289" s="32">
        <v>-1.0246140717185768</v>
      </c>
      <c r="E289" s="32">
        <v>-1.1398975414614481</v>
      </c>
      <c r="F289" s="24">
        <v>637732</v>
      </c>
      <c r="G289" s="52" t="s">
        <v>2</v>
      </c>
      <c r="H289" s="32">
        <v>29.218171981818468</v>
      </c>
      <c r="I289" s="32">
        <v>23.283144089804818</v>
      </c>
      <c r="J289" s="12" t="s">
        <v>3323</v>
      </c>
      <c r="K289" s="12" t="s">
        <v>3324</v>
      </c>
      <c r="L289" s="14" t="s">
        <v>5123</v>
      </c>
      <c r="M289" s="12" t="s">
        <v>3325</v>
      </c>
      <c r="N289" s="15" t="s">
        <v>3326</v>
      </c>
      <c r="O289" s="12" t="s">
        <v>3327</v>
      </c>
      <c r="P289" s="12" t="s">
        <v>3194</v>
      </c>
      <c r="Q289" s="14">
        <v>3</v>
      </c>
      <c r="R289" s="21">
        <v>903.14449999999999</v>
      </c>
      <c r="S289" s="14">
        <v>15</v>
      </c>
      <c r="T289" s="52" t="s">
        <v>2</v>
      </c>
      <c r="U289" s="53">
        <v>87.266987499999999</v>
      </c>
      <c r="V289" s="24">
        <v>443772</v>
      </c>
      <c r="W289" s="24">
        <v>318306</v>
      </c>
      <c r="X289" s="24">
        <v>588202</v>
      </c>
      <c r="Y289" s="24">
        <v>589664</v>
      </c>
      <c r="Z289" s="24">
        <v>397711</v>
      </c>
      <c r="AA289" s="24">
        <v>381861</v>
      </c>
      <c r="AB289" s="24">
        <v>692491</v>
      </c>
      <c r="AC289" s="24">
        <v>582973</v>
      </c>
      <c r="AD289" s="24">
        <v>484986</v>
      </c>
      <c r="AE289" s="24">
        <v>513759</v>
      </c>
      <c r="AF289" s="24">
        <v>381039</v>
      </c>
      <c r="AG289" s="24">
        <v>588933</v>
      </c>
      <c r="AH289" s="24">
        <v>389786</v>
      </c>
      <c r="AI289" s="24">
        <v>637732</v>
      </c>
      <c r="AJ289" s="32">
        <v>26.908280922150858</v>
      </c>
      <c r="AK289" s="32">
        <v>29.218171981818468</v>
      </c>
      <c r="AL289" s="32">
        <v>23.283144089804818</v>
      </c>
      <c r="AM289" s="32">
        <v>0.17553611600890634</v>
      </c>
      <c r="AN289" s="32">
        <v>2.8753322289170926</v>
      </c>
      <c r="AO289" s="32">
        <v>12.143176202854539</v>
      </c>
      <c r="AP289" s="19">
        <v>1.0593274857418564</v>
      </c>
      <c r="AQ289" s="19">
        <v>1.0229556554578403</v>
      </c>
      <c r="AR289" s="19">
        <v>1.0828600197305975</v>
      </c>
      <c r="AS289" s="19">
        <v>8.3148660169326136E-2</v>
      </c>
      <c r="AT289" s="19">
        <v>3.2743606434465257E-2</v>
      </c>
      <c r="AU289" s="19">
        <v>0.1148467592040493</v>
      </c>
      <c r="AV289" s="19">
        <v>-0.11454089251677442</v>
      </c>
      <c r="AW289" s="19">
        <v>-3.508061054868445E-2</v>
      </c>
      <c r="AX289" s="19">
        <v>-0.18890415503174363</v>
      </c>
      <c r="AY289" s="19">
        <v>1.0593274857418564</v>
      </c>
      <c r="AZ289" s="19">
        <v>1.0229556554578403</v>
      </c>
      <c r="BA289" s="19">
        <v>1.0828600197305975</v>
      </c>
      <c r="BB289" s="19">
        <v>-1.0826304662282937</v>
      </c>
      <c r="BC289" s="19">
        <v>-1.0246140717185768</v>
      </c>
      <c r="BD289" s="19">
        <v>-1.1398975414614481</v>
      </c>
      <c r="BE289" s="14" t="s">
        <v>4857</v>
      </c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</row>
    <row r="290" spans="1:105" s="30" customFormat="1" ht="17.100000000000001" customHeight="1">
      <c r="A290" s="14">
        <v>279</v>
      </c>
      <c r="B290" s="14" t="s">
        <v>3196</v>
      </c>
      <c r="C290" s="32">
        <v>-1.7315777349817005</v>
      </c>
      <c r="D290" s="32">
        <v>-1.6279387825420244</v>
      </c>
      <c r="E290" s="32">
        <v>-1.8180939903735387</v>
      </c>
      <c r="F290" s="24">
        <v>294085.5</v>
      </c>
      <c r="G290" s="52" t="s">
        <v>2</v>
      </c>
      <c r="H290" s="32">
        <v>24.977859343452597</v>
      </c>
      <c r="I290" s="32">
        <v>41.945110419882667</v>
      </c>
      <c r="J290" s="12" t="s">
        <v>3323</v>
      </c>
      <c r="K290" s="12" t="s">
        <v>3324</v>
      </c>
      <c r="L290" s="14" t="s">
        <v>4964</v>
      </c>
      <c r="M290" s="12" t="s">
        <v>3325</v>
      </c>
      <c r="N290" s="15" t="s">
        <v>3326</v>
      </c>
      <c r="O290" s="12" t="s">
        <v>3327</v>
      </c>
      <c r="P290" s="12" t="s">
        <v>3197</v>
      </c>
      <c r="Q290" s="14">
        <v>3</v>
      </c>
      <c r="R290" s="21">
        <v>803.69849999999997</v>
      </c>
      <c r="S290" s="14">
        <v>9</v>
      </c>
      <c r="T290" s="52" t="s">
        <v>2</v>
      </c>
      <c r="U290" s="53">
        <v>64.558149999999998</v>
      </c>
      <c r="V290" s="24">
        <v>245935</v>
      </c>
      <c r="W290" s="24">
        <v>282549</v>
      </c>
      <c r="X290" s="24">
        <v>349855</v>
      </c>
      <c r="Y290" s="24">
        <v>238316</v>
      </c>
      <c r="Z290" s="24">
        <v>220590</v>
      </c>
      <c r="AA290" s="24">
        <v>119670</v>
      </c>
      <c r="AB290" s="24">
        <v>184930</v>
      </c>
      <c r="AC290" s="24">
        <v>214394</v>
      </c>
      <c r="AD290" s="24">
        <v>279163.75</v>
      </c>
      <c r="AE290" s="24">
        <v>184896</v>
      </c>
      <c r="AF290" s="24">
        <v>264242</v>
      </c>
      <c r="AG290" s="24">
        <v>294085.5</v>
      </c>
      <c r="AH290" s="24">
        <v>170130</v>
      </c>
      <c r="AI290" s="24">
        <v>199662</v>
      </c>
      <c r="AJ290" s="32">
        <v>18.243545926028592</v>
      </c>
      <c r="AK290" s="32">
        <v>24.977859343452597</v>
      </c>
      <c r="AL290" s="32">
        <v>9.7978397402245854</v>
      </c>
      <c r="AM290" s="32">
        <v>26.818725597408349</v>
      </c>
      <c r="AN290" s="32">
        <v>41.945110419882667</v>
      </c>
      <c r="AO290" s="32">
        <v>10.434731797177447</v>
      </c>
      <c r="AP290" s="19">
        <v>0.66232094962186172</v>
      </c>
      <c r="AQ290" s="19">
        <v>0.64384163002096562</v>
      </c>
      <c r="AR290" s="19">
        <v>0.67892500650321075</v>
      </c>
      <c r="AS290" s="19">
        <v>-0.59439760259680974</v>
      </c>
      <c r="AT290" s="19">
        <v>-0.63522223213969231</v>
      </c>
      <c r="AU290" s="19">
        <v>-0.55867587052212342</v>
      </c>
      <c r="AV290" s="19">
        <v>-0.79208715528291029</v>
      </c>
      <c r="AW290" s="19">
        <v>-0.70304644912284198</v>
      </c>
      <c r="AX290" s="19">
        <v>-0.86242678475791634</v>
      </c>
      <c r="AY290" s="19">
        <v>-1.5098420192973347</v>
      </c>
      <c r="AZ290" s="19">
        <v>-1.5531769823076471</v>
      </c>
      <c r="BA290" s="19">
        <v>-1.4729167292724705</v>
      </c>
      <c r="BB290" s="19">
        <v>-1.7315777349817005</v>
      </c>
      <c r="BC290" s="19">
        <v>-1.6279387825420244</v>
      </c>
      <c r="BD290" s="19">
        <v>-1.8180939903735387</v>
      </c>
      <c r="BE290" s="14" t="s">
        <v>4857</v>
      </c>
    </row>
    <row r="291" spans="1:105" s="30" customFormat="1" ht="17.100000000000001" customHeight="1">
      <c r="A291" s="14">
        <v>280</v>
      </c>
      <c r="B291" s="14" t="s">
        <v>3199</v>
      </c>
      <c r="C291" s="32">
        <v>-1.0026381803932309</v>
      </c>
      <c r="D291" s="32">
        <v>-1.1283873602857426</v>
      </c>
      <c r="E291" s="32">
        <v>1.0857113891944392</v>
      </c>
      <c r="F291" s="39">
        <v>1855320</v>
      </c>
      <c r="G291" s="52" t="s">
        <v>2</v>
      </c>
      <c r="H291" s="32">
        <v>28.404582011299084</v>
      </c>
      <c r="I291" s="32">
        <v>16.193954214160577</v>
      </c>
      <c r="J291" s="12" t="s">
        <v>3323</v>
      </c>
      <c r="K291" s="12" t="s">
        <v>3324</v>
      </c>
      <c r="L291" s="14" t="s">
        <v>3907</v>
      </c>
      <c r="M291" s="12" t="s">
        <v>3325</v>
      </c>
      <c r="N291" s="15" t="s">
        <v>3326</v>
      </c>
      <c r="O291" s="12" t="s">
        <v>3327</v>
      </c>
      <c r="P291" s="12" t="s">
        <v>3200</v>
      </c>
      <c r="Q291" s="14">
        <v>3</v>
      </c>
      <c r="R291" s="21">
        <v>807.42840000000001</v>
      </c>
      <c r="S291" s="14">
        <v>3</v>
      </c>
      <c r="T291" s="52" t="s">
        <v>2</v>
      </c>
      <c r="U291" s="53">
        <v>80.062712500000004</v>
      </c>
      <c r="V291" s="39">
        <v>1132300</v>
      </c>
      <c r="W291" s="39">
        <v>1396190</v>
      </c>
      <c r="X291" s="39">
        <v>1337390</v>
      </c>
      <c r="Y291" s="39">
        <v>1431440</v>
      </c>
      <c r="Z291" s="39">
        <v>1200830</v>
      </c>
      <c r="AA291" s="39">
        <v>1147830</v>
      </c>
      <c r="AB291" s="39">
        <v>2067770</v>
      </c>
      <c r="AC291" s="39">
        <v>1642870</v>
      </c>
      <c r="AD291" s="39">
        <v>1324330</v>
      </c>
      <c r="AE291" s="39">
        <v>1514825</v>
      </c>
      <c r="AF291" s="39">
        <v>1264245</v>
      </c>
      <c r="AG291" s="39">
        <v>1384415</v>
      </c>
      <c r="AH291" s="39">
        <v>1174330</v>
      </c>
      <c r="AI291" s="39">
        <v>1855320</v>
      </c>
      <c r="AJ291" s="32">
        <v>10.100886856107492</v>
      </c>
      <c r="AK291" s="32">
        <v>28.404582011299084</v>
      </c>
      <c r="AL291" s="32">
        <v>14.75967146299317</v>
      </c>
      <c r="AM291" s="32">
        <v>4.8037180159558224</v>
      </c>
      <c r="AN291" s="32">
        <v>3.1913226608267711</v>
      </c>
      <c r="AO291" s="32">
        <v>16.193954214160577</v>
      </c>
      <c r="AP291" s="19">
        <v>1.1438425467972484</v>
      </c>
      <c r="AQ291" s="19">
        <v>0.92887850060708166</v>
      </c>
      <c r="AR291" s="19">
        <v>1.3401472824261511</v>
      </c>
      <c r="AS291" s="19">
        <v>0.19388847467883102</v>
      </c>
      <c r="AT291" s="19">
        <v>-0.10643819368855473</v>
      </c>
      <c r="AU291" s="19">
        <v>0.42239156183931365</v>
      </c>
      <c r="AV291" s="19">
        <v>-3.8010780072695316E-3</v>
      </c>
      <c r="AW291" s="19">
        <v>-0.17426241067170445</v>
      </c>
      <c r="AX291" s="19">
        <v>0.11864064760352072</v>
      </c>
      <c r="AY291" s="19">
        <v>1.1438425467972484</v>
      </c>
      <c r="AZ291" s="19">
        <v>-1.0765670637725342</v>
      </c>
      <c r="BA291" s="19">
        <v>1.3401472824261511</v>
      </c>
      <c r="BB291" s="19">
        <v>-1.0026381803932309</v>
      </c>
      <c r="BC291" s="19">
        <v>-1.1283873602857426</v>
      </c>
      <c r="BD291" s="19">
        <v>1.0857113891944392</v>
      </c>
      <c r="BE291" s="14" t="s">
        <v>4857</v>
      </c>
    </row>
    <row r="292" spans="1:105" s="30" customFormat="1" ht="17.100000000000001" customHeight="1">
      <c r="A292" s="14">
        <v>281</v>
      </c>
      <c r="B292" s="14" t="s">
        <v>4360</v>
      </c>
      <c r="C292" s="32">
        <v>-1.0026381803932309</v>
      </c>
      <c r="D292" s="32">
        <v>-1.1283873602857426</v>
      </c>
      <c r="E292" s="32">
        <v>1.0857113891944392</v>
      </c>
      <c r="F292" s="39">
        <v>1855320</v>
      </c>
      <c r="G292" s="52" t="s">
        <v>2</v>
      </c>
      <c r="H292" s="32">
        <v>28.404582011299084</v>
      </c>
      <c r="I292" s="32">
        <v>16.193954214160577</v>
      </c>
      <c r="J292" s="12" t="s">
        <v>3323</v>
      </c>
      <c r="K292" s="12" t="s">
        <v>3324</v>
      </c>
      <c r="L292" s="14" t="s">
        <v>5120</v>
      </c>
      <c r="M292" s="12" t="s">
        <v>3325</v>
      </c>
      <c r="N292" s="15" t="s">
        <v>3326</v>
      </c>
      <c r="O292" s="12" t="s">
        <v>3327</v>
      </c>
      <c r="P292" s="12" t="s">
        <v>3201</v>
      </c>
      <c r="Q292" s="14">
        <v>3</v>
      </c>
      <c r="R292" s="21">
        <v>807.42840000000001</v>
      </c>
      <c r="S292" s="14">
        <v>7</v>
      </c>
      <c r="T292" s="52" t="s">
        <v>2</v>
      </c>
      <c r="U292" s="53">
        <v>80.062712500000004</v>
      </c>
      <c r="V292" s="39">
        <v>1132300</v>
      </c>
      <c r="W292" s="39">
        <v>1396190</v>
      </c>
      <c r="X292" s="39">
        <v>1337390</v>
      </c>
      <c r="Y292" s="39">
        <v>1431440</v>
      </c>
      <c r="Z292" s="39">
        <v>1200830</v>
      </c>
      <c r="AA292" s="39">
        <v>1147830</v>
      </c>
      <c r="AB292" s="39">
        <v>2067770</v>
      </c>
      <c r="AC292" s="39">
        <v>1642870</v>
      </c>
      <c r="AD292" s="39">
        <v>1324330</v>
      </c>
      <c r="AE292" s="39">
        <v>1514825</v>
      </c>
      <c r="AF292" s="39">
        <v>1264245</v>
      </c>
      <c r="AG292" s="39">
        <v>1384415</v>
      </c>
      <c r="AH292" s="39">
        <v>1174330</v>
      </c>
      <c r="AI292" s="39">
        <v>1855320</v>
      </c>
      <c r="AJ292" s="32">
        <v>10.100886856107492</v>
      </c>
      <c r="AK292" s="32">
        <v>28.404582011299084</v>
      </c>
      <c r="AL292" s="32">
        <v>14.75967146299317</v>
      </c>
      <c r="AM292" s="32">
        <v>4.8037180159558224</v>
      </c>
      <c r="AN292" s="32">
        <v>3.1913226608267711</v>
      </c>
      <c r="AO292" s="32">
        <v>16.193954214160577</v>
      </c>
      <c r="AP292" s="19">
        <v>1.1438425467972484</v>
      </c>
      <c r="AQ292" s="19">
        <v>0.92887850060708166</v>
      </c>
      <c r="AR292" s="19">
        <v>1.3401472824261511</v>
      </c>
      <c r="AS292" s="19">
        <v>0.19388847467883102</v>
      </c>
      <c r="AT292" s="19">
        <v>-0.10643819368855473</v>
      </c>
      <c r="AU292" s="19">
        <v>0.42239156183931365</v>
      </c>
      <c r="AV292" s="19">
        <v>-3.8010780072695316E-3</v>
      </c>
      <c r="AW292" s="19">
        <v>-0.17426241067170445</v>
      </c>
      <c r="AX292" s="19">
        <v>0.11864064760352072</v>
      </c>
      <c r="AY292" s="19">
        <v>1.1438425467972484</v>
      </c>
      <c r="AZ292" s="19">
        <v>-1.0765670637725342</v>
      </c>
      <c r="BA292" s="19">
        <v>1.3401472824261511</v>
      </c>
      <c r="BB292" s="19">
        <v>-1.0026381803932309</v>
      </c>
      <c r="BC292" s="19">
        <v>-1.1283873602857426</v>
      </c>
      <c r="BD292" s="19">
        <v>1.0857113891944392</v>
      </c>
      <c r="BE292" s="14" t="s">
        <v>4857</v>
      </c>
    </row>
    <row r="293" spans="1:105" s="30" customFormat="1" ht="17.100000000000001" customHeight="1">
      <c r="A293" s="14">
        <v>282</v>
      </c>
      <c r="B293" s="14" t="s">
        <v>3202</v>
      </c>
      <c r="C293" s="32">
        <v>1.1513029427754515</v>
      </c>
      <c r="D293" s="32">
        <v>1.0703720079419914</v>
      </c>
      <c r="E293" s="32">
        <v>1.2033302382496489</v>
      </c>
      <c r="F293" s="24">
        <v>68698</v>
      </c>
      <c r="G293" s="52" t="s">
        <v>2</v>
      </c>
      <c r="H293" s="32">
        <v>27.102060953184083</v>
      </c>
      <c r="I293" s="32">
        <v>19.71906177973252</v>
      </c>
      <c r="J293" s="12" t="s">
        <v>3323</v>
      </c>
      <c r="K293" s="12" t="s">
        <v>3324</v>
      </c>
      <c r="L293" s="14" t="s">
        <v>5285</v>
      </c>
      <c r="M293" s="12" t="s">
        <v>3325</v>
      </c>
      <c r="N293" s="15" t="s">
        <v>3326</v>
      </c>
      <c r="O293" s="12" t="s">
        <v>3327</v>
      </c>
      <c r="P293" s="12" t="s">
        <v>3203</v>
      </c>
      <c r="Q293" s="14">
        <v>3</v>
      </c>
      <c r="R293" s="21">
        <v>611.65110000000004</v>
      </c>
      <c r="S293" s="14">
        <v>3</v>
      </c>
      <c r="T293" s="52" t="s">
        <v>2</v>
      </c>
      <c r="U293" s="53">
        <v>32.565674999999999</v>
      </c>
      <c r="V293" s="24">
        <v>34712</v>
      </c>
      <c r="W293" s="24">
        <v>42158</v>
      </c>
      <c r="X293" s="24">
        <v>52700</v>
      </c>
      <c r="Y293" s="24">
        <v>39802</v>
      </c>
      <c r="Z293" s="24">
        <v>47096</v>
      </c>
      <c r="AA293" s="24">
        <v>39144</v>
      </c>
      <c r="AB293" s="24">
        <v>67485</v>
      </c>
      <c r="AC293" s="24">
        <v>69911</v>
      </c>
      <c r="AD293" s="24">
        <v>42343</v>
      </c>
      <c r="AE293" s="24">
        <v>55909</v>
      </c>
      <c r="AF293" s="24">
        <v>38435</v>
      </c>
      <c r="AG293" s="24">
        <v>46251</v>
      </c>
      <c r="AH293" s="24">
        <v>43120</v>
      </c>
      <c r="AI293" s="24">
        <v>68698</v>
      </c>
      <c r="AJ293" s="32">
        <v>17.881749135896683</v>
      </c>
      <c r="AK293" s="32">
        <v>27.102060953184083</v>
      </c>
      <c r="AL293" s="32">
        <v>13.698756583101424</v>
      </c>
      <c r="AM293" s="32">
        <v>19.71906177973252</v>
      </c>
      <c r="AN293" s="32">
        <v>13.040151029673993</v>
      </c>
      <c r="AO293" s="32">
        <v>2.4970756807455299</v>
      </c>
      <c r="AP293" s="19">
        <v>1.3203835344685071</v>
      </c>
      <c r="AQ293" s="19">
        <v>1.1218941069337842</v>
      </c>
      <c r="AR293" s="19">
        <v>1.4853300469179045</v>
      </c>
      <c r="AS293" s="19">
        <v>0.40095705299697043</v>
      </c>
      <c r="AT293" s="19">
        <v>0.16593650962661488</v>
      </c>
      <c r="AU293" s="19">
        <v>0.57078353987836394</v>
      </c>
      <c r="AV293" s="19">
        <v>0.20326750031086988</v>
      </c>
      <c r="AW293" s="19">
        <v>9.8112292643465174E-2</v>
      </c>
      <c r="AX293" s="19">
        <v>0.26703262564257102</v>
      </c>
      <c r="AY293" s="19">
        <v>1.3203835344685071</v>
      </c>
      <c r="AZ293" s="19">
        <v>1.1218941069337842</v>
      </c>
      <c r="BA293" s="19">
        <v>1.4853300469179045</v>
      </c>
      <c r="BB293" s="19">
        <v>1.1513029427754515</v>
      </c>
      <c r="BC293" s="19">
        <v>1.0703720079419914</v>
      </c>
      <c r="BD293" s="19">
        <v>1.2033302382496489</v>
      </c>
      <c r="BE293" s="14" t="s">
        <v>4857</v>
      </c>
    </row>
    <row r="294" spans="1:105" s="30" customFormat="1" ht="17.100000000000001" customHeight="1">
      <c r="A294" s="14">
        <v>283</v>
      </c>
      <c r="B294" s="14" t="s">
        <v>3204</v>
      </c>
      <c r="C294" s="32">
        <v>1.0204569518410154</v>
      </c>
      <c r="D294" s="32">
        <v>-1.0654297141671014</v>
      </c>
      <c r="E294" s="32">
        <v>1.063262531482061</v>
      </c>
      <c r="F294" s="24">
        <v>2396990</v>
      </c>
      <c r="G294" s="52" t="s">
        <v>2</v>
      </c>
      <c r="H294" s="32">
        <v>31.727999804558394</v>
      </c>
      <c r="I294" s="32">
        <v>5.9700057450276853</v>
      </c>
      <c r="J294" s="12" t="s">
        <v>3323</v>
      </c>
      <c r="K294" s="12" t="s">
        <v>3324</v>
      </c>
      <c r="L294" s="14" t="s">
        <v>5224</v>
      </c>
      <c r="M294" s="12" t="s">
        <v>3325</v>
      </c>
      <c r="N294" s="15" t="s">
        <v>3326</v>
      </c>
      <c r="O294" s="12" t="s">
        <v>3327</v>
      </c>
      <c r="P294" s="12" t="s">
        <v>3205</v>
      </c>
      <c r="Q294" s="14">
        <v>2</v>
      </c>
      <c r="R294" s="21">
        <v>467.29199999999997</v>
      </c>
      <c r="S294" s="14">
        <v>10</v>
      </c>
      <c r="T294" s="52" t="s">
        <v>2</v>
      </c>
      <c r="U294" s="53">
        <v>44.936612500000003</v>
      </c>
      <c r="V294" s="24">
        <v>1409550</v>
      </c>
      <c r="W294" s="24">
        <v>1373080</v>
      </c>
      <c r="X294" s="24">
        <v>1853300</v>
      </c>
      <c r="Y294" s="24">
        <v>1799430</v>
      </c>
      <c r="Z294" s="24">
        <v>1310950</v>
      </c>
      <c r="AA294" s="24">
        <v>1426510</v>
      </c>
      <c r="AB294" s="24">
        <v>2339360</v>
      </c>
      <c r="AC294" s="24">
        <v>2454620</v>
      </c>
      <c r="AD294" s="24">
        <v>1608840</v>
      </c>
      <c r="AE294" s="24">
        <v>1882860</v>
      </c>
      <c r="AF294" s="24">
        <v>1391315</v>
      </c>
      <c r="AG294" s="24">
        <v>1826365</v>
      </c>
      <c r="AH294" s="24">
        <v>1368730</v>
      </c>
      <c r="AI294" s="24">
        <v>2396990</v>
      </c>
      <c r="AJ294" s="32">
        <v>15.699286765978268</v>
      </c>
      <c r="AK294" s="32">
        <v>31.727999804558394</v>
      </c>
      <c r="AL294" s="32">
        <v>1.8535115563242968</v>
      </c>
      <c r="AM294" s="32">
        <v>2.0856642731611323</v>
      </c>
      <c r="AN294" s="32">
        <v>5.9700057450276853</v>
      </c>
      <c r="AO294" s="32">
        <v>3.4001446647487672</v>
      </c>
      <c r="AP294" s="19">
        <v>1.1703214738569403</v>
      </c>
      <c r="AQ294" s="19">
        <v>0.98376715553271543</v>
      </c>
      <c r="AR294" s="19">
        <v>1.3124375467116376</v>
      </c>
      <c r="AS294" s="19">
        <v>0.22690487599212605</v>
      </c>
      <c r="AT294" s="19">
        <v>-2.3611205450296466E-2</v>
      </c>
      <c r="AU294" s="19">
        <v>0.39224877272684761</v>
      </c>
      <c r="AV294" s="19">
        <v>2.9215323306025498E-2</v>
      </c>
      <c r="AW294" s="19">
        <v>-9.143542243344617E-2</v>
      </c>
      <c r="AX294" s="19">
        <v>8.8497858491054682E-2</v>
      </c>
      <c r="AY294" s="19">
        <v>1.1703214738569403</v>
      </c>
      <c r="AZ294" s="19">
        <v>-1.0165006977270901</v>
      </c>
      <c r="BA294" s="19">
        <v>1.3124375467116376</v>
      </c>
      <c r="BB294" s="19">
        <v>1.0204569518410154</v>
      </c>
      <c r="BC294" s="19">
        <v>-1.0654297141671014</v>
      </c>
      <c r="BD294" s="19">
        <v>1.063262531482061</v>
      </c>
      <c r="BE294" s="14" t="s">
        <v>4857</v>
      </c>
    </row>
    <row r="295" spans="1:105" s="30" customFormat="1" ht="17.100000000000001" customHeight="1">
      <c r="A295" s="14">
        <v>284</v>
      </c>
      <c r="B295" s="14" t="s">
        <v>3208</v>
      </c>
      <c r="C295" s="32">
        <v>-1.0748823509611214</v>
      </c>
      <c r="D295" s="32">
        <v>-1.0614317873455779</v>
      </c>
      <c r="E295" s="32">
        <v>-1.0658905923804436</v>
      </c>
      <c r="F295" s="24">
        <v>351227</v>
      </c>
      <c r="G295" s="52" t="s">
        <v>2</v>
      </c>
      <c r="H295" s="32">
        <v>16.276122655721672</v>
      </c>
      <c r="I295" s="32">
        <v>19.27114451019893</v>
      </c>
      <c r="J295" s="12" t="s">
        <v>3209</v>
      </c>
      <c r="K295" s="15" t="s">
        <v>3210</v>
      </c>
      <c r="L295" s="14" t="s">
        <v>5173</v>
      </c>
      <c r="M295" s="12" t="s">
        <v>3211</v>
      </c>
      <c r="N295" s="15" t="s">
        <v>3212</v>
      </c>
      <c r="O295" s="12" t="s">
        <v>3213</v>
      </c>
      <c r="P295" s="12" t="s">
        <v>3214</v>
      </c>
      <c r="Q295" s="14">
        <v>3</v>
      </c>
      <c r="R295" s="21">
        <v>1095.5441000000001</v>
      </c>
      <c r="S295" s="14">
        <v>5</v>
      </c>
      <c r="T295" s="52" t="s">
        <v>2</v>
      </c>
      <c r="U295" s="53">
        <v>77.658087499999993</v>
      </c>
      <c r="V295" s="24">
        <v>308508</v>
      </c>
      <c r="W295" s="24">
        <v>386526</v>
      </c>
      <c r="X295" s="24">
        <v>344622</v>
      </c>
      <c r="Y295" s="24">
        <v>261964</v>
      </c>
      <c r="Z295" s="24">
        <v>330903</v>
      </c>
      <c r="AA295" s="24">
        <v>355424</v>
      </c>
      <c r="AB295" s="24">
        <v>376000</v>
      </c>
      <c r="AC295" s="24">
        <v>326454</v>
      </c>
      <c r="AD295" s="24">
        <v>325405</v>
      </c>
      <c r="AE295" s="24">
        <v>347195.25</v>
      </c>
      <c r="AF295" s="24">
        <v>347517</v>
      </c>
      <c r="AG295" s="24">
        <v>303293</v>
      </c>
      <c r="AH295" s="24">
        <v>343163.5</v>
      </c>
      <c r="AI295" s="24">
        <v>351227</v>
      </c>
      <c r="AJ295" s="32">
        <v>16.276122655721672</v>
      </c>
      <c r="AK295" s="32">
        <v>6.6371563353831888</v>
      </c>
      <c r="AL295" s="32">
        <v>15.874635443622056</v>
      </c>
      <c r="AM295" s="32">
        <v>19.27114451019893</v>
      </c>
      <c r="AN295" s="32">
        <v>5.0526834530698439</v>
      </c>
      <c r="AO295" s="32">
        <v>9.9748346740622669</v>
      </c>
      <c r="AP295" s="19">
        <v>1.0669634762834006</v>
      </c>
      <c r="AQ295" s="19">
        <v>0.98747255529945299</v>
      </c>
      <c r="AR295" s="19">
        <v>1.1580451906242479</v>
      </c>
      <c r="AS295" s="19">
        <v>9.3510791451302741E-2</v>
      </c>
      <c r="AT295" s="19">
        <v>-1.8187442794910479E-2</v>
      </c>
      <c r="AU295" s="19">
        <v>0.2116915529967496</v>
      </c>
      <c r="AV295" s="19">
        <v>-0.10417876123479781</v>
      </c>
      <c r="AW295" s="19">
        <v>-8.601165977806019E-2</v>
      </c>
      <c r="AX295" s="19">
        <v>-9.2059361239043319E-2</v>
      </c>
      <c r="AY295" s="19">
        <v>1.0669634762834006</v>
      </c>
      <c r="AZ295" s="19">
        <v>-1.0126863725308781</v>
      </c>
      <c r="BA295" s="19">
        <v>1.1580451906242479</v>
      </c>
      <c r="BB295" s="19">
        <v>-1.0748823509611214</v>
      </c>
      <c r="BC295" s="19">
        <v>-1.0614317873455779</v>
      </c>
      <c r="BD295" s="19">
        <v>-1.0658905923804436</v>
      </c>
      <c r="BE295" s="14" t="s">
        <v>4857</v>
      </c>
    </row>
    <row r="296" spans="1:105" s="30" customFormat="1" ht="17.100000000000001" customHeight="1">
      <c r="A296" s="14">
        <v>285</v>
      </c>
      <c r="B296" s="14" t="s">
        <v>3970</v>
      </c>
      <c r="C296" s="32">
        <v>-1.0150442485579942</v>
      </c>
      <c r="D296" s="32">
        <v>1.0020100130579732</v>
      </c>
      <c r="E296" s="32">
        <v>-1.0362911031065698</v>
      </c>
      <c r="F296" s="24">
        <v>33972</v>
      </c>
      <c r="G296" s="52" t="s">
        <v>2</v>
      </c>
      <c r="H296" s="32">
        <v>37.540827670459862</v>
      </c>
      <c r="I296" s="32">
        <v>49.862668150569213</v>
      </c>
      <c r="J296" s="12" t="s">
        <v>3215</v>
      </c>
      <c r="K296" s="12" t="s">
        <v>3216</v>
      </c>
      <c r="L296" s="14" t="s">
        <v>5245</v>
      </c>
      <c r="M296" s="12" t="s">
        <v>3217</v>
      </c>
      <c r="N296" s="15" t="s">
        <v>3218</v>
      </c>
      <c r="O296" s="12" t="s">
        <v>3219</v>
      </c>
      <c r="P296" s="12" t="s">
        <v>3220</v>
      </c>
      <c r="Q296" s="14">
        <v>2</v>
      </c>
      <c r="R296" s="21">
        <v>704.35609999999997</v>
      </c>
      <c r="S296" s="14">
        <v>1</v>
      </c>
      <c r="T296" s="52" t="s">
        <v>2</v>
      </c>
      <c r="U296" s="53">
        <v>42.014087500000002</v>
      </c>
      <c r="V296" s="24">
        <v>25385</v>
      </c>
      <c r="W296" s="24">
        <v>18503</v>
      </c>
      <c r="X296" s="24">
        <v>18465</v>
      </c>
      <c r="Y296" s="24">
        <v>38577</v>
      </c>
      <c r="Z296" s="24">
        <v>23539</v>
      </c>
      <c r="AA296" s="24">
        <v>22554</v>
      </c>
      <c r="AB296" s="24">
        <v>32555</v>
      </c>
      <c r="AC296" s="24">
        <v>35389</v>
      </c>
      <c r="AD296" s="24">
        <v>25232.5</v>
      </c>
      <c r="AE296" s="24">
        <v>28509.25</v>
      </c>
      <c r="AF296" s="24">
        <v>21944</v>
      </c>
      <c r="AG296" s="24">
        <v>28521</v>
      </c>
      <c r="AH296" s="24">
        <v>23046.5</v>
      </c>
      <c r="AI296" s="24">
        <v>33972</v>
      </c>
      <c r="AJ296" s="32">
        <v>37.540827670459862</v>
      </c>
      <c r="AK296" s="32">
        <v>22.538871243379653</v>
      </c>
      <c r="AL296" s="32">
        <v>22.17603385037286</v>
      </c>
      <c r="AM296" s="32">
        <v>49.862668150569213</v>
      </c>
      <c r="AN296" s="32">
        <v>3.0221516476200265</v>
      </c>
      <c r="AO296" s="32">
        <v>5.8988008297500176</v>
      </c>
      <c r="AP296" s="19">
        <v>1.1298622807886654</v>
      </c>
      <c r="AQ296" s="19">
        <v>1.0502415238789646</v>
      </c>
      <c r="AR296" s="19">
        <v>1.1911223309140633</v>
      </c>
      <c r="AS296" s="19">
        <v>0.17614693287786981</v>
      </c>
      <c r="AT296" s="19">
        <v>7.0721142399408438E-2</v>
      </c>
      <c r="AU296" s="19">
        <v>0.25232158880235722</v>
      </c>
      <c r="AV296" s="19">
        <v>-2.1542619808230745E-2</v>
      </c>
      <c r="AW296" s="19">
        <v>2.8969254162587305E-3</v>
      </c>
      <c r="AX296" s="19">
        <v>-5.1429325433435702E-2</v>
      </c>
      <c r="AY296" s="19">
        <v>1.1298622807886654</v>
      </c>
      <c r="AZ296" s="19">
        <v>1.0502415238789646</v>
      </c>
      <c r="BA296" s="19">
        <v>1.1911223309140633</v>
      </c>
      <c r="BB296" s="19">
        <v>-1.0150442485579942</v>
      </c>
      <c r="BC296" s="19">
        <v>1.0020100130579732</v>
      </c>
      <c r="BD296" s="19">
        <v>-1.0362911031065698</v>
      </c>
      <c r="BE296" s="14" t="s">
        <v>4857</v>
      </c>
    </row>
    <row r="297" spans="1:105" s="30" customFormat="1" ht="17.100000000000001" customHeight="1">
      <c r="A297" s="14">
        <v>286</v>
      </c>
      <c r="B297" s="14" t="s">
        <v>3221</v>
      </c>
      <c r="C297" s="32">
        <v>1.2566278420874606</v>
      </c>
      <c r="D297" s="32">
        <v>1.6843560267959681</v>
      </c>
      <c r="E297" s="32">
        <v>1.0057482850930286</v>
      </c>
      <c r="F297" s="24">
        <v>32650</v>
      </c>
      <c r="G297" s="52" t="s">
        <v>2</v>
      </c>
      <c r="H297" s="32">
        <v>28.33576894341785</v>
      </c>
      <c r="I297" s="32">
        <v>10.384085597844404</v>
      </c>
      <c r="J297" s="12" t="s">
        <v>3222</v>
      </c>
      <c r="K297" s="12" t="s">
        <v>3223</v>
      </c>
      <c r="L297" s="14" t="s">
        <v>3662</v>
      </c>
      <c r="M297" s="12" t="s">
        <v>3224</v>
      </c>
      <c r="N297" s="15" t="s">
        <v>3225</v>
      </c>
      <c r="O297" s="12" t="s">
        <v>3226</v>
      </c>
      <c r="P297" s="12" t="s">
        <v>3227</v>
      </c>
      <c r="Q297" s="14">
        <v>2</v>
      </c>
      <c r="R297" s="21">
        <v>579.81129999999996</v>
      </c>
      <c r="S297" s="14">
        <v>2</v>
      </c>
      <c r="T297" s="52" t="s">
        <v>2</v>
      </c>
      <c r="U297" s="53">
        <v>45.465000000000003</v>
      </c>
      <c r="V297" s="24">
        <v>16900</v>
      </c>
      <c r="W297" s="24">
        <v>15500</v>
      </c>
      <c r="X297" s="24">
        <v>24600</v>
      </c>
      <c r="Y297" s="24">
        <v>28000</v>
      </c>
      <c r="Z297" s="24">
        <v>26500</v>
      </c>
      <c r="AA297" s="24">
        <v>30700</v>
      </c>
      <c r="AB297" s="24">
        <v>32900</v>
      </c>
      <c r="AC297" s="24">
        <v>32400</v>
      </c>
      <c r="AD297" s="24">
        <v>21250</v>
      </c>
      <c r="AE297" s="24">
        <v>30625</v>
      </c>
      <c r="AF297" s="24">
        <v>16200</v>
      </c>
      <c r="AG297" s="24">
        <v>26300</v>
      </c>
      <c r="AH297" s="24">
        <v>28600</v>
      </c>
      <c r="AI297" s="24">
        <v>32650</v>
      </c>
      <c r="AJ297" s="32">
        <v>28.33576894341785</v>
      </c>
      <c r="AK297" s="32">
        <v>9.4914123413052085</v>
      </c>
      <c r="AL297" s="32">
        <v>6.1107993435874484</v>
      </c>
      <c r="AM297" s="32">
        <v>9.1413043955675342</v>
      </c>
      <c r="AN297" s="32">
        <v>10.384085597844404</v>
      </c>
      <c r="AO297" s="32">
        <v>1.0828587767022166</v>
      </c>
      <c r="AP297" s="19">
        <v>1.4411764705882353</v>
      </c>
      <c r="AQ297" s="19">
        <v>1.7654320987654322</v>
      </c>
      <c r="AR297" s="19">
        <v>1.2414448669201521</v>
      </c>
      <c r="AS297" s="19">
        <v>0.52724700286486881</v>
      </c>
      <c r="AT297" s="19">
        <v>0.82002133389376475</v>
      </c>
      <c r="AU297" s="19">
        <v>0.31202019225412847</v>
      </c>
      <c r="AV297" s="19">
        <v>0.32955745017876825</v>
      </c>
      <c r="AW297" s="19">
        <v>0.75219711691061508</v>
      </c>
      <c r="AX297" s="19">
        <v>8.2692780183355463E-3</v>
      </c>
      <c r="AY297" s="19">
        <v>1.4411764705882353</v>
      </c>
      <c r="AZ297" s="19">
        <v>1.7654320987654322</v>
      </c>
      <c r="BA297" s="19">
        <v>1.2414448669201521</v>
      </c>
      <c r="BB297" s="19">
        <v>1.2566278420874606</v>
      </c>
      <c r="BC297" s="19">
        <v>1.6843560267959681</v>
      </c>
      <c r="BD297" s="19">
        <v>1.0057482850930286</v>
      </c>
      <c r="BE297" s="14" t="s">
        <v>4857</v>
      </c>
    </row>
    <row r="298" spans="1:105" s="30" customFormat="1" ht="17.100000000000001" customHeight="1">
      <c r="A298" s="14">
        <v>287</v>
      </c>
      <c r="B298" s="14" t="s">
        <v>3228</v>
      </c>
      <c r="C298" s="32">
        <v>-1.133831422288917</v>
      </c>
      <c r="D298" s="32">
        <v>-1.121929858106371</v>
      </c>
      <c r="E298" s="32">
        <v>-1.1457734416915137</v>
      </c>
      <c r="F298" s="24">
        <v>699143</v>
      </c>
      <c r="G298" s="52" t="s">
        <v>2</v>
      </c>
      <c r="H298" s="32">
        <v>22.404120864374999</v>
      </c>
      <c r="I298" s="32">
        <v>28.673128811645526</v>
      </c>
      <c r="J298" s="12" t="s">
        <v>3222</v>
      </c>
      <c r="K298" s="12" t="s">
        <v>3223</v>
      </c>
      <c r="L298" s="14" t="s">
        <v>3616</v>
      </c>
      <c r="M298" s="12" t="s">
        <v>3224</v>
      </c>
      <c r="N298" s="15" t="s">
        <v>3225</v>
      </c>
      <c r="O298" s="12" t="s">
        <v>3226</v>
      </c>
      <c r="P298" s="12" t="s">
        <v>3229</v>
      </c>
      <c r="Q298" s="14">
        <v>2</v>
      </c>
      <c r="R298" s="21">
        <v>460.7636</v>
      </c>
      <c r="S298" s="14">
        <v>7</v>
      </c>
      <c r="T298" s="52" t="s">
        <v>2</v>
      </c>
      <c r="U298" s="53">
        <v>40.143250000000002</v>
      </c>
      <c r="V298" s="24">
        <v>664880</v>
      </c>
      <c r="W298" s="24">
        <v>440720</v>
      </c>
      <c r="X298" s="24">
        <v>737130</v>
      </c>
      <c r="Y298" s="24">
        <v>560816</v>
      </c>
      <c r="Z298" s="24">
        <v>440034</v>
      </c>
      <c r="AA298" s="24">
        <v>592845</v>
      </c>
      <c r="AB298" s="24">
        <v>626442</v>
      </c>
      <c r="AC298" s="24">
        <v>771844</v>
      </c>
      <c r="AD298" s="24">
        <v>600886.5</v>
      </c>
      <c r="AE298" s="24">
        <v>607791.25</v>
      </c>
      <c r="AF298" s="24">
        <v>552800</v>
      </c>
      <c r="AG298" s="24">
        <v>648973</v>
      </c>
      <c r="AH298" s="24">
        <v>516439.5</v>
      </c>
      <c r="AI298" s="24">
        <v>699143</v>
      </c>
      <c r="AJ298" s="32">
        <v>21.466864062706527</v>
      </c>
      <c r="AK298" s="32">
        <v>22.404120864374999</v>
      </c>
      <c r="AL298" s="32">
        <v>28.673128811645526</v>
      </c>
      <c r="AM298" s="32">
        <v>19.210787662680104</v>
      </c>
      <c r="AN298" s="32">
        <v>20.922817549760914</v>
      </c>
      <c r="AO298" s="32">
        <v>14.705824158732389</v>
      </c>
      <c r="AP298" s="19">
        <v>1.011490938804583</v>
      </c>
      <c r="AQ298" s="19">
        <v>0.93422485528219967</v>
      </c>
      <c r="AR298" s="19">
        <v>1.0773067600655188</v>
      </c>
      <c r="AS298" s="19">
        <v>1.6483395921656974E-2</v>
      </c>
      <c r="AT298" s="19">
        <v>-9.8158265982020307E-2</v>
      </c>
      <c r="AU298" s="19">
        <v>0.1074291117300817</v>
      </c>
      <c r="AV298" s="19">
        <v>-0.18120615676444357</v>
      </c>
      <c r="AW298" s="19">
        <v>-0.16598248296517001</v>
      </c>
      <c r="AX298" s="19">
        <v>-0.19632180250571124</v>
      </c>
      <c r="AY298" s="19">
        <v>1.011490938804583</v>
      </c>
      <c r="AZ298" s="19">
        <v>-1.0704061172702708</v>
      </c>
      <c r="BA298" s="19">
        <v>1.0773067600655188</v>
      </c>
      <c r="BB298" s="19">
        <v>-1.133831422288917</v>
      </c>
      <c r="BC298" s="19">
        <v>-1.121929858106371</v>
      </c>
      <c r="BD298" s="19">
        <v>-1.1457734416915137</v>
      </c>
      <c r="BE298" s="14" t="s">
        <v>4857</v>
      </c>
    </row>
    <row r="299" spans="1:105" ht="17.100000000000001" customHeight="1">
      <c r="A299" s="14">
        <v>288</v>
      </c>
      <c r="B299" s="14" t="s">
        <v>3230</v>
      </c>
      <c r="C299" s="32">
        <v>1.0473977712415865</v>
      </c>
      <c r="D299" s="32">
        <v>1.2005114648240354</v>
      </c>
      <c r="E299" s="32">
        <v>-1.0662127419807219</v>
      </c>
      <c r="F299" s="24">
        <v>155045.5</v>
      </c>
      <c r="G299" s="52" t="s">
        <v>2</v>
      </c>
      <c r="H299" s="32">
        <v>23.914302012475826</v>
      </c>
      <c r="I299" s="32">
        <v>28.417770581496466</v>
      </c>
      <c r="J299" s="12" t="s">
        <v>3231</v>
      </c>
      <c r="K299" s="15" t="s">
        <v>3232</v>
      </c>
      <c r="L299" s="14" t="s">
        <v>5223</v>
      </c>
      <c r="M299" s="12" t="s">
        <v>3233</v>
      </c>
      <c r="N299" s="15" t="s">
        <v>3234</v>
      </c>
      <c r="O299" s="12" t="s">
        <v>3235</v>
      </c>
      <c r="P299" s="12" t="s">
        <v>3236</v>
      </c>
      <c r="Q299" s="14">
        <v>2</v>
      </c>
      <c r="R299" s="21">
        <v>450.75049999999999</v>
      </c>
      <c r="S299" s="14">
        <v>2</v>
      </c>
      <c r="T299" s="52" t="s">
        <v>2</v>
      </c>
      <c r="U299" s="53">
        <v>30.345062500000001</v>
      </c>
      <c r="V299" s="24">
        <v>122641</v>
      </c>
      <c r="W299" s="24">
        <v>81600</v>
      </c>
      <c r="X299" s="24">
        <v>117554</v>
      </c>
      <c r="Y299" s="24">
        <v>150298</v>
      </c>
      <c r="Z299" s="24">
        <v>113930</v>
      </c>
      <c r="AA299" s="24">
        <v>143066</v>
      </c>
      <c r="AB299" s="24">
        <v>147947</v>
      </c>
      <c r="AC299" s="24">
        <v>162144</v>
      </c>
      <c r="AD299" s="24">
        <v>118023.25</v>
      </c>
      <c r="AE299" s="24">
        <v>141771.75</v>
      </c>
      <c r="AF299" s="24">
        <v>102120.5</v>
      </c>
      <c r="AG299" s="24">
        <v>133926</v>
      </c>
      <c r="AH299" s="24">
        <v>128498</v>
      </c>
      <c r="AI299" s="24">
        <v>155045.5</v>
      </c>
      <c r="AJ299" s="32">
        <v>23.914302012475826</v>
      </c>
      <c r="AK299" s="32">
        <v>14.282436448566266</v>
      </c>
      <c r="AL299" s="32">
        <v>28.417770581496466</v>
      </c>
      <c r="AM299" s="32">
        <v>17.288281919248174</v>
      </c>
      <c r="AN299" s="32">
        <v>16.033139174657389</v>
      </c>
      <c r="AO299" s="32">
        <v>6.474741267889371</v>
      </c>
      <c r="AP299" s="19">
        <v>1.2012188276462477</v>
      </c>
      <c r="AQ299" s="19">
        <v>1.2582977952516881</v>
      </c>
      <c r="AR299" s="19">
        <v>1.1576952944163195</v>
      </c>
      <c r="AS299" s="19">
        <v>0.26449899267753213</v>
      </c>
      <c r="AT299" s="19">
        <v>0.33147339828225864</v>
      </c>
      <c r="AU299" s="19">
        <v>0.21125558572744066</v>
      </c>
      <c r="AV299" s="19">
        <v>6.6809439991431574E-2</v>
      </c>
      <c r="AW299" s="19">
        <v>0.26364918129910891</v>
      </c>
      <c r="AX299" s="19">
        <v>-9.2495328508352265E-2</v>
      </c>
      <c r="AY299" s="19">
        <v>1.2012188276462477</v>
      </c>
      <c r="AZ299" s="19">
        <v>1.2582977952516881</v>
      </c>
      <c r="BA299" s="19">
        <v>1.1576952944163195</v>
      </c>
      <c r="BB299" s="19">
        <v>1.0473977712415865</v>
      </c>
      <c r="BC299" s="19">
        <v>1.2005114648240354</v>
      </c>
      <c r="BD299" s="19">
        <v>-1.0662127419807219</v>
      </c>
      <c r="BE299" s="14" t="s">
        <v>4857</v>
      </c>
    </row>
    <row r="300" spans="1:105" s="30" customFormat="1" ht="17.100000000000001" customHeight="1">
      <c r="A300" s="14">
        <v>289</v>
      </c>
      <c r="B300" s="14" t="s">
        <v>3237</v>
      </c>
      <c r="C300" s="32">
        <v>1.0444813545682878</v>
      </c>
      <c r="D300" s="32">
        <v>1.0758679422537762</v>
      </c>
      <c r="E300" s="32">
        <v>1.023711589156153</v>
      </c>
      <c r="F300" s="24">
        <v>126660</v>
      </c>
      <c r="G300" s="52" t="s">
        <v>2</v>
      </c>
      <c r="H300" s="32">
        <v>13.874511083581423</v>
      </c>
      <c r="I300" s="32">
        <v>17.383172554593081</v>
      </c>
      <c r="J300" s="12" t="s">
        <v>3231</v>
      </c>
      <c r="K300" s="15" t="s">
        <v>3232</v>
      </c>
      <c r="L300" s="14" t="s">
        <v>5275</v>
      </c>
      <c r="M300" s="12" t="s">
        <v>3233</v>
      </c>
      <c r="N300" s="15" t="s">
        <v>3234</v>
      </c>
      <c r="O300" s="12" t="s">
        <v>3235</v>
      </c>
      <c r="P300" s="12" t="s">
        <v>3238</v>
      </c>
      <c r="Q300" s="14">
        <v>2</v>
      </c>
      <c r="R300" s="21">
        <v>514.798</v>
      </c>
      <c r="S300" s="14">
        <v>6</v>
      </c>
      <c r="T300" s="52" t="s">
        <v>2</v>
      </c>
      <c r="U300" s="53">
        <v>23.748450000000002</v>
      </c>
      <c r="V300" s="24">
        <v>104637</v>
      </c>
      <c r="W300" s="24">
        <v>83057</v>
      </c>
      <c r="X300" s="24">
        <v>103497</v>
      </c>
      <c r="Y300" s="24">
        <v>96975</v>
      </c>
      <c r="Z300" s="24">
        <v>92819</v>
      </c>
      <c r="AA300" s="24">
        <v>118835</v>
      </c>
      <c r="AB300" s="24">
        <v>124669</v>
      </c>
      <c r="AC300" s="24">
        <v>128651</v>
      </c>
      <c r="AD300" s="24">
        <v>97041.5</v>
      </c>
      <c r="AE300" s="24">
        <v>116243.5</v>
      </c>
      <c r="AF300" s="24">
        <v>93847</v>
      </c>
      <c r="AG300" s="24">
        <v>100236</v>
      </c>
      <c r="AH300" s="24">
        <v>105827</v>
      </c>
      <c r="AI300" s="24">
        <v>126660</v>
      </c>
      <c r="AJ300" s="32">
        <v>10.217522204501932</v>
      </c>
      <c r="AK300" s="32">
        <v>13.874511083581423</v>
      </c>
      <c r="AL300" s="32">
        <v>16.25983178791618</v>
      </c>
      <c r="AM300" s="32">
        <v>4.6008923210210533</v>
      </c>
      <c r="AN300" s="32">
        <v>17.383172554593081</v>
      </c>
      <c r="AO300" s="32">
        <v>2.2230374251419804</v>
      </c>
      <c r="AP300" s="19">
        <v>1.1978741054085107</v>
      </c>
      <c r="AQ300" s="19">
        <v>1.1276545867209393</v>
      </c>
      <c r="AR300" s="19">
        <v>1.2636178618460434</v>
      </c>
      <c r="AS300" s="19">
        <v>0.2604762912261499</v>
      </c>
      <c r="AT300" s="19">
        <v>0.17332522169202677</v>
      </c>
      <c r="AU300" s="19">
        <v>0.33756023552963094</v>
      </c>
      <c r="AV300" s="19">
        <v>6.2786738540049347E-2</v>
      </c>
      <c r="AW300" s="19">
        <v>0.10550100470887706</v>
      </c>
      <c r="AX300" s="19">
        <v>3.3809321293838013E-2</v>
      </c>
      <c r="AY300" s="19">
        <v>1.1978741054085107</v>
      </c>
      <c r="AZ300" s="19">
        <v>1.1276545867209393</v>
      </c>
      <c r="BA300" s="19">
        <v>1.2636178618460434</v>
      </c>
      <c r="BB300" s="19">
        <v>1.0444813545682878</v>
      </c>
      <c r="BC300" s="19">
        <v>1.0758679422537762</v>
      </c>
      <c r="BD300" s="19">
        <v>1.023711589156153</v>
      </c>
      <c r="BE300" s="14" t="s">
        <v>4857</v>
      </c>
    </row>
    <row r="301" spans="1:105" s="30" customFormat="1" ht="17.100000000000001" customHeight="1">
      <c r="A301" s="14">
        <v>290</v>
      </c>
      <c r="B301" s="14" t="s">
        <v>4172</v>
      </c>
      <c r="C301" s="32">
        <v>-1.3428310332163582</v>
      </c>
      <c r="D301" s="32">
        <v>-1.0717813230636155</v>
      </c>
      <c r="E301" s="32">
        <v>-1.6953128201102632</v>
      </c>
      <c r="F301" s="40">
        <v>1108741</v>
      </c>
      <c r="G301" s="52" t="s">
        <v>4894</v>
      </c>
      <c r="H301" s="32">
        <v>19.813886022517824</v>
      </c>
      <c r="I301" s="32">
        <v>12.354750528436782</v>
      </c>
      <c r="J301" s="12" t="s">
        <v>3239</v>
      </c>
      <c r="K301" s="12" t="s">
        <v>3240</v>
      </c>
      <c r="L301" s="14" t="s">
        <v>4477</v>
      </c>
      <c r="M301" s="12" t="s">
        <v>3241</v>
      </c>
      <c r="N301" s="15" t="s">
        <v>3242</v>
      </c>
      <c r="O301" s="12" t="s">
        <v>3243</v>
      </c>
      <c r="P301" s="12" t="s">
        <v>3244</v>
      </c>
      <c r="Q301" s="14">
        <v>2</v>
      </c>
      <c r="R301" s="21">
        <v>484.25139999999999</v>
      </c>
      <c r="S301" s="14">
        <v>1</v>
      </c>
      <c r="T301" s="52" t="s">
        <v>4894</v>
      </c>
      <c r="U301" s="53">
        <v>22.193312499999998</v>
      </c>
      <c r="V301" s="40">
        <v>1151985</v>
      </c>
      <c r="W301" s="40">
        <v>1065497</v>
      </c>
      <c r="X301" s="40">
        <v>1120261</v>
      </c>
      <c r="Y301" s="40">
        <v>1060423</v>
      </c>
      <c r="Z301" s="40">
        <v>989555</v>
      </c>
      <c r="AA301" s="40">
        <v>1179003</v>
      </c>
      <c r="AB301" s="40">
        <v>822001</v>
      </c>
      <c r="AC301" s="40">
        <v>765745</v>
      </c>
      <c r="AD301" s="40">
        <v>1099541.5</v>
      </c>
      <c r="AE301" s="40">
        <v>939076</v>
      </c>
      <c r="AF301" s="40">
        <v>1108741</v>
      </c>
      <c r="AG301" s="40">
        <v>1090342</v>
      </c>
      <c r="AH301" s="40">
        <v>1084279</v>
      </c>
      <c r="AI301" s="40">
        <v>793873</v>
      </c>
      <c r="AJ301" s="32">
        <v>4.0225942408852831</v>
      </c>
      <c r="AK301" s="32">
        <v>19.813886022517824</v>
      </c>
      <c r="AL301" s="32">
        <v>5.5158284298372777</v>
      </c>
      <c r="AM301" s="32">
        <v>3.8806040281526926</v>
      </c>
      <c r="AN301" s="32">
        <v>12.354750528436782</v>
      </c>
      <c r="AO301" s="32">
        <v>5.01075097432844</v>
      </c>
      <c r="AP301" s="19">
        <v>0.85406144288323815</v>
      </c>
      <c r="AQ301" s="19">
        <v>0.97793713770844592</v>
      </c>
      <c r="AR301" s="19">
        <v>0.72809540492799507</v>
      </c>
      <c r="AS301" s="19">
        <v>-0.22758823094993427</v>
      </c>
      <c r="AT301" s="19">
        <v>-3.2186363892938004E-2</v>
      </c>
      <c r="AU301" s="19">
        <v>-0.45780059061949296</v>
      </c>
      <c r="AV301" s="19">
        <v>-0.42527778363603486</v>
      </c>
      <c r="AW301" s="19">
        <v>-0.10001058087608772</v>
      </c>
      <c r="AX301" s="19">
        <v>-0.76155150485528589</v>
      </c>
      <c r="AY301" s="19">
        <v>-1.1708759461428042</v>
      </c>
      <c r="AZ301" s="19">
        <v>-1.0225606140117072</v>
      </c>
      <c r="BA301" s="19">
        <v>-1.3734463824818328</v>
      </c>
      <c r="BB301" s="19">
        <v>-1.3428310332163582</v>
      </c>
      <c r="BC301" s="19">
        <v>-1.0717813230636155</v>
      </c>
      <c r="BD301" s="19">
        <v>-1.6953128201102632</v>
      </c>
      <c r="BE301" s="14" t="s">
        <v>4857</v>
      </c>
    </row>
    <row r="302" spans="1:105" s="30" customFormat="1" ht="17.100000000000001" customHeight="1">
      <c r="A302" s="14">
        <v>291</v>
      </c>
      <c r="B302" s="14" t="s">
        <v>3245</v>
      </c>
      <c r="C302" s="32">
        <v>-1.2322508271981205</v>
      </c>
      <c r="D302" s="32">
        <v>-1.1702441479442429</v>
      </c>
      <c r="E302" s="32">
        <v>-1.2619746372528469</v>
      </c>
      <c r="F302" s="24">
        <v>33427.5</v>
      </c>
      <c r="G302" s="52" t="s">
        <v>2</v>
      </c>
      <c r="H302" s="32">
        <v>24.302531690891328</v>
      </c>
      <c r="I302" s="32">
        <v>25.84115047781393</v>
      </c>
      <c r="J302" s="12" t="s">
        <v>3246</v>
      </c>
      <c r="K302" s="12" t="s">
        <v>3247</v>
      </c>
      <c r="L302" s="14" t="s">
        <v>5095</v>
      </c>
      <c r="M302" s="12" t="s">
        <v>3248</v>
      </c>
      <c r="N302" s="15" t="s">
        <v>3249</v>
      </c>
      <c r="O302" s="12" t="s">
        <v>3250</v>
      </c>
      <c r="P302" s="12" t="s">
        <v>3251</v>
      </c>
      <c r="Q302" s="14">
        <v>2</v>
      </c>
      <c r="R302" s="21">
        <v>790.38030000000003</v>
      </c>
      <c r="S302" s="14">
        <v>2</v>
      </c>
      <c r="T302" s="52" t="s">
        <v>2</v>
      </c>
      <c r="U302" s="53">
        <v>42.626912499999996</v>
      </c>
      <c r="V302" s="24">
        <v>27853</v>
      </c>
      <c r="W302" s="24">
        <v>39002</v>
      </c>
      <c r="X302" s="24">
        <v>27129</v>
      </c>
      <c r="Y302" s="24">
        <v>22299</v>
      </c>
      <c r="Z302" s="24">
        <v>31427</v>
      </c>
      <c r="AA302" s="24">
        <v>28452</v>
      </c>
      <c r="AB302" s="24">
        <v>28590</v>
      </c>
      <c r="AC302" s="24">
        <v>19756</v>
      </c>
      <c r="AD302" s="24">
        <v>29070.75</v>
      </c>
      <c r="AE302" s="24">
        <v>27056.25</v>
      </c>
      <c r="AF302" s="24">
        <v>33427.5</v>
      </c>
      <c r="AG302" s="24">
        <v>24714</v>
      </c>
      <c r="AH302" s="24">
        <v>29939.5</v>
      </c>
      <c r="AI302" s="24">
        <v>24173</v>
      </c>
      <c r="AJ302" s="32">
        <v>24.302531690891328</v>
      </c>
      <c r="AK302" s="32">
        <v>18.687994290610213</v>
      </c>
      <c r="AL302" s="32">
        <v>23.583975778771425</v>
      </c>
      <c r="AM302" s="32">
        <v>13.819396913211236</v>
      </c>
      <c r="AN302" s="32">
        <v>7.0263119759180315</v>
      </c>
      <c r="AO302" s="32">
        <v>25.84115047781393</v>
      </c>
      <c r="AP302" s="19">
        <v>0.93070354222027296</v>
      </c>
      <c r="AQ302" s="19">
        <v>0.89565477525989079</v>
      </c>
      <c r="AR302" s="19">
        <v>0.97810957352108119</v>
      </c>
      <c r="AS302" s="19">
        <v>-0.10360639679066384</v>
      </c>
      <c r="AT302" s="19">
        <v>-0.15898533358012953</v>
      </c>
      <c r="AU302" s="19">
        <v>-3.1932001570221684E-2</v>
      </c>
      <c r="AV302" s="19">
        <v>-0.30129594947676441</v>
      </c>
      <c r="AW302" s="19">
        <v>-0.22680955056327923</v>
      </c>
      <c r="AX302" s="19">
        <v>-0.33568291580601461</v>
      </c>
      <c r="AY302" s="19">
        <v>-1.0744559944559944</v>
      </c>
      <c r="AZ302" s="19">
        <v>-1.1165016115833597</v>
      </c>
      <c r="BA302" s="19">
        <v>-1.0223803417035535</v>
      </c>
      <c r="BB302" s="19">
        <v>-1.2322508271981205</v>
      </c>
      <c r="BC302" s="19">
        <v>-1.1702441479442429</v>
      </c>
      <c r="BD302" s="19">
        <v>-1.2619746372528469</v>
      </c>
      <c r="BE302" s="14" t="s">
        <v>4857</v>
      </c>
    </row>
    <row r="303" spans="1:105" s="30" customFormat="1" ht="17.100000000000001" customHeight="1">
      <c r="A303" s="14">
        <v>292</v>
      </c>
      <c r="B303" s="14" t="s">
        <v>3252</v>
      </c>
      <c r="C303" s="32">
        <v>1.0423464770975555</v>
      </c>
      <c r="D303" s="32">
        <v>1.0031999190605807</v>
      </c>
      <c r="E303" s="32">
        <v>1.0768466972908992</v>
      </c>
      <c r="F303" s="24">
        <v>398454.5</v>
      </c>
      <c r="G303" s="52" t="s">
        <v>2</v>
      </c>
      <c r="H303" s="32">
        <v>19.128501872830803</v>
      </c>
      <c r="I303" s="32">
        <v>12.143279750132438</v>
      </c>
      <c r="J303" s="12" t="s">
        <v>3253</v>
      </c>
      <c r="K303" s="12" t="s">
        <v>3254</v>
      </c>
      <c r="L303" s="14" t="s">
        <v>3255</v>
      </c>
      <c r="M303" s="12" t="s">
        <v>3256</v>
      </c>
      <c r="N303" s="15" t="s">
        <v>3257</v>
      </c>
      <c r="O303" s="12" t="s">
        <v>3129</v>
      </c>
      <c r="P303" s="12" t="s">
        <v>3130</v>
      </c>
      <c r="Q303" s="14">
        <v>2</v>
      </c>
      <c r="R303" s="21">
        <v>577.86080000000004</v>
      </c>
      <c r="S303" s="14">
        <v>1</v>
      </c>
      <c r="T303" s="52" t="s">
        <v>2</v>
      </c>
      <c r="U303" s="53">
        <v>43.361712499999996</v>
      </c>
      <c r="V303" s="24">
        <v>302538</v>
      </c>
      <c r="W303" s="24">
        <v>254691</v>
      </c>
      <c r="X303" s="24">
        <v>289279</v>
      </c>
      <c r="Y303" s="24">
        <v>310259</v>
      </c>
      <c r="Z303" s="24">
        <v>306111</v>
      </c>
      <c r="AA303" s="24">
        <v>279809</v>
      </c>
      <c r="AB303" s="24">
        <v>369784</v>
      </c>
      <c r="AC303" s="24">
        <v>427125</v>
      </c>
      <c r="AD303" s="24">
        <v>289191.75</v>
      </c>
      <c r="AE303" s="24">
        <v>345707.25</v>
      </c>
      <c r="AF303" s="24">
        <v>278614.5</v>
      </c>
      <c r="AG303" s="24">
        <v>299769</v>
      </c>
      <c r="AH303" s="24">
        <v>292960</v>
      </c>
      <c r="AI303" s="24">
        <v>398454.5</v>
      </c>
      <c r="AJ303" s="32">
        <v>8.4989215126695044</v>
      </c>
      <c r="AK303" s="32">
        <v>19.128501872830803</v>
      </c>
      <c r="AL303" s="32">
        <v>12.143279750132438</v>
      </c>
      <c r="AM303" s="32">
        <v>4.9488440330033345</v>
      </c>
      <c r="AN303" s="32">
        <v>6.3484170394485853</v>
      </c>
      <c r="AO303" s="32">
        <v>10.175869500788124</v>
      </c>
      <c r="AP303" s="19">
        <v>1.195425699384578</v>
      </c>
      <c r="AQ303" s="19">
        <v>1.0514887057206284</v>
      </c>
      <c r="AR303" s="19">
        <v>1.3292051546357362</v>
      </c>
      <c r="AS303" s="19">
        <v>0.25752446341584634</v>
      </c>
      <c r="AT303" s="19">
        <v>7.2433353837310546E-2</v>
      </c>
      <c r="AU303" s="19">
        <v>0.41056379290107947</v>
      </c>
      <c r="AV303" s="19">
        <v>5.9834910729745783E-2</v>
      </c>
      <c r="AW303" s="19">
        <v>4.6091368541608391E-3</v>
      </c>
      <c r="AX303" s="19">
        <v>0.10681287866528655</v>
      </c>
      <c r="AY303" s="19">
        <v>1.195425699384578</v>
      </c>
      <c r="AZ303" s="19">
        <v>1.0514887057206284</v>
      </c>
      <c r="BA303" s="19">
        <v>1.3292051546357362</v>
      </c>
      <c r="BB303" s="19">
        <v>1.0423464770975555</v>
      </c>
      <c r="BC303" s="19">
        <v>1.0031999190605807</v>
      </c>
      <c r="BD303" s="19">
        <v>1.0768466972908992</v>
      </c>
      <c r="BE303" s="14" t="s">
        <v>4857</v>
      </c>
    </row>
    <row r="304" spans="1:105" ht="17.100000000000001" customHeight="1">
      <c r="A304" s="14">
        <v>293</v>
      </c>
      <c r="B304" s="14" t="s">
        <v>3131</v>
      </c>
      <c r="C304" s="32">
        <v>-1.2195677122409643</v>
      </c>
      <c r="D304" s="32">
        <v>-1.4112963430912286</v>
      </c>
      <c r="E304" s="32">
        <v>-1.101343216602759</v>
      </c>
      <c r="F304" s="24">
        <v>48026</v>
      </c>
      <c r="G304" s="52" t="s">
        <v>2</v>
      </c>
      <c r="H304" s="32">
        <v>29.257933953855147</v>
      </c>
      <c r="I304" s="32">
        <v>30.042673585872638</v>
      </c>
      <c r="J304" s="12" t="s">
        <v>3132</v>
      </c>
      <c r="K304" s="12" t="s">
        <v>3133</v>
      </c>
      <c r="L304" s="14" t="s">
        <v>5003</v>
      </c>
      <c r="M304" s="12" t="s">
        <v>3134</v>
      </c>
      <c r="N304" s="15" t="s">
        <v>3135</v>
      </c>
      <c r="O304" s="12" t="s">
        <v>3136</v>
      </c>
      <c r="P304" s="12" t="s">
        <v>3137</v>
      </c>
      <c r="Q304" s="14">
        <v>2</v>
      </c>
      <c r="R304" s="21">
        <v>711.82449999999994</v>
      </c>
      <c r="S304" s="14">
        <v>4</v>
      </c>
      <c r="T304" s="52" t="s">
        <v>2</v>
      </c>
      <c r="U304" s="53">
        <v>41.642699999999998</v>
      </c>
      <c r="V304" s="24">
        <v>46667</v>
      </c>
      <c r="W304" s="24">
        <v>31526</v>
      </c>
      <c r="X304" s="24">
        <v>33748</v>
      </c>
      <c r="Y304" s="24">
        <v>51954</v>
      </c>
      <c r="Z304" s="24">
        <v>30189</v>
      </c>
      <c r="AA304" s="24">
        <v>27883</v>
      </c>
      <c r="AB304" s="24">
        <v>51025</v>
      </c>
      <c r="AC304" s="24">
        <v>45027</v>
      </c>
      <c r="AD304" s="24">
        <v>40973.75</v>
      </c>
      <c r="AE304" s="24">
        <v>38531</v>
      </c>
      <c r="AF304" s="24">
        <v>39096.5</v>
      </c>
      <c r="AG304" s="24">
        <v>42851</v>
      </c>
      <c r="AH304" s="24">
        <v>29036</v>
      </c>
      <c r="AI304" s="24">
        <v>48026</v>
      </c>
      <c r="AJ304" s="32">
        <v>24.179079036550892</v>
      </c>
      <c r="AK304" s="32">
        <v>29.257933953855147</v>
      </c>
      <c r="AL304" s="32">
        <v>27.384302364522441</v>
      </c>
      <c r="AM304" s="32">
        <v>30.042673585872638</v>
      </c>
      <c r="AN304" s="32">
        <v>5.6157467881808056</v>
      </c>
      <c r="AO304" s="32">
        <v>8.8311049713840681</v>
      </c>
      <c r="AP304" s="19">
        <v>0.94038256200616244</v>
      </c>
      <c r="AQ304" s="19">
        <v>0.74267517552722107</v>
      </c>
      <c r="AR304" s="19">
        <v>1.1207673099810973</v>
      </c>
      <c r="AS304" s="19">
        <v>-8.8680308278911199E-2</v>
      </c>
      <c r="AT304" s="19">
        <v>-0.42919673893108812</v>
      </c>
      <c r="AU304" s="19">
        <v>0.16448678163801891</v>
      </c>
      <c r="AV304" s="19">
        <v>-0.28636986096501177</v>
      </c>
      <c r="AW304" s="19">
        <v>-0.49702095591423784</v>
      </c>
      <c r="AX304" s="19">
        <v>-0.13926413259777401</v>
      </c>
      <c r="AY304" s="19">
        <v>-1.0633970050089538</v>
      </c>
      <c r="AZ304" s="19">
        <v>-1.3464836754373881</v>
      </c>
      <c r="BA304" s="19">
        <v>1.1207673099810973</v>
      </c>
      <c r="BB304" s="19">
        <v>-1.2195677122409643</v>
      </c>
      <c r="BC304" s="19">
        <v>-1.4112963430912286</v>
      </c>
      <c r="BD304" s="19">
        <v>-1.101343216602759</v>
      </c>
      <c r="BE304" s="14" t="s">
        <v>4857</v>
      </c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s="30" customFormat="1" ht="17.100000000000001" customHeight="1">
      <c r="A305" s="14">
        <v>294</v>
      </c>
      <c r="B305" s="14" t="s">
        <v>3138</v>
      </c>
      <c r="C305" s="32">
        <v>-1.3508838685947517</v>
      </c>
      <c r="D305" s="32">
        <v>-1.7640758664262652</v>
      </c>
      <c r="E305" s="32">
        <v>-1.1717993215335727</v>
      </c>
      <c r="F305" s="24">
        <v>110400.5</v>
      </c>
      <c r="G305" s="52" t="s">
        <v>2</v>
      </c>
      <c r="H305" s="32">
        <v>57.039355900149204</v>
      </c>
      <c r="I305" s="32">
        <v>101.42940223638395</v>
      </c>
      <c r="J305" s="12" t="s">
        <v>3139</v>
      </c>
      <c r="K305" s="12" t="s">
        <v>3140</v>
      </c>
      <c r="L305" s="14" t="s">
        <v>4970</v>
      </c>
      <c r="M305" s="12" t="s">
        <v>3141</v>
      </c>
      <c r="N305" s="15" t="s">
        <v>3142</v>
      </c>
      <c r="O305" s="12" t="s">
        <v>3143</v>
      </c>
      <c r="P305" s="12" t="s">
        <v>3144</v>
      </c>
      <c r="Q305" s="14">
        <v>2</v>
      </c>
      <c r="R305" s="21">
        <v>466.2534</v>
      </c>
      <c r="S305" s="14">
        <v>4</v>
      </c>
      <c r="T305" s="52" t="s">
        <v>2</v>
      </c>
      <c r="U305" s="53">
        <v>29.622299999999999</v>
      </c>
      <c r="V305" s="24">
        <v>84595</v>
      </c>
      <c r="W305" s="24">
        <v>83553</v>
      </c>
      <c r="X305" s="24">
        <v>126727</v>
      </c>
      <c r="Y305" s="24">
        <v>82885</v>
      </c>
      <c r="Z305" s="24">
        <v>14126</v>
      </c>
      <c r="AA305" s="24">
        <v>85780</v>
      </c>
      <c r="AB305" s="24">
        <v>105239</v>
      </c>
      <c r="AC305" s="24">
        <v>115562</v>
      </c>
      <c r="AD305" s="24">
        <v>94440</v>
      </c>
      <c r="AE305" s="24">
        <v>80176.75</v>
      </c>
      <c r="AF305" s="24">
        <v>84074</v>
      </c>
      <c r="AG305" s="24">
        <v>104806</v>
      </c>
      <c r="AH305" s="24">
        <v>49953</v>
      </c>
      <c r="AI305" s="24">
        <v>110400.5</v>
      </c>
      <c r="AJ305" s="32">
        <v>22.804071198259855</v>
      </c>
      <c r="AK305" s="32">
        <v>57.039355900149204</v>
      </c>
      <c r="AL305" s="32">
        <v>0.87637707971118595</v>
      </c>
      <c r="AM305" s="32">
        <v>29.579390016583606</v>
      </c>
      <c r="AN305" s="32">
        <v>101.42940223638395</v>
      </c>
      <c r="AO305" s="32">
        <v>6.6118027564990465</v>
      </c>
      <c r="AP305" s="19">
        <v>0.84897024565861923</v>
      </c>
      <c r="AQ305" s="19">
        <v>0.59415514903537359</v>
      </c>
      <c r="AR305" s="19">
        <v>1.0533795775051047</v>
      </c>
      <c r="AS305" s="19">
        <v>-0.23621410317380687</v>
      </c>
      <c r="AT305" s="19">
        <v>-0.75108839026338481</v>
      </c>
      <c r="AU305" s="19">
        <v>7.50253944908576E-2</v>
      </c>
      <c r="AV305" s="19">
        <v>-0.43390365585990742</v>
      </c>
      <c r="AW305" s="19">
        <v>-0.81891260724653447</v>
      </c>
      <c r="AX305" s="19">
        <v>-0.22872551974493532</v>
      </c>
      <c r="AY305" s="19">
        <v>-1.1778975825286009</v>
      </c>
      <c r="AZ305" s="19">
        <v>-1.6830620783536525</v>
      </c>
      <c r="BA305" s="19">
        <v>1.0533795775051047</v>
      </c>
      <c r="BB305" s="19">
        <v>-1.3508838685947517</v>
      </c>
      <c r="BC305" s="19">
        <v>-1.7640758664262652</v>
      </c>
      <c r="BD305" s="19">
        <v>-1.1717993215335727</v>
      </c>
      <c r="BE305" s="14" t="s">
        <v>4857</v>
      </c>
    </row>
    <row r="306" spans="1:105" s="30" customFormat="1" ht="17.100000000000001" customHeight="1">
      <c r="A306" s="14">
        <v>295</v>
      </c>
      <c r="B306" s="14" t="s">
        <v>3145</v>
      </c>
      <c r="C306" s="32">
        <v>-1.4329198569992305</v>
      </c>
      <c r="D306" s="32">
        <v>-1.4932785140286697</v>
      </c>
      <c r="E306" s="32">
        <v>-1.4086971805725614</v>
      </c>
      <c r="F306" s="24">
        <v>130893</v>
      </c>
      <c r="G306" s="52" t="s">
        <v>2</v>
      </c>
      <c r="H306" s="32">
        <v>29.932690994903211</v>
      </c>
      <c r="I306" s="32">
        <v>35.247025467593744</v>
      </c>
      <c r="J306" s="12" t="s">
        <v>3146</v>
      </c>
      <c r="K306" s="12" t="s">
        <v>3147</v>
      </c>
      <c r="L306" s="14" t="s">
        <v>4646</v>
      </c>
      <c r="M306" s="12" t="s">
        <v>3148</v>
      </c>
      <c r="N306" s="15" t="s">
        <v>3149</v>
      </c>
      <c r="O306" s="12" t="s">
        <v>3150</v>
      </c>
      <c r="P306" s="12" t="s">
        <v>3151</v>
      </c>
      <c r="Q306" s="14">
        <v>2</v>
      </c>
      <c r="R306" s="21">
        <v>974.49220000000003</v>
      </c>
      <c r="S306" s="14">
        <v>3</v>
      </c>
      <c r="T306" s="52" t="s">
        <v>2</v>
      </c>
      <c r="U306" s="53">
        <v>57.154737499999996</v>
      </c>
      <c r="V306" s="24">
        <v>117860</v>
      </c>
      <c r="W306" s="24">
        <v>83852</v>
      </c>
      <c r="X306" s="24">
        <v>163516</v>
      </c>
      <c r="Y306" s="24">
        <v>98270</v>
      </c>
      <c r="Z306" s="24">
        <v>70790</v>
      </c>
      <c r="AA306" s="24">
        <v>70792</v>
      </c>
      <c r="AB306" s="24">
        <v>125690</v>
      </c>
      <c r="AC306" s="24">
        <v>103696</v>
      </c>
      <c r="AD306" s="24">
        <v>115874.5</v>
      </c>
      <c r="AE306" s="24">
        <v>92742</v>
      </c>
      <c r="AF306" s="24">
        <v>100856</v>
      </c>
      <c r="AG306" s="24">
        <v>130893</v>
      </c>
      <c r="AH306" s="24">
        <v>70791</v>
      </c>
      <c r="AI306" s="24">
        <v>114693</v>
      </c>
      <c r="AJ306" s="32">
        <v>29.932690994903211</v>
      </c>
      <c r="AK306" s="32">
        <v>28.994664053560342</v>
      </c>
      <c r="AL306" s="32">
        <v>23.843189710668781</v>
      </c>
      <c r="AM306" s="32">
        <v>35.247025467593744</v>
      </c>
      <c r="AN306" s="32">
        <v>1.9977307318346897E-3</v>
      </c>
      <c r="AO306" s="32">
        <v>13.559769598333748</v>
      </c>
      <c r="AP306" s="19">
        <v>0.80036591312152372</v>
      </c>
      <c r="AQ306" s="19">
        <v>0.7019017212659634</v>
      </c>
      <c r="AR306" s="19">
        <v>0.8762347871925924</v>
      </c>
      <c r="AS306" s="19">
        <v>-0.32126836944496279</v>
      </c>
      <c r="AT306" s="19">
        <v>-0.51065905320090954</v>
      </c>
      <c r="AU306" s="19">
        <v>-0.19061060299072044</v>
      </c>
      <c r="AV306" s="19">
        <v>-0.5189579221310634</v>
      </c>
      <c r="AW306" s="19">
        <v>-0.57848327018405921</v>
      </c>
      <c r="AX306" s="19">
        <v>-0.49436151722651334</v>
      </c>
      <c r="AY306" s="19">
        <v>-1.2494285221366803</v>
      </c>
      <c r="AZ306" s="19">
        <v>-1.4247008800553742</v>
      </c>
      <c r="BA306" s="19">
        <v>-1.1412466323140906</v>
      </c>
      <c r="BB306" s="19">
        <v>-1.4329198569992305</v>
      </c>
      <c r="BC306" s="19">
        <v>-1.4932785140286697</v>
      </c>
      <c r="BD306" s="19">
        <v>-1.4086971805725614</v>
      </c>
      <c r="BE306" s="14" t="s">
        <v>4857</v>
      </c>
    </row>
    <row r="307" spans="1:105" s="30" customFormat="1" ht="17.100000000000001" customHeight="1">
      <c r="A307" s="14">
        <v>296</v>
      </c>
      <c r="B307" s="14" t="s">
        <v>3152</v>
      </c>
      <c r="C307" s="32">
        <v>-1.0433400704898956</v>
      </c>
      <c r="D307" s="32">
        <v>1.0092574799778733</v>
      </c>
      <c r="E307" s="32">
        <v>-1.0882557982538714</v>
      </c>
      <c r="F307" s="24">
        <v>90130</v>
      </c>
      <c r="G307" s="52" t="s">
        <v>2</v>
      </c>
      <c r="H307" s="32">
        <v>23.793455958050956</v>
      </c>
      <c r="I307" s="32">
        <v>33.201131646194227</v>
      </c>
      <c r="J307" s="12" t="s">
        <v>3146</v>
      </c>
      <c r="K307" s="12" t="s">
        <v>3147</v>
      </c>
      <c r="L307" s="14" t="s">
        <v>4998</v>
      </c>
      <c r="M307" s="12" t="s">
        <v>3148</v>
      </c>
      <c r="N307" s="15" t="s">
        <v>3149</v>
      </c>
      <c r="O307" s="12" t="s">
        <v>3150</v>
      </c>
      <c r="P307" s="12" t="s">
        <v>3153</v>
      </c>
      <c r="Q307" s="14">
        <v>3</v>
      </c>
      <c r="R307" s="21">
        <v>505.93529999999998</v>
      </c>
      <c r="S307" s="14">
        <v>3</v>
      </c>
      <c r="T307" s="52" t="s">
        <v>2</v>
      </c>
      <c r="U307" s="53">
        <v>45.099662500000008</v>
      </c>
      <c r="V307" s="24">
        <v>68477</v>
      </c>
      <c r="W307" s="24">
        <v>66037</v>
      </c>
      <c r="X307" s="24">
        <v>83830</v>
      </c>
      <c r="Y307" s="24">
        <v>75095</v>
      </c>
      <c r="Z307" s="24">
        <v>54444</v>
      </c>
      <c r="AA307" s="24">
        <v>87850</v>
      </c>
      <c r="AB307" s="24">
        <v>99775</v>
      </c>
      <c r="AC307" s="24">
        <v>80485</v>
      </c>
      <c r="AD307" s="24">
        <v>73359.75</v>
      </c>
      <c r="AE307" s="24">
        <v>80638.5</v>
      </c>
      <c r="AF307" s="24">
        <v>67257</v>
      </c>
      <c r="AG307" s="24">
        <v>79462.5</v>
      </c>
      <c r="AH307" s="24">
        <v>71147</v>
      </c>
      <c r="AI307" s="24">
        <v>90130</v>
      </c>
      <c r="AJ307" s="32">
        <v>10.851103196954915</v>
      </c>
      <c r="AK307" s="32">
        <v>23.793455958050956</v>
      </c>
      <c r="AL307" s="32">
        <v>2.5652951307598855</v>
      </c>
      <c r="AM307" s="32">
        <v>7.772946652401437</v>
      </c>
      <c r="AN307" s="32">
        <v>33.201131646194227</v>
      </c>
      <c r="AO307" s="32">
        <v>15.133795416718632</v>
      </c>
      <c r="AP307" s="19">
        <v>1.0992199400897631</v>
      </c>
      <c r="AQ307" s="19">
        <v>1.0578378458747788</v>
      </c>
      <c r="AR307" s="19">
        <v>1.1342457133868178</v>
      </c>
      <c r="AS307" s="19">
        <v>0.13648008030912603</v>
      </c>
      <c r="AT307" s="19">
        <v>8.111849618402947E-2</v>
      </c>
      <c r="AU307" s="19">
        <v>0.18173320737455889</v>
      </c>
      <c r="AV307" s="19">
        <v>-6.1209472376974522E-2</v>
      </c>
      <c r="AW307" s="19">
        <v>1.3294279200879763E-2</v>
      </c>
      <c r="AX307" s="19">
        <v>-0.12201770686123403</v>
      </c>
      <c r="AY307" s="19">
        <v>1.0992199400897631</v>
      </c>
      <c r="AZ307" s="19">
        <v>1.0578378458747788</v>
      </c>
      <c r="BA307" s="19">
        <v>1.1342457133868178</v>
      </c>
      <c r="BB307" s="19">
        <v>-1.0433400704898956</v>
      </c>
      <c r="BC307" s="19">
        <v>1.0092574799778733</v>
      </c>
      <c r="BD307" s="19">
        <v>-1.0882557982538714</v>
      </c>
      <c r="BE307" s="14" t="s">
        <v>4857</v>
      </c>
    </row>
    <row r="308" spans="1:105" s="30" customFormat="1" ht="17.100000000000001" customHeight="1">
      <c r="A308" s="14">
        <v>297</v>
      </c>
      <c r="B308" s="14" t="s">
        <v>3154</v>
      </c>
      <c r="C308" s="32">
        <v>1.0051451189645859</v>
      </c>
      <c r="D308" s="32">
        <v>-1.071499430467689</v>
      </c>
      <c r="E308" s="32">
        <v>1.078787738436354</v>
      </c>
      <c r="F308" s="24">
        <v>936288</v>
      </c>
      <c r="G308" s="52" t="s">
        <v>2</v>
      </c>
      <c r="H308" s="32">
        <v>16.620820316023302</v>
      </c>
      <c r="I308" s="32">
        <v>11.509161839151343</v>
      </c>
      <c r="J308" s="12" t="s">
        <v>3155</v>
      </c>
      <c r="K308" s="12" t="s">
        <v>3156</v>
      </c>
      <c r="L308" s="14" t="s">
        <v>5215</v>
      </c>
      <c r="M308" s="12" t="s">
        <v>3157</v>
      </c>
      <c r="N308" s="15" t="s">
        <v>3158</v>
      </c>
      <c r="O308" s="12" t="s">
        <v>3159</v>
      </c>
      <c r="P308" s="12" t="s">
        <v>3160</v>
      </c>
      <c r="Q308" s="14">
        <v>3</v>
      </c>
      <c r="R308" s="21">
        <v>523.95230000000004</v>
      </c>
      <c r="S308" s="14">
        <v>10</v>
      </c>
      <c r="T308" s="52" t="s">
        <v>2</v>
      </c>
      <c r="U308" s="53">
        <v>67.298037500000007</v>
      </c>
      <c r="V308" s="24">
        <v>778966</v>
      </c>
      <c r="W308" s="24">
        <v>661720</v>
      </c>
      <c r="X308" s="24">
        <v>743440</v>
      </c>
      <c r="Y308" s="24">
        <v>662819</v>
      </c>
      <c r="Z308" s="24">
        <v>672045</v>
      </c>
      <c r="AA308" s="24">
        <v>737226</v>
      </c>
      <c r="AB308" s="24">
        <v>937030</v>
      </c>
      <c r="AC308" s="24">
        <v>935546</v>
      </c>
      <c r="AD308" s="24">
        <v>711736.25</v>
      </c>
      <c r="AE308" s="24">
        <v>820461.75</v>
      </c>
      <c r="AF308" s="24">
        <v>720343</v>
      </c>
      <c r="AG308" s="24">
        <v>703129.5</v>
      </c>
      <c r="AH308" s="24">
        <v>704635.5</v>
      </c>
      <c r="AI308" s="24">
        <v>936288</v>
      </c>
      <c r="AJ308" s="32">
        <v>8.2802511732424513</v>
      </c>
      <c r="AK308" s="32">
        <v>16.620820316023302</v>
      </c>
      <c r="AL308" s="32">
        <v>11.509161839151343</v>
      </c>
      <c r="AM308" s="32">
        <v>8.1077036031116094</v>
      </c>
      <c r="AN308" s="32">
        <v>6.5409601282535954</v>
      </c>
      <c r="AO308" s="32">
        <v>0.11207518020959753</v>
      </c>
      <c r="AP308" s="19">
        <v>1.1527609419922056</v>
      </c>
      <c r="AQ308" s="19">
        <v>0.97819441571584653</v>
      </c>
      <c r="AR308" s="19">
        <v>1.3316010777531024</v>
      </c>
      <c r="AS308" s="19">
        <v>0.20509335985781887</v>
      </c>
      <c r="AT308" s="19">
        <v>-3.180686619821789E-2</v>
      </c>
      <c r="AU308" s="19">
        <v>0.41316194326010408</v>
      </c>
      <c r="AV308" s="19">
        <v>7.4038071717183185E-3</v>
      </c>
      <c r="AW308" s="19">
        <v>-9.9631083181367597E-2</v>
      </c>
      <c r="AX308" s="19">
        <v>0.10941102902431116</v>
      </c>
      <c r="AY308" s="19">
        <v>1.1527609419922056</v>
      </c>
      <c r="AZ308" s="19">
        <v>-1.0222916671101583</v>
      </c>
      <c r="BA308" s="19">
        <v>1.3316010777531024</v>
      </c>
      <c r="BB308" s="19">
        <v>1.0051451189645859</v>
      </c>
      <c r="BC308" s="19">
        <v>-1.071499430467689</v>
      </c>
      <c r="BD308" s="19">
        <v>1.078787738436354</v>
      </c>
      <c r="BE308" s="14" t="s">
        <v>4857</v>
      </c>
    </row>
    <row r="309" spans="1:105" s="30" customFormat="1" ht="17.100000000000001" customHeight="1">
      <c r="A309" s="31">
        <v>298</v>
      </c>
      <c r="B309" s="11" t="s">
        <v>3162</v>
      </c>
      <c r="C309" s="57"/>
      <c r="D309" s="57"/>
      <c r="E309" s="57"/>
      <c r="F309" s="27"/>
      <c r="G309" s="54"/>
      <c r="H309" s="57"/>
      <c r="I309" s="57"/>
      <c r="J309" s="13"/>
      <c r="K309" s="13"/>
      <c r="L309" s="13"/>
      <c r="M309" s="13"/>
      <c r="N309" s="13"/>
      <c r="O309" s="13"/>
      <c r="P309" s="13"/>
      <c r="Q309" s="13"/>
      <c r="R309" s="22"/>
      <c r="S309" s="18"/>
      <c r="T309" s="54"/>
      <c r="U309" s="5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57"/>
      <c r="AK309" s="57"/>
      <c r="AL309" s="57"/>
      <c r="AM309" s="57"/>
      <c r="AN309" s="57"/>
      <c r="AO309" s="5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13"/>
    </row>
    <row r="310" spans="1:105" s="30" customFormat="1" ht="17.100000000000001" customHeight="1">
      <c r="A310" s="14">
        <v>299</v>
      </c>
      <c r="B310" s="14" t="s">
        <v>3163</v>
      </c>
      <c r="C310" s="32">
        <v>1.0000093098889635</v>
      </c>
      <c r="D310" s="32">
        <v>1.0422629636829253</v>
      </c>
      <c r="E310" s="32">
        <v>-1.0353317482160416</v>
      </c>
      <c r="F310" s="24">
        <v>197407</v>
      </c>
      <c r="G310" s="52" t="s">
        <v>2</v>
      </c>
      <c r="H310" s="32">
        <v>18.936313325579682</v>
      </c>
      <c r="I310" s="32">
        <v>22.293213575473235</v>
      </c>
      <c r="J310" s="12" t="s">
        <v>3164</v>
      </c>
      <c r="K310" s="15" t="s">
        <v>3165</v>
      </c>
      <c r="L310" s="14" t="s">
        <v>5246</v>
      </c>
      <c r="M310" s="12" t="s">
        <v>3165</v>
      </c>
      <c r="N310" s="15" t="s">
        <v>3166</v>
      </c>
      <c r="O310" s="12" t="s">
        <v>3167</v>
      </c>
      <c r="P310" s="12" t="s">
        <v>3168</v>
      </c>
      <c r="Q310" s="14">
        <v>2</v>
      </c>
      <c r="R310" s="21">
        <v>785.89099999999996</v>
      </c>
      <c r="S310" s="14">
        <v>4</v>
      </c>
      <c r="T310" s="52" t="s">
        <v>2</v>
      </c>
      <c r="U310" s="53">
        <v>63.738862499999996</v>
      </c>
      <c r="V310" s="24">
        <v>116204</v>
      </c>
      <c r="W310" s="24">
        <v>159696</v>
      </c>
      <c r="X310" s="24">
        <v>166725</v>
      </c>
      <c r="Y310" s="24">
        <v>164432</v>
      </c>
      <c r="Z310" s="24">
        <v>167880</v>
      </c>
      <c r="AA310" s="24">
        <v>133522</v>
      </c>
      <c r="AB310" s="24">
        <v>181798</v>
      </c>
      <c r="AC310" s="24">
        <v>213016</v>
      </c>
      <c r="AD310" s="24">
        <v>151764.25</v>
      </c>
      <c r="AE310" s="24">
        <v>174054</v>
      </c>
      <c r="AF310" s="24">
        <v>137950</v>
      </c>
      <c r="AG310" s="24">
        <v>165578.5</v>
      </c>
      <c r="AH310" s="24">
        <v>150701</v>
      </c>
      <c r="AI310" s="24">
        <v>197407</v>
      </c>
      <c r="AJ310" s="32">
        <v>15.739422314234023</v>
      </c>
      <c r="AK310" s="32">
        <v>18.936313325579682</v>
      </c>
      <c r="AL310" s="32">
        <v>22.293213575473235</v>
      </c>
      <c r="AM310" s="32">
        <v>0.97923090815580127</v>
      </c>
      <c r="AN310" s="32">
        <v>16.121176891996335</v>
      </c>
      <c r="AO310" s="32">
        <v>11.182207062100959</v>
      </c>
      <c r="AP310" s="19">
        <v>1.1468708869183619</v>
      </c>
      <c r="AQ310" s="19">
        <v>1.0924320405944183</v>
      </c>
      <c r="AR310" s="19">
        <v>1.1922260438402328</v>
      </c>
      <c r="AS310" s="19">
        <v>0.19770298395421768</v>
      </c>
      <c r="AT310" s="19">
        <v>0.12754353350436706</v>
      </c>
      <c r="AU310" s="19">
        <v>0.25365779403013161</v>
      </c>
      <c r="AV310" s="19">
        <v>1.3431268117120032E-5</v>
      </c>
      <c r="AW310" s="19">
        <v>5.9719316521217355E-2</v>
      </c>
      <c r="AX310" s="19">
        <v>-5.0093120205661312E-2</v>
      </c>
      <c r="AY310" s="19">
        <v>1.1468708869183619</v>
      </c>
      <c r="AZ310" s="19">
        <v>1.0924320405944183</v>
      </c>
      <c r="BA310" s="19">
        <v>1.1922260438402328</v>
      </c>
      <c r="BB310" s="19">
        <v>1.0000093098889635</v>
      </c>
      <c r="BC310" s="19">
        <v>1.0422629636829253</v>
      </c>
      <c r="BD310" s="19">
        <v>-1.0353317482160416</v>
      </c>
      <c r="BE310" s="14" t="s">
        <v>4857</v>
      </c>
    </row>
    <row r="311" spans="1:105" s="30" customFormat="1" ht="17.100000000000001" customHeight="1">
      <c r="A311" s="14">
        <v>300</v>
      </c>
      <c r="B311" s="14" t="s">
        <v>3169</v>
      </c>
      <c r="C311" s="32">
        <v>1.4366653798258209</v>
      </c>
      <c r="D311" s="32">
        <v>1.66147858909825</v>
      </c>
      <c r="E311" s="32">
        <v>1.2950867589984569</v>
      </c>
      <c r="F311" s="24">
        <v>417120</v>
      </c>
      <c r="G311" s="52" t="s">
        <v>2</v>
      </c>
      <c r="H311" s="32">
        <v>36.634329596155389</v>
      </c>
      <c r="I311" s="32">
        <v>14.863499759863172</v>
      </c>
      <c r="J311" s="12" t="s">
        <v>3164</v>
      </c>
      <c r="K311" s="15" t="s">
        <v>3165</v>
      </c>
      <c r="L311" s="14" t="s">
        <v>5320</v>
      </c>
      <c r="M311" s="12" t="s">
        <v>3165</v>
      </c>
      <c r="N311" s="15" t="s">
        <v>3166</v>
      </c>
      <c r="O311" s="12" t="s">
        <v>3167</v>
      </c>
      <c r="P311" s="12" t="s">
        <v>3170</v>
      </c>
      <c r="Q311" s="14">
        <v>3</v>
      </c>
      <c r="R311" s="21">
        <v>558.31380000000001</v>
      </c>
      <c r="S311" s="14">
        <v>2</v>
      </c>
      <c r="T311" s="52" t="s">
        <v>2</v>
      </c>
      <c r="U311" s="53">
        <v>52.086312499999991</v>
      </c>
      <c r="V311" s="24">
        <v>122143</v>
      </c>
      <c r="W311" s="24">
        <v>150833</v>
      </c>
      <c r="X311" s="24">
        <v>260558</v>
      </c>
      <c r="Y311" s="24">
        <v>261302</v>
      </c>
      <c r="Z311" s="24">
        <v>235355</v>
      </c>
      <c r="AA311" s="24">
        <v>240020</v>
      </c>
      <c r="AB311" s="24">
        <v>424542</v>
      </c>
      <c r="AC311" s="24">
        <v>409698</v>
      </c>
      <c r="AD311" s="24">
        <v>198709</v>
      </c>
      <c r="AE311" s="24">
        <v>327403.75</v>
      </c>
      <c r="AF311" s="24">
        <v>136488</v>
      </c>
      <c r="AG311" s="24">
        <v>260930</v>
      </c>
      <c r="AH311" s="24">
        <v>237687.5</v>
      </c>
      <c r="AI311" s="24">
        <v>417120</v>
      </c>
      <c r="AJ311" s="32">
        <v>36.634329596155389</v>
      </c>
      <c r="AK311" s="32">
        <v>31.700911416041411</v>
      </c>
      <c r="AL311" s="32">
        <v>14.863499759863172</v>
      </c>
      <c r="AM311" s="32">
        <v>0.20162014532740252</v>
      </c>
      <c r="AN311" s="32">
        <v>1.3878109426180361</v>
      </c>
      <c r="AO311" s="32">
        <v>2.5163725210810108</v>
      </c>
      <c r="AP311" s="19">
        <v>1.647654358886613</v>
      </c>
      <c r="AQ311" s="19">
        <v>1.7414534611101342</v>
      </c>
      <c r="AR311" s="19">
        <v>1.5985896600620857</v>
      </c>
      <c r="AS311" s="19">
        <v>0.72041362903820083</v>
      </c>
      <c r="AT311" s="19">
        <v>0.80029191861929017</v>
      </c>
      <c r="AU311" s="19">
        <v>0.6767996627918047</v>
      </c>
      <c r="AV311" s="19">
        <v>0.52272407635210028</v>
      </c>
      <c r="AW311" s="19">
        <v>0.7324677016361405</v>
      </c>
      <c r="AX311" s="19">
        <v>0.37304874855601178</v>
      </c>
      <c r="AY311" s="19">
        <v>1.647654358886613</v>
      </c>
      <c r="AZ311" s="19">
        <v>1.7414534611101342</v>
      </c>
      <c r="BA311" s="19">
        <v>1.5985896600620857</v>
      </c>
      <c r="BB311" s="19">
        <v>1.4366653798258209</v>
      </c>
      <c r="BC311" s="19">
        <v>1.66147858909825</v>
      </c>
      <c r="BD311" s="19">
        <v>1.2950867589984569</v>
      </c>
      <c r="BE311" s="14" t="s">
        <v>4857</v>
      </c>
    </row>
    <row r="312" spans="1:105" s="30" customFormat="1" ht="17.100000000000001" customHeight="1">
      <c r="A312" s="14">
        <v>301</v>
      </c>
      <c r="B312" s="14" t="s">
        <v>3171</v>
      </c>
      <c r="C312" s="32">
        <v>-1.143710730974312</v>
      </c>
      <c r="D312" s="32">
        <v>-1.1001336627558107</v>
      </c>
      <c r="E312" s="32">
        <v>-1.1872802635173609</v>
      </c>
      <c r="F312" s="24">
        <v>76050</v>
      </c>
      <c r="G312" s="52" t="s">
        <v>2</v>
      </c>
      <c r="H312" s="32">
        <v>24.943681378530176</v>
      </c>
      <c r="I312" s="32">
        <v>13.667941727077249</v>
      </c>
      <c r="J312" s="12" t="s">
        <v>3172</v>
      </c>
      <c r="K312" s="12" t="s">
        <v>3173</v>
      </c>
      <c r="L312" s="14" t="s">
        <v>3228</v>
      </c>
      <c r="M312" s="12" t="s">
        <v>3174</v>
      </c>
      <c r="N312" s="15" t="s">
        <v>3175</v>
      </c>
      <c r="O312" s="12" t="s">
        <v>3176</v>
      </c>
      <c r="P312" s="12" t="s">
        <v>3177</v>
      </c>
      <c r="Q312" s="14">
        <v>2</v>
      </c>
      <c r="R312" s="21">
        <v>586.82640000000004</v>
      </c>
      <c r="S312" s="14">
        <v>1</v>
      </c>
      <c r="T312" s="52" t="s">
        <v>2</v>
      </c>
      <c r="U312" s="53">
        <v>55.51</v>
      </c>
      <c r="V312" s="24">
        <v>50100</v>
      </c>
      <c r="W312" s="24">
        <v>57800</v>
      </c>
      <c r="X312" s="24">
        <v>79700</v>
      </c>
      <c r="Y312" s="24">
        <v>66600</v>
      </c>
      <c r="Z312" s="24">
        <v>46800</v>
      </c>
      <c r="AA312" s="24">
        <v>56000</v>
      </c>
      <c r="AB312" s="24">
        <v>83400</v>
      </c>
      <c r="AC312" s="24">
        <v>68700</v>
      </c>
      <c r="AD312" s="24">
        <v>63550</v>
      </c>
      <c r="AE312" s="24">
        <v>63725</v>
      </c>
      <c r="AF312" s="24">
        <v>53950</v>
      </c>
      <c r="AG312" s="24">
        <v>73150</v>
      </c>
      <c r="AH312" s="24">
        <v>51400</v>
      </c>
      <c r="AI312" s="24">
        <v>76050</v>
      </c>
      <c r="AJ312" s="32">
        <v>19.98880694100718</v>
      </c>
      <c r="AK312" s="32">
        <v>24.943681378530176</v>
      </c>
      <c r="AL312" s="32">
        <v>10.09216351276444</v>
      </c>
      <c r="AM312" s="32">
        <v>12.663156300128191</v>
      </c>
      <c r="AN312" s="32">
        <v>12.656385966763107</v>
      </c>
      <c r="AO312" s="32">
        <v>13.667941727077249</v>
      </c>
      <c r="AP312" s="19">
        <v>1.0027537372147914</v>
      </c>
      <c r="AQ312" s="19">
        <v>0.95273401297497684</v>
      </c>
      <c r="AR312" s="19">
        <v>1.0396445659603555</v>
      </c>
      <c r="AS312" s="19">
        <v>3.9673430172427826E-3</v>
      </c>
      <c r="AT312" s="19">
        <v>-6.9854600294138799E-2</v>
      </c>
      <c r="AU312" s="19">
        <v>5.6090383586009894E-2</v>
      </c>
      <c r="AV312" s="19">
        <v>-0.19372220966885778</v>
      </c>
      <c r="AW312" s="19">
        <v>-0.13767881727728851</v>
      </c>
      <c r="AX312" s="19">
        <v>-0.24766053064978302</v>
      </c>
      <c r="AY312" s="19">
        <v>1.0027537372147914</v>
      </c>
      <c r="AZ312" s="19">
        <v>-1.0496108949416343</v>
      </c>
      <c r="BA312" s="19">
        <v>1.0396445659603555</v>
      </c>
      <c r="BB312" s="19">
        <v>-1.143710730974312</v>
      </c>
      <c r="BC312" s="19">
        <v>-1.1001336627558107</v>
      </c>
      <c r="BD312" s="19">
        <v>-1.1872802635173609</v>
      </c>
      <c r="BE312" s="14" t="s">
        <v>4857</v>
      </c>
    </row>
    <row r="313" spans="1:105" s="30" customFormat="1" ht="17.100000000000001" customHeight="1">
      <c r="A313" s="31">
        <v>302</v>
      </c>
      <c r="B313" s="11" t="s">
        <v>3178</v>
      </c>
      <c r="C313" s="57"/>
      <c r="D313" s="57"/>
      <c r="E313" s="57"/>
      <c r="F313" s="27"/>
      <c r="G313" s="54"/>
      <c r="H313" s="57"/>
      <c r="I313" s="57"/>
      <c r="J313" s="13"/>
      <c r="K313" s="13"/>
      <c r="L313" s="13"/>
      <c r="M313" s="13"/>
      <c r="N313" s="13"/>
      <c r="O313" s="13"/>
      <c r="P313" s="13"/>
      <c r="Q313" s="13"/>
      <c r="R313" s="22"/>
      <c r="S313" s="18"/>
      <c r="T313" s="54"/>
      <c r="U313" s="5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57"/>
      <c r="AK313" s="57"/>
      <c r="AL313" s="57"/>
      <c r="AM313" s="57"/>
      <c r="AN313" s="57"/>
      <c r="AO313" s="5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13"/>
    </row>
    <row r="314" spans="1:105" s="30" customFormat="1" ht="17.100000000000001" customHeight="1">
      <c r="A314" s="14">
        <v>303</v>
      </c>
      <c r="B314" s="14" t="s">
        <v>3179</v>
      </c>
      <c r="C314" s="32">
        <v>-1.0246516992450676</v>
      </c>
      <c r="D314" s="32">
        <v>1.1833695738131076</v>
      </c>
      <c r="E314" s="32">
        <v>-1.1808340988101842</v>
      </c>
      <c r="F314" s="42">
        <v>2172569</v>
      </c>
      <c r="G314" s="52" t="s">
        <v>4894</v>
      </c>
      <c r="H314" s="32">
        <v>30.041904759935267</v>
      </c>
      <c r="I314" s="32">
        <v>25.41683641293173</v>
      </c>
      <c r="J314" s="15" t="s">
        <v>3180</v>
      </c>
      <c r="K314" s="15" t="s">
        <v>3181</v>
      </c>
      <c r="L314" s="14" t="s">
        <v>3182</v>
      </c>
      <c r="M314" s="12" t="s">
        <v>3183</v>
      </c>
      <c r="N314" s="15" t="s">
        <v>3184</v>
      </c>
      <c r="O314" s="12" t="s">
        <v>3185</v>
      </c>
      <c r="P314" s="12" t="s">
        <v>3187</v>
      </c>
      <c r="Q314" s="14">
        <v>3</v>
      </c>
      <c r="R314" s="21">
        <v>865.4171</v>
      </c>
      <c r="S314" s="14">
        <v>5</v>
      </c>
      <c r="T314" s="52" t="s">
        <v>4894</v>
      </c>
      <c r="U314" s="53">
        <v>67.406850000000006</v>
      </c>
      <c r="V314" s="42">
        <v>1041366</v>
      </c>
      <c r="W314" s="42">
        <v>1497697</v>
      </c>
      <c r="X314" s="42">
        <v>2091381</v>
      </c>
      <c r="Y314" s="42">
        <v>2065373</v>
      </c>
      <c r="Z314" s="42">
        <v>1601651</v>
      </c>
      <c r="AA314" s="42">
        <v>1547627</v>
      </c>
      <c r="AB314" s="42">
        <v>2392214</v>
      </c>
      <c r="AC314" s="42">
        <v>1952924</v>
      </c>
      <c r="AD314" s="42">
        <v>1673954.25</v>
      </c>
      <c r="AE314" s="42">
        <v>1873604</v>
      </c>
      <c r="AF314" s="42">
        <v>1269531.5</v>
      </c>
      <c r="AG314" s="42">
        <v>2078377</v>
      </c>
      <c r="AH314" s="42">
        <v>1574639</v>
      </c>
      <c r="AI314" s="42">
        <v>2172569</v>
      </c>
      <c r="AJ314" s="32">
        <v>30.041904759935267</v>
      </c>
      <c r="AK314" s="32">
        <v>20.796499142440553</v>
      </c>
      <c r="AL314" s="32">
        <v>25.41683641293173</v>
      </c>
      <c r="AM314" s="32">
        <v>0.8848458756568095</v>
      </c>
      <c r="AN314" s="32">
        <v>2.4259996574974987</v>
      </c>
      <c r="AO314" s="32">
        <v>14.297586769738427</v>
      </c>
      <c r="AP314" s="19">
        <v>1.119268343205915</v>
      </c>
      <c r="AQ314" s="19">
        <v>1.2403307834425534</v>
      </c>
      <c r="AR314" s="19">
        <v>1.0453199780405575</v>
      </c>
      <c r="AS314" s="19">
        <v>0.162555962141708</v>
      </c>
      <c r="AT314" s="19">
        <v>0.31072492383129768</v>
      </c>
      <c r="AU314" s="19">
        <v>6.3944626584891445E-2</v>
      </c>
      <c r="AV314" s="19">
        <v>-3.5133590544392551E-2</v>
      </c>
      <c r="AW314" s="19">
        <v>0.24290070684814796</v>
      </c>
      <c r="AX314" s="19">
        <v>-0.23980628765090148</v>
      </c>
      <c r="AY314" s="19">
        <v>1.119268343205915</v>
      </c>
      <c r="AZ314" s="19">
        <v>1.2403307834425534</v>
      </c>
      <c r="BA314" s="19">
        <v>1.0453199780405575</v>
      </c>
      <c r="BB314" s="19">
        <v>-1.0246516992450676</v>
      </c>
      <c r="BC314" s="19">
        <v>1.1833695738131076</v>
      </c>
      <c r="BD314" s="19">
        <v>-1.1808340988101842</v>
      </c>
      <c r="BE314" s="14" t="s">
        <v>4857</v>
      </c>
    </row>
    <row r="315" spans="1:105" s="30" customFormat="1" ht="17.100000000000001" customHeight="1">
      <c r="A315" s="14">
        <v>304</v>
      </c>
      <c r="B315" s="14" t="s">
        <v>3067</v>
      </c>
      <c r="C315" s="32">
        <v>-1.4502897749127852</v>
      </c>
      <c r="D315" s="32">
        <v>-1.1890716190795099</v>
      </c>
      <c r="E315" s="32">
        <v>-1.6781170683558022</v>
      </c>
      <c r="F315" s="24">
        <v>210670.5</v>
      </c>
      <c r="G315" s="52" t="s">
        <v>2</v>
      </c>
      <c r="H315" s="32">
        <v>34.487888157171767</v>
      </c>
      <c r="I315" s="32">
        <v>27.84461365060319</v>
      </c>
      <c r="J315" s="12" t="s">
        <v>3189</v>
      </c>
      <c r="K315" s="12" t="s">
        <v>3190</v>
      </c>
      <c r="L315" s="14" t="s">
        <v>4981</v>
      </c>
      <c r="M315" s="12" t="s">
        <v>3062</v>
      </c>
      <c r="N315" s="15" t="s">
        <v>3063</v>
      </c>
      <c r="O315" s="12" t="s">
        <v>3064</v>
      </c>
      <c r="P315" s="12" t="s">
        <v>3068</v>
      </c>
      <c r="Q315" s="14">
        <v>2</v>
      </c>
      <c r="R315" s="21">
        <v>807.91340000000002</v>
      </c>
      <c r="S315" s="14">
        <v>17</v>
      </c>
      <c r="T315" s="52" t="s">
        <v>2</v>
      </c>
      <c r="U315" s="53">
        <v>60.710337500000001</v>
      </c>
      <c r="V315" s="24">
        <v>153536</v>
      </c>
      <c r="W315" s="24">
        <v>103022</v>
      </c>
      <c r="X315" s="24">
        <v>177622</v>
      </c>
      <c r="Y315" s="24">
        <v>243719</v>
      </c>
      <c r="Z315" s="24">
        <v>120733</v>
      </c>
      <c r="AA315" s="24">
        <v>105416</v>
      </c>
      <c r="AB315" s="24">
        <v>124985</v>
      </c>
      <c r="AC315" s="24">
        <v>184935</v>
      </c>
      <c r="AD315" s="24">
        <v>169474.75</v>
      </c>
      <c r="AE315" s="24">
        <v>134017.25</v>
      </c>
      <c r="AF315" s="24">
        <v>128279</v>
      </c>
      <c r="AG315" s="24">
        <v>210670.5</v>
      </c>
      <c r="AH315" s="24">
        <v>113074.5</v>
      </c>
      <c r="AI315" s="24">
        <v>154960</v>
      </c>
      <c r="AJ315" s="32">
        <v>34.487888157171767</v>
      </c>
      <c r="AK315" s="32">
        <v>26.093651959019589</v>
      </c>
      <c r="AL315" s="32">
        <v>27.84461365060319</v>
      </c>
      <c r="AM315" s="32">
        <v>22.185183457620898</v>
      </c>
      <c r="AN315" s="32">
        <v>9.578423576875732</v>
      </c>
      <c r="AO315" s="32">
        <v>27.356125149802224</v>
      </c>
      <c r="AP315" s="19">
        <v>0.7907800424547019</v>
      </c>
      <c r="AQ315" s="19">
        <v>0.88147319514495748</v>
      </c>
      <c r="AR315" s="19">
        <v>0.7355562359229223</v>
      </c>
      <c r="AS315" s="19">
        <v>-0.33865163380374974</v>
      </c>
      <c r="AT315" s="19">
        <v>-0.18201139581203066</v>
      </c>
      <c r="AU315" s="19">
        <v>-0.44309244995973657</v>
      </c>
      <c r="AV315" s="19">
        <v>-0.5363411864898503</v>
      </c>
      <c r="AW315" s="19">
        <v>-0.24983561279518035</v>
      </c>
      <c r="AX315" s="19">
        <v>-0.74684336419552944</v>
      </c>
      <c r="AY315" s="19">
        <v>-1.2645741499695002</v>
      </c>
      <c r="AZ315" s="19">
        <v>-1.1344644460068363</v>
      </c>
      <c r="BA315" s="19">
        <v>-1.3595153588022715</v>
      </c>
      <c r="BB315" s="19">
        <v>-1.4502897749127852</v>
      </c>
      <c r="BC315" s="19">
        <v>-1.1890716190795099</v>
      </c>
      <c r="BD315" s="19">
        <v>-1.6781170683558022</v>
      </c>
      <c r="BE315" s="14" t="s">
        <v>4857</v>
      </c>
    </row>
    <row r="316" spans="1:105" s="30" customFormat="1" ht="17.100000000000001" customHeight="1">
      <c r="A316" s="14">
        <v>305</v>
      </c>
      <c r="B316" s="14" t="s">
        <v>3070</v>
      </c>
      <c r="C316" s="32">
        <v>1.2584438055001508</v>
      </c>
      <c r="D316" s="32">
        <v>1.0552137452365136</v>
      </c>
      <c r="E316" s="32">
        <v>1.4002436132953715</v>
      </c>
      <c r="F316" s="24">
        <v>29323</v>
      </c>
      <c r="G316" s="52" t="s">
        <v>2</v>
      </c>
      <c r="H316" s="32">
        <v>34.906840901922983</v>
      </c>
      <c r="I316" s="32">
        <v>39.357574694200395</v>
      </c>
      <c r="J316" s="12" t="s">
        <v>3071</v>
      </c>
      <c r="K316" s="12" t="s">
        <v>3072</v>
      </c>
      <c r="L316" s="14" t="s">
        <v>5281</v>
      </c>
      <c r="M316" s="12" t="s">
        <v>3062</v>
      </c>
      <c r="N316" s="15" t="s">
        <v>3073</v>
      </c>
      <c r="O316" s="12" t="s">
        <v>3064</v>
      </c>
      <c r="P316" s="12" t="s">
        <v>3074</v>
      </c>
      <c r="Q316" s="14">
        <v>2</v>
      </c>
      <c r="R316" s="21">
        <v>496.798</v>
      </c>
      <c r="S316" s="14">
        <v>1</v>
      </c>
      <c r="T316" s="52" t="s">
        <v>2</v>
      </c>
      <c r="U316" s="53">
        <v>25.016925000000001</v>
      </c>
      <c r="V316" s="24">
        <v>13225</v>
      </c>
      <c r="W316" s="24">
        <v>15462</v>
      </c>
      <c r="X316" s="24">
        <v>21687</v>
      </c>
      <c r="Y316" s="24">
        <v>12244</v>
      </c>
      <c r="Z316" s="24">
        <v>14441</v>
      </c>
      <c r="AA316" s="24">
        <v>17287</v>
      </c>
      <c r="AB316" s="24">
        <v>30161</v>
      </c>
      <c r="AC316" s="24">
        <v>28485</v>
      </c>
      <c r="AD316" s="24">
        <v>15654.5</v>
      </c>
      <c r="AE316" s="24">
        <v>22593.5</v>
      </c>
      <c r="AF316" s="24">
        <v>14343.5</v>
      </c>
      <c r="AG316" s="24">
        <v>16965.5</v>
      </c>
      <c r="AH316" s="24">
        <v>15864</v>
      </c>
      <c r="AI316" s="24">
        <v>29323</v>
      </c>
      <c r="AJ316" s="32">
        <v>27.092218199847011</v>
      </c>
      <c r="AK316" s="32">
        <v>34.906840901922983</v>
      </c>
      <c r="AL316" s="32">
        <v>11.027976919958913</v>
      </c>
      <c r="AM316" s="32">
        <v>39.357574694200395</v>
      </c>
      <c r="AN316" s="32">
        <v>12.68548852279951</v>
      </c>
      <c r="AO316" s="32">
        <v>4.0415747545225713</v>
      </c>
      <c r="AP316" s="19">
        <v>1.4432591267686607</v>
      </c>
      <c r="AQ316" s="19">
        <v>1.1060062049011747</v>
      </c>
      <c r="AR316" s="19">
        <v>1.7283899678759835</v>
      </c>
      <c r="AS316" s="19">
        <v>0.52933034857608308</v>
      </c>
      <c r="AT316" s="19">
        <v>0.14535947938368995</v>
      </c>
      <c r="AU316" s="19">
        <v>0.78942876220461444</v>
      </c>
      <c r="AV316" s="19">
        <v>0.33164079588998252</v>
      </c>
      <c r="AW316" s="19">
        <v>7.7535262400540247E-2</v>
      </c>
      <c r="AX316" s="19">
        <v>0.48567784796882152</v>
      </c>
      <c r="AY316" s="19">
        <v>1.4432591267686607</v>
      </c>
      <c r="AZ316" s="19">
        <v>1.1060062049011747</v>
      </c>
      <c r="BA316" s="19">
        <v>1.7283899678759835</v>
      </c>
      <c r="BB316" s="19">
        <v>1.2584438055001508</v>
      </c>
      <c r="BC316" s="19">
        <v>1.0552137452365136</v>
      </c>
      <c r="BD316" s="19">
        <v>1.4002436132953715</v>
      </c>
      <c r="BE316" s="14" t="s">
        <v>4857</v>
      </c>
    </row>
    <row r="317" spans="1:105" s="30" customFormat="1" ht="17.100000000000001" customHeight="1">
      <c r="A317" s="14">
        <v>306</v>
      </c>
      <c r="B317" s="14" t="s">
        <v>3075</v>
      </c>
      <c r="C317" s="32">
        <v>-1.0662362495257884</v>
      </c>
      <c r="D317" s="32">
        <v>-1.3276373618131909</v>
      </c>
      <c r="E317" s="32">
        <v>1.1149208160247421</v>
      </c>
      <c r="F317" s="24">
        <v>57250</v>
      </c>
      <c r="G317" s="52" t="s">
        <v>2</v>
      </c>
      <c r="H317" s="32">
        <v>32.395516953259659</v>
      </c>
      <c r="I317" s="32">
        <v>18.156278923043228</v>
      </c>
      <c r="J317" s="12" t="s">
        <v>3076</v>
      </c>
      <c r="K317" s="12" t="s">
        <v>3077</v>
      </c>
      <c r="L317" s="14" t="s">
        <v>5064</v>
      </c>
      <c r="M317" s="12" t="s">
        <v>3078</v>
      </c>
      <c r="N317" s="15" t="s">
        <v>3079</v>
      </c>
      <c r="O317" s="12" t="s">
        <v>3080</v>
      </c>
      <c r="P317" s="12" t="s">
        <v>3081</v>
      </c>
      <c r="Q317" s="14">
        <v>2</v>
      </c>
      <c r="R317" s="21">
        <v>765.37080000000003</v>
      </c>
      <c r="S317" s="14">
        <v>8</v>
      </c>
      <c r="T317" s="52" t="s">
        <v>2</v>
      </c>
      <c r="U317" s="53">
        <v>44.628749999999997</v>
      </c>
      <c r="V317" s="24">
        <v>43600</v>
      </c>
      <c r="W317" s="24">
        <v>43800</v>
      </c>
      <c r="X317" s="24">
        <v>39600</v>
      </c>
      <c r="Y317" s="24">
        <v>43600</v>
      </c>
      <c r="Z317" s="24">
        <v>38800</v>
      </c>
      <c r="AA317" s="24">
        <v>30200</v>
      </c>
      <c r="AB317" s="24">
        <v>49900</v>
      </c>
      <c r="AC317" s="24">
        <v>64600</v>
      </c>
      <c r="AD317" s="24">
        <v>42650</v>
      </c>
      <c r="AE317" s="24">
        <v>45875</v>
      </c>
      <c r="AF317" s="24">
        <v>43700</v>
      </c>
      <c r="AG317" s="24">
        <v>41600</v>
      </c>
      <c r="AH317" s="24">
        <v>34500</v>
      </c>
      <c r="AI317" s="24">
        <v>57250</v>
      </c>
      <c r="AJ317" s="32">
        <v>4.7726095008275191</v>
      </c>
      <c r="AK317" s="32">
        <v>32.395516953259659</v>
      </c>
      <c r="AL317" s="32">
        <v>0.32361866415860296</v>
      </c>
      <c r="AM317" s="32">
        <v>6.7991036652552657</v>
      </c>
      <c r="AN317" s="32">
        <v>17.626429907838574</v>
      </c>
      <c r="AO317" s="32">
        <v>18.156278923043228</v>
      </c>
      <c r="AP317" s="19">
        <v>1.0756154747948417</v>
      </c>
      <c r="AQ317" s="19">
        <v>0.78947368421052633</v>
      </c>
      <c r="AR317" s="19">
        <v>1.3762019230769231</v>
      </c>
      <c r="AS317" s="19">
        <v>0.10516241641228483</v>
      </c>
      <c r="AT317" s="19">
        <v>-0.34103691783506696</v>
      </c>
      <c r="AU317" s="19">
        <v>0.46069216484321418</v>
      </c>
      <c r="AV317" s="19">
        <v>-9.252713627381573E-2</v>
      </c>
      <c r="AW317" s="19">
        <v>-0.40886113481821668</v>
      </c>
      <c r="AX317" s="19">
        <v>0.15694125060742126</v>
      </c>
      <c r="AY317" s="19">
        <v>1.0756154747948417</v>
      </c>
      <c r="AZ317" s="19">
        <v>-1.2666666666666666</v>
      </c>
      <c r="BA317" s="19">
        <v>1.3762019230769231</v>
      </c>
      <c r="BB317" s="19">
        <v>-1.0662362495257884</v>
      </c>
      <c r="BC317" s="19">
        <v>-1.3276373618131909</v>
      </c>
      <c r="BD317" s="19">
        <v>1.1149208160247421</v>
      </c>
      <c r="BE317" s="14" t="s">
        <v>4857</v>
      </c>
    </row>
    <row r="318" spans="1:105" s="30" customFormat="1" ht="17.100000000000001" customHeight="1">
      <c r="A318" s="14">
        <v>307</v>
      </c>
      <c r="B318" s="14" t="s">
        <v>3082</v>
      </c>
      <c r="C318" s="32">
        <v>-1.2232199407595747</v>
      </c>
      <c r="D318" s="32">
        <v>-1.441728504485273</v>
      </c>
      <c r="E318" s="32">
        <v>-1.1211973628178125</v>
      </c>
      <c r="F318" s="24">
        <v>292633</v>
      </c>
      <c r="G318" s="52" t="s">
        <v>2</v>
      </c>
      <c r="H318" s="32">
        <v>40.731242685484489</v>
      </c>
      <c r="I318" s="32">
        <v>24.576170162700969</v>
      </c>
      <c r="J318" s="12" t="s">
        <v>3083</v>
      </c>
      <c r="K318" s="12" t="s">
        <v>3084</v>
      </c>
      <c r="L318" s="14" t="s">
        <v>5022</v>
      </c>
      <c r="M318" s="12" t="s">
        <v>3085</v>
      </c>
      <c r="N318" s="15" t="s">
        <v>3086</v>
      </c>
      <c r="O318" s="12" t="s">
        <v>3087</v>
      </c>
      <c r="P318" s="12" t="s">
        <v>3088</v>
      </c>
      <c r="Q318" s="14">
        <v>2</v>
      </c>
      <c r="R318" s="21">
        <v>1005.5</v>
      </c>
      <c r="S318" s="14">
        <v>7</v>
      </c>
      <c r="T318" s="52" t="s">
        <v>2</v>
      </c>
      <c r="U318" s="53">
        <v>83.012637499999997</v>
      </c>
      <c r="V318" s="24">
        <v>214728</v>
      </c>
      <c r="W318" s="24">
        <v>197651</v>
      </c>
      <c r="X318" s="24">
        <v>221652</v>
      </c>
      <c r="Y318" s="24">
        <v>309963</v>
      </c>
      <c r="Z318" s="24">
        <v>175949</v>
      </c>
      <c r="AA318" s="24">
        <v>123850</v>
      </c>
      <c r="AB318" s="24">
        <v>256320</v>
      </c>
      <c r="AC318" s="24">
        <v>328946</v>
      </c>
      <c r="AD318" s="24">
        <v>235998.5</v>
      </c>
      <c r="AE318" s="24">
        <v>221266.25</v>
      </c>
      <c r="AF318" s="24">
        <v>206189.5</v>
      </c>
      <c r="AG318" s="24">
        <v>265807.5</v>
      </c>
      <c r="AH318" s="24">
        <v>149899.5</v>
      </c>
      <c r="AI318" s="24">
        <v>292633</v>
      </c>
      <c r="AJ318" s="32">
        <v>21.3266979617107</v>
      </c>
      <c r="AK318" s="32">
        <v>40.731242685484489</v>
      </c>
      <c r="AL318" s="32">
        <v>5.8563906029757442</v>
      </c>
      <c r="AM318" s="32">
        <v>23.492680587780708</v>
      </c>
      <c r="AN318" s="32">
        <v>24.576170162700969</v>
      </c>
      <c r="AO318" s="32">
        <v>17.549058749510209</v>
      </c>
      <c r="AP318" s="19">
        <v>0.93757481509416374</v>
      </c>
      <c r="AQ318" s="19">
        <v>0.72699870749965445</v>
      </c>
      <c r="AR318" s="19">
        <v>1.1009207791352764</v>
      </c>
      <c r="AS318" s="19">
        <v>-9.2994277928769617E-2</v>
      </c>
      <c r="AT318" s="19">
        <v>-0.45997529564688944</v>
      </c>
      <c r="AU318" s="19">
        <v>0.13871065812961111</v>
      </c>
      <c r="AV318" s="19">
        <v>-0.29068383061487019</v>
      </c>
      <c r="AW318" s="19">
        <v>-0.5277995126300391</v>
      </c>
      <c r="AX318" s="19">
        <v>-0.16504025610618181</v>
      </c>
      <c r="AY318" s="19">
        <v>-1.0665815505075897</v>
      </c>
      <c r="AZ318" s="19">
        <v>-1.375518263903482</v>
      </c>
      <c r="BA318" s="19">
        <v>1.1009207791352764</v>
      </c>
      <c r="BB318" s="19">
        <v>-1.2232199407595747</v>
      </c>
      <c r="BC318" s="19">
        <v>-1.441728504485273</v>
      </c>
      <c r="BD318" s="19">
        <v>-1.1211973628178125</v>
      </c>
      <c r="BE318" s="14" t="s">
        <v>4857</v>
      </c>
    </row>
    <row r="319" spans="1:105" s="30" customFormat="1" ht="17.100000000000001" customHeight="1">
      <c r="A319" s="14">
        <v>308</v>
      </c>
      <c r="B319" s="14" t="s">
        <v>3089</v>
      </c>
      <c r="C319" s="32">
        <v>1.0592547904955472</v>
      </c>
      <c r="D319" s="32">
        <v>-1.247045592057604</v>
      </c>
      <c r="E319" s="32">
        <v>1.3416565936156171</v>
      </c>
      <c r="F319" s="24">
        <v>64511.5</v>
      </c>
      <c r="G319" s="52" t="s">
        <v>2</v>
      </c>
      <c r="H319" s="32">
        <v>32.043703438325153</v>
      </c>
      <c r="I319" s="32">
        <v>39.047026582561259</v>
      </c>
      <c r="J319" s="12" t="s">
        <v>3090</v>
      </c>
      <c r="K319" s="12" t="s">
        <v>3091</v>
      </c>
      <c r="L319" s="14" t="s">
        <v>4139</v>
      </c>
      <c r="M319" s="12" t="s">
        <v>3092</v>
      </c>
      <c r="N319" s="15" t="s">
        <v>3093</v>
      </c>
      <c r="O319" s="12" t="s">
        <v>3094</v>
      </c>
      <c r="P319" s="12" t="s">
        <v>3095</v>
      </c>
      <c r="Q319" s="14">
        <v>2</v>
      </c>
      <c r="R319" s="21">
        <v>962.93889999999999</v>
      </c>
      <c r="S319" s="14">
        <v>1</v>
      </c>
      <c r="T319" s="52" t="s">
        <v>2</v>
      </c>
      <c r="U319" s="53">
        <v>52.041262500000002</v>
      </c>
      <c r="V319" s="24">
        <v>47542</v>
      </c>
      <c r="W319" s="24">
        <v>44298</v>
      </c>
      <c r="X319" s="24">
        <v>49710</v>
      </c>
      <c r="Y319" s="24">
        <v>28199</v>
      </c>
      <c r="Z319" s="24">
        <v>30222</v>
      </c>
      <c r="AA319" s="24">
        <v>46969</v>
      </c>
      <c r="AB319" s="24">
        <v>62664</v>
      </c>
      <c r="AC319" s="24">
        <v>66359</v>
      </c>
      <c r="AD319" s="24">
        <v>42437.25</v>
      </c>
      <c r="AE319" s="24">
        <v>51553.5</v>
      </c>
      <c r="AF319" s="24">
        <v>45920</v>
      </c>
      <c r="AG319" s="24">
        <v>38954.5</v>
      </c>
      <c r="AH319" s="24">
        <v>38595.5</v>
      </c>
      <c r="AI319" s="24">
        <v>64511.5</v>
      </c>
      <c r="AJ319" s="32">
        <v>22.973246296689233</v>
      </c>
      <c r="AK319" s="32">
        <v>32.043703438325153</v>
      </c>
      <c r="AL319" s="32">
        <v>4.9953275221453834</v>
      </c>
      <c r="AM319" s="32">
        <v>39.047026582561259</v>
      </c>
      <c r="AN319" s="32">
        <v>30.682119067070285</v>
      </c>
      <c r="AO319" s="32">
        <v>4.050067904922833</v>
      </c>
      <c r="AP319" s="19">
        <v>1.2148171712351767</v>
      </c>
      <c r="AQ319" s="19">
        <v>0.84049433797909412</v>
      </c>
      <c r="AR319" s="19">
        <v>1.656073110937119</v>
      </c>
      <c r="AS319" s="19">
        <v>0.28073920601244118</v>
      </c>
      <c r="AT319" s="19">
        <v>-0.25068999416119175</v>
      </c>
      <c r="AU319" s="19">
        <v>0.72776636514287318</v>
      </c>
      <c r="AV319" s="19">
        <v>8.3049653326340622E-2</v>
      </c>
      <c r="AW319" s="19">
        <v>-0.31851421114434147</v>
      </c>
      <c r="AX319" s="19">
        <v>0.42401545090708026</v>
      </c>
      <c r="AY319" s="19">
        <v>1.2148171712351767</v>
      </c>
      <c r="AZ319" s="19">
        <v>-1.1897760101566244</v>
      </c>
      <c r="BA319" s="19">
        <v>1.656073110937119</v>
      </c>
      <c r="BB319" s="19">
        <v>1.0592547904955472</v>
      </c>
      <c r="BC319" s="19">
        <v>-1.247045592057604</v>
      </c>
      <c r="BD319" s="19">
        <v>1.3416565936156171</v>
      </c>
      <c r="BE319" s="14" t="s">
        <v>4857</v>
      </c>
    </row>
    <row r="320" spans="1:105" ht="17.100000000000001" customHeight="1">
      <c r="A320" s="14">
        <v>309</v>
      </c>
      <c r="B320" s="14" t="s">
        <v>3103</v>
      </c>
      <c r="C320" s="32">
        <v>1.4006715806431653</v>
      </c>
      <c r="D320" s="32">
        <v>2.6408866863082969</v>
      </c>
      <c r="E320" s="32">
        <v>-1.0600625866254201</v>
      </c>
      <c r="F320" s="42">
        <v>2066019.5</v>
      </c>
      <c r="G320" s="52" t="s">
        <v>4894</v>
      </c>
      <c r="H320" s="32">
        <v>51.83818988835425</v>
      </c>
      <c r="I320" s="32">
        <v>10.484020477248022</v>
      </c>
      <c r="J320" s="12" t="s">
        <v>3104</v>
      </c>
      <c r="K320" s="12" t="s">
        <v>3105</v>
      </c>
      <c r="L320" s="14" t="s">
        <v>3106</v>
      </c>
      <c r="M320" s="12" t="s">
        <v>3107</v>
      </c>
      <c r="N320" s="15" t="s">
        <v>3108</v>
      </c>
      <c r="O320" s="12" t="s">
        <v>3109</v>
      </c>
      <c r="P320" s="12" t="s">
        <v>3111</v>
      </c>
      <c r="Q320" s="14">
        <v>3</v>
      </c>
      <c r="R320" s="21">
        <v>427.26260000000002</v>
      </c>
      <c r="S320" s="14">
        <v>6</v>
      </c>
      <c r="T320" s="52" t="s">
        <v>4894</v>
      </c>
      <c r="U320" s="53">
        <v>40.44104999999999</v>
      </c>
      <c r="V320" s="42">
        <v>685105</v>
      </c>
      <c r="W320" s="42">
        <v>665024</v>
      </c>
      <c r="X320" s="42">
        <v>1757106</v>
      </c>
      <c r="Y320" s="42">
        <v>1791500</v>
      </c>
      <c r="Z320" s="42">
        <v>1730058</v>
      </c>
      <c r="AA320" s="42">
        <v>2007106</v>
      </c>
      <c r="AB320" s="42">
        <v>2099682</v>
      </c>
      <c r="AC320" s="42">
        <v>2032357</v>
      </c>
      <c r="AD320" s="42">
        <v>1224683.75</v>
      </c>
      <c r="AE320" s="42">
        <v>1967300.75</v>
      </c>
      <c r="AF320" s="42">
        <v>675064.5</v>
      </c>
      <c r="AG320" s="42">
        <v>1774303</v>
      </c>
      <c r="AH320" s="42">
        <v>1868582</v>
      </c>
      <c r="AI320" s="42">
        <v>2066019.5</v>
      </c>
      <c r="AJ320" s="32">
        <v>51.83818988835425</v>
      </c>
      <c r="AK320" s="32">
        <v>8.2812371788809394</v>
      </c>
      <c r="AL320" s="32">
        <v>2.1034154918540464</v>
      </c>
      <c r="AM320" s="32">
        <v>1.3706920763888759</v>
      </c>
      <c r="AN320" s="32">
        <v>10.484020477248022</v>
      </c>
      <c r="AO320" s="32">
        <v>2.3042359495340827</v>
      </c>
      <c r="AP320" s="19">
        <v>1.606374502805316</v>
      </c>
      <c r="AQ320" s="19">
        <v>2.7680051313615217</v>
      </c>
      <c r="AR320" s="19">
        <v>1.1644118845541038</v>
      </c>
      <c r="AS320" s="19">
        <v>0.6838082753921978</v>
      </c>
      <c r="AT320" s="19">
        <v>1.4688466174627006</v>
      </c>
      <c r="AU320" s="19">
        <v>0.21960146949582526</v>
      </c>
      <c r="AV320" s="19">
        <v>0.48611872270609724</v>
      </c>
      <c r="AW320" s="19">
        <v>1.4010224004795508</v>
      </c>
      <c r="AX320" s="19">
        <v>-8.414944473996766E-2</v>
      </c>
      <c r="AY320" s="19">
        <v>1.606374502805316</v>
      </c>
      <c r="AZ320" s="19">
        <v>2.7680051313615217</v>
      </c>
      <c r="BA320" s="19">
        <v>1.1644118845541038</v>
      </c>
      <c r="BB320" s="19">
        <v>1.4006715806431653</v>
      </c>
      <c r="BC320" s="19">
        <v>2.6408866863082969</v>
      </c>
      <c r="BD320" s="19">
        <v>-1.0600625866254201</v>
      </c>
      <c r="BE320" s="14" t="s">
        <v>4857</v>
      </c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s="30" customFormat="1" ht="17.100000000000001" customHeight="1">
      <c r="A321" s="14">
        <v>310</v>
      </c>
      <c r="B321" s="14" t="s">
        <v>3119</v>
      </c>
      <c r="C321" s="32">
        <v>1.0920712316064767</v>
      </c>
      <c r="D321" s="32">
        <v>1.0076446229100429</v>
      </c>
      <c r="E321" s="32">
        <v>1.1756709479669603</v>
      </c>
      <c r="F321" s="24">
        <v>267516.5</v>
      </c>
      <c r="G321" s="52" t="s">
        <v>2</v>
      </c>
      <c r="H321" s="32">
        <v>19.768315579625249</v>
      </c>
      <c r="I321" s="32">
        <v>16.599673710655946</v>
      </c>
      <c r="J321" s="12" t="s">
        <v>3104</v>
      </c>
      <c r="K321" s="12" t="s">
        <v>3105</v>
      </c>
      <c r="L321" s="14" t="s">
        <v>5266</v>
      </c>
      <c r="M321" s="12" t="s">
        <v>3107</v>
      </c>
      <c r="N321" s="15" t="s">
        <v>3108</v>
      </c>
      <c r="O321" s="12" t="s">
        <v>3109</v>
      </c>
      <c r="P321" s="12" t="s">
        <v>3120</v>
      </c>
      <c r="Q321" s="14">
        <v>3</v>
      </c>
      <c r="R321" s="21">
        <v>714.02719999999999</v>
      </c>
      <c r="S321" s="14">
        <v>15</v>
      </c>
      <c r="T321" s="52" t="s">
        <v>2</v>
      </c>
      <c r="U321" s="53">
        <v>45.616962500000007</v>
      </c>
      <c r="V321" s="24">
        <v>207764</v>
      </c>
      <c r="W321" s="24">
        <v>165486</v>
      </c>
      <c r="X321" s="24">
        <v>190669</v>
      </c>
      <c r="Y321" s="24">
        <v>178017</v>
      </c>
      <c r="Z321" s="24">
        <v>173968</v>
      </c>
      <c r="AA321" s="24">
        <v>220239</v>
      </c>
      <c r="AB321" s="24">
        <v>255300</v>
      </c>
      <c r="AC321" s="24">
        <v>279733</v>
      </c>
      <c r="AD321" s="24">
        <v>185484</v>
      </c>
      <c r="AE321" s="24">
        <v>232310</v>
      </c>
      <c r="AF321" s="24">
        <v>186625</v>
      </c>
      <c r="AG321" s="24">
        <v>184343</v>
      </c>
      <c r="AH321" s="24">
        <v>197103.5</v>
      </c>
      <c r="AI321" s="24">
        <v>267516.5</v>
      </c>
      <c r="AJ321" s="32">
        <v>9.7390166612867706</v>
      </c>
      <c r="AK321" s="32">
        <v>19.768315579625249</v>
      </c>
      <c r="AL321" s="32">
        <v>16.018786601476144</v>
      </c>
      <c r="AM321" s="32">
        <v>4.8530809391038447</v>
      </c>
      <c r="AN321" s="32">
        <v>16.599673710655946</v>
      </c>
      <c r="AO321" s="32">
        <v>6.4581960307984438</v>
      </c>
      <c r="AP321" s="19">
        <v>1.2524530417717969</v>
      </c>
      <c r="AQ321" s="19">
        <v>1.0561473543201607</v>
      </c>
      <c r="AR321" s="19">
        <v>1.4511888164996771</v>
      </c>
      <c r="AS321" s="19">
        <v>0.32475651346204082</v>
      </c>
      <c r="AT321" s="19">
        <v>7.8811134427523424E-2</v>
      </c>
      <c r="AU321" s="19">
        <v>0.53723524297836689</v>
      </c>
      <c r="AV321" s="19">
        <v>0.12706696077594026</v>
      </c>
      <c r="AW321" s="19">
        <v>1.0986917444373717E-2</v>
      </c>
      <c r="AX321" s="19">
        <v>0.23348432874257397</v>
      </c>
      <c r="AY321" s="19">
        <v>1.2524530417717969</v>
      </c>
      <c r="AZ321" s="19">
        <v>1.0561473543201607</v>
      </c>
      <c r="BA321" s="19">
        <v>1.4511888164996771</v>
      </c>
      <c r="BB321" s="19">
        <v>1.0920712316064767</v>
      </c>
      <c r="BC321" s="19">
        <v>1.0076446229100429</v>
      </c>
      <c r="BD321" s="19">
        <v>1.1756709479669603</v>
      </c>
      <c r="BE321" s="14" t="s">
        <v>4857</v>
      </c>
    </row>
    <row r="322" spans="1:105" s="30" customFormat="1" ht="17.100000000000001" customHeight="1">
      <c r="A322" s="14">
        <v>311</v>
      </c>
      <c r="B322" s="14" t="s">
        <v>3121</v>
      </c>
      <c r="C322" s="32">
        <v>1.4498592260181122</v>
      </c>
      <c r="D322" s="32">
        <v>1.1706362409974189</v>
      </c>
      <c r="E322" s="32">
        <v>1.6225727793835656</v>
      </c>
      <c r="F322" s="24">
        <v>314775.5</v>
      </c>
      <c r="G322" s="52" t="s">
        <v>2</v>
      </c>
      <c r="H322" s="32">
        <v>41.942828041371122</v>
      </c>
      <c r="I322" s="32">
        <v>35.395381119013059</v>
      </c>
      <c r="J322" s="12" t="s">
        <v>3122</v>
      </c>
      <c r="K322" s="12" t="s">
        <v>3123</v>
      </c>
      <c r="L322" s="14" t="s">
        <v>3812</v>
      </c>
      <c r="M322" s="12" t="s">
        <v>3124</v>
      </c>
      <c r="N322" s="15" t="s">
        <v>3125</v>
      </c>
      <c r="O322" s="12" t="s">
        <v>3126</v>
      </c>
      <c r="P322" s="12" t="s">
        <v>3127</v>
      </c>
      <c r="Q322" s="14">
        <v>2</v>
      </c>
      <c r="R322" s="21">
        <v>509.25560000000002</v>
      </c>
      <c r="S322" s="14">
        <v>1</v>
      </c>
      <c r="T322" s="52" t="s">
        <v>2</v>
      </c>
      <c r="U322" s="53">
        <v>50.924462499999997</v>
      </c>
      <c r="V322" s="24">
        <v>129617</v>
      </c>
      <c r="W322" s="24">
        <v>115642</v>
      </c>
      <c r="X322" s="24">
        <v>196502</v>
      </c>
      <c r="Y322" s="24">
        <v>117830</v>
      </c>
      <c r="Z322" s="24">
        <v>147528</v>
      </c>
      <c r="AA322" s="24">
        <v>153401</v>
      </c>
      <c r="AB322" s="24">
        <v>287001</v>
      </c>
      <c r="AC322" s="24">
        <v>342550</v>
      </c>
      <c r="AD322" s="24">
        <v>139897.75</v>
      </c>
      <c r="AE322" s="24">
        <v>232620</v>
      </c>
      <c r="AF322" s="24">
        <v>122629.5</v>
      </c>
      <c r="AG322" s="24">
        <v>157166</v>
      </c>
      <c r="AH322" s="24">
        <v>150464.5</v>
      </c>
      <c r="AI322" s="24">
        <v>314775.5</v>
      </c>
      <c r="AJ322" s="32">
        <v>27.328544928994685</v>
      </c>
      <c r="AK322" s="32">
        <v>41.942828041371122</v>
      </c>
      <c r="AL322" s="32">
        <v>8.058270862298226</v>
      </c>
      <c r="AM322" s="32">
        <v>35.395381119013059</v>
      </c>
      <c r="AN322" s="32">
        <v>2.7600119137129315</v>
      </c>
      <c r="AO322" s="32">
        <v>12.478440853284811</v>
      </c>
      <c r="AP322" s="19">
        <v>1.6627858560984718</v>
      </c>
      <c r="AQ322" s="19">
        <v>1.226984534716361</v>
      </c>
      <c r="AR322" s="19">
        <v>2.0028218571446752</v>
      </c>
      <c r="AS322" s="19">
        <v>0.73360238135049516</v>
      </c>
      <c r="AT322" s="19">
        <v>0.29511706495141055</v>
      </c>
      <c r="AU322" s="19">
        <v>1.0020341050031325</v>
      </c>
      <c r="AV322" s="19">
        <v>0.5359128286643946</v>
      </c>
      <c r="AW322" s="19">
        <v>0.22729284796826082</v>
      </c>
      <c r="AX322" s="19">
        <v>0.69828319076733958</v>
      </c>
      <c r="AY322" s="19">
        <v>1.6627858560984718</v>
      </c>
      <c r="AZ322" s="19">
        <v>1.226984534716361</v>
      </c>
      <c r="BA322" s="19">
        <v>2.0028218571446752</v>
      </c>
      <c r="BB322" s="19">
        <v>1.4498592260181122</v>
      </c>
      <c r="BC322" s="19">
        <v>1.1706362409974189</v>
      </c>
      <c r="BD322" s="19">
        <v>1.6225727793835656</v>
      </c>
      <c r="BE322" s="14" t="s">
        <v>4857</v>
      </c>
    </row>
    <row r="323" spans="1:105" s="30" customFormat="1" ht="17.100000000000001" customHeight="1">
      <c r="A323" s="14">
        <v>312</v>
      </c>
      <c r="B323" s="14" t="s">
        <v>3128</v>
      </c>
      <c r="C323" s="32">
        <v>1.0568339838370671</v>
      </c>
      <c r="D323" s="32">
        <v>-1.1735131622283486</v>
      </c>
      <c r="E323" s="32">
        <v>1.2043994932145359</v>
      </c>
      <c r="F323" s="24">
        <v>52255</v>
      </c>
      <c r="G323" s="52" t="s">
        <v>2</v>
      </c>
      <c r="H323" s="32">
        <v>39.056839053010464</v>
      </c>
      <c r="I323" s="32">
        <v>24.02587885378437</v>
      </c>
      <c r="J323" s="12" t="s">
        <v>3122</v>
      </c>
      <c r="K323" s="12" t="s">
        <v>3123</v>
      </c>
      <c r="L323" s="14" t="s">
        <v>3461</v>
      </c>
      <c r="M323" s="12" t="s">
        <v>3124</v>
      </c>
      <c r="N323" s="15" t="s">
        <v>3125</v>
      </c>
      <c r="O323" s="12" t="s">
        <v>3126</v>
      </c>
      <c r="P323" s="12" t="s">
        <v>2991</v>
      </c>
      <c r="Q323" s="14">
        <v>2</v>
      </c>
      <c r="R323" s="21">
        <v>685.32119999999998</v>
      </c>
      <c r="S323" s="14">
        <v>3</v>
      </c>
      <c r="T323" s="52" t="s">
        <v>2</v>
      </c>
      <c r="U323" s="53">
        <v>37.497649999999993</v>
      </c>
      <c r="V323" s="24">
        <v>28790</v>
      </c>
      <c r="W323" s="24">
        <v>31749</v>
      </c>
      <c r="X323" s="24">
        <v>41121</v>
      </c>
      <c r="Y323" s="24">
        <v>29178</v>
      </c>
      <c r="Z323" s="24">
        <v>30811</v>
      </c>
      <c r="AA323" s="24">
        <v>23260</v>
      </c>
      <c r="AB323" s="24">
        <v>47023</v>
      </c>
      <c r="AC323" s="24">
        <v>57487</v>
      </c>
      <c r="AD323" s="24">
        <v>32709.5</v>
      </c>
      <c r="AE323" s="24">
        <v>39645.25</v>
      </c>
      <c r="AF323" s="24">
        <v>30269.5</v>
      </c>
      <c r="AG323" s="24">
        <v>35149.5</v>
      </c>
      <c r="AH323" s="24">
        <v>27035.5</v>
      </c>
      <c r="AI323" s="24">
        <v>52255</v>
      </c>
      <c r="AJ323" s="32">
        <v>17.607533998666952</v>
      </c>
      <c r="AK323" s="32">
        <v>39.056839053010464</v>
      </c>
      <c r="AL323" s="32">
        <v>6.912334083916134</v>
      </c>
      <c r="AM323" s="32">
        <v>24.02587885378437</v>
      </c>
      <c r="AN323" s="32">
        <v>19.749452774091917</v>
      </c>
      <c r="AO323" s="32">
        <v>14.159727027721814</v>
      </c>
      <c r="AP323" s="19">
        <v>1.2120408444030022</v>
      </c>
      <c r="AQ323" s="19">
        <v>0.89315978129800622</v>
      </c>
      <c r="AR323" s="19">
        <v>1.4866498812216391</v>
      </c>
      <c r="AS323" s="19">
        <v>0.2774383168181066</v>
      </c>
      <c r="AT323" s="19">
        <v>-0.16300980636500068</v>
      </c>
      <c r="AU323" s="19">
        <v>0.57206492035603129</v>
      </c>
      <c r="AV323" s="19">
        <v>7.9748764132006045E-2</v>
      </c>
      <c r="AW323" s="19">
        <v>-0.2308340233481504</v>
      </c>
      <c r="AX323" s="19">
        <v>0.26831400612023837</v>
      </c>
      <c r="AY323" s="19">
        <v>1.2120408444030022</v>
      </c>
      <c r="AZ323" s="19">
        <v>-1.1196204989735719</v>
      </c>
      <c r="BA323" s="19">
        <v>1.4866498812216391</v>
      </c>
      <c r="BB323" s="19">
        <v>1.0568339838370671</v>
      </c>
      <c r="BC323" s="19">
        <v>-1.1735131622283486</v>
      </c>
      <c r="BD323" s="19">
        <v>1.2043994932145359</v>
      </c>
      <c r="BE323" s="14" t="s">
        <v>4857</v>
      </c>
    </row>
    <row r="324" spans="1:105" s="30" customFormat="1" ht="17.100000000000001" customHeight="1">
      <c r="A324" s="14">
        <v>313</v>
      </c>
      <c r="B324" s="14" t="s">
        <v>2992</v>
      </c>
      <c r="C324" s="32">
        <v>-1.0421426953537374</v>
      </c>
      <c r="D324" s="32">
        <v>1.08368592971797</v>
      </c>
      <c r="E324" s="32">
        <v>-1.1617037044146277</v>
      </c>
      <c r="F324" s="24">
        <v>51805.5</v>
      </c>
      <c r="G324" s="52" t="s">
        <v>2</v>
      </c>
      <c r="H324" s="32">
        <v>19.469038858483628</v>
      </c>
      <c r="I324" s="32">
        <v>28.154511621694223</v>
      </c>
      <c r="J324" s="12" t="s">
        <v>2993</v>
      </c>
      <c r="K324" s="12" t="s">
        <v>2994</v>
      </c>
      <c r="L324" s="14" t="s">
        <v>2995</v>
      </c>
      <c r="M324" s="12" t="s">
        <v>2996</v>
      </c>
      <c r="N324" s="15" t="s">
        <v>2997</v>
      </c>
      <c r="O324" s="12" t="s">
        <v>2998</v>
      </c>
      <c r="P324" s="12" t="s">
        <v>2999</v>
      </c>
      <c r="Q324" s="14">
        <v>3</v>
      </c>
      <c r="R324" s="21">
        <v>547.66129999999998</v>
      </c>
      <c r="S324" s="14">
        <v>1</v>
      </c>
      <c r="T324" s="52" t="s">
        <v>2</v>
      </c>
      <c r="U324" s="53">
        <v>39.8819625</v>
      </c>
      <c r="V324" s="24">
        <v>51435</v>
      </c>
      <c r="W324" s="24">
        <v>39784</v>
      </c>
      <c r="X324" s="24">
        <v>50967</v>
      </c>
      <c r="Y324" s="24">
        <v>34043</v>
      </c>
      <c r="Z324" s="24">
        <v>45413</v>
      </c>
      <c r="AA324" s="24">
        <v>58198</v>
      </c>
      <c r="AB324" s="24">
        <v>41416</v>
      </c>
      <c r="AC324" s="24">
        <v>48910</v>
      </c>
      <c r="AD324" s="24">
        <v>44057.25</v>
      </c>
      <c r="AE324" s="24">
        <v>48484.25</v>
      </c>
      <c r="AF324" s="24">
        <v>45609.5</v>
      </c>
      <c r="AG324" s="24">
        <v>42505</v>
      </c>
      <c r="AH324" s="24">
        <v>51805.5</v>
      </c>
      <c r="AI324" s="24">
        <v>45163</v>
      </c>
      <c r="AJ324" s="32">
        <v>19.469038858483628</v>
      </c>
      <c r="AK324" s="32">
        <v>14.774120839894541</v>
      </c>
      <c r="AL324" s="32">
        <v>18.063125242777193</v>
      </c>
      <c r="AM324" s="32">
        <v>28.154511621694223</v>
      </c>
      <c r="AN324" s="32">
        <v>17.450579952842865</v>
      </c>
      <c r="AO324" s="32">
        <v>11.733184726904739</v>
      </c>
      <c r="AP324" s="19">
        <v>1.1004828944157885</v>
      </c>
      <c r="AQ324" s="19">
        <v>1.1358488911301374</v>
      </c>
      <c r="AR324" s="19">
        <v>1.0625338195506411</v>
      </c>
      <c r="AS324" s="19">
        <v>0.1381367205740342</v>
      </c>
      <c r="AT324" s="19">
        <v>0.18377091713331628</v>
      </c>
      <c r="AU324" s="19">
        <v>8.7508761741157209E-2</v>
      </c>
      <c r="AV324" s="19">
        <v>-5.9552832112066356E-2</v>
      </c>
      <c r="AW324" s="19">
        <v>0.11594670015016657</v>
      </c>
      <c r="AX324" s="19">
        <v>-0.21624215249463571</v>
      </c>
      <c r="AY324" s="19">
        <v>1.1004828944157885</v>
      </c>
      <c r="AZ324" s="19">
        <v>1.1358488911301374</v>
      </c>
      <c r="BA324" s="19">
        <v>1.0625338195506411</v>
      </c>
      <c r="BB324" s="19">
        <v>-1.0421426953537374</v>
      </c>
      <c r="BC324" s="19">
        <v>1.08368592971797</v>
      </c>
      <c r="BD324" s="19">
        <v>-1.1617037044146277</v>
      </c>
      <c r="BE324" s="14" t="s">
        <v>4857</v>
      </c>
    </row>
    <row r="325" spans="1:105" s="30" customFormat="1" ht="17.100000000000001" customHeight="1">
      <c r="A325" s="14">
        <v>314</v>
      </c>
      <c r="B325" s="14" t="s">
        <v>3000</v>
      </c>
      <c r="C325" s="32">
        <v>1.1287861485870059</v>
      </c>
      <c r="D325" s="32">
        <v>-1.0857901520156819</v>
      </c>
      <c r="E325" s="32">
        <v>1.3355338537906858</v>
      </c>
      <c r="F325" s="24">
        <v>662770</v>
      </c>
      <c r="G325" s="52" t="s">
        <v>2</v>
      </c>
      <c r="H325" s="32">
        <v>27.986623341124883</v>
      </c>
      <c r="I325" s="32">
        <v>13.597591813483637</v>
      </c>
      <c r="J325" s="12" t="s">
        <v>3001</v>
      </c>
      <c r="K325" s="12" t="s">
        <v>3002</v>
      </c>
      <c r="L325" s="14" t="s">
        <v>5207</v>
      </c>
      <c r="M325" s="12" t="s">
        <v>3003</v>
      </c>
      <c r="N325" s="15" t="s">
        <v>3004</v>
      </c>
      <c r="O325" s="12" t="s">
        <v>3005</v>
      </c>
      <c r="P325" s="12" t="s">
        <v>3006</v>
      </c>
      <c r="Q325" s="14">
        <v>2</v>
      </c>
      <c r="R325" s="21">
        <v>509.26859999999999</v>
      </c>
      <c r="S325" s="14">
        <v>11</v>
      </c>
      <c r="T325" s="52" t="s">
        <v>2</v>
      </c>
      <c r="U325" s="53">
        <v>28.019537500000006</v>
      </c>
      <c r="V325" s="24">
        <v>438788</v>
      </c>
      <c r="W325" s="24">
        <v>425654</v>
      </c>
      <c r="X325" s="24">
        <v>381218</v>
      </c>
      <c r="Y325" s="24">
        <v>422863</v>
      </c>
      <c r="Z325" s="24">
        <v>409880</v>
      </c>
      <c r="AA325" s="24">
        <v>424583</v>
      </c>
      <c r="AB325" s="24">
        <v>726495</v>
      </c>
      <c r="AC325" s="24">
        <v>599045</v>
      </c>
      <c r="AD325" s="24">
        <v>417130.75</v>
      </c>
      <c r="AE325" s="24">
        <v>540000.75</v>
      </c>
      <c r="AF325" s="24">
        <v>432221</v>
      </c>
      <c r="AG325" s="24">
        <v>402040.5</v>
      </c>
      <c r="AH325" s="24">
        <v>417231.5</v>
      </c>
      <c r="AI325" s="24">
        <v>662770</v>
      </c>
      <c r="AJ325" s="32">
        <v>5.9761456342059436</v>
      </c>
      <c r="AK325" s="32">
        <v>27.986623341124883</v>
      </c>
      <c r="AL325" s="32">
        <v>2.1487018132168765</v>
      </c>
      <c r="AM325" s="32">
        <v>7.3245013630501825</v>
      </c>
      <c r="AN325" s="32">
        <v>2.4918039514719785</v>
      </c>
      <c r="AO325" s="32">
        <v>13.597591813483637</v>
      </c>
      <c r="AP325" s="19">
        <v>1.2945599191620374</v>
      </c>
      <c r="AQ325" s="19">
        <v>0.96531982481184397</v>
      </c>
      <c r="AR325" s="19">
        <v>1.6485155102533202</v>
      </c>
      <c r="AS325" s="19">
        <v>0.37246174243178565</v>
      </c>
      <c r="AT325" s="19">
        <v>-5.0921086987871865E-2</v>
      </c>
      <c r="AU325" s="19">
        <v>0.72116746083922623</v>
      </c>
      <c r="AV325" s="19">
        <v>0.17477218974568509</v>
      </c>
      <c r="AW325" s="19">
        <v>-0.11874530397102157</v>
      </c>
      <c r="AX325" s="19">
        <v>0.4174165466034333</v>
      </c>
      <c r="AY325" s="19">
        <v>1.2945599191620374</v>
      </c>
      <c r="AZ325" s="19">
        <v>-1.0359260985807639</v>
      </c>
      <c r="BA325" s="19">
        <v>1.6485155102533202</v>
      </c>
      <c r="BB325" s="19">
        <v>1.1287861485870059</v>
      </c>
      <c r="BC325" s="19">
        <v>-1.0857901520156819</v>
      </c>
      <c r="BD325" s="19">
        <v>1.3355338537906858</v>
      </c>
      <c r="BE325" s="14" t="s">
        <v>4857</v>
      </c>
    </row>
    <row r="326" spans="1:105" s="30" customFormat="1" ht="17.100000000000001" customHeight="1">
      <c r="A326" s="14">
        <v>315</v>
      </c>
      <c r="B326" s="14" t="s">
        <v>3009</v>
      </c>
      <c r="C326" s="32">
        <v>-1.0426973122892413</v>
      </c>
      <c r="D326" s="32">
        <v>1.0414207582203969</v>
      </c>
      <c r="E326" s="32">
        <v>-1.1134715596231783</v>
      </c>
      <c r="F326" s="42">
        <v>54250</v>
      </c>
      <c r="G326" s="52" t="s">
        <v>2</v>
      </c>
      <c r="H326" s="32">
        <v>18.082528619848034</v>
      </c>
      <c r="I326" s="32">
        <v>30.446851342841281</v>
      </c>
      <c r="J326" s="12" t="s">
        <v>3010</v>
      </c>
      <c r="K326" s="12" t="s">
        <v>3011</v>
      </c>
      <c r="L326" s="14" t="s">
        <v>3568</v>
      </c>
      <c r="M326" s="12" t="s">
        <v>3012</v>
      </c>
      <c r="N326" s="15" t="s">
        <v>3013</v>
      </c>
      <c r="O326" s="12" t="s">
        <v>3014</v>
      </c>
      <c r="P326" s="12" t="s">
        <v>3015</v>
      </c>
      <c r="Q326" s="14">
        <v>2</v>
      </c>
      <c r="R326" s="21">
        <v>425.20479999999998</v>
      </c>
      <c r="S326" s="14">
        <v>1</v>
      </c>
      <c r="T326" s="52" t="s">
        <v>2</v>
      </c>
      <c r="U326" s="53">
        <v>29.5</v>
      </c>
      <c r="V326" s="42">
        <v>60400</v>
      </c>
      <c r="W326" s="42">
        <v>39000</v>
      </c>
      <c r="X326" s="42">
        <v>48500</v>
      </c>
      <c r="Y326" s="42">
        <v>47300</v>
      </c>
      <c r="Z326" s="42">
        <v>60300</v>
      </c>
      <c r="AA326" s="42">
        <v>48200</v>
      </c>
      <c r="AB326" s="42">
        <v>63300</v>
      </c>
      <c r="AC326" s="42">
        <v>42900</v>
      </c>
      <c r="AD326" s="42">
        <v>48800</v>
      </c>
      <c r="AE326" s="42">
        <v>53675</v>
      </c>
      <c r="AF326" s="42">
        <v>49700</v>
      </c>
      <c r="AG326" s="42">
        <v>47900</v>
      </c>
      <c r="AH326" s="42">
        <v>54250</v>
      </c>
      <c r="AI326" s="42">
        <v>53100</v>
      </c>
      <c r="AJ326" s="32">
        <v>18.05683319739914</v>
      </c>
      <c r="AK326" s="32">
        <v>18.082528619848034</v>
      </c>
      <c r="AL326" s="32">
        <v>30.446851342841281</v>
      </c>
      <c r="AM326" s="32">
        <v>1.7714574894026243</v>
      </c>
      <c r="AN326" s="32">
        <v>15.771413921395808</v>
      </c>
      <c r="AO326" s="32">
        <v>27.16568424897471</v>
      </c>
      <c r="AP326" s="19">
        <v>1.0998975409836065</v>
      </c>
      <c r="AQ326" s="19">
        <v>1.091549295774648</v>
      </c>
      <c r="AR326" s="19">
        <v>1.1085594989561587</v>
      </c>
      <c r="AS326" s="19">
        <v>0.13736913829588684</v>
      </c>
      <c r="AT326" s="19">
        <v>0.12637728576955562</v>
      </c>
      <c r="AU326" s="19">
        <v>0.14868620506797339</v>
      </c>
      <c r="AV326" s="19">
        <v>-6.0320414390213711E-2</v>
      </c>
      <c r="AW326" s="19">
        <v>5.8553068786405912E-2</v>
      </c>
      <c r="AX326" s="19">
        <v>-0.15506470916781953</v>
      </c>
      <c r="AY326" s="19">
        <v>1.0998975409836065</v>
      </c>
      <c r="AZ326" s="19">
        <v>1.091549295774648</v>
      </c>
      <c r="BA326" s="19">
        <v>1.1085594989561587</v>
      </c>
      <c r="BB326" s="19">
        <v>-1.0426973122892413</v>
      </c>
      <c r="BC326" s="19">
        <v>1.0414207582203969</v>
      </c>
      <c r="BD326" s="19">
        <v>-1.1134715596231783</v>
      </c>
      <c r="BE326" s="14" t="s">
        <v>4857</v>
      </c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</row>
    <row r="327" spans="1:105" s="30" customFormat="1" ht="17.100000000000001" customHeight="1">
      <c r="A327" s="14">
        <v>316</v>
      </c>
      <c r="B327" s="14" t="s">
        <v>3016</v>
      </c>
      <c r="C327" s="32">
        <v>1.0423238359304738</v>
      </c>
      <c r="D327" s="32">
        <v>-1.0455076486031805</v>
      </c>
      <c r="E327" s="32">
        <v>1.126844925624618</v>
      </c>
      <c r="F327" s="24">
        <v>69626</v>
      </c>
      <c r="G327" s="52" t="s">
        <v>2</v>
      </c>
      <c r="H327" s="32">
        <v>28.964020392644819</v>
      </c>
      <c r="I327" s="32">
        <v>29.935195878342398</v>
      </c>
      <c r="J327" s="12" t="s">
        <v>3017</v>
      </c>
      <c r="K327" s="12" t="s">
        <v>3018</v>
      </c>
      <c r="L327" s="14" t="s">
        <v>4709</v>
      </c>
      <c r="M327" s="12" t="s">
        <v>3019</v>
      </c>
      <c r="N327" s="15" t="s">
        <v>3020</v>
      </c>
      <c r="O327" s="12" t="s">
        <v>3021</v>
      </c>
      <c r="P327" s="12" t="s">
        <v>3022</v>
      </c>
      <c r="Q327" s="14">
        <v>2</v>
      </c>
      <c r="R327" s="21">
        <v>609.32219999999995</v>
      </c>
      <c r="S327" s="14">
        <v>6</v>
      </c>
      <c r="T327" s="52" t="s">
        <v>2</v>
      </c>
      <c r="U327" s="53">
        <v>29.369862500000004</v>
      </c>
      <c r="V327" s="24">
        <v>53146</v>
      </c>
      <c r="W327" s="24">
        <v>48336</v>
      </c>
      <c r="X327" s="24">
        <v>49739</v>
      </c>
      <c r="Y327" s="24">
        <v>50376</v>
      </c>
      <c r="Z327" s="24">
        <v>58845</v>
      </c>
      <c r="AA327" s="24">
        <v>42892</v>
      </c>
      <c r="AB327" s="24">
        <v>84364</v>
      </c>
      <c r="AC327" s="24">
        <v>54888</v>
      </c>
      <c r="AD327" s="24">
        <v>50399.25</v>
      </c>
      <c r="AE327" s="24">
        <v>60247.25</v>
      </c>
      <c r="AF327" s="24">
        <v>50741</v>
      </c>
      <c r="AG327" s="24">
        <v>50057.5</v>
      </c>
      <c r="AH327" s="24">
        <v>50868.5</v>
      </c>
      <c r="AI327" s="24">
        <v>69626</v>
      </c>
      <c r="AJ327" s="32">
        <v>4.0074897250022321</v>
      </c>
      <c r="AK327" s="32">
        <v>28.964020392644819</v>
      </c>
      <c r="AL327" s="32">
        <v>6.7030283547965031</v>
      </c>
      <c r="AM327" s="32">
        <v>0.89981924709749939</v>
      </c>
      <c r="AN327" s="32">
        <v>22.175756077472293</v>
      </c>
      <c r="AO327" s="32">
        <v>29.935195878342398</v>
      </c>
      <c r="AP327" s="19">
        <v>1.1953997331309494</v>
      </c>
      <c r="AQ327" s="19">
        <v>1.0025127608837034</v>
      </c>
      <c r="AR327" s="19">
        <v>1.3909204414922838</v>
      </c>
      <c r="AS327" s="19">
        <v>0.25749312579927891</v>
      </c>
      <c r="AT327" s="19">
        <v>3.6206007165705701E-3</v>
      </c>
      <c r="AU327" s="19">
        <v>0.476039902304982</v>
      </c>
      <c r="AV327" s="19">
        <v>5.9803573113178354E-2</v>
      </c>
      <c r="AW327" s="19">
        <v>-6.4203616266579139E-2</v>
      </c>
      <c r="AX327" s="19">
        <v>0.17228898806918908</v>
      </c>
      <c r="AY327" s="19">
        <v>1.1953997331309494</v>
      </c>
      <c r="AZ327" s="19">
        <v>1.0025127608837034</v>
      </c>
      <c r="BA327" s="19">
        <v>1.3909204414922838</v>
      </c>
      <c r="BB327" s="19">
        <v>1.0423238359304738</v>
      </c>
      <c r="BC327" s="19">
        <v>-1.0455076486031805</v>
      </c>
      <c r="BD327" s="19">
        <v>1.126844925624618</v>
      </c>
      <c r="BE327" s="14" t="s">
        <v>4857</v>
      </c>
    </row>
    <row r="328" spans="1:105" s="30" customFormat="1" ht="17.100000000000001" customHeight="1">
      <c r="A328" s="14">
        <v>317</v>
      </c>
      <c r="B328" s="14" t="s">
        <v>3023</v>
      </c>
      <c r="C328" s="32">
        <v>-1.0507943597337712</v>
      </c>
      <c r="D328" s="32">
        <v>-1.1100911695441524</v>
      </c>
      <c r="E328" s="32">
        <v>1.0230681591510991</v>
      </c>
      <c r="F328" s="24">
        <v>12925</v>
      </c>
      <c r="G328" s="52" t="s">
        <v>2</v>
      </c>
      <c r="H328" s="32">
        <v>33.85601238454381</v>
      </c>
      <c r="I328" s="32">
        <v>42.399052643680804</v>
      </c>
      <c r="J328" s="12" t="s">
        <v>3024</v>
      </c>
      <c r="K328" s="12" t="s">
        <v>3025</v>
      </c>
      <c r="L328" s="14" t="s">
        <v>3026</v>
      </c>
      <c r="M328" s="12" t="s">
        <v>3027</v>
      </c>
      <c r="N328" s="15" t="s">
        <v>3028</v>
      </c>
      <c r="O328" s="12" t="s">
        <v>3029</v>
      </c>
      <c r="P328" s="12" t="s">
        <v>3030</v>
      </c>
      <c r="Q328" s="14">
        <v>5</v>
      </c>
      <c r="R328" s="21">
        <v>618.93830000000003</v>
      </c>
      <c r="S328" s="14">
        <v>1</v>
      </c>
      <c r="T328" s="52" t="s">
        <v>2</v>
      </c>
      <c r="U328" s="53">
        <v>21.2</v>
      </c>
      <c r="V328" s="24">
        <v>14000</v>
      </c>
      <c r="W328" s="24">
        <v>9830</v>
      </c>
      <c r="X328" s="24">
        <v>11500</v>
      </c>
      <c r="Y328" s="24">
        <v>8970</v>
      </c>
      <c r="Z328" s="24">
        <v>14200</v>
      </c>
      <c r="AA328" s="24">
        <v>8300</v>
      </c>
      <c r="AB328" s="24">
        <v>16800</v>
      </c>
      <c r="AC328" s="24">
        <v>9050</v>
      </c>
      <c r="AD328" s="24">
        <v>11075</v>
      </c>
      <c r="AE328" s="24">
        <v>12087.5</v>
      </c>
      <c r="AF328" s="24">
        <v>11915</v>
      </c>
      <c r="AG328" s="24">
        <v>10235</v>
      </c>
      <c r="AH328" s="24">
        <v>11250</v>
      </c>
      <c r="AI328" s="24">
        <v>12925</v>
      </c>
      <c r="AJ328" s="32">
        <v>19.999065790830905</v>
      </c>
      <c r="AK328" s="32">
        <v>33.85601238454381</v>
      </c>
      <c r="AL328" s="32">
        <v>24.747253693226213</v>
      </c>
      <c r="AM328" s="32">
        <v>17.479044029330389</v>
      </c>
      <c r="AN328" s="32">
        <v>37.083822302227823</v>
      </c>
      <c r="AO328" s="32">
        <v>42.399052643680804</v>
      </c>
      <c r="AP328" s="19">
        <v>1.0914221218961626</v>
      </c>
      <c r="AQ328" s="19">
        <v>0.94418799832144351</v>
      </c>
      <c r="AR328" s="19">
        <v>1.2628236443575964</v>
      </c>
      <c r="AS328" s="19">
        <v>0.12620919092182301</v>
      </c>
      <c r="AT328" s="19">
        <v>-8.2853950085871639E-2</v>
      </c>
      <c r="AU328" s="19">
        <v>0.33665317817888629</v>
      </c>
      <c r="AV328" s="19">
        <v>-7.148036176427755E-2</v>
      </c>
      <c r="AW328" s="19">
        <v>-0.15067816706902135</v>
      </c>
      <c r="AX328" s="19">
        <v>3.2902263943093368E-2</v>
      </c>
      <c r="AY328" s="19">
        <v>1.0914221218961626</v>
      </c>
      <c r="AZ328" s="19">
        <v>-1.0591111111111111</v>
      </c>
      <c r="BA328" s="19">
        <v>1.2628236443575964</v>
      </c>
      <c r="BB328" s="19">
        <v>-1.0507943597337712</v>
      </c>
      <c r="BC328" s="19">
        <v>-1.1100911695441524</v>
      </c>
      <c r="BD328" s="19">
        <v>1.0230681591510991</v>
      </c>
      <c r="BE328" s="14" t="s">
        <v>4857</v>
      </c>
    </row>
    <row r="329" spans="1:105" s="30" customFormat="1" ht="17.100000000000001" customHeight="1">
      <c r="A329" s="14">
        <v>318</v>
      </c>
      <c r="B329" s="14" t="s">
        <v>3031</v>
      </c>
      <c r="C329" s="32">
        <v>-1.1897340182516423</v>
      </c>
      <c r="D329" s="32">
        <v>-1.4642408737933916</v>
      </c>
      <c r="E329" s="32">
        <v>-1.0184766056192349</v>
      </c>
      <c r="F329" s="24">
        <v>610862.5</v>
      </c>
      <c r="G329" s="52" t="s">
        <v>2</v>
      </c>
      <c r="H329" s="32">
        <v>31.385685109220823</v>
      </c>
      <c r="I329" s="32">
        <v>26.63924468597742</v>
      </c>
      <c r="J329" s="12" t="s">
        <v>3032</v>
      </c>
      <c r="K329" s="12" t="s">
        <v>3033</v>
      </c>
      <c r="L329" s="14" t="s">
        <v>5015</v>
      </c>
      <c r="M329" s="12" t="s">
        <v>3034</v>
      </c>
      <c r="N329" s="15" t="s">
        <v>3035</v>
      </c>
      <c r="O329" s="12" t="s">
        <v>3036</v>
      </c>
      <c r="P329" s="12" t="s">
        <v>3037</v>
      </c>
      <c r="Q329" s="14">
        <v>2</v>
      </c>
      <c r="R329" s="21">
        <v>698.8501</v>
      </c>
      <c r="S329" s="14">
        <v>6</v>
      </c>
      <c r="T329" s="52" t="s">
        <v>2</v>
      </c>
      <c r="U329" s="53">
        <v>61.455449999999999</v>
      </c>
      <c r="V329" s="24">
        <v>598613</v>
      </c>
      <c r="W329" s="24">
        <v>408841</v>
      </c>
      <c r="X329" s="24">
        <v>577321</v>
      </c>
      <c r="Y329" s="24">
        <v>430739</v>
      </c>
      <c r="Z329" s="24">
        <v>321768</v>
      </c>
      <c r="AA329" s="24">
        <v>399389</v>
      </c>
      <c r="AB329" s="24">
        <v>565777</v>
      </c>
      <c r="AC329" s="24">
        <v>655948</v>
      </c>
      <c r="AD329" s="24">
        <v>503878.5</v>
      </c>
      <c r="AE329" s="24">
        <v>485720.5</v>
      </c>
      <c r="AF329" s="24">
        <v>503727</v>
      </c>
      <c r="AG329" s="24">
        <v>504030</v>
      </c>
      <c r="AH329" s="24">
        <v>360578.5</v>
      </c>
      <c r="AI329" s="24">
        <v>610862.5</v>
      </c>
      <c r="AJ329" s="32">
        <v>19.428175137739391</v>
      </c>
      <c r="AK329" s="32">
        <v>31.385685109220823</v>
      </c>
      <c r="AL329" s="32">
        <v>26.63924468597742</v>
      </c>
      <c r="AM329" s="32">
        <v>20.56407876513035</v>
      </c>
      <c r="AN329" s="32">
        <v>15.221743798501855</v>
      </c>
      <c r="AO329" s="32">
        <v>10.43778682868439</v>
      </c>
      <c r="AP329" s="19">
        <v>0.96396353486009023</v>
      </c>
      <c r="AQ329" s="19">
        <v>0.71582126826634274</v>
      </c>
      <c r="AR329" s="19">
        <v>1.2119566295657005</v>
      </c>
      <c r="AS329" s="19">
        <v>-5.2949522157787962E-2</v>
      </c>
      <c r="AT329" s="19">
        <v>-0.48232868557488534</v>
      </c>
      <c r="AU329" s="19">
        <v>0.27733807221843348</v>
      </c>
      <c r="AV329" s="19">
        <v>-0.25063907484388853</v>
      </c>
      <c r="AW329" s="19">
        <v>-0.55015290255803506</v>
      </c>
      <c r="AX329" s="19">
        <v>-2.6412842017359439E-2</v>
      </c>
      <c r="AY329" s="19">
        <v>-1.0373836393563789</v>
      </c>
      <c r="AZ329" s="19">
        <v>-1.3969967704674571</v>
      </c>
      <c r="BA329" s="19">
        <v>1.2119566295657005</v>
      </c>
      <c r="BB329" s="19">
        <v>-1.1897340182516423</v>
      </c>
      <c r="BC329" s="19">
        <v>-1.4642408737933916</v>
      </c>
      <c r="BD329" s="19">
        <v>-1.0184766056192349</v>
      </c>
      <c r="BE329" s="14" t="s">
        <v>4857</v>
      </c>
    </row>
    <row r="330" spans="1:105" s="30" customFormat="1" ht="17.100000000000001" customHeight="1">
      <c r="A330" s="14">
        <v>319</v>
      </c>
      <c r="B330" s="14" t="s">
        <v>3045</v>
      </c>
      <c r="C330" s="32">
        <v>-1.1801280838563302</v>
      </c>
      <c r="D330" s="32">
        <v>-1.2505735951521695</v>
      </c>
      <c r="E330" s="32">
        <v>-1.1217806030150981</v>
      </c>
      <c r="F330" s="24">
        <v>1288640</v>
      </c>
      <c r="G330" s="52" t="s">
        <v>2</v>
      </c>
      <c r="H330" s="32">
        <v>19.322704372482701</v>
      </c>
      <c r="I330" s="32">
        <v>12.958472007843502</v>
      </c>
      <c r="J330" s="15" t="s">
        <v>3039</v>
      </c>
      <c r="K330" s="15" t="s">
        <v>3040</v>
      </c>
      <c r="L330" s="14" t="s">
        <v>5100</v>
      </c>
      <c r="M330" s="12" t="s">
        <v>3041</v>
      </c>
      <c r="N330" s="15" t="s">
        <v>3042</v>
      </c>
      <c r="O330" s="12" t="s">
        <v>3043</v>
      </c>
      <c r="P330" s="12" t="s">
        <v>3046</v>
      </c>
      <c r="Q330" s="14">
        <v>3</v>
      </c>
      <c r="R330" s="21">
        <v>854.78570000000002</v>
      </c>
      <c r="S330" s="14">
        <v>11</v>
      </c>
      <c r="T330" s="52" t="s">
        <v>2</v>
      </c>
      <c r="U330" s="53">
        <v>89.782250000000005</v>
      </c>
      <c r="V330" s="24">
        <v>1179860</v>
      </c>
      <c r="W330" s="24">
        <v>1072180</v>
      </c>
      <c r="X330" s="24">
        <v>1278430</v>
      </c>
      <c r="Y330" s="24">
        <v>1063810</v>
      </c>
      <c r="Z330" s="24">
        <v>1026450</v>
      </c>
      <c r="AA330" s="24">
        <v>861037</v>
      </c>
      <c r="AB330" s="24">
        <v>1347450</v>
      </c>
      <c r="AC330" s="24">
        <v>1229830</v>
      </c>
      <c r="AD330" s="24">
        <v>1148570</v>
      </c>
      <c r="AE330" s="24">
        <v>1116191.75</v>
      </c>
      <c r="AF330" s="24">
        <v>1126020</v>
      </c>
      <c r="AG330" s="24">
        <v>1171120</v>
      </c>
      <c r="AH330" s="24">
        <v>943743.5</v>
      </c>
      <c r="AI330" s="24">
        <v>1288640</v>
      </c>
      <c r="AJ330" s="32">
        <v>8.830729154038707</v>
      </c>
      <c r="AK330" s="32">
        <v>19.322704372482701</v>
      </c>
      <c r="AL330" s="32">
        <v>6.7619809770845487</v>
      </c>
      <c r="AM330" s="32">
        <v>12.958472007843502</v>
      </c>
      <c r="AN330" s="32">
        <v>12.393691081995307</v>
      </c>
      <c r="AO330" s="32">
        <v>6.454083343925511</v>
      </c>
      <c r="AP330" s="19">
        <v>0.97180994628102768</v>
      </c>
      <c r="AQ330" s="19">
        <v>0.83812321273156787</v>
      </c>
      <c r="AR330" s="19">
        <v>1.1003483844524899</v>
      </c>
      <c r="AS330" s="19">
        <v>-4.1253896660521643E-2</v>
      </c>
      <c r="AT330" s="19">
        <v>-0.25476574436367722</v>
      </c>
      <c r="AU330" s="19">
        <v>0.13796037188333185</v>
      </c>
      <c r="AV330" s="19">
        <v>-0.23894344934662221</v>
      </c>
      <c r="AW330" s="19">
        <v>-0.32258996134682694</v>
      </c>
      <c r="AX330" s="19">
        <v>-0.16579054235246107</v>
      </c>
      <c r="AY330" s="19">
        <v>-1.029007784728744</v>
      </c>
      <c r="AZ330" s="19">
        <v>-1.1931419925011404</v>
      </c>
      <c r="BA330" s="19">
        <v>1.1003483844524899</v>
      </c>
      <c r="BB330" s="19">
        <v>-1.1801280838563302</v>
      </c>
      <c r="BC330" s="19">
        <v>-1.2505735951521695</v>
      </c>
      <c r="BD330" s="19">
        <v>-1.1217806030150981</v>
      </c>
      <c r="BE330" s="14" t="s">
        <v>4857</v>
      </c>
    </row>
    <row r="331" spans="1:105" s="30" customFormat="1" ht="17.100000000000001" customHeight="1">
      <c r="A331" s="14">
        <v>320</v>
      </c>
      <c r="B331" s="14" t="s">
        <v>3047</v>
      </c>
      <c r="C331" s="32">
        <v>1.1375269477245067</v>
      </c>
      <c r="D331" s="32">
        <v>1.0886887108773791</v>
      </c>
      <c r="E331" s="32">
        <v>1.1650278342121734</v>
      </c>
      <c r="F331" s="24">
        <v>285853</v>
      </c>
      <c r="G331" s="52" t="s">
        <v>2</v>
      </c>
      <c r="H331" s="32">
        <v>27.701241950304016</v>
      </c>
      <c r="I331" s="32">
        <v>27.469203504425387</v>
      </c>
      <c r="J331" s="15" t="s">
        <v>3039</v>
      </c>
      <c r="K331" s="15" t="s">
        <v>3040</v>
      </c>
      <c r="L331" s="14" t="s">
        <v>3048</v>
      </c>
      <c r="M331" s="12" t="s">
        <v>3041</v>
      </c>
      <c r="N331" s="15" t="s">
        <v>3042</v>
      </c>
      <c r="O331" s="12" t="s">
        <v>3043</v>
      </c>
      <c r="P331" s="12" t="s">
        <v>3049</v>
      </c>
      <c r="Q331" s="14">
        <v>3</v>
      </c>
      <c r="R331" s="21">
        <v>707.73670000000004</v>
      </c>
      <c r="S331" s="14">
        <v>5</v>
      </c>
      <c r="T331" s="52" t="s">
        <v>2</v>
      </c>
      <c r="U331" s="53">
        <v>94.333437500000002</v>
      </c>
      <c r="V331" s="24">
        <v>185608</v>
      </c>
      <c r="W331" s="24">
        <v>138938</v>
      </c>
      <c r="X331" s="24">
        <v>211211</v>
      </c>
      <c r="Y331" s="24">
        <v>186345</v>
      </c>
      <c r="Z331" s="24">
        <v>221135</v>
      </c>
      <c r="AA331" s="24">
        <v>149202</v>
      </c>
      <c r="AB331" s="24">
        <v>290543</v>
      </c>
      <c r="AC331" s="24">
        <v>281163</v>
      </c>
      <c r="AD331" s="24">
        <v>180525.5</v>
      </c>
      <c r="AE331" s="24">
        <v>235510.75</v>
      </c>
      <c r="AF331" s="24">
        <v>162273</v>
      </c>
      <c r="AG331" s="24">
        <v>198778</v>
      </c>
      <c r="AH331" s="24">
        <v>185168.5</v>
      </c>
      <c r="AI331" s="24">
        <v>285853</v>
      </c>
      <c r="AJ331" s="32">
        <v>16.712723591915815</v>
      </c>
      <c r="AK331" s="32">
        <v>27.701241950304016</v>
      </c>
      <c r="AL331" s="32">
        <v>20.336515303208898</v>
      </c>
      <c r="AM331" s="32">
        <v>8.8455046438663683</v>
      </c>
      <c r="AN331" s="32">
        <v>27.469203504425387</v>
      </c>
      <c r="AO331" s="32">
        <v>2.3203050545314605</v>
      </c>
      <c r="AP331" s="19">
        <v>1.3045843938944914</v>
      </c>
      <c r="AQ331" s="19">
        <v>1.1410924799566162</v>
      </c>
      <c r="AR331" s="19">
        <v>1.4380514946322027</v>
      </c>
      <c r="AS331" s="19">
        <v>0.38359027548139768</v>
      </c>
      <c r="AT331" s="19">
        <v>0.19041571973186353</v>
      </c>
      <c r="AU331" s="19">
        <v>0.52411533761334816</v>
      </c>
      <c r="AV331" s="19">
        <v>0.18590072279529712</v>
      </c>
      <c r="AW331" s="19">
        <v>0.12259150274871382</v>
      </c>
      <c r="AX331" s="19">
        <v>0.22036442337755524</v>
      </c>
      <c r="AY331" s="19">
        <v>1.3045843938944914</v>
      </c>
      <c r="AZ331" s="19">
        <v>1.1410924799566162</v>
      </c>
      <c r="BA331" s="19">
        <v>1.4380514946322027</v>
      </c>
      <c r="BB331" s="19">
        <v>1.1375269477245067</v>
      </c>
      <c r="BC331" s="19">
        <v>1.0886887108773791</v>
      </c>
      <c r="BD331" s="19">
        <v>1.1650278342121734</v>
      </c>
      <c r="BE331" s="14" t="s">
        <v>4857</v>
      </c>
    </row>
    <row r="332" spans="1:105" s="30" customFormat="1" ht="17.100000000000001" customHeight="1">
      <c r="A332" s="14">
        <v>321</v>
      </c>
      <c r="B332" s="14" t="s">
        <v>3051</v>
      </c>
      <c r="C332" s="32">
        <v>-1.103877373976305</v>
      </c>
      <c r="D332" s="32">
        <v>1.1983191940008013</v>
      </c>
      <c r="E332" s="32">
        <v>-1.4242493933513114</v>
      </c>
      <c r="F332" s="24">
        <v>47250</v>
      </c>
      <c r="G332" s="52" t="s">
        <v>2</v>
      </c>
      <c r="H332" s="32">
        <v>21.236313368162975</v>
      </c>
      <c r="I332" s="32">
        <v>27.623704403041344</v>
      </c>
      <c r="J332" s="15" t="s">
        <v>3039</v>
      </c>
      <c r="K332" s="15" t="s">
        <v>3040</v>
      </c>
      <c r="L332" s="14" t="s">
        <v>3052</v>
      </c>
      <c r="M332" s="12" t="s">
        <v>3041</v>
      </c>
      <c r="N332" s="15" t="s">
        <v>3042</v>
      </c>
      <c r="O332" s="12" t="s">
        <v>3043</v>
      </c>
      <c r="P332" s="12" t="s">
        <v>3053</v>
      </c>
      <c r="Q332" s="14">
        <v>2</v>
      </c>
      <c r="R332" s="21">
        <v>481.75069999999999</v>
      </c>
      <c r="S332" s="14">
        <v>3</v>
      </c>
      <c r="T332" s="52" t="s">
        <v>2</v>
      </c>
      <c r="U332" s="53">
        <v>26.043333333333333</v>
      </c>
      <c r="V332" s="24">
        <v>30400</v>
      </c>
      <c r="W332" s="24">
        <v>44600</v>
      </c>
      <c r="X332" s="24">
        <v>50400</v>
      </c>
      <c r="Y332" s="24">
        <v>44100</v>
      </c>
      <c r="Z332" s="24">
        <v>37900</v>
      </c>
      <c r="AA332" s="24">
        <v>56300</v>
      </c>
      <c r="AB332" s="24">
        <v>35700</v>
      </c>
      <c r="AC332" s="24">
        <v>46200</v>
      </c>
      <c r="AD332" s="24">
        <v>42375</v>
      </c>
      <c r="AE332" s="24">
        <v>44025</v>
      </c>
      <c r="AF332" s="24">
        <v>37500</v>
      </c>
      <c r="AG332" s="24">
        <v>47250</v>
      </c>
      <c r="AH332" s="24">
        <v>47100</v>
      </c>
      <c r="AI332" s="24">
        <v>40950</v>
      </c>
      <c r="AJ332" s="32">
        <v>20.011627798377358</v>
      </c>
      <c r="AK332" s="32">
        <v>21.236313368162975</v>
      </c>
      <c r="AL332" s="32">
        <v>26.775776780930599</v>
      </c>
      <c r="AM332" s="32">
        <v>9.428090415820634</v>
      </c>
      <c r="AN332" s="32">
        <v>27.623704403041344</v>
      </c>
      <c r="AO332" s="32">
        <v>18.13094310734737</v>
      </c>
      <c r="AP332" s="19">
        <v>1.0389380530973451</v>
      </c>
      <c r="AQ332" s="19">
        <v>1.256</v>
      </c>
      <c r="AR332" s="19">
        <v>0.8666666666666667</v>
      </c>
      <c r="AS332" s="19">
        <v>5.5109635807502097E-2</v>
      </c>
      <c r="AT332" s="19">
        <v>0.32883646422953999</v>
      </c>
      <c r="AU332" s="19">
        <v>-0.20645087746742632</v>
      </c>
      <c r="AV332" s="19">
        <v>-0.14257991687859844</v>
      </c>
      <c r="AW332" s="19">
        <v>0.26101224724639027</v>
      </c>
      <c r="AX332" s="19">
        <v>-0.51020179170321922</v>
      </c>
      <c r="AY332" s="19">
        <v>1.0389380530973451</v>
      </c>
      <c r="AZ332" s="19">
        <v>1.256</v>
      </c>
      <c r="BA332" s="19">
        <v>-1.1538461538461537</v>
      </c>
      <c r="BB332" s="19">
        <v>-1.103877373976305</v>
      </c>
      <c r="BC332" s="19">
        <v>1.1983191940008013</v>
      </c>
      <c r="BD332" s="19">
        <v>-1.4242493933513114</v>
      </c>
      <c r="BE332" s="14" t="s">
        <v>4857</v>
      </c>
    </row>
    <row r="333" spans="1:105" s="30" customFormat="1" ht="17.100000000000001" customHeight="1">
      <c r="A333" s="14">
        <v>322</v>
      </c>
      <c r="B333" s="14" t="s">
        <v>3054</v>
      </c>
      <c r="C333" s="32">
        <v>-1.1345521426557956</v>
      </c>
      <c r="D333" s="32">
        <v>-1.0300594347007175</v>
      </c>
      <c r="E333" s="32">
        <v>-1.2270482224618295</v>
      </c>
      <c r="F333" s="24">
        <v>81740.5</v>
      </c>
      <c r="G333" s="52" t="s">
        <v>2</v>
      </c>
      <c r="H333" s="32">
        <v>21.634301006144668</v>
      </c>
      <c r="I333" s="32">
        <v>23.442870881937484</v>
      </c>
      <c r="J333" s="15" t="s">
        <v>3039</v>
      </c>
      <c r="K333" s="15" t="s">
        <v>3040</v>
      </c>
      <c r="L333" s="14" t="s">
        <v>4975</v>
      </c>
      <c r="M333" s="12" t="s">
        <v>3041</v>
      </c>
      <c r="N333" s="15" t="s">
        <v>3042</v>
      </c>
      <c r="O333" s="12" t="s">
        <v>3043</v>
      </c>
      <c r="P333" s="12" t="s">
        <v>3055</v>
      </c>
      <c r="Q333" s="14">
        <v>4</v>
      </c>
      <c r="R333" s="21">
        <v>495.2663</v>
      </c>
      <c r="S333" s="14">
        <v>1</v>
      </c>
      <c r="T333" s="52" t="s">
        <v>2</v>
      </c>
      <c r="U333" s="53">
        <v>69.438124999999999</v>
      </c>
      <c r="V333" s="24">
        <v>69257</v>
      </c>
      <c r="W333" s="24">
        <v>49561</v>
      </c>
      <c r="X333" s="24">
        <v>84669</v>
      </c>
      <c r="Y333" s="24">
        <v>77845</v>
      </c>
      <c r="Z333" s="24">
        <v>58668</v>
      </c>
      <c r="AA333" s="24">
        <v>62235</v>
      </c>
      <c r="AB333" s="24">
        <v>87414</v>
      </c>
      <c r="AC333" s="24">
        <v>76067</v>
      </c>
      <c r="AD333" s="24">
        <v>70333</v>
      </c>
      <c r="AE333" s="24">
        <v>71096</v>
      </c>
      <c r="AF333" s="24">
        <v>59409</v>
      </c>
      <c r="AG333" s="24">
        <v>81257</v>
      </c>
      <c r="AH333" s="24">
        <v>60451.5</v>
      </c>
      <c r="AI333" s="24">
        <v>81740.5</v>
      </c>
      <c r="AJ333" s="32">
        <v>21.634301006144668</v>
      </c>
      <c r="AK333" s="32">
        <v>18.588462387217195</v>
      </c>
      <c r="AL333" s="32">
        <v>23.442870881937484</v>
      </c>
      <c r="AM333" s="32">
        <v>5.9383150680150631</v>
      </c>
      <c r="AN333" s="32">
        <v>4.1723528588908714</v>
      </c>
      <c r="AO333" s="32">
        <v>9.8158693011710909</v>
      </c>
      <c r="AP333" s="19">
        <v>1.0108483926464107</v>
      </c>
      <c r="AQ333" s="19">
        <v>1.0175478462859162</v>
      </c>
      <c r="AR333" s="19">
        <v>1.0059502565932781</v>
      </c>
      <c r="AS333" s="19">
        <v>1.5566637618325781E-2</v>
      </c>
      <c r="AT333" s="19">
        <v>2.5096633289076881E-2</v>
      </c>
      <c r="AU333" s="19">
        <v>8.5589668327893925E-3</v>
      </c>
      <c r="AV333" s="19">
        <v>-0.18212291506777478</v>
      </c>
      <c r="AW333" s="19">
        <v>-4.2727583694072827E-2</v>
      </c>
      <c r="AX333" s="19">
        <v>-0.29519194740300353</v>
      </c>
      <c r="AY333" s="19">
        <v>1.0108483926464107</v>
      </c>
      <c r="AZ333" s="19">
        <v>1.0175478462859162</v>
      </c>
      <c r="BA333" s="19">
        <v>1.0059502565932781</v>
      </c>
      <c r="BB333" s="19">
        <v>-1.1345521426557956</v>
      </c>
      <c r="BC333" s="19">
        <v>-1.0300594347007175</v>
      </c>
      <c r="BD333" s="19">
        <v>-1.2270482224618295</v>
      </c>
      <c r="BE333" s="14" t="s">
        <v>4857</v>
      </c>
    </row>
    <row r="334" spans="1:105" s="30" customFormat="1" ht="17.100000000000001" customHeight="1">
      <c r="A334" s="14">
        <v>323</v>
      </c>
      <c r="B334" s="14" t="s">
        <v>3056</v>
      </c>
      <c r="C334" s="32">
        <v>-1.0029977330404503</v>
      </c>
      <c r="D334" s="32">
        <v>-1.2810757054383601</v>
      </c>
      <c r="E334" s="32">
        <v>1.2649579586581239</v>
      </c>
      <c r="F334" s="24">
        <v>74312.5</v>
      </c>
      <c r="G334" s="52" t="s">
        <v>2</v>
      </c>
      <c r="H334" s="32">
        <v>29.729321663634202</v>
      </c>
      <c r="I334" s="32">
        <v>24.759798894203737</v>
      </c>
      <c r="J334" s="15" t="s">
        <v>3039</v>
      </c>
      <c r="K334" s="15" t="s">
        <v>3040</v>
      </c>
      <c r="L334" s="14" t="s">
        <v>5084</v>
      </c>
      <c r="M334" s="12" t="s">
        <v>3041</v>
      </c>
      <c r="N334" s="15" t="s">
        <v>3042</v>
      </c>
      <c r="O334" s="12" t="s">
        <v>3043</v>
      </c>
      <c r="P334" s="12" t="s">
        <v>3057</v>
      </c>
      <c r="Q334" s="14">
        <v>2</v>
      </c>
      <c r="R334" s="21">
        <v>602.81970000000001</v>
      </c>
      <c r="S334" s="14">
        <v>4</v>
      </c>
      <c r="T334" s="52" t="s">
        <v>2</v>
      </c>
      <c r="U334" s="53">
        <v>45.727387499999999</v>
      </c>
      <c r="V334" s="24">
        <v>62668</v>
      </c>
      <c r="W334" s="24">
        <v>59648</v>
      </c>
      <c r="X334" s="24">
        <v>41631</v>
      </c>
      <c r="Y334" s="24">
        <v>53556</v>
      </c>
      <c r="Z334" s="24">
        <v>43067</v>
      </c>
      <c r="AA334" s="24">
        <v>57008</v>
      </c>
      <c r="AB334" s="24">
        <v>87323</v>
      </c>
      <c r="AC334" s="24">
        <v>61302</v>
      </c>
      <c r="AD334" s="24">
        <v>54375.75</v>
      </c>
      <c r="AE334" s="24">
        <v>62175</v>
      </c>
      <c r="AF334" s="24">
        <v>61158</v>
      </c>
      <c r="AG334" s="24">
        <v>47593.5</v>
      </c>
      <c r="AH334" s="24">
        <v>50037.5</v>
      </c>
      <c r="AI334" s="24">
        <v>74312.5</v>
      </c>
      <c r="AJ334" s="32">
        <v>17.109429511573275</v>
      </c>
      <c r="AK334" s="32">
        <v>29.729321663634202</v>
      </c>
      <c r="AL334" s="32">
        <v>3.491714050792003</v>
      </c>
      <c r="AM334" s="32">
        <v>17.717226860074543</v>
      </c>
      <c r="AN334" s="32">
        <v>19.700775691274863</v>
      </c>
      <c r="AO334" s="32">
        <v>24.759798894203737</v>
      </c>
      <c r="AP334" s="19">
        <v>1.1434325043792499</v>
      </c>
      <c r="AQ334" s="19">
        <v>0.8181676967853756</v>
      </c>
      <c r="AR334" s="19">
        <v>1.5614001912025801</v>
      </c>
      <c r="AS334" s="19">
        <v>0.19337120748874514</v>
      </c>
      <c r="AT334" s="19">
        <v>-0.28953151758262496</v>
      </c>
      <c r="AU334" s="19">
        <v>0.64284035145313689</v>
      </c>
      <c r="AV334" s="19">
        <v>-4.318345197355411E-3</v>
      </c>
      <c r="AW334" s="19">
        <v>-0.35735573456577469</v>
      </c>
      <c r="AX334" s="19">
        <v>0.33908943721734397</v>
      </c>
      <c r="AY334" s="19">
        <v>1.1434325043792499</v>
      </c>
      <c r="AZ334" s="19">
        <v>-1.2222433175118661</v>
      </c>
      <c r="BA334" s="19">
        <v>1.5614001912025801</v>
      </c>
      <c r="BB334" s="19">
        <v>-1.0029977330404503</v>
      </c>
      <c r="BC334" s="19">
        <v>-1.2810757054383601</v>
      </c>
      <c r="BD334" s="19">
        <v>1.2649579586581239</v>
      </c>
      <c r="BE334" s="14" t="s">
        <v>4857</v>
      </c>
    </row>
    <row r="335" spans="1:105" s="30" customFormat="1" ht="17.100000000000001" customHeight="1">
      <c r="A335" s="14">
        <v>324</v>
      </c>
      <c r="B335" s="14" t="s">
        <v>3058</v>
      </c>
      <c r="C335" s="32">
        <v>1.0040317810632131</v>
      </c>
      <c r="D335" s="32">
        <v>-1.0211000801769357</v>
      </c>
      <c r="E335" s="32">
        <v>1.0191920428045622</v>
      </c>
      <c r="F335" s="24">
        <v>212081.5</v>
      </c>
      <c r="G335" s="52" t="s">
        <v>2</v>
      </c>
      <c r="H335" s="32">
        <v>26.319951781074558</v>
      </c>
      <c r="I335" s="32">
        <v>30.442360198839619</v>
      </c>
      <c r="J335" s="15" t="s">
        <v>3039</v>
      </c>
      <c r="K335" s="15" t="s">
        <v>3040</v>
      </c>
      <c r="L335" s="14" t="s">
        <v>3059</v>
      </c>
      <c r="M335" s="12" t="s">
        <v>3041</v>
      </c>
      <c r="N335" s="15" t="s">
        <v>3042</v>
      </c>
      <c r="O335" s="12" t="s">
        <v>3043</v>
      </c>
      <c r="P335" s="12" t="s">
        <v>3060</v>
      </c>
      <c r="Q335" s="14">
        <v>2</v>
      </c>
      <c r="R335" s="21">
        <v>689.3723</v>
      </c>
      <c r="S335" s="14">
        <v>8</v>
      </c>
      <c r="T335" s="52" t="s">
        <v>2</v>
      </c>
      <c r="U335" s="53">
        <v>52.436475000000009</v>
      </c>
      <c r="V335" s="24">
        <v>174628</v>
      </c>
      <c r="W335" s="24">
        <v>112764</v>
      </c>
      <c r="X335" s="24">
        <v>160407</v>
      </c>
      <c r="Y335" s="24">
        <v>176755</v>
      </c>
      <c r="Z335" s="24">
        <v>131747</v>
      </c>
      <c r="AA335" s="24">
        <v>163254</v>
      </c>
      <c r="AB335" s="24">
        <v>244103</v>
      </c>
      <c r="AC335" s="24">
        <v>180060</v>
      </c>
      <c r="AD335" s="24">
        <v>156138.5</v>
      </c>
      <c r="AE335" s="24">
        <v>179791</v>
      </c>
      <c r="AF335" s="24">
        <v>143696</v>
      </c>
      <c r="AG335" s="24">
        <v>168581</v>
      </c>
      <c r="AH335" s="24">
        <v>147500.5</v>
      </c>
      <c r="AI335" s="24">
        <v>212081.5</v>
      </c>
      <c r="AJ335" s="32">
        <v>19.094031791659415</v>
      </c>
      <c r="AK335" s="32">
        <v>26.319951781074558</v>
      </c>
      <c r="AL335" s="32">
        <v>30.442360198839619</v>
      </c>
      <c r="AM335" s="32">
        <v>6.8571082499437539</v>
      </c>
      <c r="AN335" s="32">
        <v>15.104229039796172</v>
      </c>
      <c r="AO335" s="32">
        <v>21.352753346015596</v>
      </c>
      <c r="AP335" s="19">
        <v>1.1514840990530844</v>
      </c>
      <c r="AQ335" s="19">
        <v>1.0264760327357756</v>
      </c>
      <c r="AR335" s="19">
        <v>1.2580391621831641</v>
      </c>
      <c r="AS335" s="19">
        <v>0.2034944889634536</v>
      </c>
      <c r="AT335" s="19">
        <v>3.7699942247379221E-2</v>
      </c>
      <c r="AU335" s="19">
        <v>0.33117683335236653</v>
      </c>
      <c r="AV335" s="19">
        <v>5.80493627735304E-3</v>
      </c>
      <c r="AW335" s="19">
        <v>-3.0124274735770486E-2</v>
      </c>
      <c r="AX335" s="19">
        <v>2.7425919116573605E-2</v>
      </c>
      <c r="AY335" s="19">
        <v>1.1514840990530844</v>
      </c>
      <c r="AZ335" s="19">
        <v>1.0264760327357756</v>
      </c>
      <c r="BA335" s="19">
        <v>1.2580391621831641</v>
      </c>
      <c r="BB335" s="19">
        <v>1.0040317810632131</v>
      </c>
      <c r="BC335" s="19">
        <v>-1.0211000801769357</v>
      </c>
      <c r="BD335" s="19">
        <v>1.0191920428045622</v>
      </c>
      <c r="BE335" s="14" t="s">
        <v>4857</v>
      </c>
    </row>
    <row r="336" spans="1:105" s="30" customFormat="1" ht="17.100000000000001" customHeight="1">
      <c r="A336" s="14">
        <v>325</v>
      </c>
      <c r="B336" s="14" t="s">
        <v>3061</v>
      </c>
      <c r="C336" s="32">
        <v>1.3292736571159756</v>
      </c>
      <c r="D336" s="32">
        <v>1.5620384892363777</v>
      </c>
      <c r="E336" s="32">
        <v>1.1713429448139305</v>
      </c>
      <c r="F336" s="24">
        <v>182808.5</v>
      </c>
      <c r="G336" s="52" t="s">
        <v>2</v>
      </c>
      <c r="H336" s="32">
        <v>23.184753117440209</v>
      </c>
      <c r="I336" s="32">
        <v>26.938683632760014</v>
      </c>
      <c r="J336" s="12" t="s">
        <v>2921</v>
      </c>
      <c r="K336" s="12" t="s">
        <v>2922</v>
      </c>
      <c r="L336" s="14" t="s">
        <v>4724</v>
      </c>
      <c r="M336" s="12" t="s">
        <v>2923</v>
      </c>
      <c r="N336" s="15" t="s">
        <v>2924</v>
      </c>
      <c r="O336" s="12" t="s">
        <v>2925</v>
      </c>
      <c r="P336" s="12" t="s">
        <v>2926</v>
      </c>
      <c r="Q336" s="14">
        <v>3</v>
      </c>
      <c r="R336" s="21">
        <v>407.90449999999998</v>
      </c>
      <c r="S336" s="14">
        <v>6</v>
      </c>
      <c r="T336" s="52" t="s">
        <v>2</v>
      </c>
      <c r="U336" s="53">
        <v>52.055275000000009</v>
      </c>
      <c r="V336" s="24">
        <v>80969</v>
      </c>
      <c r="W336" s="24">
        <v>95436</v>
      </c>
      <c r="X336" s="24">
        <v>138495</v>
      </c>
      <c r="Y336" s="24">
        <v>114379</v>
      </c>
      <c r="Z336" s="24">
        <v>171915</v>
      </c>
      <c r="AA336" s="24">
        <v>116900</v>
      </c>
      <c r="AB336" s="24">
        <v>201067</v>
      </c>
      <c r="AC336" s="24">
        <v>164550</v>
      </c>
      <c r="AD336" s="24">
        <v>107319.75</v>
      </c>
      <c r="AE336" s="24">
        <v>163608</v>
      </c>
      <c r="AF336" s="24">
        <v>88202.5</v>
      </c>
      <c r="AG336" s="24">
        <v>126437</v>
      </c>
      <c r="AH336" s="24">
        <v>144407.5</v>
      </c>
      <c r="AI336" s="24">
        <v>182808.5</v>
      </c>
      <c r="AJ336" s="32">
        <v>23.184753117440209</v>
      </c>
      <c r="AK336" s="32">
        <v>21.333452863902242</v>
      </c>
      <c r="AL336" s="32">
        <v>11.597986228764244</v>
      </c>
      <c r="AM336" s="32">
        <v>13.487022892899059</v>
      </c>
      <c r="AN336" s="32">
        <v>26.938683632760014</v>
      </c>
      <c r="AO336" s="32">
        <v>14.124845578071673</v>
      </c>
      <c r="AP336" s="19">
        <v>1.5244910652512702</v>
      </c>
      <c r="AQ336" s="19">
        <v>1.637226835974037</v>
      </c>
      <c r="AR336" s="19">
        <v>1.4458465480832352</v>
      </c>
      <c r="AS336" s="19">
        <v>0.60832769501446537</v>
      </c>
      <c r="AT336" s="19">
        <v>0.71125421946837197</v>
      </c>
      <c r="AU336" s="19">
        <v>0.53191444297575419</v>
      </c>
      <c r="AV336" s="19">
        <v>0.41063814232836482</v>
      </c>
      <c r="AW336" s="19">
        <v>0.64343000248522231</v>
      </c>
      <c r="AX336" s="19">
        <v>0.22816352873996126</v>
      </c>
      <c r="AY336" s="19">
        <v>1.5244910652512702</v>
      </c>
      <c r="AZ336" s="19">
        <v>1.637226835974037</v>
      </c>
      <c r="BA336" s="19">
        <v>1.4458465480832352</v>
      </c>
      <c r="BB336" s="19">
        <v>1.3292736571159756</v>
      </c>
      <c r="BC336" s="19">
        <v>1.5620384892363777</v>
      </c>
      <c r="BD336" s="19">
        <v>1.1713429448139305</v>
      </c>
      <c r="BE336" s="14" t="s">
        <v>4857</v>
      </c>
    </row>
    <row r="337" spans="1:57" s="30" customFormat="1" ht="17.100000000000001" customHeight="1">
      <c r="A337" s="14">
        <v>326</v>
      </c>
      <c r="B337" s="14" t="s">
        <v>2927</v>
      </c>
      <c r="C337" s="32">
        <v>1.0691675584840408</v>
      </c>
      <c r="D337" s="32">
        <v>1.2870745510674186</v>
      </c>
      <c r="E337" s="32">
        <v>-1.0800873564371649</v>
      </c>
      <c r="F337" s="24">
        <v>141749</v>
      </c>
      <c r="G337" s="52" t="s">
        <v>2</v>
      </c>
      <c r="H337" s="32">
        <v>23.31702241097798</v>
      </c>
      <c r="I337" s="32">
        <v>10.162443750448585</v>
      </c>
      <c r="J337" s="12" t="s">
        <v>2921</v>
      </c>
      <c r="K337" s="12" t="s">
        <v>2922</v>
      </c>
      <c r="L337" s="14" t="s">
        <v>5210</v>
      </c>
      <c r="M337" s="12" t="s">
        <v>2923</v>
      </c>
      <c r="N337" s="15" t="s">
        <v>2924</v>
      </c>
      <c r="O337" s="12" t="s">
        <v>2925</v>
      </c>
      <c r="P337" s="12" t="s">
        <v>2928</v>
      </c>
      <c r="Q337" s="14">
        <v>2</v>
      </c>
      <c r="R337" s="21">
        <v>616.85350000000005</v>
      </c>
      <c r="S337" s="14">
        <v>6</v>
      </c>
      <c r="T337" s="52" t="s">
        <v>2</v>
      </c>
      <c r="U337" s="53">
        <v>57.971599999999995</v>
      </c>
      <c r="V337" s="24">
        <v>81034</v>
      </c>
      <c r="W337" s="24">
        <v>87308</v>
      </c>
      <c r="X337" s="24">
        <v>115121</v>
      </c>
      <c r="Y337" s="24">
        <v>132947</v>
      </c>
      <c r="Z337" s="24">
        <v>115093</v>
      </c>
      <c r="AA337" s="24">
        <v>112005</v>
      </c>
      <c r="AB337" s="24">
        <v>147380</v>
      </c>
      <c r="AC337" s="24">
        <v>136118</v>
      </c>
      <c r="AD337" s="24">
        <v>104102.5</v>
      </c>
      <c r="AE337" s="24">
        <v>127649</v>
      </c>
      <c r="AF337" s="24">
        <v>84171</v>
      </c>
      <c r="AG337" s="24">
        <v>124034</v>
      </c>
      <c r="AH337" s="24">
        <v>113549</v>
      </c>
      <c r="AI337" s="24">
        <v>141749</v>
      </c>
      <c r="AJ337" s="32">
        <v>23.31702241097798</v>
      </c>
      <c r="AK337" s="32">
        <v>13.290277916003603</v>
      </c>
      <c r="AL337" s="32">
        <v>5.2706846124727029</v>
      </c>
      <c r="AM337" s="32">
        <v>10.162443750448585</v>
      </c>
      <c r="AN337" s="32">
        <v>1.9229986528318688</v>
      </c>
      <c r="AO337" s="32">
        <v>5.6179843030447474</v>
      </c>
      <c r="AP337" s="19">
        <v>1.2261857304099326</v>
      </c>
      <c r="AQ337" s="19">
        <v>1.3490275748179301</v>
      </c>
      <c r="AR337" s="19">
        <v>1.1428237418772271</v>
      </c>
      <c r="AS337" s="19">
        <v>0.29417752066568514</v>
      </c>
      <c r="AT337" s="19">
        <v>0.43191983801671835</v>
      </c>
      <c r="AU337" s="19">
        <v>0.19260291332666976</v>
      </c>
      <c r="AV337" s="19">
        <v>9.6487967979584588E-2</v>
      </c>
      <c r="AW337" s="19">
        <v>0.36409562103356863</v>
      </c>
      <c r="AX337" s="19">
        <v>-0.11114800090912316</v>
      </c>
      <c r="AY337" s="19">
        <v>1.2261857304099326</v>
      </c>
      <c r="AZ337" s="19">
        <v>1.3490275748179301</v>
      </c>
      <c r="BA337" s="19">
        <v>1.1428237418772271</v>
      </c>
      <c r="BB337" s="19">
        <v>1.0691675584840408</v>
      </c>
      <c r="BC337" s="19">
        <v>1.2870745510674186</v>
      </c>
      <c r="BD337" s="19">
        <v>-1.0800873564371649</v>
      </c>
      <c r="BE337" s="14" t="s">
        <v>4857</v>
      </c>
    </row>
    <row r="338" spans="1:57" s="30" customFormat="1" ht="17.100000000000001" customHeight="1">
      <c r="A338" s="14">
        <v>327</v>
      </c>
      <c r="B338" s="14" t="s">
        <v>2929</v>
      </c>
      <c r="C338" s="32">
        <v>-1.176637317404237</v>
      </c>
      <c r="D338" s="32">
        <v>-1.1790167805694938</v>
      </c>
      <c r="E338" s="32">
        <v>-1.1560120572932879</v>
      </c>
      <c r="F338" s="24">
        <v>104392</v>
      </c>
      <c r="G338" s="52" t="s">
        <v>2</v>
      </c>
      <c r="H338" s="32">
        <v>24.221839688560681</v>
      </c>
      <c r="I338" s="32">
        <v>39.50482957732568</v>
      </c>
      <c r="J338" s="12" t="s">
        <v>2930</v>
      </c>
      <c r="K338" s="12" t="s">
        <v>2931</v>
      </c>
      <c r="L338" s="14" t="s">
        <v>2932</v>
      </c>
      <c r="M338" s="12" t="s">
        <v>2933</v>
      </c>
      <c r="N338" s="15" t="s">
        <v>2934</v>
      </c>
      <c r="O338" s="12" t="s">
        <v>2935</v>
      </c>
      <c r="P338" s="12" t="s">
        <v>2936</v>
      </c>
      <c r="Q338" s="14">
        <v>3</v>
      </c>
      <c r="R338" s="21">
        <v>954.46159999999998</v>
      </c>
      <c r="S338" s="14">
        <v>1</v>
      </c>
      <c r="T338" s="52" t="s">
        <v>2</v>
      </c>
      <c r="U338" s="53">
        <v>64.499087500000002</v>
      </c>
      <c r="V338" s="24">
        <v>75231</v>
      </c>
      <c r="W338" s="24">
        <v>133553</v>
      </c>
      <c r="X338" s="24">
        <v>95837</v>
      </c>
      <c r="Y338" s="24">
        <v>96415</v>
      </c>
      <c r="Z338" s="24">
        <v>90103</v>
      </c>
      <c r="AA338" s="24">
        <v>95504</v>
      </c>
      <c r="AB338" s="24">
        <v>103755</v>
      </c>
      <c r="AC338" s="24">
        <v>101525</v>
      </c>
      <c r="AD338" s="24">
        <v>100259</v>
      </c>
      <c r="AE338" s="24">
        <v>97721.75</v>
      </c>
      <c r="AF338" s="24">
        <v>104392</v>
      </c>
      <c r="AG338" s="24">
        <v>96126</v>
      </c>
      <c r="AH338" s="24">
        <v>92803.5</v>
      </c>
      <c r="AI338" s="24">
        <v>102640</v>
      </c>
      <c r="AJ338" s="32">
        <v>24.221839688560681</v>
      </c>
      <c r="AK338" s="32">
        <v>6.303384525753021</v>
      </c>
      <c r="AL338" s="32">
        <v>39.50482957732568</v>
      </c>
      <c r="AM338" s="32">
        <v>0.42517916019164892</v>
      </c>
      <c r="AN338" s="32">
        <v>4.1152367369641691</v>
      </c>
      <c r="AO338" s="32">
        <v>1.5362900643472339</v>
      </c>
      <c r="AP338" s="19">
        <v>0.97469304501341525</v>
      </c>
      <c r="AQ338" s="19">
        <v>0.88899053567323172</v>
      </c>
      <c r="AR338" s="19">
        <v>1.0677652248091047</v>
      </c>
      <c r="AS338" s="19">
        <v>-3.6980144907811652E-2</v>
      </c>
      <c r="AT338" s="19">
        <v>-0.16976003489865643</v>
      </c>
      <c r="AU338" s="19">
        <v>9.4594468900214002E-2</v>
      </c>
      <c r="AV338" s="19">
        <v>-0.23466969759391221</v>
      </c>
      <c r="AW338" s="19">
        <v>-0.23758425188180615</v>
      </c>
      <c r="AX338" s="19">
        <v>-0.20915644533557892</v>
      </c>
      <c r="AY338" s="19">
        <v>-1.0259640254088778</v>
      </c>
      <c r="AZ338" s="19">
        <v>-1.124871367997974</v>
      </c>
      <c r="BA338" s="19">
        <v>1.0677652248091047</v>
      </c>
      <c r="BB338" s="19">
        <v>-1.176637317404237</v>
      </c>
      <c r="BC338" s="19">
        <v>-1.1790167805694938</v>
      </c>
      <c r="BD338" s="19">
        <v>-1.1560120572932879</v>
      </c>
      <c r="BE338" s="14" t="s">
        <v>4857</v>
      </c>
    </row>
    <row r="339" spans="1:57" s="30" customFormat="1" ht="17.100000000000001" customHeight="1">
      <c r="A339" s="14">
        <v>328</v>
      </c>
      <c r="B339" s="14" t="s">
        <v>2937</v>
      </c>
      <c r="C339" s="32">
        <v>1.0647268219635273</v>
      </c>
      <c r="D339" s="32">
        <v>1.1348827344772854</v>
      </c>
      <c r="E339" s="32">
        <v>1.0123792498284652</v>
      </c>
      <c r="F339" s="24">
        <v>2354415</v>
      </c>
      <c r="G339" s="52" t="s">
        <v>2</v>
      </c>
      <c r="H339" s="32">
        <v>14.875672140295684</v>
      </c>
      <c r="I339" s="32">
        <v>18.362014128759938</v>
      </c>
      <c r="J339" s="12" t="s">
        <v>2938</v>
      </c>
      <c r="K339" s="15" t="s">
        <v>2939</v>
      </c>
      <c r="L339" s="14" t="s">
        <v>5148</v>
      </c>
      <c r="M339" s="12" t="s">
        <v>2940</v>
      </c>
      <c r="N339" s="15" t="s">
        <v>2941</v>
      </c>
      <c r="O339" s="12" t="s">
        <v>2942</v>
      </c>
      <c r="P339" s="12" t="s">
        <v>2943</v>
      </c>
      <c r="Q339" s="14">
        <v>2</v>
      </c>
      <c r="R339" s="21">
        <v>629.3329</v>
      </c>
      <c r="S339" s="14">
        <v>9</v>
      </c>
      <c r="T339" s="52" t="s">
        <v>2</v>
      </c>
      <c r="U339" s="53">
        <v>52.844387499999996</v>
      </c>
      <c r="V339" s="24">
        <v>1745200</v>
      </c>
      <c r="W339" s="24">
        <v>1659580</v>
      </c>
      <c r="X339" s="24">
        <v>1910050</v>
      </c>
      <c r="Y339" s="24">
        <v>1858130</v>
      </c>
      <c r="Z339" s="24">
        <v>1918000</v>
      </c>
      <c r="AA339" s="24">
        <v>2132020</v>
      </c>
      <c r="AB339" s="24">
        <v>2048720</v>
      </c>
      <c r="AC339" s="24">
        <v>2660110</v>
      </c>
      <c r="AD339" s="24">
        <v>1793240</v>
      </c>
      <c r="AE339" s="24">
        <v>2189712.5</v>
      </c>
      <c r="AF339" s="24">
        <v>1702390</v>
      </c>
      <c r="AG339" s="24">
        <v>1884090</v>
      </c>
      <c r="AH339" s="24">
        <v>2025010</v>
      </c>
      <c r="AI339" s="24">
        <v>2354415</v>
      </c>
      <c r="AJ339" s="32">
        <v>6.2784640758148491</v>
      </c>
      <c r="AK339" s="32">
        <v>14.875672140295684</v>
      </c>
      <c r="AL339" s="32">
        <v>3.5563227348135387</v>
      </c>
      <c r="AM339" s="32">
        <v>1.9485791060514914</v>
      </c>
      <c r="AN339" s="32">
        <v>7.4732960977745737</v>
      </c>
      <c r="AO339" s="32">
        <v>18.362014128759938</v>
      </c>
      <c r="AP339" s="19">
        <v>1.2210928263924516</v>
      </c>
      <c r="AQ339" s="19">
        <v>1.189510041764813</v>
      </c>
      <c r="AR339" s="19">
        <v>1.2496297947550277</v>
      </c>
      <c r="AS339" s="19">
        <v>0.28817287689016319</v>
      </c>
      <c r="AT339" s="19">
        <v>0.25036745095022483</v>
      </c>
      <c r="AU339" s="19">
        <v>0.32150075698631919</v>
      </c>
      <c r="AV339" s="19">
        <v>9.0483324204062632E-2</v>
      </c>
      <c r="AW339" s="19">
        <v>0.18254323396707511</v>
      </c>
      <c r="AX339" s="19">
        <v>1.7749842750526268E-2</v>
      </c>
      <c r="AY339" s="19">
        <v>1.2210928263924516</v>
      </c>
      <c r="AZ339" s="19">
        <v>1.189510041764813</v>
      </c>
      <c r="BA339" s="19">
        <v>1.2496297947550277</v>
      </c>
      <c r="BB339" s="19">
        <v>1.0647268219635273</v>
      </c>
      <c r="BC339" s="19">
        <v>1.1348827344772854</v>
      </c>
      <c r="BD339" s="19">
        <v>1.0123792498284652</v>
      </c>
      <c r="BE339" s="14" t="s">
        <v>4857</v>
      </c>
    </row>
    <row r="340" spans="1:57" s="30" customFormat="1" ht="17.100000000000001" customHeight="1">
      <c r="A340" s="14">
        <v>329</v>
      </c>
      <c r="B340" s="14" t="s">
        <v>2945</v>
      </c>
      <c r="C340" s="32">
        <v>1.0305498588290916</v>
      </c>
      <c r="D340" s="32">
        <v>1.022424065911159</v>
      </c>
      <c r="E340" s="32">
        <v>1.0335184713684551</v>
      </c>
      <c r="F340" s="42">
        <v>5406167</v>
      </c>
      <c r="G340" s="52" t="s">
        <v>4894</v>
      </c>
      <c r="H340" s="32">
        <v>19.418536071665635</v>
      </c>
      <c r="I340" s="32">
        <v>10.174858905139313</v>
      </c>
      <c r="J340" s="12" t="s">
        <v>2938</v>
      </c>
      <c r="K340" s="15" t="s">
        <v>2939</v>
      </c>
      <c r="L340" s="14" t="s">
        <v>5272</v>
      </c>
      <c r="M340" s="12" t="s">
        <v>2940</v>
      </c>
      <c r="N340" s="15" t="s">
        <v>2941</v>
      </c>
      <c r="O340" s="12" t="s">
        <v>2942</v>
      </c>
      <c r="P340" s="12" t="s">
        <v>2946</v>
      </c>
      <c r="Q340" s="14">
        <v>3</v>
      </c>
      <c r="R340" s="21">
        <v>454.58190000000002</v>
      </c>
      <c r="S340" s="14">
        <v>1</v>
      </c>
      <c r="T340" s="52" t="s">
        <v>4894</v>
      </c>
      <c r="U340" s="53">
        <v>35.6</v>
      </c>
      <c r="V340" s="42">
        <v>3865623</v>
      </c>
      <c r="W340" s="42">
        <v>3346716</v>
      </c>
      <c r="X340" s="42">
        <v>4311054</v>
      </c>
      <c r="Y340" s="42">
        <v>4164402</v>
      </c>
      <c r="Z340" s="42">
        <v>3744909</v>
      </c>
      <c r="AA340" s="42">
        <v>3984109</v>
      </c>
      <c r="AB340" s="42">
        <v>5518644</v>
      </c>
      <c r="AC340" s="42">
        <v>5293690</v>
      </c>
      <c r="AD340" s="42">
        <v>3921948.75</v>
      </c>
      <c r="AE340" s="42">
        <v>4635338</v>
      </c>
      <c r="AF340" s="42">
        <v>3606169.5</v>
      </c>
      <c r="AG340" s="42">
        <v>4237728</v>
      </c>
      <c r="AH340" s="42">
        <v>3864509</v>
      </c>
      <c r="AI340" s="42">
        <v>5406167</v>
      </c>
      <c r="AJ340" s="32">
        <v>10.860189110598881</v>
      </c>
      <c r="AK340" s="32">
        <v>19.418536071665635</v>
      </c>
      <c r="AL340" s="32">
        <v>10.174858905139313</v>
      </c>
      <c r="AM340" s="32">
        <v>2.4470334970665784</v>
      </c>
      <c r="AN340" s="32">
        <v>4.3767511489770667</v>
      </c>
      <c r="AO340" s="32">
        <v>2.9423156712517131</v>
      </c>
      <c r="AP340" s="19">
        <v>1.1818966272825466</v>
      </c>
      <c r="AQ340" s="19">
        <v>1.071638202253111</v>
      </c>
      <c r="AR340" s="19">
        <v>1.2757229817487106</v>
      </c>
      <c r="AS340" s="19">
        <v>0.24110385799549211</v>
      </c>
      <c r="AT340" s="19">
        <v>9.9817917068157472E-2</v>
      </c>
      <c r="AU340" s="19">
        <v>0.35131508753087226</v>
      </c>
      <c r="AV340" s="19">
        <v>4.3414305309391554E-2</v>
      </c>
      <c r="AW340" s="19">
        <v>3.1993700085007765E-2</v>
      </c>
      <c r="AX340" s="19">
        <v>4.7564173295079337E-2</v>
      </c>
      <c r="AY340" s="19">
        <v>1.1818966272825466</v>
      </c>
      <c r="AZ340" s="19">
        <v>1.071638202253111</v>
      </c>
      <c r="BA340" s="19">
        <v>1.2757229817487106</v>
      </c>
      <c r="BB340" s="19">
        <v>1.0305498588290916</v>
      </c>
      <c r="BC340" s="19">
        <v>1.022424065911159</v>
      </c>
      <c r="BD340" s="19">
        <v>1.0335184713684551</v>
      </c>
      <c r="BE340" s="14" t="s">
        <v>4857</v>
      </c>
    </row>
    <row r="341" spans="1:57" s="30" customFormat="1" ht="17.100000000000001" customHeight="1">
      <c r="A341" s="14">
        <v>330</v>
      </c>
      <c r="B341" s="14" t="s">
        <v>3372</v>
      </c>
      <c r="C341" s="32">
        <v>-1.141207412115929</v>
      </c>
      <c r="D341" s="32">
        <v>-1.0339116393428311</v>
      </c>
      <c r="E341" s="32">
        <v>-1.2362113349864194</v>
      </c>
      <c r="F341" s="24">
        <v>240687.5</v>
      </c>
      <c r="G341" s="52" t="s">
        <v>2</v>
      </c>
      <c r="H341" s="32">
        <v>31.253913458045218</v>
      </c>
      <c r="I341" s="32">
        <v>35.924476472717615</v>
      </c>
      <c r="J341" s="12" t="s">
        <v>2938</v>
      </c>
      <c r="K341" s="15" t="s">
        <v>2939</v>
      </c>
      <c r="L341" s="14" t="s">
        <v>5110</v>
      </c>
      <c r="M341" s="12" t="s">
        <v>2940</v>
      </c>
      <c r="N341" s="15" t="s">
        <v>2941</v>
      </c>
      <c r="O341" s="12" t="s">
        <v>2942</v>
      </c>
      <c r="P341" s="12" t="s">
        <v>2952</v>
      </c>
      <c r="Q341" s="14">
        <v>3</v>
      </c>
      <c r="R341" s="21">
        <v>497.28019999999998</v>
      </c>
      <c r="S341" s="14">
        <v>27</v>
      </c>
      <c r="T341" s="52" t="s">
        <v>2</v>
      </c>
      <c r="U341" s="53">
        <v>29.338637500000004</v>
      </c>
      <c r="V341" s="24">
        <v>200838</v>
      </c>
      <c r="W341" s="24">
        <v>152374</v>
      </c>
      <c r="X341" s="24">
        <v>179547</v>
      </c>
      <c r="Y341" s="24">
        <v>301828</v>
      </c>
      <c r="Z341" s="24">
        <v>193828</v>
      </c>
      <c r="AA341" s="24">
        <v>164243</v>
      </c>
      <c r="AB341" s="24">
        <v>213708</v>
      </c>
      <c r="AC341" s="24">
        <v>266942</v>
      </c>
      <c r="AD341" s="24">
        <v>208646.75</v>
      </c>
      <c r="AE341" s="24">
        <v>209680.25</v>
      </c>
      <c r="AF341" s="24">
        <v>176606</v>
      </c>
      <c r="AG341" s="24">
        <v>240687.5</v>
      </c>
      <c r="AH341" s="24">
        <v>179035.5</v>
      </c>
      <c r="AI341" s="24">
        <v>240325</v>
      </c>
      <c r="AJ341" s="32">
        <v>31.253913458045218</v>
      </c>
      <c r="AK341" s="32">
        <v>20.625322809593762</v>
      </c>
      <c r="AL341" s="32">
        <v>19.404336796838635</v>
      </c>
      <c r="AM341" s="32">
        <v>35.924476472717615</v>
      </c>
      <c r="AN341" s="32">
        <v>11.684696119710344</v>
      </c>
      <c r="AO341" s="32">
        <v>15.663007339929125</v>
      </c>
      <c r="AP341" s="19">
        <v>1.0049533481829935</v>
      </c>
      <c r="AQ341" s="19">
        <v>1.0137566107606764</v>
      </c>
      <c r="AR341" s="19">
        <v>0.99849389768891195</v>
      </c>
      <c r="AS341" s="19">
        <v>7.1285303522472965E-3</v>
      </c>
      <c r="AT341" s="19">
        <v>1.9711322364173521E-2</v>
      </c>
      <c r="AU341" s="19">
        <v>-2.1744842445008935E-3</v>
      </c>
      <c r="AV341" s="19">
        <v>-0.19056102233385325</v>
      </c>
      <c r="AW341" s="19">
        <v>-4.8112894618976186E-2</v>
      </c>
      <c r="AX341" s="19">
        <v>-0.30592539848029382</v>
      </c>
      <c r="AY341" s="19">
        <v>1.0049533481829935</v>
      </c>
      <c r="AZ341" s="19">
        <v>1.0137566107606764</v>
      </c>
      <c r="BA341" s="19">
        <v>-1.001508374076771</v>
      </c>
      <c r="BB341" s="19">
        <v>-1.141207412115929</v>
      </c>
      <c r="BC341" s="19">
        <v>-1.0339116393428311</v>
      </c>
      <c r="BD341" s="19">
        <v>-1.2362113349864194</v>
      </c>
      <c r="BE341" s="14" t="s">
        <v>4857</v>
      </c>
    </row>
    <row r="342" spans="1:57" s="30" customFormat="1" ht="17.100000000000001" customHeight="1">
      <c r="A342" s="14">
        <v>331</v>
      </c>
      <c r="B342" s="14" t="s">
        <v>2954</v>
      </c>
      <c r="C342" s="32">
        <v>-1.1228257941780539</v>
      </c>
      <c r="D342" s="32">
        <v>-1.0217836329588477</v>
      </c>
      <c r="E342" s="32">
        <v>-1.2134950201505414</v>
      </c>
      <c r="F342" s="24">
        <v>148623</v>
      </c>
      <c r="G342" s="52" t="s">
        <v>2</v>
      </c>
      <c r="H342" s="32">
        <v>12.255626119891</v>
      </c>
      <c r="I342" s="32">
        <v>19.95798125215142</v>
      </c>
      <c r="J342" s="12" t="s">
        <v>2938</v>
      </c>
      <c r="K342" s="15" t="s">
        <v>2939</v>
      </c>
      <c r="L342" s="14" t="s">
        <v>4975</v>
      </c>
      <c r="M342" s="12" t="s">
        <v>2940</v>
      </c>
      <c r="N342" s="15" t="s">
        <v>2941</v>
      </c>
      <c r="O342" s="12" t="s">
        <v>2942</v>
      </c>
      <c r="P342" s="12" t="s">
        <v>2955</v>
      </c>
      <c r="Q342" s="14">
        <v>2</v>
      </c>
      <c r="R342" s="21">
        <v>603.80930000000001</v>
      </c>
      <c r="S342" s="14">
        <v>5</v>
      </c>
      <c r="T342" s="52" t="s">
        <v>2</v>
      </c>
      <c r="U342" s="53">
        <v>27.996537499999999</v>
      </c>
      <c r="V342" s="24">
        <v>136459</v>
      </c>
      <c r="W342" s="24">
        <v>144820</v>
      </c>
      <c r="X342" s="24">
        <v>146034</v>
      </c>
      <c r="Y342" s="24">
        <v>146190</v>
      </c>
      <c r="Z342" s="24">
        <v>164626</v>
      </c>
      <c r="AA342" s="24">
        <v>123907</v>
      </c>
      <c r="AB342" s="24">
        <v>156316</v>
      </c>
      <c r="AC342" s="24">
        <v>140930</v>
      </c>
      <c r="AD342" s="24">
        <v>143375.75</v>
      </c>
      <c r="AE342" s="24">
        <v>146444.75</v>
      </c>
      <c r="AF342" s="24">
        <v>140639.5</v>
      </c>
      <c r="AG342" s="24">
        <v>146112</v>
      </c>
      <c r="AH342" s="24">
        <v>144266.5</v>
      </c>
      <c r="AI342" s="24">
        <v>148623</v>
      </c>
      <c r="AJ342" s="32">
        <v>3.2443781391785427</v>
      </c>
      <c r="AK342" s="32">
        <v>12.255626119891</v>
      </c>
      <c r="AL342" s="32">
        <v>4.203740625855982</v>
      </c>
      <c r="AM342" s="32">
        <v>7.5495960540613652E-2</v>
      </c>
      <c r="AN342" s="32">
        <v>19.95798125215142</v>
      </c>
      <c r="AO342" s="32">
        <v>7.3202296652175107</v>
      </c>
      <c r="AP342" s="19">
        <v>1.0214052934335129</v>
      </c>
      <c r="AQ342" s="19">
        <v>1.0257893408324119</v>
      </c>
      <c r="AR342" s="19">
        <v>1.0171854467805519</v>
      </c>
      <c r="AS342" s="19">
        <v>3.0555440950208995E-2</v>
      </c>
      <c r="AT342" s="19">
        <v>3.6734485193595921E-2</v>
      </c>
      <c r="AU342" s="19">
        <v>2.4582726157837881E-2</v>
      </c>
      <c r="AV342" s="19">
        <v>-0.16713411173589157</v>
      </c>
      <c r="AW342" s="19">
        <v>-3.1089731789553786E-2</v>
      </c>
      <c r="AX342" s="19">
        <v>-0.27916818807795507</v>
      </c>
      <c r="AY342" s="19">
        <v>1.0214052934335129</v>
      </c>
      <c r="AZ342" s="19">
        <v>1.0257893408324119</v>
      </c>
      <c r="BA342" s="19">
        <v>1.0171854467805519</v>
      </c>
      <c r="BB342" s="19">
        <v>-1.1228257941780539</v>
      </c>
      <c r="BC342" s="19">
        <v>-1.0217836329588477</v>
      </c>
      <c r="BD342" s="19">
        <v>-1.2134950201505414</v>
      </c>
      <c r="BE342" s="14" t="s">
        <v>4857</v>
      </c>
    </row>
    <row r="343" spans="1:57" s="30" customFormat="1" ht="17.100000000000001" customHeight="1">
      <c r="A343" s="14">
        <v>332</v>
      </c>
      <c r="B343" s="14" t="s">
        <v>2957</v>
      </c>
      <c r="C343" s="32">
        <v>1.0493338913582813</v>
      </c>
      <c r="D343" s="32">
        <v>-1.1933971659119462</v>
      </c>
      <c r="E343" s="32">
        <v>1.2142135390533182</v>
      </c>
      <c r="F343" s="24">
        <v>451936.5</v>
      </c>
      <c r="G343" s="52" t="s">
        <v>2</v>
      </c>
      <c r="H343" s="32">
        <v>36.180773511919412</v>
      </c>
      <c r="I343" s="32">
        <v>10.806328777651569</v>
      </c>
      <c r="J343" s="12" t="s">
        <v>2938</v>
      </c>
      <c r="K343" s="15" t="s">
        <v>2939</v>
      </c>
      <c r="L343" s="14" t="s">
        <v>5138</v>
      </c>
      <c r="M343" s="12" t="s">
        <v>2940</v>
      </c>
      <c r="N343" s="15" t="s">
        <v>2941</v>
      </c>
      <c r="O343" s="12" t="s">
        <v>2942</v>
      </c>
      <c r="P343" s="12" t="s">
        <v>2958</v>
      </c>
      <c r="Q343" s="14">
        <v>3</v>
      </c>
      <c r="R343" s="21">
        <v>780.10910000000001</v>
      </c>
      <c r="S343" s="14">
        <v>5</v>
      </c>
      <c r="T343" s="52" t="s">
        <v>2</v>
      </c>
      <c r="U343" s="53">
        <v>73.210750000000004</v>
      </c>
      <c r="V343" s="24">
        <v>277703</v>
      </c>
      <c r="W343" s="24">
        <v>270038</v>
      </c>
      <c r="X343" s="24">
        <v>302762</v>
      </c>
      <c r="Y343" s="24">
        <v>300317</v>
      </c>
      <c r="Z343" s="24">
        <v>239462</v>
      </c>
      <c r="AA343" s="24">
        <v>241607</v>
      </c>
      <c r="AB343" s="24">
        <v>417403</v>
      </c>
      <c r="AC343" s="24">
        <v>486470</v>
      </c>
      <c r="AD343" s="24">
        <v>287705</v>
      </c>
      <c r="AE343" s="24">
        <v>346235.5</v>
      </c>
      <c r="AF343" s="24">
        <v>273870.5</v>
      </c>
      <c r="AG343" s="24">
        <v>301539.5</v>
      </c>
      <c r="AH343" s="24">
        <v>240534.5</v>
      </c>
      <c r="AI343" s="24">
        <v>451936.5</v>
      </c>
      <c r="AJ343" s="32">
        <v>5.6686118945354105</v>
      </c>
      <c r="AK343" s="32">
        <v>36.180773511919412</v>
      </c>
      <c r="AL343" s="32">
        <v>1.9790278536004742</v>
      </c>
      <c r="AM343" s="32">
        <v>0.57334978667839831</v>
      </c>
      <c r="AN343" s="32">
        <v>0.63057234851763233</v>
      </c>
      <c r="AO343" s="32">
        <v>10.806328777651569</v>
      </c>
      <c r="AP343" s="19">
        <v>1.2034392867694339</v>
      </c>
      <c r="AQ343" s="19">
        <v>0.87827823734210142</v>
      </c>
      <c r="AR343" s="19">
        <v>1.4987638435428858</v>
      </c>
      <c r="AS343" s="19">
        <v>0.26716336002090052</v>
      </c>
      <c r="AT343" s="19">
        <v>-0.18725003890395364</v>
      </c>
      <c r="AU343" s="19">
        <v>0.58377307935655132</v>
      </c>
      <c r="AV343" s="19">
        <v>6.9473807334799964E-2</v>
      </c>
      <c r="AW343" s="19">
        <v>-0.25507425588710336</v>
      </c>
      <c r="AX343" s="19">
        <v>0.28002216512075839</v>
      </c>
      <c r="AY343" s="19">
        <v>1.2034392867694339</v>
      </c>
      <c r="AZ343" s="19">
        <v>-1.1385913455242387</v>
      </c>
      <c r="BA343" s="19">
        <v>1.4987638435428858</v>
      </c>
      <c r="BB343" s="19">
        <v>1.0493338913582813</v>
      </c>
      <c r="BC343" s="19">
        <v>-1.1933971659119462</v>
      </c>
      <c r="BD343" s="19">
        <v>1.2142135390533182</v>
      </c>
      <c r="BE343" s="14" t="s">
        <v>4857</v>
      </c>
    </row>
    <row r="344" spans="1:57" s="30" customFormat="1" ht="17.100000000000001" customHeight="1">
      <c r="A344" s="14">
        <v>333</v>
      </c>
      <c r="B344" s="14" t="s">
        <v>2960</v>
      </c>
      <c r="C344" s="32">
        <v>1.2688481664083033</v>
      </c>
      <c r="D344" s="32">
        <v>1.390957528418314</v>
      </c>
      <c r="E344" s="32">
        <v>1.1770164708033672</v>
      </c>
      <c r="F344" s="42">
        <v>8677702.5</v>
      </c>
      <c r="G344" s="52" t="s">
        <v>4894</v>
      </c>
      <c r="H344" s="32">
        <v>9.445175663573405</v>
      </c>
      <c r="I344" s="32">
        <v>7.9992534063689131</v>
      </c>
      <c r="J344" s="12" t="s">
        <v>2961</v>
      </c>
      <c r="K344" s="12" t="s">
        <v>2962</v>
      </c>
      <c r="L344" s="14" t="s">
        <v>4401</v>
      </c>
      <c r="M344" s="12" t="s">
        <v>2963</v>
      </c>
      <c r="N344" s="15" t="s">
        <v>2964</v>
      </c>
      <c r="O344" s="12" t="s">
        <v>2965</v>
      </c>
      <c r="P344" s="12" t="s">
        <v>2966</v>
      </c>
      <c r="Q344" s="14">
        <v>2</v>
      </c>
      <c r="R344" s="21">
        <v>386.75</v>
      </c>
      <c r="S344" s="14">
        <v>1</v>
      </c>
      <c r="T344" s="52" t="s">
        <v>4894</v>
      </c>
      <c r="U344" s="53">
        <v>42.1</v>
      </c>
      <c r="V344" s="42">
        <v>5178057</v>
      </c>
      <c r="W344" s="42">
        <v>5108819</v>
      </c>
      <c r="X344" s="42">
        <v>5961505</v>
      </c>
      <c r="Y344" s="42">
        <v>5984263</v>
      </c>
      <c r="Z344" s="42">
        <v>7074525</v>
      </c>
      <c r="AA344" s="42">
        <v>7922824</v>
      </c>
      <c r="AB344" s="42">
        <v>8656291</v>
      </c>
      <c r="AC344" s="42">
        <v>8699114</v>
      </c>
      <c r="AD344" s="42">
        <v>5558161</v>
      </c>
      <c r="AE344" s="42">
        <v>8088188.5</v>
      </c>
      <c r="AF344" s="42">
        <v>5143438</v>
      </c>
      <c r="AG344" s="42">
        <v>5972884</v>
      </c>
      <c r="AH344" s="42">
        <v>7498674.5</v>
      </c>
      <c r="AI344" s="42">
        <v>8677702.5</v>
      </c>
      <c r="AJ344" s="32">
        <v>8.6324294735868534</v>
      </c>
      <c r="AK344" s="32">
        <v>9.445175663573405</v>
      </c>
      <c r="AL344" s="32">
        <v>0.95186642311609804</v>
      </c>
      <c r="AM344" s="32">
        <v>0.26942321542228925</v>
      </c>
      <c r="AN344" s="32">
        <v>7.9992534063689131</v>
      </c>
      <c r="AO344" s="32">
        <v>0.34894528466205804</v>
      </c>
      <c r="AP344" s="19">
        <v>1.4551914743023817</v>
      </c>
      <c r="AQ344" s="19">
        <v>1.4579109342817003</v>
      </c>
      <c r="AR344" s="19">
        <v>1.452849661905371</v>
      </c>
      <c r="AS344" s="19">
        <v>0.5412089956434708</v>
      </c>
      <c r="AT344" s="19">
        <v>0.54390258619778598</v>
      </c>
      <c r="AU344" s="19">
        <v>0.53888542338026824</v>
      </c>
      <c r="AV344" s="19">
        <v>0.34351944295737025</v>
      </c>
      <c r="AW344" s="19">
        <v>0.47607836921463625</v>
      </c>
      <c r="AX344" s="19">
        <v>0.23513450914447531</v>
      </c>
      <c r="AY344" s="19">
        <v>1.4551914743023817</v>
      </c>
      <c r="AZ344" s="19">
        <v>1.4579109342817003</v>
      </c>
      <c r="BA344" s="19">
        <v>1.452849661905371</v>
      </c>
      <c r="BB344" s="19">
        <v>1.2688481664083033</v>
      </c>
      <c r="BC344" s="19">
        <v>1.390957528418314</v>
      </c>
      <c r="BD344" s="19">
        <v>1.1770164708033672</v>
      </c>
      <c r="BE344" s="14" t="s">
        <v>4857</v>
      </c>
    </row>
    <row r="345" spans="1:57" s="30" customFormat="1" ht="17.100000000000001" customHeight="1">
      <c r="A345" s="14">
        <v>334</v>
      </c>
      <c r="B345" s="14" t="s">
        <v>2967</v>
      </c>
      <c r="C345" s="32">
        <v>-1.0831757588939079</v>
      </c>
      <c r="D345" s="32">
        <v>1.1077214766510313</v>
      </c>
      <c r="E345" s="32">
        <v>-1.271033945652837</v>
      </c>
      <c r="F345" s="24">
        <v>150094</v>
      </c>
      <c r="G345" s="52" t="s">
        <v>2</v>
      </c>
      <c r="H345" s="32">
        <v>37.43178239166506</v>
      </c>
      <c r="I345" s="32">
        <v>60.789685568301522</v>
      </c>
      <c r="J345" s="12" t="s">
        <v>2968</v>
      </c>
      <c r="K345" s="12" t="s">
        <v>2969</v>
      </c>
      <c r="L345" s="14" t="s">
        <v>4750</v>
      </c>
      <c r="M345" s="12" t="s">
        <v>2970</v>
      </c>
      <c r="N345" s="15" t="s">
        <v>2971</v>
      </c>
      <c r="O345" s="12" t="s">
        <v>2972</v>
      </c>
      <c r="P345" s="12" t="s">
        <v>2973</v>
      </c>
      <c r="Q345" s="14">
        <v>4</v>
      </c>
      <c r="R345" s="21">
        <v>751.33879999999999</v>
      </c>
      <c r="S345" s="14">
        <v>7</v>
      </c>
      <c r="T345" s="52" t="s">
        <v>2</v>
      </c>
      <c r="U345" s="53">
        <v>62.218937499999996</v>
      </c>
      <c r="V345" s="24">
        <v>125526</v>
      </c>
      <c r="W345" s="24">
        <v>131824</v>
      </c>
      <c r="X345" s="24">
        <v>158155</v>
      </c>
      <c r="Y345" s="24">
        <v>142033</v>
      </c>
      <c r="Z345" s="24">
        <v>213615</v>
      </c>
      <c r="AA345" s="24">
        <v>85179</v>
      </c>
      <c r="AB345" s="24">
        <v>124622</v>
      </c>
      <c r="AC345" s="24">
        <v>166902</v>
      </c>
      <c r="AD345" s="24">
        <v>139384.5</v>
      </c>
      <c r="AE345" s="24">
        <v>147579.5</v>
      </c>
      <c r="AF345" s="24">
        <v>128675</v>
      </c>
      <c r="AG345" s="24">
        <v>150094</v>
      </c>
      <c r="AH345" s="24">
        <v>149397</v>
      </c>
      <c r="AI345" s="24">
        <v>145762</v>
      </c>
      <c r="AJ345" s="32">
        <v>10.218296996155633</v>
      </c>
      <c r="AK345" s="32">
        <v>37.43178239166506</v>
      </c>
      <c r="AL345" s="32">
        <v>3.4609353082672443</v>
      </c>
      <c r="AM345" s="32">
        <v>7.5952240104797788</v>
      </c>
      <c r="AN345" s="32">
        <v>60.789685568301522</v>
      </c>
      <c r="AO345" s="32">
        <v>20.510472351207603</v>
      </c>
      <c r="AP345" s="19">
        <v>1.0587941987810696</v>
      </c>
      <c r="AQ345" s="19">
        <v>1.1610413833300952</v>
      </c>
      <c r="AR345" s="19">
        <v>0.97113808679893932</v>
      </c>
      <c r="AS345" s="19">
        <v>8.2422195324953484E-2</v>
      </c>
      <c r="AT345" s="19">
        <v>0.21541939551190001</v>
      </c>
      <c r="AU345" s="19">
        <v>-4.225164684746853E-2</v>
      </c>
      <c r="AV345" s="19">
        <v>-0.11526735736114707</v>
      </c>
      <c r="AW345" s="19">
        <v>0.14759517852875031</v>
      </c>
      <c r="AX345" s="19">
        <v>-0.34600256108326144</v>
      </c>
      <c r="AY345" s="19">
        <v>1.0587941987810696</v>
      </c>
      <c r="AZ345" s="19">
        <v>1.1610413833300952</v>
      </c>
      <c r="BA345" s="19">
        <v>-1.0297196800263444</v>
      </c>
      <c r="BB345" s="19">
        <v>-1.0831757588939079</v>
      </c>
      <c r="BC345" s="19">
        <v>1.1077214766510313</v>
      </c>
      <c r="BD345" s="19">
        <v>-1.271033945652837</v>
      </c>
      <c r="BE345" s="14" t="s">
        <v>4857</v>
      </c>
    </row>
    <row r="346" spans="1:57" s="30" customFormat="1" ht="17.100000000000001" customHeight="1">
      <c r="A346" s="14">
        <v>335</v>
      </c>
      <c r="B346" s="14" t="s">
        <v>2975</v>
      </c>
      <c r="C346" s="32">
        <v>-1.0941085476579306</v>
      </c>
      <c r="D346" s="32">
        <v>1.0241303075538004</v>
      </c>
      <c r="E346" s="32">
        <v>-1.2078991283612788</v>
      </c>
      <c r="F346" s="24">
        <v>307000</v>
      </c>
      <c r="G346" s="52" t="s">
        <v>2</v>
      </c>
      <c r="H346" s="32">
        <v>16.845132929168606</v>
      </c>
      <c r="I346" s="32">
        <v>28.185375194149099</v>
      </c>
      <c r="J346" s="12" t="s">
        <v>2976</v>
      </c>
      <c r="K346" s="12" t="s">
        <v>2977</v>
      </c>
      <c r="L346" s="14" t="s">
        <v>4327</v>
      </c>
      <c r="M346" s="12" t="s">
        <v>2978</v>
      </c>
      <c r="N346" s="15" t="s">
        <v>2979</v>
      </c>
      <c r="O346" s="12" t="s">
        <v>2980</v>
      </c>
      <c r="P346" s="12" t="s">
        <v>2981</v>
      </c>
      <c r="Q346" s="14">
        <v>2</v>
      </c>
      <c r="R346" s="21">
        <v>704.35979999999995</v>
      </c>
      <c r="S346" s="14">
        <v>1</v>
      </c>
      <c r="T346" s="52" t="s">
        <v>2</v>
      </c>
      <c r="U346" s="53">
        <v>60.16</v>
      </c>
      <c r="V346" s="24">
        <v>229000</v>
      </c>
      <c r="W346" s="24">
        <v>343000</v>
      </c>
      <c r="X346" s="24">
        <v>278000</v>
      </c>
      <c r="Y346" s="24">
        <v>270000</v>
      </c>
      <c r="Z346" s="24">
        <v>334000</v>
      </c>
      <c r="AA346" s="24">
        <v>280000</v>
      </c>
      <c r="AB346" s="24">
        <v>263000</v>
      </c>
      <c r="AC346" s="24">
        <v>297000</v>
      </c>
      <c r="AD346" s="24">
        <v>280000</v>
      </c>
      <c r="AE346" s="24">
        <v>293500</v>
      </c>
      <c r="AF346" s="24">
        <v>286000</v>
      </c>
      <c r="AG346" s="24">
        <v>274000</v>
      </c>
      <c r="AH346" s="24">
        <v>307000</v>
      </c>
      <c r="AI346" s="24">
        <v>280000</v>
      </c>
      <c r="AJ346" s="32">
        <v>16.845132929168606</v>
      </c>
      <c r="AK346" s="32">
        <v>10.343769516469029</v>
      </c>
      <c r="AL346" s="32">
        <v>28.185375194149099</v>
      </c>
      <c r="AM346" s="32">
        <v>2.0645453465300658</v>
      </c>
      <c r="AN346" s="32">
        <v>12.43770885474709</v>
      </c>
      <c r="AO346" s="32">
        <v>8.5862966286937912</v>
      </c>
      <c r="AP346" s="19">
        <v>1.0482142857142858</v>
      </c>
      <c r="AQ346" s="19">
        <v>1.0734265734265733</v>
      </c>
      <c r="AR346" s="19">
        <v>1.0218978102189782</v>
      </c>
      <c r="AS346" s="19">
        <v>6.7933676165085805E-2</v>
      </c>
      <c r="AT346" s="19">
        <v>0.10222350859178984</v>
      </c>
      <c r="AU346" s="19">
        <v>3.1250933984439865E-2</v>
      </c>
      <c r="AV346" s="19">
        <v>-0.12975587652101475</v>
      </c>
      <c r="AW346" s="19">
        <v>3.4399291608640137E-2</v>
      </c>
      <c r="AX346" s="19">
        <v>-0.27249998025135308</v>
      </c>
      <c r="AY346" s="19">
        <v>1.0482142857142858</v>
      </c>
      <c r="AZ346" s="19">
        <v>1.0734265734265733</v>
      </c>
      <c r="BA346" s="19">
        <v>1.0218978102189782</v>
      </c>
      <c r="BB346" s="19">
        <v>-1.0941085476579306</v>
      </c>
      <c r="BC346" s="19">
        <v>1.0241303075538004</v>
      </c>
      <c r="BD346" s="19">
        <v>-1.2078991283612788</v>
      </c>
      <c r="BE346" s="14" t="s">
        <v>4857</v>
      </c>
    </row>
    <row r="347" spans="1:57" s="30" customFormat="1" ht="17.100000000000001" customHeight="1">
      <c r="A347" s="14">
        <v>336</v>
      </c>
      <c r="B347" s="14" t="s">
        <v>2982</v>
      </c>
      <c r="C347" s="32">
        <v>-1.0477920214502479</v>
      </c>
      <c r="D347" s="32">
        <v>-1.262414388381135</v>
      </c>
      <c r="E347" s="32">
        <v>1.1132244894618488</v>
      </c>
      <c r="F347" s="24">
        <v>204609.5</v>
      </c>
      <c r="G347" s="52" t="s">
        <v>2</v>
      </c>
      <c r="H347" s="32">
        <v>29.38135997762738</v>
      </c>
      <c r="I347" s="32">
        <v>19.255842344042303</v>
      </c>
      <c r="J347" s="12" t="s">
        <v>2983</v>
      </c>
      <c r="K347" s="15" t="s">
        <v>2984</v>
      </c>
      <c r="L347" s="14" t="s">
        <v>4387</v>
      </c>
      <c r="M347" s="12" t="s">
        <v>2985</v>
      </c>
      <c r="N347" s="15" t="s">
        <v>2986</v>
      </c>
      <c r="O347" s="12" t="s">
        <v>2987</v>
      </c>
      <c r="P347" s="12" t="s">
        <v>2988</v>
      </c>
      <c r="Q347" s="14">
        <v>2</v>
      </c>
      <c r="R347" s="21">
        <v>628.34500000000003</v>
      </c>
      <c r="S347" s="14">
        <v>8</v>
      </c>
      <c r="T347" s="52" t="s">
        <v>2</v>
      </c>
      <c r="U347" s="53">
        <v>51.023312500000003</v>
      </c>
      <c r="V347" s="24">
        <v>169848</v>
      </c>
      <c r="W347" s="24">
        <v>145167</v>
      </c>
      <c r="X347" s="24">
        <v>142527</v>
      </c>
      <c r="Y347" s="24">
        <v>155280</v>
      </c>
      <c r="Z347" s="24">
        <v>118975</v>
      </c>
      <c r="AA347" s="24">
        <v>142570</v>
      </c>
      <c r="AB347" s="24">
        <v>176750</v>
      </c>
      <c r="AC347" s="24">
        <v>232469</v>
      </c>
      <c r="AD347" s="24">
        <v>153205.5</v>
      </c>
      <c r="AE347" s="24">
        <v>167691</v>
      </c>
      <c r="AF347" s="24">
        <v>157507.5</v>
      </c>
      <c r="AG347" s="24">
        <v>148903.5</v>
      </c>
      <c r="AH347" s="24">
        <v>130772.5</v>
      </c>
      <c r="AI347" s="24">
        <v>204609.5</v>
      </c>
      <c r="AJ347" s="32">
        <v>8.0818009047073431</v>
      </c>
      <c r="AK347" s="32">
        <v>29.38135997762738</v>
      </c>
      <c r="AL347" s="32">
        <v>11.080172351453218</v>
      </c>
      <c r="AM347" s="32">
        <v>6.0560918853297885</v>
      </c>
      <c r="AN347" s="32">
        <v>12.758175076638123</v>
      </c>
      <c r="AO347" s="32">
        <v>19.255842344042303</v>
      </c>
      <c r="AP347" s="19">
        <v>1.0945494776623554</v>
      </c>
      <c r="AQ347" s="19">
        <v>0.83026205101344386</v>
      </c>
      <c r="AR347" s="19">
        <v>1.37410806327588</v>
      </c>
      <c r="AS347" s="19">
        <v>0.13033717111524531</v>
      </c>
      <c r="AT347" s="19">
        <v>-0.2683613367063144</v>
      </c>
      <c r="AU347" s="19">
        <v>0.45849546574391642</v>
      </c>
      <c r="AV347" s="19">
        <v>-6.7352381570855241E-2</v>
      </c>
      <c r="AW347" s="19">
        <v>-0.33618555368946412</v>
      </c>
      <c r="AX347" s="19">
        <v>0.1547445515081235</v>
      </c>
      <c r="AY347" s="19">
        <v>1.0945494776623554</v>
      </c>
      <c r="AZ347" s="19">
        <v>-1.204439006671892</v>
      </c>
      <c r="BA347" s="19">
        <v>1.37410806327588</v>
      </c>
      <c r="BB347" s="19">
        <v>-1.0477920214502479</v>
      </c>
      <c r="BC347" s="19">
        <v>-1.262414388381135</v>
      </c>
      <c r="BD347" s="19">
        <v>1.1132244894618488</v>
      </c>
      <c r="BE347" s="14" t="s">
        <v>4857</v>
      </c>
    </row>
    <row r="348" spans="1:57" s="30" customFormat="1" ht="17.100000000000001" customHeight="1">
      <c r="A348" s="14">
        <v>337</v>
      </c>
      <c r="B348" s="14" t="s">
        <v>2859</v>
      </c>
      <c r="C348" s="32">
        <v>1.146783655937671</v>
      </c>
      <c r="D348" s="32">
        <v>1.5777434519130151</v>
      </c>
      <c r="E348" s="32">
        <v>-1.1793555632642656</v>
      </c>
      <c r="F348" s="24">
        <v>672169.5</v>
      </c>
      <c r="G348" s="52" t="s">
        <v>2</v>
      </c>
      <c r="H348" s="32">
        <v>18.853673596992518</v>
      </c>
      <c r="I348" s="32">
        <v>20.387656824133892</v>
      </c>
      <c r="J348" s="12" t="s">
        <v>2983</v>
      </c>
      <c r="K348" s="15" t="s">
        <v>2984</v>
      </c>
      <c r="L348" s="14" t="s">
        <v>3848</v>
      </c>
      <c r="M348" s="12" t="s">
        <v>2985</v>
      </c>
      <c r="N348" s="15" t="s">
        <v>2986</v>
      </c>
      <c r="O348" s="12" t="s">
        <v>2987</v>
      </c>
      <c r="P348" s="12" t="s">
        <v>2990</v>
      </c>
      <c r="Q348" s="14">
        <v>3</v>
      </c>
      <c r="R348" s="21">
        <v>579.93859999999995</v>
      </c>
      <c r="S348" s="14">
        <v>10</v>
      </c>
      <c r="T348" s="52" t="s">
        <v>2</v>
      </c>
      <c r="U348" s="53">
        <v>43.058449999999993</v>
      </c>
      <c r="V348" s="24">
        <v>420576</v>
      </c>
      <c r="W348" s="24">
        <v>392358</v>
      </c>
      <c r="X348" s="24">
        <v>438431</v>
      </c>
      <c r="Y348" s="24">
        <v>586135</v>
      </c>
      <c r="Z348" s="24">
        <v>717945</v>
      </c>
      <c r="AA348" s="24">
        <v>626394</v>
      </c>
      <c r="AB348" s="24">
        <v>459704</v>
      </c>
      <c r="AC348" s="24">
        <v>612638</v>
      </c>
      <c r="AD348" s="24">
        <v>459375</v>
      </c>
      <c r="AE348" s="24">
        <v>604170.25</v>
      </c>
      <c r="AF348" s="24">
        <v>406467</v>
      </c>
      <c r="AG348" s="24">
        <v>512283</v>
      </c>
      <c r="AH348" s="24">
        <v>672169.5</v>
      </c>
      <c r="AI348" s="24">
        <v>536171</v>
      </c>
      <c r="AJ348" s="32">
        <v>18.853673596992518</v>
      </c>
      <c r="AK348" s="32">
        <v>17.718948901168847</v>
      </c>
      <c r="AL348" s="32">
        <v>4.9089198265841993</v>
      </c>
      <c r="AM348" s="32">
        <v>20.387656824133892</v>
      </c>
      <c r="AN348" s="32">
        <v>9.6309536395819233</v>
      </c>
      <c r="AO348" s="32">
        <v>20.169063316364269</v>
      </c>
      <c r="AP348" s="19">
        <v>1.3152005442176871</v>
      </c>
      <c r="AQ348" s="19">
        <v>1.6536877532493413</v>
      </c>
      <c r="AR348" s="19">
        <v>1.0466304757331397</v>
      </c>
      <c r="AS348" s="19">
        <v>0.39528280110607461</v>
      </c>
      <c r="AT348" s="19">
        <v>0.72568685278899381</v>
      </c>
      <c r="AU348" s="19">
        <v>6.57521729979475E-2</v>
      </c>
      <c r="AV348" s="19">
        <v>0.19759324841997405</v>
      </c>
      <c r="AW348" s="19">
        <v>0.65786263580584414</v>
      </c>
      <c r="AX348" s="19">
        <v>-0.23799874123784542</v>
      </c>
      <c r="AY348" s="19">
        <v>1.3152005442176871</v>
      </c>
      <c r="AZ348" s="19">
        <v>1.6536877532493413</v>
      </c>
      <c r="BA348" s="19">
        <v>1.0466304757331397</v>
      </c>
      <c r="BB348" s="19">
        <v>1.146783655937671</v>
      </c>
      <c r="BC348" s="19">
        <v>1.5777434519130151</v>
      </c>
      <c r="BD348" s="19">
        <v>-1.1793555632642656</v>
      </c>
      <c r="BE348" s="14" t="s">
        <v>4857</v>
      </c>
    </row>
    <row r="349" spans="1:57" s="30" customFormat="1" ht="17.100000000000001" customHeight="1">
      <c r="A349" s="14">
        <v>338</v>
      </c>
      <c r="B349" s="14" t="s">
        <v>2860</v>
      </c>
      <c r="C349" s="32">
        <v>-1.1046902756148573</v>
      </c>
      <c r="D349" s="32">
        <v>1.2000646108254232</v>
      </c>
      <c r="E349" s="32">
        <v>-1.4337055842041353</v>
      </c>
      <c r="F349" s="24">
        <v>142480</v>
      </c>
      <c r="G349" s="52" t="s">
        <v>2</v>
      </c>
      <c r="H349" s="32">
        <v>13.1550003655864</v>
      </c>
      <c r="I349" s="32">
        <v>7.5589439930327682</v>
      </c>
      <c r="J349" s="12" t="s">
        <v>2983</v>
      </c>
      <c r="K349" s="15" t="s">
        <v>2984</v>
      </c>
      <c r="L349" s="14" t="s">
        <v>4533</v>
      </c>
      <c r="M349" s="12" t="s">
        <v>2985</v>
      </c>
      <c r="N349" s="15" t="s">
        <v>2986</v>
      </c>
      <c r="O349" s="12" t="s">
        <v>2987</v>
      </c>
      <c r="P349" s="12" t="s">
        <v>2861</v>
      </c>
      <c r="Q349" s="14">
        <v>2</v>
      </c>
      <c r="R349" s="21">
        <v>425.24509999999998</v>
      </c>
      <c r="S349" s="14">
        <v>4</v>
      </c>
      <c r="T349" s="52" t="s">
        <v>2</v>
      </c>
      <c r="U349" s="53">
        <v>30.048012499999999</v>
      </c>
      <c r="V349" s="24">
        <v>107220</v>
      </c>
      <c r="W349" s="24">
        <v>119329</v>
      </c>
      <c r="X349" s="24">
        <v>136770</v>
      </c>
      <c r="Y349" s="24">
        <v>144022</v>
      </c>
      <c r="Z349" s="24">
        <v>134970</v>
      </c>
      <c r="AA349" s="24">
        <v>149990</v>
      </c>
      <c r="AB349" s="24">
        <v>126527</v>
      </c>
      <c r="AC349" s="24">
        <v>115221</v>
      </c>
      <c r="AD349" s="24">
        <v>126835.25</v>
      </c>
      <c r="AE349" s="24">
        <v>131677</v>
      </c>
      <c r="AF349" s="24">
        <v>113274.5</v>
      </c>
      <c r="AG349" s="24">
        <v>140396</v>
      </c>
      <c r="AH349" s="24">
        <v>142480</v>
      </c>
      <c r="AI349" s="24">
        <v>120874</v>
      </c>
      <c r="AJ349" s="32">
        <v>13.1550003655864</v>
      </c>
      <c r="AK349" s="32">
        <v>11.122812302638788</v>
      </c>
      <c r="AL349" s="32">
        <v>7.5589439930327682</v>
      </c>
      <c r="AM349" s="32">
        <v>3.6524818208245553</v>
      </c>
      <c r="AN349" s="32">
        <v>7.4541997848273045</v>
      </c>
      <c r="AO349" s="32">
        <v>6.6139527674231893</v>
      </c>
      <c r="AP349" s="19">
        <v>1.0381735361423579</v>
      </c>
      <c r="AQ349" s="19">
        <v>1.2578294320433989</v>
      </c>
      <c r="AR349" s="19">
        <v>0.86095045442890106</v>
      </c>
      <c r="AS349" s="19">
        <v>5.4047617883037191E-2</v>
      </c>
      <c r="AT349" s="19">
        <v>0.33093629882368764</v>
      </c>
      <c r="AU349" s="19">
        <v>-0.21599787841089607</v>
      </c>
      <c r="AV349" s="19">
        <v>-0.14364193480306336</v>
      </c>
      <c r="AW349" s="19">
        <v>0.26311208184053791</v>
      </c>
      <c r="AX349" s="19">
        <v>-0.51974879264668905</v>
      </c>
      <c r="AY349" s="19">
        <v>1.0381735361423579</v>
      </c>
      <c r="AZ349" s="19">
        <v>1.2578294320433989</v>
      </c>
      <c r="BA349" s="19">
        <v>-1.1615070238430101</v>
      </c>
      <c r="BB349" s="19">
        <v>-1.1046902756148573</v>
      </c>
      <c r="BC349" s="19">
        <v>1.2000646108254232</v>
      </c>
      <c r="BD349" s="19">
        <v>-1.4337055842041353</v>
      </c>
      <c r="BE349" s="14" t="s">
        <v>4857</v>
      </c>
    </row>
    <row r="350" spans="1:57" s="30" customFormat="1" ht="17.100000000000001" customHeight="1">
      <c r="A350" s="14">
        <v>339</v>
      </c>
      <c r="B350" s="14" t="s">
        <v>2862</v>
      </c>
      <c r="C350" s="32">
        <v>-1.2841907447687202</v>
      </c>
      <c r="D350" s="32">
        <v>-1.2850343741688117</v>
      </c>
      <c r="E350" s="32">
        <v>-1.2489633124313841</v>
      </c>
      <c r="F350" s="24">
        <v>225375</v>
      </c>
      <c r="G350" s="52" t="s">
        <v>2</v>
      </c>
      <c r="H350" s="32">
        <v>16.946382380455915</v>
      </c>
      <c r="I350" s="32">
        <v>17.036057542837042</v>
      </c>
      <c r="J350" s="12" t="s">
        <v>2983</v>
      </c>
      <c r="K350" s="15" t="s">
        <v>2984</v>
      </c>
      <c r="L350" s="14" t="s">
        <v>4998</v>
      </c>
      <c r="M350" s="12" t="s">
        <v>2985</v>
      </c>
      <c r="N350" s="15" t="s">
        <v>2986</v>
      </c>
      <c r="O350" s="12" t="s">
        <v>2987</v>
      </c>
      <c r="P350" s="12" t="s">
        <v>2863</v>
      </c>
      <c r="Q350" s="14">
        <v>2</v>
      </c>
      <c r="R350" s="21">
        <v>616.80060000000003</v>
      </c>
      <c r="S350" s="14">
        <v>8</v>
      </c>
      <c r="T350" s="52" t="s">
        <v>2</v>
      </c>
      <c r="U350" s="53">
        <v>30.1425375</v>
      </c>
      <c r="V350" s="24">
        <v>245894</v>
      </c>
      <c r="W350" s="24">
        <v>204856</v>
      </c>
      <c r="X350" s="24">
        <v>205261</v>
      </c>
      <c r="Y350" s="24">
        <v>161125</v>
      </c>
      <c r="Z350" s="24">
        <v>184099</v>
      </c>
      <c r="AA350" s="24">
        <v>183554</v>
      </c>
      <c r="AB350" s="24">
        <v>191287</v>
      </c>
      <c r="AC350" s="24">
        <v>170812</v>
      </c>
      <c r="AD350" s="24">
        <v>204284</v>
      </c>
      <c r="AE350" s="24">
        <v>182438</v>
      </c>
      <c r="AF350" s="24">
        <v>225375</v>
      </c>
      <c r="AG350" s="24">
        <v>183193</v>
      </c>
      <c r="AH350" s="24">
        <v>183826.5</v>
      </c>
      <c r="AI350" s="24">
        <v>181049.5</v>
      </c>
      <c r="AJ350" s="32">
        <v>16.946382380455915</v>
      </c>
      <c r="AK350" s="32">
        <v>4.6668817491010062</v>
      </c>
      <c r="AL350" s="32">
        <v>12.87553991628776</v>
      </c>
      <c r="AM350" s="32">
        <v>17.036057542837042</v>
      </c>
      <c r="AN350" s="32">
        <v>0.20963963070975536</v>
      </c>
      <c r="AO350" s="32">
        <v>7.9967143487248302</v>
      </c>
      <c r="AP350" s="19">
        <v>0.89306064106831662</v>
      </c>
      <c r="AQ350" s="19">
        <v>0.81564725457570719</v>
      </c>
      <c r="AR350" s="19">
        <v>0.98829922540708437</v>
      </c>
      <c r="AS350" s="19">
        <v>-0.16316995358544636</v>
      </c>
      <c r="AT350" s="19">
        <v>-0.29398273448238316</v>
      </c>
      <c r="AU350" s="19">
        <v>-1.6980185007374717E-2</v>
      </c>
      <c r="AV350" s="19">
        <v>-0.36085950627154695</v>
      </c>
      <c r="AW350" s="19">
        <v>-0.36180695146553288</v>
      </c>
      <c r="AX350" s="19">
        <v>-0.32073109924316762</v>
      </c>
      <c r="AY350" s="19">
        <v>-1.119744790010853</v>
      </c>
      <c r="AZ350" s="19">
        <v>-1.2260201875137697</v>
      </c>
      <c r="BA350" s="19">
        <v>-1.0118393036158619</v>
      </c>
      <c r="BB350" s="19">
        <v>-1.2841907447687202</v>
      </c>
      <c r="BC350" s="19">
        <v>-1.2850343741688117</v>
      </c>
      <c r="BD350" s="19">
        <v>-1.2489633124313841</v>
      </c>
      <c r="BE350" s="14" t="s">
        <v>4857</v>
      </c>
    </row>
    <row r="351" spans="1:57" s="30" customFormat="1" ht="17.100000000000001" customHeight="1">
      <c r="A351" s="14">
        <v>340</v>
      </c>
      <c r="B351" s="14" t="s">
        <v>2864</v>
      </c>
      <c r="C351" s="32">
        <v>1.0968513231691717</v>
      </c>
      <c r="D351" s="32">
        <v>-1.1449344977819158</v>
      </c>
      <c r="E351" s="32">
        <v>1.3418972515348238</v>
      </c>
      <c r="F351" s="24">
        <v>58797</v>
      </c>
      <c r="G351" s="52" t="s">
        <v>2</v>
      </c>
      <c r="H351" s="32">
        <v>29.230754804112795</v>
      </c>
      <c r="I351" s="32">
        <v>21.197449062357069</v>
      </c>
      <c r="J351" s="12" t="s">
        <v>2865</v>
      </c>
      <c r="K351" s="12" t="s">
        <v>2866</v>
      </c>
      <c r="L351" s="14" t="s">
        <v>5165</v>
      </c>
      <c r="M351" s="12" t="s">
        <v>2867</v>
      </c>
      <c r="N351" s="15" t="s">
        <v>2868</v>
      </c>
      <c r="O351" s="12" t="s">
        <v>2869</v>
      </c>
      <c r="P351" s="12" t="s">
        <v>2870</v>
      </c>
      <c r="Q351" s="14">
        <v>2</v>
      </c>
      <c r="R351" s="21">
        <v>731.33759999999995</v>
      </c>
      <c r="S351" s="14">
        <v>1</v>
      </c>
      <c r="T351" s="52" t="s">
        <v>2</v>
      </c>
      <c r="U351" s="53">
        <v>44.534275000000008</v>
      </c>
      <c r="V351" s="24">
        <v>46398</v>
      </c>
      <c r="W351" s="24">
        <v>36196</v>
      </c>
      <c r="X351" s="24">
        <v>31915</v>
      </c>
      <c r="Y351" s="24">
        <v>39080</v>
      </c>
      <c r="Z351" s="24">
        <v>36795</v>
      </c>
      <c r="AA351" s="24">
        <v>38816</v>
      </c>
      <c r="AB351" s="24">
        <v>49984</v>
      </c>
      <c r="AC351" s="24">
        <v>67610</v>
      </c>
      <c r="AD351" s="24">
        <v>38397.25</v>
      </c>
      <c r="AE351" s="24">
        <v>48301.25</v>
      </c>
      <c r="AF351" s="24">
        <v>41297</v>
      </c>
      <c r="AG351" s="24">
        <v>35497.5</v>
      </c>
      <c r="AH351" s="24">
        <v>37805.5</v>
      </c>
      <c r="AI351" s="24">
        <v>58797</v>
      </c>
      <c r="AJ351" s="32">
        <v>15.866134419433545</v>
      </c>
      <c r="AK351" s="32">
        <v>29.230754804112795</v>
      </c>
      <c r="AL351" s="32">
        <v>17.468347293181484</v>
      </c>
      <c r="AM351" s="32">
        <v>14.272610992891366</v>
      </c>
      <c r="AN351" s="32">
        <v>3.780039424893237</v>
      </c>
      <c r="AO351" s="32">
        <v>21.197449062357069</v>
      </c>
      <c r="AP351" s="19">
        <v>1.2579351385841433</v>
      </c>
      <c r="AQ351" s="19">
        <v>0.91545390706346708</v>
      </c>
      <c r="AR351" s="19">
        <v>1.656370166913163</v>
      </c>
      <c r="AS351" s="19">
        <v>0.33105753616361344</v>
      </c>
      <c r="AT351" s="19">
        <v>-0.12744084646716425</v>
      </c>
      <c r="AU351" s="19">
        <v>0.72802512349657511</v>
      </c>
      <c r="AV351" s="19">
        <v>0.13336798347751289</v>
      </c>
      <c r="AW351" s="19">
        <v>-0.19526506345031397</v>
      </c>
      <c r="AX351" s="19">
        <v>0.42427420926078219</v>
      </c>
      <c r="AY351" s="19">
        <v>1.2579351385841433</v>
      </c>
      <c r="AZ351" s="19">
        <v>-1.0923542870746321</v>
      </c>
      <c r="BA351" s="19">
        <v>1.656370166913163</v>
      </c>
      <c r="BB351" s="19">
        <v>1.0968513231691717</v>
      </c>
      <c r="BC351" s="19">
        <v>-1.1449344977819158</v>
      </c>
      <c r="BD351" s="19">
        <v>1.3418972515348238</v>
      </c>
      <c r="BE351" s="14" t="s">
        <v>4857</v>
      </c>
    </row>
    <row r="352" spans="1:57" s="30" customFormat="1" ht="17.100000000000001" customHeight="1">
      <c r="A352" s="14">
        <v>341</v>
      </c>
      <c r="B352" s="14" t="s">
        <v>2871</v>
      </c>
      <c r="C352" s="32">
        <v>-1.0633958954751914</v>
      </c>
      <c r="D352" s="32">
        <v>-1.1199465364826373</v>
      </c>
      <c r="E352" s="32">
        <v>-1.0169168370984463</v>
      </c>
      <c r="F352" s="24">
        <v>568621</v>
      </c>
      <c r="G352" s="52" t="s">
        <v>2</v>
      </c>
      <c r="H352" s="32">
        <v>19.038118613033181</v>
      </c>
      <c r="I352" s="32">
        <v>26.616686099505031</v>
      </c>
      <c r="J352" s="12" t="s">
        <v>2872</v>
      </c>
      <c r="K352" s="12" t="s">
        <v>2873</v>
      </c>
      <c r="L352" s="14" t="s">
        <v>5184</v>
      </c>
      <c r="M352" s="12" t="s">
        <v>2874</v>
      </c>
      <c r="N352" s="15" t="s">
        <v>2875</v>
      </c>
      <c r="O352" s="12" t="s">
        <v>2876</v>
      </c>
      <c r="P352" s="12" t="s">
        <v>2877</v>
      </c>
      <c r="Q352" s="14">
        <v>2</v>
      </c>
      <c r="R352" s="21">
        <v>619.32479999999998</v>
      </c>
      <c r="S352" s="14">
        <v>8</v>
      </c>
      <c r="T352" s="52" t="s">
        <v>2</v>
      </c>
      <c r="U352" s="53">
        <v>40.077925</v>
      </c>
      <c r="V352" s="24">
        <v>528202</v>
      </c>
      <c r="W352" s="24">
        <v>360871</v>
      </c>
      <c r="X352" s="24">
        <v>505685</v>
      </c>
      <c r="Y352" s="24">
        <v>431230</v>
      </c>
      <c r="Z352" s="24">
        <v>380374</v>
      </c>
      <c r="AA352" s="24">
        <v>451691</v>
      </c>
      <c r="AB352" s="24">
        <v>552350</v>
      </c>
      <c r="AC352" s="24">
        <v>584892</v>
      </c>
      <c r="AD352" s="24">
        <v>456497</v>
      </c>
      <c r="AE352" s="24">
        <v>492326.75</v>
      </c>
      <c r="AF352" s="24">
        <v>444536.5</v>
      </c>
      <c r="AG352" s="24">
        <v>468457.5</v>
      </c>
      <c r="AH352" s="24">
        <v>416032.5</v>
      </c>
      <c r="AI352" s="24">
        <v>568621</v>
      </c>
      <c r="AJ352" s="32">
        <v>16.656119108376199</v>
      </c>
      <c r="AK352" s="32">
        <v>19.038118613033181</v>
      </c>
      <c r="AL352" s="32">
        <v>26.616686099505031</v>
      </c>
      <c r="AM352" s="32">
        <v>11.238508379787792</v>
      </c>
      <c r="AN352" s="32">
        <v>12.121344922303189</v>
      </c>
      <c r="AO352" s="32">
        <v>4.0467497460298913</v>
      </c>
      <c r="AP352" s="19">
        <v>1.0784884676131496</v>
      </c>
      <c r="AQ352" s="19">
        <v>0.93587928100392204</v>
      </c>
      <c r="AR352" s="19">
        <v>1.2138155542391786</v>
      </c>
      <c r="AS352" s="19">
        <v>0.10901074969607423</v>
      </c>
      <c r="AT352" s="19">
        <v>-9.5605646199395405E-2</v>
      </c>
      <c r="AU352" s="19">
        <v>0.27954921302604363</v>
      </c>
      <c r="AV352" s="19">
        <v>-8.8678802990026326E-2</v>
      </c>
      <c r="AW352" s="19">
        <v>-0.1634298631825451</v>
      </c>
      <c r="AX352" s="19">
        <v>-2.4201701209749293E-2</v>
      </c>
      <c r="AY352" s="19">
        <v>1.0784884676131496</v>
      </c>
      <c r="AZ352" s="19">
        <v>-1.0685138781225025</v>
      </c>
      <c r="BA352" s="19">
        <v>1.2138155542391786</v>
      </c>
      <c r="BB352" s="19">
        <v>-1.0633958954751914</v>
      </c>
      <c r="BC352" s="19">
        <v>-1.1199465364826373</v>
      </c>
      <c r="BD352" s="19">
        <v>-1.0169168370984463</v>
      </c>
      <c r="BE352" s="14" t="s">
        <v>4857</v>
      </c>
    </row>
    <row r="353" spans="1:105" s="30" customFormat="1" ht="17.100000000000001" customHeight="1">
      <c r="A353" s="14">
        <v>342</v>
      </c>
      <c r="B353" s="14" t="s">
        <v>2878</v>
      </c>
      <c r="C353" s="32">
        <v>-1.277672190440033</v>
      </c>
      <c r="D353" s="32">
        <v>-1.4704048781914363</v>
      </c>
      <c r="E353" s="32">
        <v>-1.1273725198038602</v>
      </c>
      <c r="F353" s="24">
        <v>30000</v>
      </c>
      <c r="G353" s="52" t="s">
        <v>2</v>
      </c>
      <c r="H353" s="32">
        <v>26.440494624528181</v>
      </c>
      <c r="I353" s="32">
        <v>39.404583019968285</v>
      </c>
      <c r="J353" s="12" t="s">
        <v>2879</v>
      </c>
      <c r="K353" s="12" t="s">
        <v>2880</v>
      </c>
      <c r="L353" s="14" t="s">
        <v>2881</v>
      </c>
      <c r="M353" s="12" t="s">
        <v>2882</v>
      </c>
      <c r="N353" s="15" t="s">
        <v>2883</v>
      </c>
      <c r="O353" s="12" t="s">
        <v>2884</v>
      </c>
      <c r="P353" s="12" t="s">
        <v>2885</v>
      </c>
      <c r="Q353" s="14">
        <v>3</v>
      </c>
      <c r="R353" s="21">
        <v>637.35199999999998</v>
      </c>
      <c r="S353" s="14">
        <v>1</v>
      </c>
      <c r="T353" s="52" t="s">
        <v>2</v>
      </c>
      <c r="U353" s="53">
        <v>27.2</v>
      </c>
      <c r="V353" s="24">
        <v>37400</v>
      </c>
      <c r="W353" s="24">
        <v>21100</v>
      </c>
      <c r="X353" s="24">
        <v>23400</v>
      </c>
      <c r="Y353" s="24">
        <v>31400</v>
      </c>
      <c r="Z353" s="24">
        <v>21100</v>
      </c>
      <c r="AA353" s="24">
        <v>20600</v>
      </c>
      <c r="AB353" s="24">
        <v>27100</v>
      </c>
      <c r="AC353" s="24">
        <v>32900</v>
      </c>
      <c r="AD353" s="24">
        <v>28325</v>
      </c>
      <c r="AE353" s="24">
        <v>25425</v>
      </c>
      <c r="AF353" s="24">
        <v>29250</v>
      </c>
      <c r="AG353" s="24">
        <v>27400</v>
      </c>
      <c r="AH353" s="24">
        <v>20850</v>
      </c>
      <c r="AI353" s="24">
        <v>30000</v>
      </c>
      <c r="AJ353" s="32">
        <v>26.440494624528181</v>
      </c>
      <c r="AK353" s="32">
        <v>22.783637005901166</v>
      </c>
      <c r="AL353" s="32">
        <v>39.404583019968285</v>
      </c>
      <c r="AM353" s="32">
        <v>20.645453465300658</v>
      </c>
      <c r="AN353" s="32">
        <v>1.6956997150756536</v>
      </c>
      <c r="AO353" s="32">
        <v>13.67073110293992</v>
      </c>
      <c r="AP353" s="19">
        <v>0.89761694616063548</v>
      </c>
      <c r="AQ353" s="19">
        <v>0.71282051282051284</v>
      </c>
      <c r="AR353" s="19">
        <v>1.0948905109489051</v>
      </c>
      <c r="AS353" s="19">
        <v>-0.15582818196301559</v>
      </c>
      <c r="AT353" s="19">
        <v>-0.48838924102610326</v>
      </c>
      <c r="AU353" s="19">
        <v>0.13078660753535418</v>
      </c>
      <c r="AV353" s="19">
        <v>-0.35351773464911618</v>
      </c>
      <c r="AW353" s="19">
        <v>-0.55621345800925293</v>
      </c>
      <c r="AX353" s="19">
        <v>-0.17296430670043875</v>
      </c>
      <c r="AY353" s="19">
        <v>-1.1140609636184857</v>
      </c>
      <c r="AZ353" s="19">
        <v>-1.4028776978417266</v>
      </c>
      <c r="BA353" s="19">
        <v>1.0948905109489051</v>
      </c>
      <c r="BB353" s="19">
        <v>-1.277672190440033</v>
      </c>
      <c r="BC353" s="19">
        <v>-1.4704048781914363</v>
      </c>
      <c r="BD353" s="19">
        <v>-1.1273725198038602</v>
      </c>
      <c r="BE353" s="14" t="s">
        <v>4857</v>
      </c>
    </row>
    <row r="354" spans="1:105" s="30" customFormat="1" ht="17.100000000000001" customHeight="1">
      <c r="A354" s="14">
        <v>343</v>
      </c>
      <c r="B354" s="14" t="s">
        <v>2886</v>
      </c>
      <c r="C354" s="32">
        <v>-1.0916023996697077</v>
      </c>
      <c r="D354" s="32">
        <v>1.1393085913283469</v>
      </c>
      <c r="E354" s="32">
        <v>-1.27227111707153</v>
      </c>
      <c r="F354" s="24">
        <v>33550</v>
      </c>
      <c r="G354" s="52" t="s">
        <v>2</v>
      </c>
      <c r="H354" s="32">
        <v>35.786424713118876</v>
      </c>
      <c r="I354" s="32">
        <v>24.113318805439871</v>
      </c>
      <c r="J354" s="12" t="s">
        <v>2887</v>
      </c>
      <c r="K354" s="12" t="s">
        <v>2888</v>
      </c>
      <c r="L354" s="14" t="s">
        <v>4697</v>
      </c>
      <c r="M354" s="12" t="s">
        <v>2889</v>
      </c>
      <c r="N354" s="15" t="s">
        <v>2890</v>
      </c>
      <c r="O354" s="12" t="s">
        <v>2891</v>
      </c>
      <c r="P354" s="12" t="s">
        <v>2892</v>
      </c>
      <c r="Q354" s="14">
        <v>3</v>
      </c>
      <c r="R354" s="21">
        <v>410.56650000000002</v>
      </c>
      <c r="S354" s="14">
        <v>1</v>
      </c>
      <c r="T354" s="52" t="s">
        <v>2</v>
      </c>
      <c r="U354" s="53">
        <v>27.5</v>
      </c>
      <c r="V354" s="24">
        <v>17700</v>
      </c>
      <c r="W354" s="24">
        <v>19900</v>
      </c>
      <c r="X354" s="24">
        <v>28900</v>
      </c>
      <c r="Y354" s="24">
        <v>38200</v>
      </c>
      <c r="Z354" s="24">
        <v>19500</v>
      </c>
      <c r="AA354" s="24">
        <v>25400</v>
      </c>
      <c r="AB354" s="24">
        <v>27000</v>
      </c>
      <c r="AC354" s="24">
        <v>38100</v>
      </c>
      <c r="AD354" s="24">
        <v>26175</v>
      </c>
      <c r="AE354" s="24">
        <v>27500</v>
      </c>
      <c r="AF354" s="24">
        <v>18800</v>
      </c>
      <c r="AG354" s="24">
        <v>33550</v>
      </c>
      <c r="AH354" s="24">
        <v>22450</v>
      </c>
      <c r="AI354" s="24">
        <v>32550</v>
      </c>
      <c r="AJ354" s="32">
        <v>35.786424713118876</v>
      </c>
      <c r="AK354" s="32">
        <v>28.24684579772866</v>
      </c>
      <c r="AL354" s="32">
        <v>8.27465382239577</v>
      </c>
      <c r="AM354" s="32">
        <v>19.600873517242597</v>
      </c>
      <c r="AN354" s="32">
        <v>18.583207167040669</v>
      </c>
      <c r="AO354" s="32">
        <v>24.113318805439871</v>
      </c>
      <c r="AP354" s="19">
        <v>1.0506208213944603</v>
      </c>
      <c r="AQ354" s="19">
        <v>1.1941489361702127</v>
      </c>
      <c r="AR354" s="19">
        <v>0.97019374068554398</v>
      </c>
      <c r="AS354" s="19">
        <v>7.1242081481213512E-2</v>
      </c>
      <c r="AT354" s="19">
        <v>0.25598278306350947</v>
      </c>
      <c r="AU354" s="19">
        <v>-4.365522303454801E-2</v>
      </c>
      <c r="AV354" s="19">
        <v>-0.12644747120488703</v>
      </c>
      <c r="AW354" s="19">
        <v>0.18815856608035975</v>
      </c>
      <c r="AX354" s="19">
        <v>-0.34740613727034092</v>
      </c>
      <c r="AY354" s="19">
        <v>1.0506208213944603</v>
      </c>
      <c r="AZ354" s="19">
        <v>1.1941489361702127</v>
      </c>
      <c r="BA354" s="19">
        <v>-1.0307219662058371</v>
      </c>
      <c r="BB354" s="19">
        <v>-1.0916023996697077</v>
      </c>
      <c r="BC354" s="19">
        <v>1.1393085913283469</v>
      </c>
      <c r="BD354" s="19">
        <v>-1.27227111707153</v>
      </c>
      <c r="BE354" s="14" t="s">
        <v>4857</v>
      </c>
    </row>
    <row r="355" spans="1:105" s="30" customFormat="1" ht="17.100000000000001" customHeight="1">
      <c r="A355" s="14">
        <v>344</v>
      </c>
      <c r="B355" s="14" t="s">
        <v>2893</v>
      </c>
      <c r="C355" s="32">
        <v>1.0660665991492513</v>
      </c>
      <c r="D355" s="32">
        <v>-1.2297507583459062</v>
      </c>
      <c r="E355" s="32">
        <v>1.3404144007681951</v>
      </c>
      <c r="F355" s="42">
        <v>1018085.5</v>
      </c>
      <c r="G355" s="52" t="s">
        <v>4894</v>
      </c>
      <c r="H355" s="32">
        <v>29.058213428729847</v>
      </c>
      <c r="I355" s="32">
        <v>25.791711756612916</v>
      </c>
      <c r="J355" s="12" t="s">
        <v>2894</v>
      </c>
      <c r="K355" s="12" t="s">
        <v>2895</v>
      </c>
      <c r="L355" s="14" t="s">
        <v>5114</v>
      </c>
      <c r="M355" s="12" t="s">
        <v>2896</v>
      </c>
      <c r="N355" s="15" t="s">
        <v>2897</v>
      </c>
      <c r="O355" s="12" t="s">
        <v>2898</v>
      </c>
      <c r="P355" s="12" t="s">
        <v>2899</v>
      </c>
      <c r="Q355" s="14">
        <v>3</v>
      </c>
      <c r="R355" s="21">
        <v>738.3818</v>
      </c>
      <c r="S355" s="14">
        <v>3</v>
      </c>
      <c r="T355" s="52" t="s">
        <v>4894</v>
      </c>
      <c r="U355" s="53">
        <v>43.675062499999996</v>
      </c>
      <c r="V355" s="42">
        <v>733285</v>
      </c>
      <c r="W355" s="42">
        <v>702072</v>
      </c>
      <c r="X355" s="42">
        <v>503108</v>
      </c>
      <c r="Y355" s="42">
        <v>727549</v>
      </c>
      <c r="Z355" s="42">
        <v>619341</v>
      </c>
      <c r="AA355" s="42">
        <v>604035</v>
      </c>
      <c r="AB355" s="42">
        <v>979780</v>
      </c>
      <c r="AC355" s="42">
        <v>1056391</v>
      </c>
      <c r="AD355" s="42">
        <v>666503.5</v>
      </c>
      <c r="AE355" s="42">
        <v>814886.75</v>
      </c>
      <c r="AF355" s="42">
        <v>717678.5</v>
      </c>
      <c r="AG355" s="42">
        <v>615328.5</v>
      </c>
      <c r="AH355" s="42">
        <v>611688</v>
      </c>
      <c r="AI355" s="42">
        <v>1018085.5</v>
      </c>
      <c r="AJ355" s="32">
        <v>16.469797612172371</v>
      </c>
      <c r="AK355" s="32">
        <v>29.058213428729847</v>
      </c>
      <c r="AL355" s="32">
        <v>3.0753218831518163</v>
      </c>
      <c r="AM355" s="32">
        <v>25.791711756612916</v>
      </c>
      <c r="AN355" s="32">
        <v>1.7693622227085208</v>
      </c>
      <c r="AO355" s="32">
        <v>5.3209831211113992</v>
      </c>
      <c r="AP355" s="19">
        <v>1.2226293635367256</v>
      </c>
      <c r="AQ355" s="19">
        <v>0.85231478997907839</v>
      </c>
      <c r="AR355" s="19">
        <v>1.6545398108490017</v>
      </c>
      <c r="AS355" s="19">
        <v>0.28998712142209321</v>
      </c>
      <c r="AT355" s="19">
        <v>-0.23054172773984441</v>
      </c>
      <c r="AU355" s="19">
        <v>0.72643000559631776</v>
      </c>
      <c r="AV355" s="19">
        <v>9.2297568735992652E-2</v>
      </c>
      <c r="AW355" s="19">
        <v>-0.2983659447229941</v>
      </c>
      <c r="AX355" s="19">
        <v>0.42267909136052484</v>
      </c>
      <c r="AY355" s="19">
        <v>1.2226293635367256</v>
      </c>
      <c r="AZ355" s="19">
        <v>-1.1732754279959718</v>
      </c>
      <c r="BA355" s="19">
        <v>1.6545398108490017</v>
      </c>
      <c r="BB355" s="19">
        <v>1.0660665991492513</v>
      </c>
      <c r="BC355" s="19">
        <v>-1.2297507583459062</v>
      </c>
      <c r="BD355" s="19">
        <v>1.3404144007681951</v>
      </c>
      <c r="BE355" s="14" t="s">
        <v>4857</v>
      </c>
    </row>
    <row r="356" spans="1:105" s="30" customFormat="1" ht="17.100000000000001" customHeight="1">
      <c r="A356" s="14">
        <v>345</v>
      </c>
      <c r="B356" s="14" t="s">
        <v>2900</v>
      </c>
      <c r="C356" s="32">
        <v>1.0324465712547894</v>
      </c>
      <c r="D356" s="32">
        <v>1.0331916716721545</v>
      </c>
      <c r="E356" s="32">
        <v>1.0421800033359112</v>
      </c>
      <c r="F356" s="33">
        <v>141101</v>
      </c>
      <c r="G356" s="52" t="s">
        <v>2</v>
      </c>
      <c r="H356" s="32">
        <v>13.301203912056131</v>
      </c>
      <c r="I356" s="32">
        <v>12.466239281646875</v>
      </c>
      <c r="J356" s="12" t="s">
        <v>2901</v>
      </c>
      <c r="K356" s="15" t="s">
        <v>2902</v>
      </c>
      <c r="L356" s="14" t="s">
        <v>4982</v>
      </c>
      <c r="M356" s="12" t="s">
        <v>2903</v>
      </c>
      <c r="N356" s="15" t="s">
        <v>2904</v>
      </c>
      <c r="O356" s="12" t="s">
        <v>2905</v>
      </c>
      <c r="P356" s="12" t="s">
        <v>2906</v>
      </c>
      <c r="Q356" s="14">
        <v>4</v>
      </c>
      <c r="R356" s="21">
        <v>967.21489999999994</v>
      </c>
      <c r="S356" s="14">
        <v>2</v>
      </c>
      <c r="T356" s="52" t="s">
        <v>2</v>
      </c>
      <c r="U356" s="53">
        <v>77.243837499999998</v>
      </c>
      <c r="V356" s="33">
        <v>115169</v>
      </c>
      <c r="W356" s="33">
        <v>106793</v>
      </c>
      <c r="X356" s="33">
        <v>109218</v>
      </c>
      <c r="Y356" s="33">
        <v>110153</v>
      </c>
      <c r="Z356" s="33">
        <v>111269</v>
      </c>
      <c r="AA356" s="33">
        <v>129099</v>
      </c>
      <c r="AB356" s="33">
        <v>128663</v>
      </c>
      <c r="AC356" s="33">
        <v>153539</v>
      </c>
      <c r="AD356" s="33">
        <v>110333.25</v>
      </c>
      <c r="AE356" s="33">
        <v>130642.5</v>
      </c>
      <c r="AF356" s="33">
        <v>110981</v>
      </c>
      <c r="AG356" s="33">
        <v>109685.5</v>
      </c>
      <c r="AH356" s="33">
        <v>120184</v>
      </c>
      <c r="AI356" s="33">
        <v>141101</v>
      </c>
      <c r="AJ356" s="32">
        <v>3.19131820691875</v>
      </c>
      <c r="AK356" s="32">
        <v>13.301203912056131</v>
      </c>
      <c r="AL356" s="32">
        <v>5.3367030385548171</v>
      </c>
      <c r="AM356" s="32">
        <v>0.60276412142846769</v>
      </c>
      <c r="AN356" s="32">
        <v>10.490343064431325</v>
      </c>
      <c r="AO356" s="32">
        <v>12.466239281646875</v>
      </c>
      <c r="AP356" s="19">
        <v>1.1840718912929693</v>
      </c>
      <c r="AQ356" s="19">
        <v>1.0829241041259314</v>
      </c>
      <c r="AR356" s="19">
        <v>1.2864143391788341</v>
      </c>
      <c r="AS356" s="19">
        <v>0.24375667730400363</v>
      </c>
      <c r="AT356" s="19">
        <v>0.11493213635531306</v>
      </c>
      <c r="AU356" s="19">
        <v>0.36335539290038904</v>
      </c>
      <c r="AV356" s="19">
        <v>4.6067124617903077E-2</v>
      </c>
      <c r="AW356" s="19">
        <v>4.7107919372163354E-2</v>
      </c>
      <c r="AX356" s="19">
        <v>5.9604478664596117E-2</v>
      </c>
      <c r="AY356" s="19">
        <v>1.1840718912929693</v>
      </c>
      <c r="AZ356" s="19">
        <v>1.0829241041259314</v>
      </c>
      <c r="BA356" s="19">
        <v>1.2864143391788341</v>
      </c>
      <c r="BB356" s="19">
        <v>1.0324465712547894</v>
      </c>
      <c r="BC356" s="19">
        <v>1.0331916716721545</v>
      </c>
      <c r="BD356" s="19">
        <v>1.0421800033359112</v>
      </c>
      <c r="BE356" s="14" t="s">
        <v>4857</v>
      </c>
    </row>
    <row r="357" spans="1:105" s="30" customFormat="1" ht="17.100000000000001" customHeight="1">
      <c r="A357" s="14">
        <v>346</v>
      </c>
      <c r="B357" s="14" t="s">
        <v>4502</v>
      </c>
      <c r="C357" s="32">
        <v>1.0324465712547894</v>
      </c>
      <c r="D357" s="32">
        <v>1.0331916716721545</v>
      </c>
      <c r="E357" s="32">
        <v>1.0421800033359112</v>
      </c>
      <c r="F357" s="33">
        <v>141101</v>
      </c>
      <c r="G357" s="52" t="s">
        <v>2</v>
      </c>
      <c r="H357" s="32">
        <v>13.301203912056131</v>
      </c>
      <c r="I357" s="32">
        <v>12.466239281646875</v>
      </c>
      <c r="J357" s="12" t="s">
        <v>2901</v>
      </c>
      <c r="K357" s="15" t="s">
        <v>2902</v>
      </c>
      <c r="L357" s="14" t="s">
        <v>4294</v>
      </c>
      <c r="M357" s="12" t="s">
        <v>2903</v>
      </c>
      <c r="N357" s="15" t="s">
        <v>2904</v>
      </c>
      <c r="O357" s="12" t="s">
        <v>2905</v>
      </c>
      <c r="P357" s="12" t="s">
        <v>2907</v>
      </c>
      <c r="Q357" s="14">
        <v>4</v>
      </c>
      <c r="R357" s="21">
        <v>967.21489999999994</v>
      </c>
      <c r="S357" s="14">
        <v>1</v>
      </c>
      <c r="T357" s="52" t="s">
        <v>2</v>
      </c>
      <c r="U357" s="53">
        <v>77.243837499999998</v>
      </c>
      <c r="V357" s="33">
        <v>115169</v>
      </c>
      <c r="W357" s="33">
        <v>106793</v>
      </c>
      <c r="X357" s="33">
        <v>109218</v>
      </c>
      <c r="Y357" s="33">
        <v>110153</v>
      </c>
      <c r="Z357" s="33">
        <v>111269</v>
      </c>
      <c r="AA357" s="33">
        <v>129099</v>
      </c>
      <c r="AB357" s="33">
        <v>128663</v>
      </c>
      <c r="AC357" s="33">
        <v>153539</v>
      </c>
      <c r="AD357" s="33">
        <v>110333.25</v>
      </c>
      <c r="AE357" s="33">
        <v>130642.5</v>
      </c>
      <c r="AF357" s="33">
        <v>110981</v>
      </c>
      <c r="AG357" s="33">
        <v>109685.5</v>
      </c>
      <c r="AH357" s="33">
        <v>120184</v>
      </c>
      <c r="AI357" s="33">
        <v>141101</v>
      </c>
      <c r="AJ357" s="32">
        <v>3.19131820691875</v>
      </c>
      <c r="AK357" s="32">
        <v>13.301203912056131</v>
      </c>
      <c r="AL357" s="32">
        <v>5.3367030385548171</v>
      </c>
      <c r="AM357" s="32">
        <v>0.60276412142846769</v>
      </c>
      <c r="AN357" s="32">
        <v>10.490343064431325</v>
      </c>
      <c r="AO357" s="32">
        <v>12.466239281646875</v>
      </c>
      <c r="AP357" s="19">
        <v>1.1840718912929693</v>
      </c>
      <c r="AQ357" s="19">
        <v>1.0829241041259314</v>
      </c>
      <c r="AR357" s="19">
        <v>1.2864143391788341</v>
      </c>
      <c r="AS357" s="19">
        <v>0.24375667730400363</v>
      </c>
      <c r="AT357" s="19">
        <v>0.11493213635531306</v>
      </c>
      <c r="AU357" s="19">
        <v>0.36335539290038904</v>
      </c>
      <c r="AV357" s="19">
        <v>4.6067124617903077E-2</v>
      </c>
      <c r="AW357" s="19">
        <v>4.7107919372163354E-2</v>
      </c>
      <c r="AX357" s="19">
        <v>5.9604478664596117E-2</v>
      </c>
      <c r="AY357" s="19">
        <v>1.1840718912929693</v>
      </c>
      <c r="AZ357" s="19">
        <v>1.0829241041259314</v>
      </c>
      <c r="BA357" s="19">
        <v>1.2864143391788341</v>
      </c>
      <c r="BB357" s="19">
        <v>1.0324465712547894</v>
      </c>
      <c r="BC357" s="19">
        <v>1.0331916716721545</v>
      </c>
      <c r="BD357" s="19">
        <v>1.0421800033359112</v>
      </c>
      <c r="BE357" s="14" t="s">
        <v>4857</v>
      </c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28"/>
      <c r="BU357" s="28"/>
      <c r="BV357" s="28"/>
      <c r="BW357" s="28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</row>
    <row r="358" spans="1:105" s="30" customFormat="1" ht="17.100000000000001" customHeight="1">
      <c r="A358" s="14">
        <v>347</v>
      </c>
      <c r="B358" s="14" t="s">
        <v>2908</v>
      </c>
      <c r="C358" s="32">
        <v>1.0869461427060811</v>
      </c>
      <c r="D358" s="32">
        <v>1.050485048516602</v>
      </c>
      <c r="E358" s="32">
        <v>1.1162464578916862</v>
      </c>
      <c r="F358" s="24">
        <v>81041</v>
      </c>
      <c r="G358" s="52" t="s">
        <v>2</v>
      </c>
      <c r="H358" s="32">
        <v>27.910155750912942</v>
      </c>
      <c r="I358" s="32">
        <v>33.848255239391655</v>
      </c>
      <c r="J358" s="12" t="s">
        <v>2909</v>
      </c>
      <c r="K358" s="12" t="s">
        <v>2910</v>
      </c>
      <c r="L358" s="14" t="s">
        <v>4982</v>
      </c>
      <c r="M358" s="12" t="s">
        <v>2911</v>
      </c>
      <c r="N358" s="15" t="s">
        <v>2912</v>
      </c>
      <c r="O358" s="12" t="s">
        <v>2913</v>
      </c>
      <c r="P358" s="12" t="s">
        <v>2914</v>
      </c>
      <c r="Q358" s="14">
        <v>4</v>
      </c>
      <c r="R358" s="21">
        <v>963.71100000000001</v>
      </c>
      <c r="S358" s="14">
        <v>4</v>
      </c>
      <c r="T358" s="52" t="s">
        <v>2</v>
      </c>
      <c r="U358" s="53">
        <v>75.346666666666664</v>
      </c>
      <c r="V358" s="24">
        <v>53094</v>
      </c>
      <c r="W358" s="24">
        <v>53012</v>
      </c>
      <c r="X358" s="24">
        <v>55505</v>
      </c>
      <c r="Y358" s="24">
        <v>62130</v>
      </c>
      <c r="Z358" s="24">
        <v>44433</v>
      </c>
      <c r="AA358" s="24">
        <v>72395</v>
      </c>
      <c r="AB358" s="24">
        <v>91841</v>
      </c>
      <c r="AC358" s="24">
        <v>70241</v>
      </c>
      <c r="AD358" s="24">
        <v>55935.25</v>
      </c>
      <c r="AE358" s="24">
        <v>69727.5</v>
      </c>
      <c r="AF358" s="24">
        <v>53053</v>
      </c>
      <c r="AG358" s="24">
        <v>58817.5</v>
      </c>
      <c r="AH358" s="24">
        <v>58414</v>
      </c>
      <c r="AI358" s="24">
        <v>81041</v>
      </c>
      <c r="AJ358" s="32">
        <v>7.6672089126458687</v>
      </c>
      <c r="AK358" s="32">
        <v>27.910155750912942</v>
      </c>
      <c r="AL358" s="32">
        <v>0.10929213438881288</v>
      </c>
      <c r="AM358" s="32">
        <v>7.9646064952792566</v>
      </c>
      <c r="AN358" s="32">
        <v>33.848255239391655</v>
      </c>
      <c r="AO358" s="32">
        <v>18.846641173763189</v>
      </c>
      <c r="AP358" s="19">
        <v>1.2465752812403628</v>
      </c>
      <c r="AQ358" s="19">
        <v>1.1010498935027238</v>
      </c>
      <c r="AR358" s="19">
        <v>1.377838228418413</v>
      </c>
      <c r="AS358" s="19">
        <v>0.3179700104608924</v>
      </c>
      <c r="AT358" s="19">
        <v>0.13887984535826217</v>
      </c>
      <c r="AU358" s="19">
        <v>0.46240651158434565</v>
      </c>
      <c r="AV358" s="19">
        <v>0.12028045777479185</v>
      </c>
      <c r="AW358" s="19">
        <v>7.1055628375112465E-2</v>
      </c>
      <c r="AX358" s="19">
        <v>0.15865559734855272</v>
      </c>
      <c r="AY358" s="19">
        <v>1.2465752812403628</v>
      </c>
      <c r="AZ358" s="19">
        <v>1.1010498935027238</v>
      </c>
      <c r="BA358" s="19">
        <v>1.377838228418413</v>
      </c>
      <c r="BB358" s="19">
        <v>1.0869461427060811</v>
      </c>
      <c r="BC358" s="19">
        <v>1.050485048516602</v>
      </c>
      <c r="BD358" s="19">
        <v>1.1162464578916862</v>
      </c>
      <c r="BE358" s="14" t="s">
        <v>4857</v>
      </c>
    </row>
    <row r="359" spans="1:105" s="30" customFormat="1" ht="17.100000000000001" customHeight="1">
      <c r="A359" s="14">
        <v>348</v>
      </c>
      <c r="B359" s="14" t="s">
        <v>2915</v>
      </c>
      <c r="C359" s="32">
        <v>-1.00809916290718</v>
      </c>
      <c r="D359" s="32">
        <v>-1.1357810584347496</v>
      </c>
      <c r="E359" s="32">
        <v>1.0949495645349969</v>
      </c>
      <c r="F359" s="24">
        <v>1734965</v>
      </c>
      <c r="G359" s="52" t="s">
        <v>2</v>
      </c>
      <c r="H359" s="32">
        <v>24.186905972832122</v>
      </c>
      <c r="I359" s="32">
        <v>17.573890839769255</v>
      </c>
      <c r="J359" s="12" t="s">
        <v>2916</v>
      </c>
      <c r="K359" s="12" t="s">
        <v>2917</v>
      </c>
      <c r="L359" s="14" t="s">
        <v>5173</v>
      </c>
      <c r="M359" s="12" t="s">
        <v>2918</v>
      </c>
      <c r="N359" s="15" t="s">
        <v>2919</v>
      </c>
      <c r="O359" s="12" t="s">
        <v>2920</v>
      </c>
      <c r="P359" s="12" t="s">
        <v>2794</v>
      </c>
      <c r="Q359" s="14">
        <v>2</v>
      </c>
      <c r="R359" s="21">
        <v>1002.5199</v>
      </c>
      <c r="S359" s="14">
        <v>10</v>
      </c>
      <c r="T359" s="52" t="s">
        <v>2</v>
      </c>
      <c r="U359" s="53">
        <v>74.0020375</v>
      </c>
      <c r="V359" s="24">
        <v>1305430</v>
      </c>
      <c r="W359" s="24">
        <v>1251060</v>
      </c>
      <c r="X359" s="24">
        <v>1270630</v>
      </c>
      <c r="Y359" s="24">
        <v>1296740</v>
      </c>
      <c r="Z359" s="24">
        <v>1326190</v>
      </c>
      <c r="AA359" s="24">
        <v>1033020</v>
      </c>
      <c r="AB359" s="24">
        <v>1631740</v>
      </c>
      <c r="AC359" s="24">
        <v>1838190</v>
      </c>
      <c r="AD359" s="24">
        <v>1280965</v>
      </c>
      <c r="AE359" s="24">
        <v>1457285</v>
      </c>
      <c r="AF359" s="24">
        <v>1278245</v>
      </c>
      <c r="AG359" s="24">
        <v>1283685</v>
      </c>
      <c r="AH359" s="24">
        <v>1179605</v>
      </c>
      <c r="AI359" s="24">
        <v>1734965</v>
      </c>
      <c r="AJ359" s="32">
        <v>1.9378171180492356</v>
      </c>
      <c r="AK359" s="32">
        <v>24.186905972832122</v>
      </c>
      <c r="AL359" s="32">
        <v>3.0076703365248902</v>
      </c>
      <c r="AM359" s="32">
        <v>1.4382467705691626</v>
      </c>
      <c r="AN359" s="32">
        <v>17.573890839769255</v>
      </c>
      <c r="AO359" s="32">
        <v>8.4141291020834856</v>
      </c>
      <c r="AP359" s="19">
        <v>1.1376462276486867</v>
      </c>
      <c r="AQ359" s="19">
        <v>0.92283169501934292</v>
      </c>
      <c r="AR359" s="19">
        <v>1.3515504193006851</v>
      </c>
      <c r="AS359" s="19">
        <v>0.18605199440583869</v>
      </c>
      <c r="AT359" s="19">
        <v>-0.11586054008409249</v>
      </c>
      <c r="AU359" s="19">
        <v>0.43461533230788524</v>
      </c>
      <c r="AV359" s="19">
        <v>-1.1637558280261862E-2</v>
      </c>
      <c r="AW359" s="19">
        <v>-0.18368475706724219</v>
      </c>
      <c r="AX359" s="19">
        <v>0.13086441807209231</v>
      </c>
      <c r="AY359" s="19">
        <v>1.1376462276486867</v>
      </c>
      <c r="AZ359" s="19">
        <v>-1.0836212121854349</v>
      </c>
      <c r="BA359" s="19">
        <v>1.3515504193006851</v>
      </c>
      <c r="BB359" s="19">
        <v>-1.00809916290718</v>
      </c>
      <c r="BC359" s="19">
        <v>-1.1357810584347496</v>
      </c>
      <c r="BD359" s="19">
        <v>1.0949495645349969</v>
      </c>
      <c r="BE359" s="14" t="s">
        <v>4857</v>
      </c>
    </row>
    <row r="360" spans="1:105" s="30" customFormat="1" ht="17.100000000000001" customHeight="1">
      <c r="A360" s="14">
        <v>349</v>
      </c>
      <c r="B360" s="14" t="s">
        <v>4428</v>
      </c>
      <c r="C360" s="32">
        <v>1.0336420456389876</v>
      </c>
      <c r="D360" s="32">
        <v>-1.2144379223844344</v>
      </c>
      <c r="E360" s="32">
        <v>1.272511908613716</v>
      </c>
      <c r="F360" s="24">
        <v>281217</v>
      </c>
      <c r="G360" s="52" t="s">
        <v>2</v>
      </c>
      <c r="H360" s="32">
        <v>25.436298904445252</v>
      </c>
      <c r="I360" s="32">
        <v>12.109818193626264</v>
      </c>
      <c r="J360" s="12" t="s">
        <v>2796</v>
      </c>
      <c r="K360" s="12" t="s">
        <v>2797</v>
      </c>
      <c r="L360" s="14" t="s">
        <v>5121</v>
      </c>
      <c r="M360" s="12" t="s">
        <v>2798</v>
      </c>
      <c r="N360" s="15" t="s">
        <v>2799</v>
      </c>
      <c r="O360" s="12" t="s">
        <v>2800</v>
      </c>
      <c r="P360" s="12" t="s">
        <v>2802</v>
      </c>
      <c r="Q360" s="14">
        <v>2</v>
      </c>
      <c r="R360" s="21">
        <v>1009.0251</v>
      </c>
      <c r="S360" s="14">
        <v>15</v>
      </c>
      <c r="T360" s="52" t="s">
        <v>2</v>
      </c>
      <c r="U360" s="53">
        <v>78.841575000000006</v>
      </c>
      <c r="V360" s="24">
        <v>211018</v>
      </c>
      <c r="W360" s="24">
        <v>216919</v>
      </c>
      <c r="X360" s="24">
        <v>171685</v>
      </c>
      <c r="Y360" s="24">
        <v>186388</v>
      </c>
      <c r="Z360" s="24">
        <v>168855</v>
      </c>
      <c r="AA360" s="24">
        <v>200481</v>
      </c>
      <c r="AB360" s="24">
        <v>262368</v>
      </c>
      <c r="AC360" s="24">
        <v>300066</v>
      </c>
      <c r="AD360" s="24">
        <v>196502.5</v>
      </c>
      <c r="AE360" s="24">
        <v>232942.5</v>
      </c>
      <c r="AF360" s="24">
        <v>213968.5</v>
      </c>
      <c r="AG360" s="24">
        <v>179036.5</v>
      </c>
      <c r="AH360" s="24">
        <v>184668</v>
      </c>
      <c r="AI360" s="24">
        <v>281217</v>
      </c>
      <c r="AJ360" s="32">
        <v>10.778358390011856</v>
      </c>
      <c r="AK360" s="32">
        <v>25.436298904445252</v>
      </c>
      <c r="AL360" s="32">
        <v>1.9501174779380219</v>
      </c>
      <c r="AM360" s="32">
        <v>5.8069672964930659</v>
      </c>
      <c r="AN360" s="32">
        <v>12.109818193626264</v>
      </c>
      <c r="AO360" s="32">
        <v>9.4789829338804097</v>
      </c>
      <c r="AP360" s="19">
        <v>1.1854429332960141</v>
      </c>
      <c r="AQ360" s="19">
        <v>0.86306161888315336</v>
      </c>
      <c r="AR360" s="19">
        <v>1.5707244053586837</v>
      </c>
      <c r="AS360" s="19">
        <v>0.24542621378367457</v>
      </c>
      <c r="AT360" s="19">
        <v>-0.21246452959247822</v>
      </c>
      <c r="AU360" s="19">
        <v>0.65143007184722401</v>
      </c>
      <c r="AV360" s="19">
        <v>4.7736661097574018E-2</v>
      </c>
      <c r="AW360" s="19">
        <v>-0.28028874657562791</v>
      </c>
      <c r="AX360" s="19">
        <v>0.34767915761143109</v>
      </c>
      <c r="AY360" s="19">
        <v>1.1854429332960141</v>
      </c>
      <c r="AZ360" s="19">
        <v>-1.1586658219074231</v>
      </c>
      <c r="BA360" s="19">
        <v>1.5707244053586837</v>
      </c>
      <c r="BB360" s="19">
        <v>1.0336420456389876</v>
      </c>
      <c r="BC360" s="19">
        <v>-1.2144379223844344</v>
      </c>
      <c r="BD360" s="19">
        <v>1.272511908613716</v>
      </c>
      <c r="BE360" s="14" t="s">
        <v>4857</v>
      </c>
    </row>
    <row r="361" spans="1:105" s="30" customFormat="1" ht="17.100000000000001" customHeight="1">
      <c r="A361" s="14">
        <v>350</v>
      </c>
      <c r="B361" s="14" t="s">
        <v>2812</v>
      </c>
      <c r="C361" s="32">
        <v>-1.1353855163381803</v>
      </c>
      <c r="D361" s="32">
        <v>-1.1296655725552291</v>
      </c>
      <c r="E361" s="32">
        <v>-1.1533634442579603</v>
      </c>
      <c r="F361" s="24">
        <v>745790</v>
      </c>
      <c r="G361" s="52" t="s">
        <v>2</v>
      </c>
      <c r="H361" s="32">
        <v>32.311019350015194</v>
      </c>
      <c r="I361" s="32">
        <v>24.886168961600482</v>
      </c>
      <c r="J361" s="12" t="s">
        <v>2796</v>
      </c>
      <c r="K361" s="12" t="s">
        <v>2797</v>
      </c>
      <c r="L361" s="14" t="s">
        <v>5160</v>
      </c>
      <c r="M361" s="12" t="s">
        <v>2798</v>
      </c>
      <c r="N361" s="15" t="s">
        <v>2799</v>
      </c>
      <c r="O361" s="12" t="s">
        <v>2800</v>
      </c>
      <c r="P361" s="12" t="s">
        <v>2813</v>
      </c>
      <c r="Q361" s="14">
        <v>4</v>
      </c>
      <c r="R361" s="21">
        <v>807.43409999999994</v>
      </c>
      <c r="S361" s="14">
        <v>9</v>
      </c>
      <c r="T361" s="52" t="s">
        <v>2</v>
      </c>
      <c r="U361" s="53">
        <v>93.454750000000004</v>
      </c>
      <c r="V361" s="24">
        <v>590700</v>
      </c>
      <c r="W361" s="24">
        <v>427513</v>
      </c>
      <c r="X361" s="24">
        <v>745615</v>
      </c>
      <c r="Y361" s="24">
        <v>648102</v>
      </c>
      <c r="Z361" s="24">
        <v>413286</v>
      </c>
      <c r="AA361" s="24">
        <v>531440</v>
      </c>
      <c r="AB361" s="24">
        <v>614552</v>
      </c>
      <c r="AC361" s="24">
        <v>877028</v>
      </c>
      <c r="AD361" s="24">
        <v>602982.5</v>
      </c>
      <c r="AE361" s="24">
        <v>609076.5</v>
      </c>
      <c r="AF361" s="24">
        <v>509106.5</v>
      </c>
      <c r="AG361" s="24">
        <v>696858.5</v>
      </c>
      <c r="AH361" s="24">
        <v>472363</v>
      </c>
      <c r="AI361" s="24">
        <v>745790</v>
      </c>
      <c r="AJ361" s="32">
        <v>22.109583839140438</v>
      </c>
      <c r="AK361" s="32">
        <v>32.311019350015194</v>
      </c>
      <c r="AL361" s="32">
        <v>22.665323326551345</v>
      </c>
      <c r="AM361" s="32">
        <v>9.8947065371009781</v>
      </c>
      <c r="AN361" s="32">
        <v>17.687137778427893</v>
      </c>
      <c r="AO361" s="32">
        <v>24.886168961600482</v>
      </c>
      <c r="AP361" s="19">
        <v>1.0101064292910658</v>
      </c>
      <c r="AQ361" s="19">
        <v>0.92782747814062483</v>
      </c>
      <c r="AR361" s="19">
        <v>1.0702172679245499</v>
      </c>
      <c r="AS361" s="19">
        <v>1.4507309730585194E-2</v>
      </c>
      <c r="AT361" s="19">
        <v>-0.10807152182939597</v>
      </c>
      <c r="AU361" s="19">
        <v>9.7903712082312438E-2</v>
      </c>
      <c r="AV361" s="19">
        <v>-0.18318224295551536</v>
      </c>
      <c r="AW361" s="19">
        <v>-0.17589573881254567</v>
      </c>
      <c r="AX361" s="19">
        <v>-0.20584720215348049</v>
      </c>
      <c r="AY361" s="19">
        <v>1.0101064292910658</v>
      </c>
      <c r="AZ361" s="19">
        <v>-1.0777865751551243</v>
      </c>
      <c r="BA361" s="19">
        <v>1.0702172679245499</v>
      </c>
      <c r="BB361" s="19">
        <v>-1.1353855163381803</v>
      </c>
      <c r="BC361" s="19">
        <v>-1.1296655725552291</v>
      </c>
      <c r="BD361" s="19">
        <v>-1.1533634442579603</v>
      </c>
      <c r="BE361" s="14" t="s">
        <v>4857</v>
      </c>
    </row>
    <row r="362" spans="1:105" s="30" customFormat="1" ht="17.100000000000001" customHeight="1">
      <c r="A362" s="14">
        <v>351</v>
      </c>
      <c r="B362" s="14" t="s">
        <v>2815</v>
      </c>
      <c r="C362" s="32">
        <v>1.1324008443882887</v>
      </c>
      <c r="D362" s="32">
        <v>1.0088918583495607</v>
      </c>
      <c r="E362" s="32">
        <v>1.2244672014345155</v>
      </c>
      <c r="F362" s="24">
        <v>2503275</v>
      </c>
      <c r="G362" s="52" t="s">
        <v>2</v>
      </c>
      <c r="H362" s="32">
        <v>51.955038919177966</v>
      </c>
      <c r="I362" s="32">
        <v>94.646308462068092</v>
      </c>
      <c r="J362" s="12" t="s">
        <v>2796</v>
      </c>
      <c r="K362" s="12" t="s">
        <v>2797</v>
      </c>
      <c r="L362" s="14" t="s">
        <v>2816</v>
      </c>
      <c r="M362" s="12" t="s">
        <v>2798</v>
      </c>
      <c r="N362" s="15" t="s">
        <v>2799</v>
      </c>
      <c r="O362" s="12" t="s">
        <v>2800</v>
      </c>
      <c r="P362" s="12" t="s">
        <v>2817</v>
      </c>
      <c r="Q362" s="14">
        <v>3</v>
      </c>
      <c r="R362" s="21">
        <v>1024.2094</v>
      </c>
      <c r="S362" s="14">
        <v>2</v>
      </c>
      <c r="T362" s="52" t="s">
        <v>2</v>
      </c>
      <c r="U362" s="53">
        <v>98.5</v>
      </c>
      <c r="V362" s="24">
        <v>1273490</v>
      </c>
      <c r="W362" s="24">
        <v>1647180</v>
      </c>
      <c r="X362" s="24">
        <v>1445580</v>
      </c>
      <c r="Y362" s="24">
        <v>1866900</v>
      </c>
      <c r="Z362" s="24">
        <v>2577720</v>
      </c>
      <c r="AA362" s="24">
        <v>510756</v>
      </c>
      <c r="AB362" s="24">
        <v>2142250</v>
      </c>
      <c r="AC362" s="24">
        <v>2864300</v>
      </c>
      <c r="AD362" s="24">
        <v>1558287.5</v>
      </c>
      <c r="AE362" s="24">
        <v>2023756.5</v>
      </c>
      <c r="AF362" s="24">
        <v>1460335</v>
      </c>
      <c r="AG362" s="24">
        <v>1656240</v>
      </c>
      <c r="AH362" s="24">
        <v>1544238</v>
      </c>
      <c r="AI362" s="24">
        <v>2503275</v>
      </c>
      <c r="AJ362" s="32">
        <v>16.442829630699183</v>
      </c>
      <c r="AK362" s="32">
        <v>51.955038919177966</v>
      </c>
      <c r="AL362" s="32">
        <v>18.094391565058768</v>
      </c>
      <c r="AM362" s="32">
        <v>17.987624320721405</v>
      </c>
      <c r="AN362" s="32">
        <v>94.646308462068092</v>
      </c>
      <c r="AO362" s="32">
        <v>20.395939373650386</v>
      </c>
      <c r="AP362" s="19">
        <v>1.2987054699469771</v>
      </c>
      <c r="AQ362" s="19">
        <v>1.0574546251373829</v>
      </c>
      <c r="AR362" s="19">
        <v>1.5114204463121286</v>
      </c>
      <c r="AS362" s="19">
        <v>0.37707428280568189</v>
      </c>
      <c r="AT362" s="19">
        <v>8.0595759332239836E-2</v>
      </c>
      <c r="AU362" s="19">
        <v>0.5959050446411539</v>
      </c>
      <c r="AV362" s="19">
        <v>0.17938473011958134</v>
      </c>
      <c r="AW362" s="19">
        <v>1.2771542349090129E-2</v>
      </c>
      <c r="AX362" s="19">
        <v>0.29215413040536098</v>
      </c>
      <c r="AY362" s="19">
        <v>1.2987054699469771</v>
      </c>
      <c r="AZ362" s="19">
        <v>1.0574546251373829</v>
      </c>
      <c r="BA362" s="19">
        <v>1.5114204463121286</v>
      </c>
      <c r="BB362" s="19">
        <v>1.1324008443882887</v>
      </c>
      <c r="BC362" s="19">
        <v>1.0088918583495607</v>
      </c>
      <c r="BD362" s="19">
        <v>1.2244672014345155</v>
      </c>
      <c r="BE362" s="14" t="s">
        <v>4857</v>
      </c>
    </row>
    <row r="363" spans="1:105" s="30" customFormat="1" ht="17.100000000000001" customHeight="1">
      <c r="A363" s="14">
        <v>352</v>
      </c>
      <c r="B363" s="14" t="s">
        <v>2818</v>
      </c>
      <c r="C363" s="32">
        <v>1.187326023181791</v>
      </c>
      <c r="D363" s="32">
        <v>-1.0423038177430306</v>
      </c>
      <c r="E363" s="32">
        <v>1.4247530281344862</v>
      </c>
      <c r="F363" s="24">
        <v>303733.5</v>
      </c>
      <c r="G363" s="52" t="s">
        <v>2</v>
      </c>
      <c r="H363" s="32">
        <v>30.017966764461985</v>
      </c>
      <c r="I363" s="32">
        <v>20.880642819738394</v>
      </c>
      <c r="J363" s="15" t="s">
        <v>2819</v>
      </c>
      <c r="K363" s="12" t="s">
        <v>2820</v>
      </c>
      <c r="L363" s="14" t="s">
        <v>2821</v>
      </c>
      <c r="M363" s="12" t="s">
        <v>2822</v>
      </c>
      <c r="N363" s="15" t="s">
        <v>2823</v>
      </c>
      <c r="O363" s="12" t="s">
        <v>2824</v>
      </c>
      <c r="P363" s="12" t="s">
        <v>2825</v>
      </c>
      <c r="Q363" s="14">
        <v>3</v>
      </c>
      <c r="R363" s="21">
        <v>886.80730000000005</v>
      </c>
      <c r="S363" s="14">
        <v>1</v>
      </c>
      <c r="T363" s="52" t="s">
        <v>2</v>
      </c>
      <c r="U363" s="53">
        <v>83.845587500000008</v>
      </c>
      <c r="V363" s="24">
        <v>182033</v>
      </c>
      <c r="W363" s="24">
        <v>203003</v>
      </c>
      <c r="X363" s="24">
        <v>190913</v>
      </c>
      <c r="Y363" s="24">
        <v>154505</v>
      </c>
      <c r="Z363" s="24">
        <v>222179</v>
      </c>
      <c r="AA363" s="24">
        <v>165011</v>
      </c>
      <c r="AB363" s="24">
        <v>265324</v>
      </c>
      <c r="AC363" s="24">
        <v>342143</v>
      </c>
      <c r="AD363" s="24">
        <v>182613.5</v>
      </c>
      <c r="AE363" s="24">
        <v>248664.25</v>
      </c>
      <c r="AF363" s="24">
        <v>192518</v>
      </c>
      <c r="AG363" s="24">
        <v>172709</v>
      </c>
      <c r="AH363" s="24">
        <v>193595</v>
      </c>
      <c r="AI363" s="24">
        <v>303733.5</v>
      </c>
      <c r="AJ363" s="32">
        <v>11.289327818232627</v>
      </c>
      <c r="AK363" s="32">
        <v>30.017966764461985</v>
      </c>
      <c r="AL363" s="32">
        <v>7.7021521112217579</v>
      </c>
      <c r="AM363" s="32">
        <v>14.906196949458234</v>
      </c>
      <c r="AN363" s="32">
        <v>20.880642819738394</v>
      </c>
      <c r="AO363" s="32">
        <v>17.88384745968732</v>
      </c>
      <c r="AP363" s="19">
        <v>1.3616969720201408</v>
      </c>
      <c r="AQ363" s="19">
        <v>1.005594282093103</v>
      </c>
      <c r="AR363" s="19">
        <v>1.7586431511965213</v>
      </c>
      <c r="AS363" s="19">
        <v>0.44540568601943065</v>
      </c>
      <c r="AT363" s="19">
        <v>8.0483515900545855E-3</v>
      </c>
      <c r="AU363" s="19">
        <v>0.81446277318654747</v>
      </c>
      <c r="AV363" s="19">
        <v>0.24771613333333009</v>
      </c>
      <c r="AW363" s="19">
        <v>-5.9775865393095123E-2</v>
      </c>
      <c r="AX363" s="19">
        <v>0.51071185895075455</v>
      </c>
      <c r="AY363" s="19">
        <v>1.3616969720201408</v>
      </c>
      <c r="AZ363" s="19">
        <v>1.005594282093103</v>
      </c>
      <c r="BA363" s="19">
        <v>1.7586431511965213</v>
      </c>
      <c r="BB363" s="19">
        <v>1.187326023181791</v>
      </c>
      <c r="BC363" s="19">
        <v>-1.0423038177430306</v>
      </c>
      <c r="BD363" s="19">
        <v>1.4247530281344862</v>
      </c>
      <c r="BE363" s="14" t="s">
        <v>4857</v>
      </c>
    </row>
    <row r="364" spans="1:105" s="30" customFormat="1" ht="17.100000000000001" customHeight="1">
      <c r="A364" s="14">
        <v>353</v>
      </c>
      <c r="B364" s="14" t="s">
        <v>2826</v>
      </c>
      <c r="C364" s="32">
        <v>-1.191926441818205</v>
      </c>
      <c r="D364" s="32">
        <v>-1.0617555288633238</v>
      </c>
      <c r="E364" s="32">
        <v>-1.3210150219295878</v>
      </c>
      <c r="F364" s="24">
        <v>192539.5</v>
      </c>
      <c r="G364" s="52" t="s">
        <v>2</v>
      </c>
      <c r="H364" s="32">
        <v>16.232767188040345</v>
      </c>
      <c r="I364" s="32">
        <v>22.832608723946844</v>
      </c>
      <c r="J364" s="12" t="s">
        <v>2827</v>
      </c>
      <c r="K364" s="15" t="s">
        <v>2828</v>
      </c>
      <c r="L364" s="14" t="s">
        <v>2829</v>
      </c>
      <c r="M364" s="12" t="s">
        <v>2830</v>
      </c>
      <c r="N364" s="15" t="s">
        <v>2831</v>
      </c>
      <c r="O364" s="12" t="s">
        <v>2832</v>
      </c>
      <c r="P364" s="12" t="s">
        <v>2834</v>
      </c>
      <c r="Q364" s="14">
        <v>2</v>
      </c>
      <c r="R364" s="21">
        <v>447.27640000000002</v>
      </c>
      <c r="S364" s="14">
        <v>1</v>
      </c>
      <c r="T364" s="52" t="s">
        <v>2</v>
      </c>
      <c r="U364" s="53">
        <v>23.402137499999998</v>
      </c>
      <c r="V364" s="24">
        <v>187536</v>
      </c>
      <c r="W364" s="24">
        <v>197543</v>
      </c>
      <c r="X364" s="24">
        <v>194084</v>
      </c>
      <c r="Y364" s="24">
        <v>152001</v>
      </c>
      <c r="Z364" s="24">
        <v>201838</v>
      </c>
      <c r="AA364" s="24">
        <v>178301</v>
      </c>
      <c r="AB364" s="24">
        <v>187795</v>
      </c>
      <c r="AC364" s="24">
        <v>135585</v>
      </c>
      <c r="AD364" s="24">
        <v>182791</v>
      </c>
      <c r="AE364" s="24">
        <v>175879.75</v>
      </c>
      <c r="AF364" s="24">
        <v>192539.5</v>
      </c>
      <c r="AG364" s="24">
        <v>173042.5</v>
      </c>
      <c r="AH364" s="24">
        <v>190069.5</v>
      </c>
      <c r="AI364" s="24">
        <v>161690</v>
      </c>
      <c r="AJ364" s="32">
        <v>11.456758531301627</v>
      </c>
      <c r="AK364" s="32">
        <v>16.232767188040345</v>
      </c>
      <c r="AL364" s="32">
        <v>3.675099166318486</v>
      </c>
      <c r="AM364" s="32">
        <v>17.196454439038664</v>
      </c>
      <c r="AN364" s="32">
        <v>8.7563613882226061</v>
      </c>
      <c r="AO364" s="32">
        <v>22.832608723946844</v>
      </c>
      <c r="AP364" s="19">
        <v>0.96219042513034014</v>
      </c>
      <c r="AQ364" s="19">
        <v>0.98717146351787555</v>
      </c>
      <c r="AR364" s="19">
        <v>0.93439472961844638</v>
      </c>
      <c r="AS364" s="19">
        <v>-5.5605651823188655E-2</v>
      </c>
      <c r="AT364" s="19">
        <v>-1.8627404245542802E-2</v>
      </c>
      <c r="AU364" s="19">
        <v>-9.7895958056819346E-2</v>
      </c>
      <c r="AV364" s="19">
        <v>-0.25329520450928922</v>
      </c>
      <c r="AW364" s="19">
        <v>-8.6451621228692516E-2</v>
      </c>
      <c r="AX364" s="19">
        <v>-0.40164687229261226</v>
      </c>
      <c r="AY364" s="19">
        <v>-1.0392953139858341</v>
      </c>
      <c r="AZ364" s="19">
        <v>-1.0129952464756313</v>
      </c>
      <c r="BA364" s="19">
        <v>-1.0702115158636898</v>
      </c>
      <c r="BB364" s="19">
        <v>-1.191926441818205</v>
      </c>
      <c r="BC364" s="19">
        <v>-1.0617555288633238</v>
      </c>
      <c r="BD364" s="19">
        <v>-1.3210150219295878</v>
      </c>
      <c r="BE364" s="14" t="s">
        <v>4857</v>
      </c>
    </row>
    <row r="365" spans="1:105" s="30" customFormat="1" ht="17.100000000000001" customHeight="1">
      <c r="A365" s="14">
        <v>354</v>
      </c>
      <c r="B365" s="14" t="s">
        <v>2835</v>
      </c>
      <c r="C365" s="32">
        <v>1.1714450702653363</v>
      </c>
      <c r="D365" s="32">
        <v>1.1103124657498991</v>
      </c>
      <c r="E365" s="32">
        <v>1.2194066979756104</v>
      </c>
      <c r="F365" s="24">
        <v>957749</v>
      </c>
      <c r="G365" s="52" t="s">
        <v>2</v>
      </c>
      <c r="H365" s="32">
        <v>22.111572851600869</v>
      </c>
      <c r="I365" s="32">
        <v>11.260710319732476</v>
      </c>
      <c r="J365" s="12" t="s">
        <v>2836</v>
      </c>
      <c r="K365" s="15" t="s">
        <v>2837</v>
      </c>
      <c r="L365" s="14" t="s">
        <v>5294</v>
      </c>
      <c r="M365" s="12" t="s">
        <v>2838</v>
      </c>
      <c r="N365" s="15" t="s">
        <v>2839</v>
      </c>
      <c r="O365" s="12" t="s">
        <v>2840</v>
      </c>
      <c r="P365" s="12" t="s">
        <v>2841</v>
      </c>
      <c r="Q365" s="14">
        <v>2</v>
      </c>
      <c r="R365" s="21">
        <v>478.28980000000001</v>
      </c>
      <c r="S365" s="14">
        <v>7</v>
      </c>
      <c r="T365" s="52" t="s">
        <v>2</v>
      </c>
      <c r="U365" s="53">
        <v>32.873487499999996</v>
      </c>
      <c r="V365" s="24">
        <v>577895</v>
      </c>
      <c r="W365" s="24">
        <v>567002</v>
      </c>
      <c r="X365" s="24">
        <v>637808</v>
      </c>
      <c r="Y365" s="24">
        <v>634801</v>
      </c>
      <c r="Z365" s="24">
        <v>660465</v>
      </c>
      <c r="AA365" s="24">
        <v>671917</v>
      </c>
      <c r="AB365" s="24">
        <v>881488</v>
      </c>
      <c r="AC365" s="24">
        <v>1034010</v>
      </c>
      <c r="AD365" s="24">
        <v>604376.5</v>
      </c>
      <c r="AE365" s="24">
        <v>811970</v>
      </c>
      <c r="AF365" s="24">
        <v>572448.5</v>
      </c>
      <c r="AG365" s="24">
        <v>636304.5</v>
      </c>
      <c r="AH365" s="24">
        <v>666191</v>
      </c>
      <c r="AI365" s="24">
        <v>957749</v>
      </c>
      <c r="AJ365" s="32">
        <v>6.1476256054389351</v>
      </c>
      <c r="AK365" s="32">
        <v>22.111572851600869</v>
      </c>
      <c r="AL365" s="32">
        <v>1.3455383615233618</v>
      </c>
      <c r="AM365" s="32">
        <v>0.33415921009955896</v>
      </c>
      <c r="AN365" s="32">
        <v>1.215535313168197</v>
      </c>
      <c r="AO365" s="32">
        <v>11.260710319732476</v>
      </c>
      <c r="AP365" s="19">
        <v>1.3434837390269145</v>
      </c>
      <c r="AQ365" s="19">
        <v>1.1637570890656539</v>
      </c>
      <c r="AR365" s="19">
        <v>1.5051740165282503</v>
      </c>
      <c r="AS365" s="19">
        <v>0.42597885967098775</v>
      </c>
      <c r="AT365" s="19">
        <v>0.21878995603645413</v>
      </c>
      <c r="AU365" s="19">
        <v>0.58993028982178397</v>
      </c>
      <c r="AV365" s="19">
        <v>0.2282893069848872</v>
      </c>
      <c r="AW365" s="19">
        <v>0.1509657390533044</v>
      </c>
      <c r="AX365" s="19">
        <v>0.28617937558599105</v>
      </c>
      <c r="AY365" s="19">
        <v>1.3434837390269145</v>
      </c>
      <c r="AZ365" s="19">
        <v>1.1637570890656539</v>
      </c>
      <c r="BA365" s="19">
        <v>1.5051740165282503</v>
      </c>
      <c r="BB365" s="19">
        <v>1.1714450702653363</v>
      </c>
      <c r="BC365" s="19">
        <v>1.1103124657498991</v>
      </c>
      <c r="BD365" s="19">
        <v>1.2194066979756104</v>
      </c>
      <c r="BE365" s="14" t="s">
        <v>4857</v>
      </c>
    </row>
    <row r="366" spans="1:105" s="30" customFormat="1" ht="17.100000000000001" customHeight="1">
      <c r="A366" s="14">
        <v>355</v>
      </c>
      <c r="B366" s="14" t="s">
        <v>2850</v>
      </c>
      <c r="C366" s="32">
        <v>1.3985394650601874</v>
      </c>
      <c r="D366" s="32">
        <v>1.4926262649113513</v>
      </c>
      <c r="E366" s="32">
        <v>1.3280214040078091</v>
      </c>
      <c r="F366" s="24">
        <v>231643</v>
      </c>
      <c r="G366" s="52" t="s">
        <v>2</v>
      </c>
      <c r="H366" s="32">
        <v>25.094454687161488</v>
      </c>
      <c r="I366" s="32">
        <v>44.388981883546442</v>
      </c>
      <c r="J366" s="12" t="s">
        <v>2843</v>
      </c>
      <c r="K366" s="12" t="s">
        <v>2844</v>
      </c>
      <c r="L366" s="14" t="s">
        <v>5324</v>
      </c>
      <c r="M366" s="12" t="s">
        <v>2845</v>
      </c>
      <c r="N366" s="15" t="s">
        <v>2846</v>
      </c>
      <c r="O366" s="12" t="s">
        <v>2847</v>
      </c>
      <c r="P366" s="12" t="s">
        <v>2849</v>
      </c>
      <c r="Q366" s="14">
        <v>3</v>
      </c>
      <c r="R366" s="21">
        <v>628.31600000000003</v>
      </c>
      <c r="S366" s="14">
        <v>7</v>
      </c>
      <c r="T366" s="52" t="s">
        <v>2</v>
      </c>
      <c r="U366" s="53">
        <v>74.68598750000001</v>
      </c>
      <c r="V366" s="24">
        <v>166172</v>
      </c>
      <c r="W366" s="24">
        <v>86777</v>
      </c>
      <c r="X366" s="24">
        <v>138581</v>
      </c>
      <c r="Y366" s="24">
        <v>144041</v>
      </c>
      <c r="Z366" s="24">
        <v>188057</v>
      </c>
      <c r="AA366" s="24">
        <v>207675</v>
      </c>
      <c r="AB366" s="24">
        <v>208427</v>
      </c>
      <c r="AC366" s="24">
        <v>254859</v>
      </c>
      <c r="AD366" s="24">
        <v>133892.75</v>
      </c>
      <c r="AE366" s="24">
        <v>214754.5</v>
      </c>
      <c r="AF366" s="24">
        <v>126474.5</v>
      </c>
      <c r="AG366" s="24">
        <v>141311</v>
      </c>
      <c r="AH366" s="24">
        <v>197866</v>
      </c>
      <c r="AI366" s="24">
        <v>231643</v>
      </c>
      <c r="AJ366" s="32">
        <v>25.094454687161488</v>
      </c>
      <c r="AK366" s="32">
        <v>13.201439271635268</v>
      </c>
      <c r="AL366" s="32">
        <v>44.388981883546442</v>
      </c>
      <c r="AM366" s="32">
        <v>2.7321319821376604</v>
      </c>
      <c r="AN366" s="32">
        <v>7.0108158214739715</v>
      </c>
      <c r="AO366" s="32">
        <v>14.173699211309549</v>
      </c>
      <c r="AP366" s="19">
        <v>1.6039292642805529</v>
      </c>
      <c r="AQ366" s="19">
        <v>1.5644734709368291</v>
      </c>
      <c r="AR366" s="19">
        <v>1.6392425218135884</v>
      </c>
      <c r="AS366" s="19">
        <v>0.68161051815074558</v>
      </c>
      <c r="AT366" s="19">
        <v>0.64567719474222363</v>
      </c>
      <c r="AU366" s="19">
        <v>0.71302931333559649</v>
      </c>
      <c r="AV366" s="19">
        <v>0.48392096546464503</v>
      </c>
      <c r="AW366" s="19">
        <v>0.57785297775907396</v>
      </c>
      <c r="AX366" s="19">
        <v>0.40927839909980357</v>
      </c>
      <c r="AY366" s="19">
        <v>1.6039292642805529</v>
      </c>
      <c r="AZ366" s="19">
        <v>1.5644734709368291</v>
      </c>
      <c r="BA366" s="19">
        <v>1.6392425218135884</v>
      </c>
      <c r="BB366" s="19">
        <v>1.3985394650601874</v>
      </c>
      <c r="BC366" s="19">
        <v>1.4926262649113513</v>
      </c>
      <c r="BD366" s="19">
        <v>1.3280214040078091</v>
      </c>
      <c r="BE366" s="14" t="s">
        <v>4857</v>
      </c>
    </row>
    <row r="367" spans="1:105" s="30" customFormat="1" ht="17.100000000000001" customHeight="1">
      <c r="A367" s="14">
        <v>356</v>
      </c>
      <c r="B367" s="14" t="s">
        <v>2851</v>
      </c>
      <c r="C367" s="32">
        <v>1.0889974733499965</v>
      </c>
      <c r="D367" s="32">
        <v>-1.0004917691632265</v>
      </c>
      <c r="E367" s="32">
        <v>1.1241037035997234</v>
      </c>
      <c r="F367" s="42">
        <v>1828854</v>
      </c>
      <c r="G367" s="52" t="s">
        <v>4894</v>
      </c>
      <c r="H367" s="32">
        <v>39.239656734840302</v>
      </c>
      <c r="I367" s="32">
        <v>34.165328399105917</v>
      </c>
      <c r="J367" s="12" t="s">
        <v>2852</v>
      </c>
      <c r="K367" s="12" t="s">
        <v>2853</v>
      </c>
      <c r="L367" s="14" t="s">
        <v>5074</v>
      </c>
      <c r="M367" s="12" t="s">
        <v>2854</v>
      </c>
      <c r="N367" s="15" t="s">
        <v>2855</v>
      </c>
      <c r="O367" s="12" t="s">
        <v>2856</v>
      </c>
      <c r="P367" s="12" t="s">
        <v>2857</v>
      </c>
      <c r="Q367" s="14">
        <v>2</v>
      </c>
      <c r="R367" s="21">
        <v>588.32460000000003</v>
      </c>
      <c r="S367" s="14">
        <v>2</v>
      </c>
      <c r="T367" s="52" t="s">
        <v>4894</v>
      </c>
      <c r="U367" s="53">
        <v>55.1</v>
      </c>
      <c r="V367" s="42">
        <v>808279</v>
      </c>
      <c r="W367" s="42">
        <v>1006794</v>
      </c>
      <c r="X367" s="42">
        <v>1260345</v>
      </c>
      <c r="Y367" s="42">
        <v>1375771</v>
      </c>
      <c r="Z367" s="42">
        <v>1180441</v>
      </c>
      <c r="AA367" s="42">
        <v>721065</v>
      </c>
      <c r="AB367" s="42">
        <v>1740370</v>
      </c>
      <c r="AC367" s="42">
        <v>1917338</v>
      </c>
      <c r="AD367" s="42">
        <v>1112797.25</v>
      </c>
      <c r="AE367" s="42">
        <v>1389803.5</v>
      </c>
      <c r="AF367" s="42">
        <v>907536.5</v>
      </c>
      <c r="AG367" s="42">
        <v>1318058</v>
      </c>
      <c r="AH367" s="42">
        <v>950753</v>
      </c>
      <c r="AI367" s="42">
        <v>1828854</v>
      </c>
      <c r="AJ367" s="32">
        <v>22.904567811343195</v>
      </c>
      <c r="AK367" s="32">
        <v>39.239656734840302</v>
      </c>
      <c r="AL367" s="32">
        <v>15.467290039270869</v>
      </c>
      <c r="AM367" s="32">
        <v>6.1923304835779938</v>
      </c>
      <c r="AN367" s="32">
        <v>34.165328399105917</v>
      </c>
      <c r="AO367" s="32">
        <v>6.8422778883946416</v>
      </c>
      <c r="AP367" s="19">
        <v>1.2489278707329659</v>
      </c>
      <c r="AQ367" s="19">
        <v>1.0476195723257411</v>
      </c>
      <c r="AR367" s="19">
        <v>1.387536815527086</v>
      </c>
      <c r="AS367" s="19">
        <v>0.32069015945932378</v>
      </c>
      <c r="AT367" s="19">
        <v>6.7114918441384966E-2</v>
      </c>
      <c r="AU367" s="19">
        <v>0.47252605101136841</v>
      </c>
      <c r="AV367" s="19">
        <v>0.12300060677322322</v>
      </c>
      <c r="AW367" s="19">
        <v>-7.0929854176474127E-4</v>
      </c>
      <c r="AX367" s="19">
        <v>0.16877513677557548</v>
      </c>
      <c r="AY367" s="19">
        <v>1.2489278707329659</v>
      </c>
      <c r="AZ367" s="19">
        <v>1.0476195723257411</v>
      </c>
      <c r="BA367" s="19">
        <v>1.387536815527086</v>
      </c>
      <c r="BB367" s="19">
        <v>1.0889974733499965</v>
      </c>
      <c r="BC367" s="19">
        <v>-1.0004917691632265</v>
      </c>
      <c r="BD367" s="19">
        <v>1.1241037035997234</v>
      </c>
      <c r="BE367" s="14" t="s">
        <v>4857</v>
      </c>
    </row>
    <row r="368" spans="1:105" s="30" customFormat="1" ht="17.100000000000001" customHeight="1">
      <c r="A368" s="14">
        <v>357</v>
      </c>
      <c r="B368" s="14" t="s">
        <v>2858</v>
      </c>
      <c r="C368" s="32">
        <v>-1.1421798884386651</v>
      </c>
      <c r="D368" s="32">
        <v>-1.1196347321324429</v>
      </c>
      <c r="E368" s="32">
        <v>-1.1788250755759619</v>
      </c>
      <c r="F368" s="24">
        <v>76685</v>
      </c>
      <c r="G368" s="52" t="s">
        <v>2</v>
      </c>
      <c r="H368" s="32">
        <v>32.668645027652147</v>
      </c>
      <c r="I368" s="32">
        <v>18.430077162821771</v>
      </c>
      <c r="J368" s="12" t="s">
        <v>2730</v>
      </c>
      <c r="K368" s="12" t="s">
        <v>2731</v>
      </c>
      <c r="L368" s="14" t="s">
        <v>4166</v>
      </c>
      <c r="M368" s="12" t="s">
        <v>2732</v>
      </c>
      <c r="N368" s="15" t="s">
        <v>2733</v>
      </c>
      <c r="O368" s="12" t="s">
        <v>2734</v>
      </c>
      <c r="P368" s="12" t="s">
        <v>2735</v>
      </c>
      <c r="Q368" s="14">
        <v>3</v>
      </c>
      <c r="R368" s="21">
        <v>502.90719999999999</v>
      </c>
      <c r="S368" s="14">
        <v>1</v>
      </c>
      <c r="T368" s="52" t="s">
        <v>2</v>
      </c>
      <c r="U368" s="53">
        <v>30.487537500000006</v>
      </c>
      <c r="V368" s="24">
        <v>52383</v>
      </c>
      <c r="W368" s="24">
        <v>40304</v>
      </c>
      <c r="X368" s="24">
        <v>79948</v>
      </c>
      <c r="Y368" s="24">
        <v>66523</v>
      </c>
      <c r="Z368" s="24">
        <v>39618</v>
      </c>
      <c r="AA368" s="24">
        <v>47150</v>
      </c>
      <c r="AB368" s="24">
        <v>79568</v>
      </c>
      <c r="AC368" s="24">
        <v>73802</v>
      </c>
      <c r="AD368" s="24">
        <v>59789.5</v>
      </c>
      <c r="AE368" s="24">
        <v>60034.5</v>
      </c>
      <c r="AF368" s="24">
        <v>46343.5</v>
      </c>
      <c r="AG368" s="24">
        <v>73235.5</v>
      </c>
      <c r="AH368" s="24">
        <v>43384</v>
      </c>
      <c r="AI368" s="24">
        <v>76685</v>
      </c>
      <c r="AJ368" s="32">
        <v>28.746939756978335</v>
      </c>
      <c r="AK368" s="32">
        <v>32.668645027652147</v>
      </c>
      <c r="AL368" s="32">
        <v>18.430077162821771</v>
      </c>
      <c r="AM368" s="32">
        <v>12.962167988788773</v>
      </c>
      <c r="AN368" s="32">
        <v>12.276249944442826</v>
      </c>
      <c r="AO368" s="32">
        <v>5.3167864645258298</v>
      </c>
      <c r="AP368" s="19">
        <v>1.0040977094640364</v>
      </c>
      <c r="AQ368" s="19">
        <v>0.93613991174598377</v>
      </c>
      <c r="AR368" s="19">
        <v>1.0471014740119204</v>
      </c>
      <c r="AS368" s="19">
        <v>5.8996658029184523E-3</v>
      </c>
      <c r="AT368" s="19">
        <v>-9.5203929504436971E-2</v>
      </c>
      <c r="AU368" s="19">
        <v>6.640125980450759E-2</v>
      </c>
      <c r="AV368" s="19">
        <v>-0.1917898868831821</v>
      </c>
      <c r="AW368" s="19">
        <v>-0.16302814648758668</v>
      </c>
      <c r="AX368" s="19">
        <v>-0.23734965443128533</v>
      </c>
      <c r="AY368" s="19">
        <v>1.0040977094640364</v>
      </c>
      <c r="AZ368" s="19">
        <v>-1.0682163931403283</v>
      </c>
      <c r="BA368" s="19">
        <v>1.0471014740119204</v>
      </c>
      <c r="BB368" s="19">
        <v>-1.1421798884386651</v>
      </c>
      <c r="BC368" s="19">
        <v>-1.1196347321324429</v>
      </c>
      <c r="BD368" s="19">
        <v>-1.1788250755759619</v>
      </c>
      <c r="BE368" s="14" t="s">
        <v>4857</v>
      </c>
    </row>
    <row r="369" spans="1:105" s="30" customFormat="1" ht="17.100000000000001" customHeight="1">
      <c r="A369" s="14">
        <v>358</v>
      </c>
      <c r="B369" s="14" t="s">
        <v>4263</v>
      </c>
      <c r="C369" s="32">
        <v>-1.0708584472536344</v>
      </c>
      <c r="D369" s="32">
        <v>1.085696109245271</v>
      </c>
      <c r="E369" s="32">
        <v>-1.2141515409941537</v>
      </c>
      <c r="F369" s="24">
        <v>94113.5</v>
      </c>
      <c r="G369" s="52" t="s">
        <v>2</v>
      </c>
      <c r="H369" s="32">
        <v>19.534077077967069</v>
      </c>
      <c r="I369" s="32">
        <v>27.79501717636068</v>
      </c>
      <c r="J369" s="12" t="s">
        <v>2736</v>
      </c>
      <c r="K369" s="12" t="s">
        <v>2737</v>
      </c>
      <c r="L369" s="14" t="s">
        <v>4849</v>
      </c>
      <c r="M369" s="12" t="s">
        <v>2738</v>
      </c>
      <c r="N369" s="15" t="s">
        <v>2739</v>
      </c>
      <c r="O369" s="12" t="s">
        <v>2740</v>
      </c>
      <c r="P369" s="12" t="s">
        <v>2741</v>
      </c>
      <c r="Q369" s="14">
        <v>3</v>
      </c>
      <c r="R369" s="21">
        <v>827.07749999999999</v>
      </c>
      <c r="S369" s="14">
        <v>1</v>
      </c>
      <c r="T369" s="52" t="s">
        <v>2</v>
      </c>
      <c r="U369" s="53">
        <v>76.64332499999999</v>
      </c>
      <c r="V369" s="24">
        <v>89856</v>
      </c>
      <c r="W369" s="24">
        <v>60337</v>
      </c>
      <c r="X369" s="24">
        <v>86942</v>
      </c>
      <c r="Y369" s="24">
        <v>98205</v>
      </c>
      <c r="Z369" s="24">
        <v>89350</v>
      </c>
      <c r="AA369" s="24">
        <v>81563</v>
      </c>
      <c r="AB369" s="24">
        <v>79953</v>
      </c>
      <c r="AC369" s="24">
        <v>108274</v>
      </c>
      <c r="AD369" s="24">
        <v>83835</v>
      </c>
      <c r="AE369" s="24">
        <v>89785</v>
      </c>
      <c r="AF369" s="24">
        <v>75096.5</v>
      </c>
      <c r="AG369" s="24">
        <v>92573.5</v>
      </c>
      <c r="AH369" s="24">
        <v>85456.5</v>
      </c>
      <c r="AI369" s="24">
        <v>94113.5</v>
      </c>
      <c r="AJ369" s="32">
        <v>19.534077077967069</v>
      </c>
      <c r="AK369" s="32">
        <v>14.469060897546019</v>
      </c>
      <c r="AL369" s="32">
        <v>27.79501717636068</v>
      </c>
      <c r="AM369" s="32">
        <v>8.6030491193528214</v>
      </c>
      <c r="AN369" s="32">
        <v>6.4433255575639601</v>
      </c>
      <c r="AO369" s="32">
        <v>21.278531932171489</v>
      </c>
      <c r="AP369" s="19">
        <v>1.0709727440806345</v>
      </c>
      <c r="AQ369" s="19">
        <v>1.1379558301651875</v>
      </c>
      <c r="AR369" s="19">
        <v>1.0166354302257126</v>
      </c>
      <c r="AS369" s="19">
        <v>9.8921764420507513E-2</v>
      </c>
      <c r="AT369" s="19">
        <v>0.18644456042275248</v>
      </c>
      <c r="AU369" s="19">
        <v>2.3802415379844538E-2</v>
      </c>
      <c r="AV369" s="19">
        <v>-9.8767788265593043E-2</v>
      </c>
      <c r="AW369" s="19">
        <v>0.11862034343960277</v>
      </c>
      <c r="AX369" s="19">
        <v>-0.27994849885594841</v>
      </c>
      <c r="AY369" s="19">
        <v>1.0709727440806345</v>
      </c>
      <c r="AZ369" s="19">
        <v>1.1379558301651875</v>
      </c>
      <c r="BA369" s="19">
        <v>1.0166354302257126</v>
      </c>
      <c r="BB369" s="19">
        <v>-1.0708584472536344</v>
      </c>
      <c r="BC369" s="19">
        <v>1.085696109245271</v>
      </c>
      <c r="BD369" s="19">
        <v>-1.2141515409941537</v>
      </c>
      <c r="BE369" s="14" t="s">
        <v>4857</v>
      </c>
    </row>
    <row r="370" spans="1:105" s="30" customFormat="1" ht="17.100000000000001" customHeight="1">
      <c r="A370" s="14">
        <v>359</v>
      </c>
      <c r="B370" s="14" t="s">
        <v>2742</v>
      </c>
      <c r="C370" s="32">
        <v>1.1254426844647984</v>
      </c>
      <c r="D370" s="32">
        <v>1.2284273353001314</v>
      </c>
      <c r="E370" s="32">
        <v>1.1258746527389487</v>
      </c>
      <c r="F370" s="24">
        <v>30831</v>
      </c>
      <c r="G370" s="52" t="s">
        <v>2</v>
      </c>
      <c r="H370" s="32">
        <v>30.85626355803921</v>
      </c>
      <c r="I370" s="32">
        <v>37.954925939383536</v>
      </c>
      <c r="J370" s="12" t="s">
        <v>2743</v>
      </c>
      <c r="K370" s="12" t="s">
        <v>2744</v>
      </c>
      <c r="L370" s="14" t="s">
        <v>5301</v>
      </c>
      <c r="M370" s="12" t="s">
        <v>2745</v>
      </c>
      <c r="N370" s="15" t="s">
        <v>2746</v>
      </c>
      <c r="O370" s="12" t="s">
        <v>2747</v>
      </c>
      <c r="P370" s="12" t="s">
        <v>2748</v>
      </c>
      <c r="Q370" s="14">
        <v>2</v>
      </c>
      <c r="R370" s="21">
        <v>559.32349999999997</v>
      </c>
      <c r="S370" s="14">
        <v>1</v>
      </c>
      <c r="T370" s="52" t="s">
        <v>2</v>
      </c>
      <c r="U370" s="53">
        <v>44.127242857142846</v>
      </c>
      <c r="V370" s="24"/>
      <c r="W370" s="24">
        <v>17207</v>
      </c>
      <c r="X370" s="24">
        <v>26149</v>
      </c>
      <c r="Y370" s="24">
        <v>18221</v>
      </c>
      <c r="Z370" s="24">
        <v>28101</v>
      </c>
      <c r="AA370" s="24">
        <v>16209</v>
      </c>
      <c r="AB370" s="24">
        <v>36051</v>
      </c>
      <c r="AC370" s="24">
        <v>25611</v>
      </c>
      <c r="AD370" s="24">
        <v>20525.666666666668</v>
      </c>
      <c r="AE370" s="24">
        <v>26493</v>
      </c>
      <c r="AF370" s="24">
        <v>17207</v>
      </c>
      <c r="AG370" s="24">
        <v>22185</v>
      </c>
      <c r="AH370" s="24">
        <v>22155</v>
      </c>
      <c r="AI370" s="24">
        <v>30831</v>
      </c>
      <c r="AJ370" s="32">
        <v>23.854376162747705</v>
      </c>
      <c r="AK370" s="32">
        <v>30.85626355803921</v>
      </c>
      <c r="AL370" s="32" t="s">
        <v>4854</v>
      </c>
      <c r="AM370" s="32">
        <v>25.26906721319337</v>
      </c>
      <c r="AN370" s="32">
        <v>37.954925939383536</v>
      </c>
      <c r="AO370" s="32">
        <v>23.944065374420408</v>
      </c>
      <c r="AP370" s="19">
        <v>1.29072543319746</v>
      </c>
      <c r="AQ370" s="19">
        <v>1.2875573894345325</v>
      </c>
      <c r="AR370" s="19">
        <v>1.3897227856659906</v>
      </c>
      <c r="AS370" s="19">
        <v>0.36818213907042413</v>
      </c>
      <c r="AT370" s="19">
        <v>0.36463673801032498</v>
      </c>
      <c r="AU370" s="19">
        <v>0.47479713069641655</v>
      </c>
      <c r="AV370" s="19">
        <v>0.17049258638432357</v>
      </c>
      <c r="AW370" s="19">
        <v>0.29681252102717526</v>
      </c>
      <c r="AX370" s="19">
        <v>0.17104621646062362</v>
      </c>
      <c r="AY370" s="19">
        <v>1.29072543319746</v>
      </c>
      <c r="AZ370" s="19">
        <v>1.2875573894345325</v>
      </c>
      <c r="BA370" s="19">
        <v>1.3897227856659906</v>
      </c>
      <c r="BB370" s="19">
        <v>1.1254426844647984</v>
      </c>
      <c r="BC370" s="19">
        <v>1.2284273353001314</v>
      </c>
      <c r="BD370" s="19">
        <v>1.1258746527389487</v>
      </c>
      <c r="BE370" s="14" t="s">
        <v>4857</v>
      </c>
    </row>
    <row r="371" spans="1:105" s="30" customFormat="1" ht="17.100000000000001" customHeight="1">
      <c r="A371" s="31">
        <v>360</v>
      </c>
      <c r="B371" s="11" t="s">
        <v>2749</v>
      </c>
      <c r="C371" s="57"/>
      <c r="D371" s="57"/>
      <c r="E371" s="57"/>
      <c r="F371" s="27"/>
      <c r="G371" s="54"/>
      <c r="H371" s="57"/>
      <c r="I371" s="57"/>
      <c r="J371" s="13"/>
      <c r="K371" s="13"/>
      <c r="L371" s="13"/>
      <c r="M371" s="13"/>
      <c r="N371" s="13"/>
      <c r="O371" s="13"/>
      <c r="P371" s="13"/>
      <c r="Q371" s="13"/>
      <c r="R371" s="22"/>
      <c r="S371" s="18"/>
      <c r="T371" s="54"/>
      <c r="U371" s="5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57"/>
      <c r="AK371" s="57"/>
      <c r="AL371" s="57"/>
      <c r="AM371" s="57"/>
      <c r="AN371" s="57"/>
      <c r="AO371" s="5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13"/>
    </row>
    <row r="372" spans="1:105" s="30" customFormat="1" ht="17.100000000000001" customHeight="1">
      <c r="A372" s="14">
        <v>361</v>
      </c>
      <c r="B372" s="14" t="s">
        <v>2750</v>
      </c>
      <c r="C372" s="32">
        <v>1.1531711755561027</v>
      </c>
      <c r="D372" s="32">
        <v>1.1622108880435462</v>
      </c>
      <c r="E372" s="32">
        <v>1.1488923226680381</v>
      </c>
      <c r="F372" s="24">
        <v>797839</v>
      </c>
      <c r="G372" s="52" t="s">
        <v>2</v>
      </c>
      <c r="H372" s="32">
        <v>15.825234041104977</v>
      </c>
      <c r="I372" s="32">
        <v>19.27056785923596</v>
      </c>
      <c r="J372" s="12" t="s">
        <v>2751</v>
      </c>
      <c r="K372" s="12" t="s">
        <v>2752</v>
      </c>
      <c r="L372" s="14" t="s">
        <v>3193</v>
      </c>
      <c r="M372" s="12" t="s">
        <v>2753</v>
      </c>
      <c r="N372" s="15" t="s">
        <v>2754</v>
      </c>
      <c r="O372" s="12" t="s">
        <v>2755</v>
      </c>
      <c r="P372" s="12" t="s">
        <v>2756</v>
      </c>
      <c r="Q372" s="14">
        <v>3</v>
      </c>
      <c r="R372" s="21">
        <v>558.62369999999999</v>
      </c>
      <c r="S372" s="14">
        <v>2</v>
      </c>
      <c r="T372" s="52" t="s">
        <v>2</v>
      </c>
      <c r="U372" s="53">
        <v>46.155799999999999</v>
      </c>
      <c r="V372" s="24">
        <v>577966</v>
      </c>
      <c r="W372" s="24">
        <v>452748</v>
      </c>
      <c r="X372" s="24">
        <v>485936</v>
      </c>
      <c r="Y372" s="24">
        <v>639259</v>
      </c>
      <c r="Z372" s="24">
        <v>685956</v>
      </c>
      <c r="AA372" s="24">
        <v>569612</v>
      </c>
      <c r="AB372" s="24">
        <v>776504</v>
      </c>
      <c r="AC372" s="24">
        <v>819174</v>
      </c>
      <c r="AD372" s="24">
        <v>538977.25</v>
      </c>
      <c r="AE372" s="24">
        <v>712811.5</v>
      </c>
      <c r="AF372" s="24">
        <v>515357</v>
      </c>
      <c r="AG372" s="24">
        <v>562597.5</v>
      </c>
      <c r="AH372" s="24">
        <v>627784</v>
      </c>
      <c r="AI372" s="24">
        <v>797839</v>
      </c>
      <c r="AJ372" s="32">
        <v>15.825234041104977</v>
      </c>
      <c r="AK372" s="32">
        <v>15.494857971820672</v>
      </c>
      <c r="AL372" s="32">
        <v>17.180808046968821</v>
      </c>
      <c r="AM372" s="32">
        <v>19.27056785923596</v>
      </c>
      <c r="AN372" s="32">
        <v>13.104448560391422</v>
      </c>
      <c r="AO372" s="32">
        <v>3.781746236174214</v>
      </c>
      <c r="AP372" s="19">
        <v>1.3225261363072374</v>
      </c>
      <c r="AQ372" s="19">
        <v>1.2181536294258155</v>
      </c>
      <c r="AR372" s="19">
        <v>1.4181346344411414</v>
      </c>
      <c r="AS372" s="19">
        <v>0.4032962337557458</v>
      </c>
      <c r="AT372" s="19">
        <v>0.28469609254958256</v>
      </c>
      <c r="AU372" s="19">
        <v>0.50399450522911826</v>
      </c>
      <c r="AV372" s="19">
        <v>0.20560668106964525</v>
      </c>
      <c r="AW372" s="19">
        <v>0.21687187556643284</v>
      </c>
      <c r="AX372" s="19">
        <v>0.20024359099332534</v>
      </c>
      <c r="AY372" s="19">
        <v>1.3225261363072374</v>
      </c>
      <c r="AZ372" s="19">
        <v>1.2181536294258155</v>
      </c>
      <c r="BA372" s="19">
        <v>1.4181346344411414</v>
      </c>
      <c r="BB372" s="19">
        <v>1.1531711755561027</v>
      </c>
      <c r="BC372" s="19">
        <v>1.1622108880435462</v>
      </c>
      <c r="BD372" s="19">
        <v>1.1488923226680381</v>
      </c>
      <c r="BE372" s="14" t="s">
        <v>4857</v>
      </c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28"/>
      <c r="BU372" s="28"/>
      <c r="BV372" s="28"/>
      <c r="BW372" s="28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</row>
    <row r="373" spans="1:105" s="30" customFormat="1" ht="17.100000000000001" customHeight="1">
      <c r="A373" s="14">
        <v>362</v>
      </c>
      <c r="B373" s="14" t="s">
        <v>2757</v>
      </c>
      <c r="C373" s="32">
        <v>-1.1661220351365755</v>
      </c>
      <c r="D373" s="32">
        <v>-1.248748950308515</v>
      </c>
      <c r="E373" s="32">
        <v>-1.1038722845439466</v>
      </c>
      <c r="F373" s="24">
        <v>38158</v>
      </c>
      <c r="G373" s="52" t="s">
        <v>2</v>
      </c>
      <c r="H373" s="32">
        <v>37.398393351277889</v>
      </c>
      <c r="I373" s="32">
        <v>38.885498968547914</v>
      </c>
      <c r="J373" s="12" t="s">
        <v>2758</v>
      </c>
      <c r="K373" s="12" t="s">
        <v>2759</v>
      </c>
      <c r="L373" s="14" t="s">
        <v>5101</v>
      </c>
      <c r="M373" s="12" t="s">
        <v>2760</v>
      </c>
      <c r="N373" s="15" t="s">
        <v>2761</v>
      </c>
      <c r="O373" s="12" t="s">
        <v>2762</v>
      </c>
      <c r="P373" s="12" t="s">
        <v>2764</v>
      </c>
      <c r="Q373" s="14">
        <v>2</v>
      </c>
      <c r="R373" s="21">
        <v>697.35220000000004</v>
      </c>
      <c r="S373" s="14">
        <v>13</v>
      </c>
      <c r="T373" s="52" t="s">
        <v>2</v>
      </c>
      <c r="U373" s="53">
        <v>26.053112500000001</v>
      </c>
      <c r="V373" s="24">
        <v>28733</v>
      </c>
      <c r="W373" s="24">
        <v>35057</v>
      </c>
      <c r="X373" s="24">
        <v>30016</v>
      </c>
      <c r="Y373" s="24">
        <v>38233</v>
      </c>
      <c r="Z373" s="24">
        <v>19974</v>
      </c>
      <c r="AA373" s="24">
        <v>33568</v>
      </c>
      <c r="AB373" s="24">
        <v>27666</v>
      </c>
      <c r="AC373" s="24">
        <v>48650</v>
      </c>
      <c r="AD373" s="24">
        <v>33009.75</v>
      </c>
      <c r="AE373" s="24">
        <v>32464.5</v>
      </c>
      <c r="AF373" s="24">
        <v>31895</v>
      </c>
      <c r="AG373" s="24">
        <v>34124.5</v>
      </c>
      <c r="AH373" s="24">
        <v>26771</v>
      </c>
      <c r="AI373" s="24">
        <v>38158</v>
      </c>
      <c r="AJ373" s="32">
        <v>13.403399006610975</v>
      </c>
      <c r="AK373" s="32">
        <v>37.398393351277889</v>
      </c>
      <c r="AL373" s="32">
        <v>14.020201549533553</v>
      </c>
      <c r="AM373" s="32">
        <v>17.026759134961274</v>
      </c>
      <c r="AN373" s="32">
        <v>35.906053503604376</v>
      </c>
      <c r="AO373" s="32">
        <v>38.885498968547914</v>
      </c>
      <c r="AP373" s="19">
        <v>0.98348215300024988</v>
      </c>
      <c r="AQ373" s="19">
        <v>0.83934786016617025</v>
      </c>
      <c r="AR373" s="19">
        <v>1.1181995340591071</v>
      </c>
      <c r="AS373" s="19">
        <v>-2.4029222364901025E-2</v>
      </c>
      <c r="AT373" s="19">
        <v>-0.25265924831355391</v>
      </c>
      <c r="AU373" s="19">
        <v>0.1611776489254971</v>
      </c>
      <c r="AV373" s="19">
        <v>-0.22171877505100157</v>
      </c>
      <c r="AW373" s="19">
        <v>-0.32048346529670363</v>
      </c>
      <c r="AX373" s="19">
        <v>-0.14257326531029582</v>
      </c>
      <c r="AY373" s="19">
        <v>-1.0167952686780946</v>
      </c>
      <c r="AZ373" s="19">
        <v>-1.1914011430279032</v>
      </c>
      <c r="BA373" s="19">
        <v>1.1181995340591071</v>
      </c>
      <c r="BB373" s="19">
        <v>-1.1661220351365755</v>
      </c>
      <c r="BC373" s="19">
        <v>-1.248748950308515</v>
      </c>
      <c r="BD373" s="19">
        <v>-1.1038722845439466</v>
      </c>
      <c r="BE373" s="14" t="s">
        <v>4857</v>
      </c>
    </row>
    <row r="374" spans="1:105" s="30" customFormat="1" ht="17.100000000000001" customHeight="1">
      <c r="A374" s="14">
        <v>363</v>
      </c>
      <c r="B374" s="14" t="s">
        <v>2766</v>
      </c>
      <c r="C374" s="32">
        <v>1.1077726559112195</v>
      </c>
      <c r="D374" s="32">
        <v>1.1334329605252287</v>
      </c>
      <c r="E374" s="32">
        <v>1.0948012583208326</v>
      </c>
      <c r="F374" s="24">
        <v>58186.5</v>
      </c>
      <c r="G374" s="52" t="s">
        <v>2</v>
      </c>
      <c r="H374" s="32">
        <v>17.15436940110753</v>
      </c>
      <c r="I374" s="32">
        <v>22.961740746744013</v>
      </c>
      <c r="J374" s="12" t="s">
        <v>2767</v>
      </c>
      <c r="K374" s="15" t="s">
        <v>2768</v>
      </c>
      <c r="L374" s="14" t="s">
        <v>4622</v>
      </c>
      <c r="M374" s="12" t="s">
        <v>2769</v>
      </c>
      <c r="N374" s="15" t="s">
        <v>2770</v>
      </c>
      <c r="O374" s="12" t="s">
        <v>2771</v>
      </c>
      <c r="P374" s="12" t="s">
        <v>2772</v>
      </c>
      <c r="Q374" s="14">
        <v>2</v>
      </c>
      <c r="R374" s="21">
        <v>566.83989999999994</v>
      </c>
      <c r="S374" s="14">
        <v>1</v>
      </c>
      <c r="T374" s="52" t="s">
        <v>2</v>
      </c>
      <c r="U374" s="53">
        <v>48.523499999999999</v>
      </c>
      <c r="V374" s="24">
        <v>35383</v>
      </c>
      <c r="W374" s="24">
        <v>49100</v>
      </c>
      <c r="X374" s="24">
        <v>41423</v>
      </c>
      <c r="Y374" s="24">
        <v>44692</v>
      </c>
      <c r="Z374" s="24">
        <v>42090</v>
      </c>
      <c r="AA374" s="24">
        <v>58275</v>
      </c>
      <c r="AB374" s="24">
        <v>52523</v>
      </c>
      <c r="AC374" s="24">
        <v>63850</v>
      </c>
      <c r="AD374" s="24">
        <v>42649.5</v>
      </c>
      <c r="AE374" s="24">
        <v>54184.5</v>
      </c>
      <c r="AF374" s="24">
        <v>42241.5</v>
      </c>
      <c r="AG374" s="24">
        <v>43057.5</v>
      </c>
      <c r="AH374" s="24">
        <v>50182.5</v>
      </c>
      <c r="AI374" s="24">
        <v>58186.5</v>
      </c>
      <c r="AJ374" s="32">
        <v>13.54298633468348</v>
      </c>
      <c r="AK374" s="32">
        <v>17.15436940110753</v>
      </c>
      <c r="AL374" s="32">
        <v>22.961740746744013</v>
      </c>
      <c r="AM374" s="32">
        <v>5.3684771937498095</v>
      </c>
      <c r="AN374" s="32">
        <v>22.805805317599308</v>
      </c>
      <c r="AO374" s="32">
        <v>13.76504603387388</v>
      </c>
      <c r="AP374" s="19">
        <v>1.2704603805437344</v>
      </c>
      <c r="AQ374" s="19">
        <v>1.1879904832924968</v>
      </c>
      <c r="AR374" s="19">
        <v>1.351367357603205</v>
      </c>
      <c r="AS374" s="19">
        <v>0.3453513854783834</v>
      </c>
      <c r="AT374" s="19">
        <v>0.24852327910019981</v>
      </c>
      <c r="AU374" s="19">
        <v>0.43441991222830184</v>
      </c>
      <c r="AV374" s="19">
        <v>0.14766183279228284</v>
      </c>
      <c r="AW374" s="19">
        <v>0.18069906211705011</v>
      </c>
      <c r="AX374" s="19">
        <v>0.13066899799250892</v>
      </c>
      <c r="AY374" s="19">
        <v>1.2704603805437344</v>
      </c>
      <c r="AZ374" s="19">
        <v>1.1879904832924968</v>
      </c>
      <c r="BA374" s="19">
        <v>1.351367357603205</v>
      </c>
      <c r="BB374" s="19">
        <v>1.1077726559112195</v>
      </c>
      <c r="BC374" s="19">
        <v>1.1334329605252287</v>
      </c>
      <c r="BD374" s="19">
        <v>1.0948012583208326</v>
      </c>
      <c r="BE374" s="14" t="s">
        <v>4857</v>
      </c>
    </row>
    <row r="375" spans="1:105" s="30" customFormat="1" ht="17.100000000000001" customHeight="1">
      <c r="A375" s="14">
        <v>364</v>
      </c>
      <c r="B375" s="14" t="s">
        <v>2773</v>
      </c>
      <c r="C375" s="32">
        <v>-1.1505256932214791</v>
      </c>
      <c r="D375" s="32">
        <v>-1.1993970180566285</v>
      </c>
      <c r="E375" s="32">
        <v>-1.1353712207078257</v>
      </c>
      <c r="F375" s="24">
        <v>265312.5</v>
      </c>
      <c r="G375" s="52" t="s">
        <v>2</v>
      </c>
      <c r="H375" s="32">
        <v>30.120354454665467</v>
      </c>
      <c r="I375" s="32">
        <v>15.929446398721362</v>
      </c>
      <c r="J375" s="12" t="s">
        <v>2774</v>
      </c>
      <c r="K375" s="15" t="s">
        <v>2775</v>
      </c>
      <c r="L375" s="14" t="s">
        <v>5133</v>
      </c>
      <c r="M375" s="12" t="s">
        <v>2776</v>
      </c>
      <c r="N375" s="15" t="s">
        <v>2777</v>
      </c>
      <c r="O375" s="12" t="s">
        <v>2778</v>
      </c>
      <c r="P375" s="12" t="s">
        <v>2779</v>
      </c>
      <c r="Q375" s="14">
        <v>3</v>
      </c>
      <c r="R375" s="21">
        <v>927.78660000000002</v>
      </c>
      <c r="S375" s="14">
        <v>2</v>
      </c>
      <c r="T375" s="52" t="s">
        <v>2</v>
      </c>
      <c r="U375" s="53">
        <v>84.754687500000003</v>
      </c>
      <c r="V375" s="24">
        <v>187582</v>
      </c>
      <c r="W375" s="24">
        <v>171193</v>
      </c>
      <c r="X375" s="24">
        <v>271526</v>
      </c>
      <c r="Y375" s="24">
        <v>216550</v>
      </c>
      <c r="Z375" s="24">
        <v>145479</v>
      </c>
      <c r="AA375" s="24">
        <v>168049</v>
      </c>
      <c r="AB375" s="24">
        <v>258823</v>
      </c>
      <c r="AC375" s="24">
        <v>271802</v>
      </c>
      <c r="AD375" s="24">
        <v>211712.75</v>
      </c>
      <c r="AE375" s="24">
        <v>211038.25</v>
      </c>
      <c r="AF375" s="24">
        <v>179387.5</v>
      </c>
      <c r="AG375" s="24">
        <v>244038</v>
      </c>
      <c r="AH375" s="24">
        <v>156764</v>
      </c>
      <c r="AI375" s="24">
        <v>265312.5</v>
      </c>
      <c r="AJ375" s="32">
        <v>20.813568813873051</v>
      </c>
      <c r="AK375" s="32">
        <v>30.120354454665467</v>
      </c>
      <c r="AL375" s="32">
        <v>6.4601898331078402</v>
      </c>
      <c r="AM375" s="32">
        <v>15.929446398721362</v>
      </c>
      <c r="AN375" s="32">
        <v>10.180526173981512</v>
      </c>
      <c r="AO375" s="32">
        <v>3.4591430531996044</v>
      </c>
      <c r="AP375" s="19">
        <v>0.99681407945435496</v>
      </c>
      <c r="AQ375" s="19">
        <v>0.87388474670754657</v>
      </c>
      <c r="AR375" s="19">
        <v>1.0871769970250535</v>
      </c>
      <c r="AS375" s="19">
        <v>-4.603649102167871E-3</v>
      </c>
      <c r="AT375" s="19">
        <v>-0.19448507410621932</v>
      </c>
      <c r="AU375" s="19">
        <v>0.12058683635686435</v>
      </c>
      <c r="AV375" s="19">
        <v>-0.20229320178826843</v>
      </c>
      <c r="AW375" s="19">
        <v>-0.26230929108936901</v>
      </c>
      <c r="AX375" s="19">
        <v>-0.18316407787892858</v>
      </c>
      <c r="AY375" s="19">
        <v>-1.0031961030761012</v>
      </c>
      <c r="AZ375" s="19">
        <v>-1.144315659207471</v>
      </c>
      <c r="BA375" s="19">
        <v>1.0871769970250535</v>
      </c>
      <c r="BB375" s="19">
        <v>-1.1505256932214791</v>
      </c>
      <c r="BC375" s="19">
        <v>-1.1993970180566285</v>
      </c>
      <c r="BD375" s="19">
        <v>-1.1353712207078257</v>
      </c>
      <c r="BE375" s="14" t="s">
        <v>4857</v>
      </c>
    </row>
    <row r="376" spans="1:105" s="30" customFormat="1" ht="17.100000000000001" customHeight="1">
      <c r="A376" s="14">
        <v>365</v>
      </c>
      <c r="B376" s="14" t="s">
        <v>2780</v>
      </c>
      <c r="C376" s="32">
        <v>-1.0819715784447883</v>
      </c>
      <c r="D376" s="32">
        <v>1.0783853407702393</v>
      </c>
      <c r="E376" s="32">
        <v>-1.2234900946990543</v>
      </c>
      <c r="F376" s="24">
        <v>85250</v>
      </c>
      <c r="G376" s="52" t="s">
        <v>2</v>
      </c>
      <c r="H376" s="32">
        <v>31.749480970946202</v>
      </c>
      <c r="I376" s="32">
        <v>41.689357457578211</v>
      </c>
      <c r="J376" s="12" t="s">
        <v>2781</v>
      </c>
      <c r="K376" s="12" t="s">
        <v>2782</v>
      </c>
      <c r="L376" s="14" t="s">
        <v>5092</v>
      </c>
      <c r="M376" s="12" t="s">
        <v>2783</v>
      </c>
      <c r="N376" s="15" t="s">
        <v>2784</v>
      </c>
      <c r="O376" s="12" t="s">
        <v>2785</v>
      </c>
      <c r="P376" s="12" t="s">
        <v>2786</v>
      </c>
      <c r="Q376" s="14">
        <v>2</v>
      </c>
      <c r="R376" s="21">
        <v>551.83460000000002</v>
      </c>
      <c r="S376" s="14">
        <v>1</v>
      </c>
      <c r="T376" s="52" t="s">
        <v>2</v>
      </c>
      <c r="U376" s="53">
        <v>66.56</v>
      </c>
      <c r="V376" s="24">
        <v>79500</v>
      </c>
      <c r="W376" s="24">
        <v>43300</v>
      </c>
      <c r="X376" s="24">
        <v>70000</v>
      </c>
      <c r="Y376" s="24">
        <v>99000</v>
      </c>
      <c r="Z376" s="24">
        <v>72600</v>
      </c>
      <c r="AA376" s="24">
        <v>66200</v>
      </c>
      <c r="AB376" s="24">
        <v>85800</v>
      </c>
      <c r="AC376" s="24">
        <v>84700</v>
      </c>
      <c r="AD376" s="24">
        <v>72950</v>
      </c>
      <c r="AE376" s="24">
        <v>77325</v>
      </c>
      <c r="AF376" s="24">
        <v>61400</v>
      </c>
      <c r="AG376" s="24">
        <v>84500</v>
      </c>
      <c r="AH376" s="24">
        <v>69400</v>
      </c>
      <c r="AI376" s="24">
        <v>85250</v>
      </c>
      <c r="AJ376" s="32">
        <v>31.749480970946202</v>
      </c>
      <c r="AK376" s="32">
        <v>12.321093278529425</v>
      </c>
      <c r="AL376" s="32">
        <v>41.689357457578211</v>
      </c>
      <c r="AM376" s="32">
        <v>24.26757000521879</v>
      </c>
      <c r="AN376" s="32">
        <v>6.5208694518644155</v>
      </c>
      <c r="AO376" s="32">
        <v>0.91239584669231943</v>
      </c>
      <c r="AP376" s="19">
        <v>1.0599725839616176</v>
      </c>
      <c r="AQ376" s="19">
        <v>1.1302931596091206</v>
      </c>
      <c r="AR376" s="19">
        <v>1.0088757396449703</v>
      </c>
      <c r="AS376" s="19">
        <v>8.4026950171373779E-2</v>
      </c>
      <c r="AT376" s="19">
        <v>0.1766970072080816</v>
      </c>
      <c r="AU376" s="19">
        <v>1.2748492741988051E-2</v>
      </c>
      <c r="AV376" s="19">
        <v>-0.11366260251472678</v>
      </c>
      <c r="AW376" s="19">
        <v>0.10887279022493189</v>
      </c>
      <c r="AX376" s="19">
        <v>-0.2910024214938049</v>
      </c>
      <c r="AY376" s="19">
        <v>1.0599725839616176</v>
      </c>
      <c r="AZ376" s="19">
        <v>1.1302931596091206</v>
      </c>
      <c r="BA376" s="19">
        <v>1.0088757396449703</v>
      </c>
      <c r="BB376" s="19">
        <v>-1.0819715784447883</v>
      </c>
      <c r="BC376" s="19">
        <v>1.0783853407702393</v>
      </c>
      <c r="BD376" s="19">
        <v>-1.2234900946990543</v>
      </c>
      <c r="BE376" s="14" t="s">
        <v>4857</v>
      </c>
    </row>
    <row r="377" spans="1:105" s="30" customFormat="1" ht="17.100000000000001" customHeight="1">
      <c r="A377" s="31">
        <v>366</v>
      </c>
      <c r="B377" s="11" t="s">
        <v>2787</v>
      </c>
      <c r="C377" s="57"/>
      <c r="D377" s="57"/>
      <c r="E377" s="57"/>
      <c r="F377" s="27"/>
      <c r="G377" s="54"/>
      <c r="H377" s="57"/>
      <c r="I377" s="57"/>
      <c r="J377" s="13"/>
      <c r="K377" s="13"/>
      <c r="L377" s="13"/>
      <c r="M377" s="13"/>
      <c r="N377" s="13"/>
      <c r="O377" s="13"/>
      <c r="P377" s="13"/>
      <c r="Q377" s="13"/>
      <c r="R377" s="22"/>
      <c r="S377" s="18"/>
      <c r="T377" s="54"/>
      <c r="U377" s="5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57"/>
      <c r="AK377" s="57"/>
      <c r="AL377" s="57"/>
      <c r="AM377" s="57"/>
      <c r="AN377" s="57"/>
      <c r="AO377" s="5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13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28"/>
      <c r="BU377" s="28"/>
      <c r="BV377" s="28"/>
      <c r="BW377" s="28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</row>
    <row r="378" spans="1:105" s="30" customFormat="1" ht="17.100000000000001" customHeight="1">
      <c r="A378" s="14">
        <v>367</v>
      </c>
      <c r="B378" s="14" t="s">
        <v>2788</v>
      </c>
      <c r="C378" s="32">
        <v>1.5241378806478232</v>
      </c>
      <c r="D378" s="32">
        <v>1.7834788944857662</v>
      </c>
      <c r="E378" s="32">
        <v>1.3225438360503183</v>
      </c>
      <c r="F378" s="24">
        <v>103041</v>
      </c>
      <c r="G378" s="52" t="s">
        <v>2</v>
      </c>
      <c r="H378" s="32">
        <v>24.657156878210674</v>
      </c>
      <c r="I378" s="32">
        <v>33.994403132173822</v>
      </c>
      <c r="J378" s="15" t="s">
        <v>2789</v>
      </c>
      <c r="K378" s="15" t="s">
        <v>2790</v>
      </c>
      <c r="L378" s="14" t="s">
        <v>4294</v>
      </c>
      <c r="M378" s="12" t="s">
        <v>2791</v>
      </c>
      <c r="N378" s="15" t="s">
        <v>2792</v>
      </c>
      <c r="O378" s="12" t="s">
        <v>2793</v>
      </c>
      <c r="P378" s="12" t="s">
        <v>2665</v>
      </c>
      <c r="Q378" s="14">
        <v>3</v>
      </c>
      <c r="R378" s="21">
        <v>385.21699999999998</v>
      </c>
      <c r="S378" s="14">
        <v>2</v>
      </c>
      <c r="T378" s="52" t="s">
        <v>2</v>
      </c>
      <c r="U378" s="53">
        <v>44.502099999999999</v>
      </c>
      <c r="V378" s="24">
        <v>64796</v>
      </c>
      <c r="W378" s="24">
        <v>45448</v>
      </c>
      <c r="X378" s="24">
        <v>43997</v>
      </c>
      <c r="Y378" s="24">
        <v>71842</v>
      </c>
      <c r="Z378" s="24">
        <v>99527</v>
      </c>
      <c r="AA378" s="24">
        <v>106555</v>
      </c>
      <c r="AB378" s="24">
        <v>104088</v>
      </c>
      <c r="AC378" s="24">
        <v>85017</v>
      </c>
      <c r="AD378" s="24">
        <v>56520.75</v>
      </c>
      <c r="AE378" s="24">
        <v>98796.75</v>
      </c>
      <c r="AF378" s="24">
        <v>55122</v>
      </c>
      <c r="AG378" s="24">
        <v>57919.5</v>
      </c>
      <c r="AH378" s="24">
        <v>103041</v>
      </c>
      <c r="AI378" s="24">
        <v>94552.5</v>
      </c>
      <c r="AJ378" s="32">
        <v>24.657156878210674</v>
      </c>
      <c r="AK378" s="32">
        <v>9.7541460435783716</v>
      </c>
      <c r="AL378" s="32">
        <v>24.81967635861783</v>
      </c>
      <c r="AM378" s="32">
        <v>33.994403132173822</v>
      </c>
      <c r="AN378" s="32">
        <v>4.8228825983628418</v>
      </c>
      <c r="AO378" s="32">
        <v>14.26216485445509</v>
      </c>
      <c r="AP378" s="19">
        <v>1.7479730895290668</v>
      </c>
      <c r="AQ378" s="19">
        <v>1.8693262218352018</v>
      </c>
      <c r="AR378" s="19">
        <v>1.6324812886851578</v>
      </c>
      <c r="AS378" s="19">
        <v>0.80568297436836767</v>
      </c>
      <c r="AT378" s="19">
        <v>0.90251836017734266</v>
      </c>
      <c r="AU378" s="19">
        <v>0.70706645586001493</v>
      </c>
      <c r="AV378" s="19">
        <v>0.60799342168226711</v>
      </c>
      <c r="AW378" s="19">
        <v>0.83469414319419299</v>
      </c>
      <c r="AX378" s="19">
        <v>0.40331554162422201</v>
      </c>
      <c r="AY378" s="19">
        <v>1.7479730895290668</v>
      </c>
      <c r="AZ378" s="19">
        <v>1.8693262218352018</v>
      </c>
      <c r="BA378" s="19">
        <v>1.6324812886851578</v>
      </c>
      <c r="BB378" s="19">
        <v>1.5241378806478232</v>
      </c>
      <c r="BC378" s="19">
        <v>1.7834788944857662</v>
      </c>
      <c r="BD378" s="19">
        <v>1.3225438360503183</v>
      </c>
      <c r="BE378" s="14" t="s">
        <v>4857</v>
      </c>
    </row>
    <row r="379" spans="1:105" s="30" customFormat="1" ht="17.100000000000001" customHeight="1">
      <c r="A379" s="31">
        <v>368</v>
      </c>
      <c r="B379" s="11" t="s">
        <v>2666</v>
      </c>
      <c r="C379" s="57"/>
      <c r="D379" s="57"/>
      <c r="E379" s="57"/>
      <c r="F379" s="27"/>
      <c r="G379" s="54"/>
      <c r="H379" s="57"/>
      <c r="I379" s="57"/>
      <c r="J379" s="13"/>
      <c r="K379" s="13"/>
      <c r="L379" s="13"/>
      <c r="M379" s="13"/>
      <c r="N379" s="13"/>
      <c r="O379" s="13"/>
      <c r="P379" s="13"/>
      <c r="Q379" s="13"/>
      <c r="R379" s="22"/>
      <c r="S379" s="18"/>
      <c r="T379" s="54"/>
      <c r="U379" s="5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57"/>
      <c r="AK379" s="57"/>
      <c r="AL379" s="57"/>
      <c r="AM379" s="57"/>
      <c r="AN379" s="57"/>
      <c r="AO379" s="5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13"/>
    </row>
    <row r="380" spans="1:105" s="30" customFormat="1" ht="17.100000000000001" customHeight="1">
      <c r="A380" s="14">
        <v>369</v>
      </c>
      <c r="B380" s="14" t="s">
        <v>2667</v>
      </c>
      <c r="C380" s="32">
        <v>1.0807431871358224</v>
      </c>
      <c r="D380" s="32">
        <v>1.349210719426819</v>
      </c>
      <c r="E380" s="32">
        <v>-1.1237574693205432</v>
      </c>
      <c r="F380" s="24">
        <v>53950</v>
      </c>
      <c r="G380" s="52" t="s">
        <v>2</v>
      </c>
      <c r="H380" s="32">
        <v>12.820097953708759</v>
      </c>
      <c r="I380" s="32">
        <v>6.8579163575104225</v>
      </c>
      <c r="J380" s="12" t="s">
        <v>2668</v>
      </c>
      <c r="K380" s="12" t="s">
        <v>2669</v>
      </c>
      <c r="L380" s="14" t="s">
        <v>3734</v>
      </c>
      <c r="M380" s="12" t="s">
        <v>2670</v>
      </c>
      <c r="N380" s="15" t="s">
        <v>2671</v>
      </c>
      <c r="O380" s="12" t="s">
        <v>2672</v>
      </c>
      <c r="P380" s="12" t="s">
        <v>2673</v>
      </c>
      <c r="Q380" s="14">
        <v>2</v>
      </c>
      <c r="R380" s="21">
        <v>414.75049999999999</v>
      </c>
      <c r="S380" s="14">
        <v>1</v>
      </c>
      <c r="T380" s="52" t="s">
        <v>2</v>
      </c>
      <c r="U380" s="53">
        <v>30.7</v>
      </c>
      <c r="V380" s="24">
        <v>40000</v>
      </c>
      <c r="W380" s="24">
        <v>36300</v>
      </c>
      <c r="X380" s="24">
        <v>46900</v>
      </c>
      <c r="Y380" s="24">
        <v>47600</v>
      </c>
      <c r="Z380" s="24">
        <v>55400</v>
      </c>
      <c r="AA380" s="24">
        <v>52500</v>
      </c>
      <c r="AB380" s="24">
        <v>50700</v>
      </c>
      <c r="AC380" s="24">
        <v>53100</v>
      </c>
      <c r="AD380" s="24">
        <v>42700</v>
      </c>
      <c r="AE380" s="24">
        <v>52925</v>
      </c>
      <c r="AF380" s="24">
        <v>38150</v>
      </c>
      <c r="AG380" s="24">
        <v>47250</v>
      </c>
      <c r="AH380" s="24">
        <v>53950</v>
      </c>
      <c r="AI380" s="24">
        <v>51900</v>
      </c>
      <c r="AJ380" s="32">
        <v>12.820097953708759</v>
      </c>
      <c r="AK380" s="32">
        <v>3.6650287654739393</v>
      </c>
      <c r="AL380" s="32">
        <v>6.8579163575104225</v>
      </c>
      <c r="AM380" s="32">
        <v>1.0475656017578483</v>
      </c>
      <c r="AN380" s="32">
        <v>3.8009446996125824</v>
      </c>
      <c r="AO380" s="32">
        <v>3.2698579476834571</v>
      </c>
      <c r="AP380" s="19">
        <v>1.2394613583138174</v>
      </c>
      <c r="AQ380" s="19">
        <v>1.4141546526867628</v>
      </c>
      <c r="AR380" s="19">
        <v>1.0984126984126985</v>
      </c>
      <c r="AS380" s="19">
        <v>0.3097132943870991</v>
      </c>
      <c r="AT380" s="19">
        <v>0.49993990265348648</v>
      </c>
      <c r="AU380" s="19">
        <v>0.13542020924944595</v>
      </c>
      <c r="AV380" s="19">
        <v>0.11202374170099855</v>
      </c>
      <c r="AW380" s="19">
        <v>0.43211568567033676</v>
      </c>
      <c r="AX380" s="19">
        <v>-0.16833070498634697</v>
      </c>
      <c r="AY380" s="19">
        <v>1.2394613583138174</v>
      </c>
      <c r="AZ380" s="19">
        <v>1.4141546526867628</v>
      </c>
      <c r="BA380" s="19">
        <v>1.0984126984126985</v>
      </c>
      <c r="BB380" s="19">
        <v>1.0807431871358224</v>
      </c>
      <c r="BC380" s="19">
        <v>1.349210719426819</v>
      </c>
      <c r="BD380" s="19">
        <v>-1.1237574693205432</v>
      </c>
      <c r="BE380" s="14" t="s">
        <v>4857</v>
      </c>
    </row>
    <row r="381" spans="1:105" s="30" customFormat="1" ht="17.100000000000001" customHeight="1">
      <c r="A381" s="31">
        <v>370</v>
      </c>
      <c r="B381" s="11" t="s">
        <v>2674</v>
      </c>
      <c r="C381" s="57"/>
      <c r="D381" s="57"/>
      <c r="E381" s="57"/>
      <c r="F381" s="27"/>
      <c r="G381" s="54"/>
      <c r="H381" s="57"/>
      <c r="I381" s="57"/>
      <c r="J381" s="13"/>
      <c r="K381" s="13"/>
      <c r="L381" s="13"/>
      <c r="M381" s="13"/>
      <c r="N381" s="13"/>
      <c r="O381" s="13"/>
      <c r="P381" s="13"/>
      <c r="Q381" s="13"/>
      <c r="R381" s="22"/>
      <c r="S381" s="18"/>
      <c r="T381" s="54"/>
      <c r="U381" s="5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57"/>
      <c r="AK381" s="57"/>
      <c r="AL381" s="57"/>
      <c r="AM381" s="57"/>
      <c r="AN381" s="57"/>
      <c r="AO381" s="5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13"/>
    </row>
    <row r="382" spans="1:105" s="30" customFormat="1" ht="17.100000000000001" customHeight="1">
      <c r="A382" s="14">
        <v>371</v>
      </c>
      <c r="B382" s="14" t="s">
        <v>2675</v>
      </c>
      <c r="C382" s="32">
        <v>1.0554671846430501</v>
      </c>
      <c r="D382" s="32">
        <v>1.0436758791567768</v>
      </c>
      <c r="E382" s="32">
        <v>1.0519799236958676</v>
      </c>
      <c r="F382" s="24">
        <v>310385</v>
      </c>
      <c r="G382" s="52" t="s">
        <v>2</v>
      </c>
      <c r="H382" s="32">
        <v>26.486382964055966</v>
      </c>
      <c r="I382" s="32">
        <v>14.245286579154948</v>
      </c>
      <c r="J382" s="12" t="s">
        <v>2676</v>
      </c>
      <c r="K382" s="12" t="s">
        <v>2677</v>
      </c>
      <c r="L382" s="14" t="s">
        <v>5144</v>
      </c>
      <c r="M382" s="12" t="s">
        <v>2678</v>
      </c>
      <c r="N382" s="15" t="s">
        <v>2679</v>
      </c>
      <c r="O382" s="12" t="s">
        <v>2680</v>
      </c>
      <c r="P382" s="12" t="s">
        <v>2681</v>
      </c>
      <c r="Q382" s="14">
        <v>3</v>
      </c>
      <c r="R382" s="21">
        <v>713.7183</v>
      </c>
      <c r="S382" s="14">
        <v>1</v>
      </c>
      <c r="T382" s="52" t="s">
        <v>2</v>
      </c>
      <c r="U382" s="53">
        <v>59.132849999999998</v>
      </c>
      <c r="V382" s="24">
        <v>193677</v>
      </c>
      <c r="W382" s="24">
        <v>167402</v>
      </c>
      <c r="X382" s="24">
        <v>241031</v>
      </c>
      <c r="Y382" s="24">
        <v>237032</v>
      </c>
      <c r="Z382" s="24">
        <v>177601</v>
      </c>
      <c r="AA382" s="24">
        <v>217388</v>
      </c>
      <c r="AB382" s="24">
        <v>306158</v>
      </c>
      <c r="AC382" s="24">
        <v>314612</v>
      </c>
      <c r="AD382" s="24">
        <v>209785.5</v>
      </c>
      <c r="AE382" s="24">
        <v>253939.75</v>
      </c>
      <c r="AF382" s="24">
        <v>180539.5</v>
      </c>
      <c r="AG382" s="24">
        <v>239031.5</v>
      </c>
      <c r="AH382" s="24">
        <v>197494.5</v>
      </c>
      <c r="AI382" s="24">
        <v>310385</v>
      </c>
      <c r="AJ382" s="32">
        <v>16.908049014293024</v>
      </c>
      <c r="AK382" s="32">
        <v>26.486382964055966</v>
      </c>
      <c r="AL382" s="32">
        <v>10.290950554131664</v>
      </c>
      <c r="AM382" s="32">
        <v>1.1829905338689686</v>
      </c>
      <c r="AN382" s="32">
        <v>14.245286579154948</v>
      </c>
      <c r="AO382" s="32">
        <v>1.9259567080081423</v>
      </c>
      <c r="AP382" s="19">
        <v>1.2104733167926287</v>
      </c>
      <c r="AQ382" s="19">
        <v>1.0939129664145519</v>
      </c>
      <c r="AR382" s="19">
        <v>1.2985108657227185</v>
      </c>
      <c r="AS382" s="19">
        <v>0.27557127747378546</v>
      </c>
      <c r="AT382" s="19">
        <v>0.12949795941293332</v>
      </c>
      <c r="AU382" s="19">
        <v>0.37685808629871898</v>
      </c>
      <c r="AV382" s="19">
        <v>7.7881724787684903E-2</v>
      </c>
      <c r="AW382" s="19">
        <v>6.1673742429783615E-2</v>
      </c>
      <c r="AX382" s="19">
        <v>7.3107172062926051E-2</v>
      </c>
      <c r="AY382" s="19">
        <v>1.2104733167926287</v>
      </c>
      <c r="AZ382" s="19">
        <v>1.0939129664145519</v>
      </c>
      <c r="BA382" s="19">
        <v>1.2985108657227185</v>
      </c>
      <c r="BB382" s="19">
        <v>1.0554671846430501</v>
      </c>
      <c r="BC382" s="19">
        <v>1.0436758791567768</v>
      </c>
      <c r="BD382" s="19">
        <v>1.0519799236958676</v>
      </c>
      <c r="BE382" s="14" t="s">
        <v>4857</v>
      </c>
    </row>
    <row r="383" spans="1:105" s="30" customFormat="1" ht="17.100000000000001" customHeight="1">
      <c r="A383" s="14">
        <v>372</v>
      </c>
      <c r="B383" s="14" t="s">
        <v>2684</v>
      </c>
      <c r="C383" s="32">
        <v>1.0698904238708917</v>
      </c>
      <c r="D383" s="32">
        <v>1.2745953709970641</v>
      </c>
      <c r="E383" s="32">
        <v>-1.0795144086097279</v>
      </c>
      <c r="F383" s="24">
        <v>570000</v>
      </c>
      <c r="G383" s="52" t="s">
        <v>2</v>
      </c>
      <c r="H383" s="32">
        <v>20.279843686860708</v>
      </c>
      <c r="I383" s="32">
        <v>20.519961493256673</v>
      </c>
      <c r="J383" s="12" t="s">
        <v>2676</v>
      </c>
      <c r="K383" s="12" t="s">
        <v>2677</v>
      </c>
      <c r="L383" s="14" t="s">
        <v>5023</v>
      </c>
      <c r="M383" s="12" t="s">
        <v>2678</v>
      </c>
      <c r="N383" s="15" t="s">
        <v>2679</v>
      </c>
      <c r="O383" s="12" t="s">
        <v>2680</v>
      </c>
      <c r="P383" s="12" t="s">
        <v>2685</v>
      </c>
      <c r="Q383" s="14">
        <v>3</v>
      </c>
      <c r="R383" s="21">
        <v>439.90320000000003</v>
      </c>
      <c r="S383" s="14">
        <v>9</v>
      </c>
      <c r="T383" s="52" t="s">
        <v>2</v>
      </c>
      <c r="U383" s="53">
        <v>56.645000000000003</v>
      </c>
      <c r="V383" s="24">
        <v>327000</v>
      </c>
      <c r="W383" s="24">
        <v>438000</v>
      </c>
      <c r="X383" s="24">
        <v>452000</v>
      </c>
      <c r="Y383" s="24">
        <v>545000</v>
      </c>
      <c r="Z383" s="24">
        <v>482000</v>
      </c>
      <c r="AA383" s="24">
        <v>540000</v>
      </c>
      <c r="AB383" s="24">
        <v>606000</v>
      </c>
      <c r="AC383" s="24">
        <v>534000</v>
      </c>
      <c r="AD383" s="24">
        <v>440500</v>
      </c>
      <c r="AE383" s="24">
        <v>540500</v>
      </c>
      <c r="AF383" s="24">
        <v>382500</v>
      </c>
      <c r="AG383" s="24">
        <v>498500</v>
      </c>
      <c r="AH383" s="24">
        <v>511000</v>
      </c>
      <c r="AI383" s="24">
        <v>570000</v>
      </c>
      <c r="AJ383" s="32">
        <v>20.279843686860708</v>
      </c>
      <c r="AK383" s="32">
        <v>9.406641124060064</v>
      </c>
      <c r="AL383" s="32">
        <v>20.519961493256673</v>
      </c>
      <c r="AM383" s="32">
        <v>13.191761414312722</v>
      </c>
      <c r="AN383" s="32">
        <v>8.0258695320586604</v>
      </c>
      <c r="AO383" s="32">
        <v>8.931875130777442</v>
      </c>
      <c r="AP383" s="19">
        <v>1.2270147559591373</v>
      </c>
      <c r="AQ383" s="19">
        <v>1.3359477124183006</v>
      </c>
      <c r="AR383" s="19">
        <v>1.1434302908726179</v>
      </c>
      <c r="AS383" s="19">
        <v>0.29515259881423661</v>
      </c>
      <c r="AT383" s="19">
        <v>0.41786354335760717</v>
      </c>
      <c r="AU383" s="19">
        <v>0.19336841465390822</v>
      </c>
      <c r="AV383" s="19">
        <v>9.7463046128136055E-2</v>
      </c>
      <c r="AW383" s="19">
        <v>0.35003932637445745</v>
      </c>
      <c r="AX383" s="19">
        <v>-0.1103824995818847</v>
      </c>
      <c r="AY383" s="19">
        <v>1.2270147559591373</v>
      </c>
      <c r="AZ383" s="19">
        <v>1.3359477124183006</v>
      </c>
      <c r="BA383" s="19">
        <v>1.1434302908726179</v>
      </c>
      <c r="BB383" s="19">
        <v>1.0698904238708917</v>
      </c>
      <c r="BC383" s="19">
        <v>1.2745953709970641</v>
      </c>
      <c r="BD383" s="19">
        <v>-1.0795144086097279</v>
      </c>
      <c r="BE383" s="14" t="s">
        <v>4857</v>
      </c>
    </row>
    <row r="384" spans="1:105" s="30" customFormat="1" ht="17.100000000000001" customHeight="1">
      <c r="A384" s="31">
        <v>373</v>
      </c>
      <c r="B384" s="11" t="s">
        <v>2686</v>
      </c>
      <c r="C384" s="57"/>
      <c r="D384" s="57"/>
      <c r="E384" s="57"/>
      <c r="F384" s="27"/>
      <c r="G384" s="54"/>
      <c r="H384" s="57"/>
      <c r="I384" s="57"/>
      <c r="J384" s="13"/>
      <c r="K384" s="13"/>
      <c r="L384" s="13"/>
      <c r="M384" s="13"/>
      <c r="N384" s="13"/>
      <c r="O384" s="13"/>
      <c r="P384" s="13"/>
      <c r="Q384" s="13"/>
      <c r="R384" s="22"/>
      <c r="S384" s="18"/>
      <c r="T384" s="54"/>
      <c r="U384" s="5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57"/>
      <c r="AK384" s="57"/>
      <c r="AL384" s="57"/>
      <c r="AM384" s="57"/>
      <c r="AN384" s="57"/>
      <c r="AO384" s="5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13"/>
    </row>
    <row r="385" spans="1:57" s="30" customFormat="1" ht="17.100000000000001" customHeight="1">
      <c r="A385" s="14">
        <v>374</v>
      </c>
      <c r="B385" s="14" t="s">
        <v>2687</v>
      </c>
      <c r="C385" s="32">
        <v>-1.4434516768621202</v>
      </c>
      <c r="D385" s="32">
        <v>-1.0545499175104456</v>
      </c>
      <c r="E385" s="32">
        <v>-1.8563878861826106</v>
      </c>
      <c r="F385" s="24">
        <v>128723</v>
      </c>
      <c r="G385" s="52" t="s">
        <v>2</v>
      </c>
      <c r="H385" s="32">
        <v>40.381737704928739</v>
      </c>
      <c r="I385" s="32">
        <v>49.254889093533102</v>
      </c>
      <c r="J385" s="12" t="s">
        <v>2688</v>
      </c>
      <c r="K385" s="12" t="s">
        <v>2689</v>
      </c>
      <c r="L385" s="14" t="s">
        <v>4963</v>
      </c>
      <c r="M385" s="12" t="s">
        <v>2690</v>
      </c>
      <c r="N385" s="15" t="s">
        <v>2691</v>
      </c>
      <c r="O385" s="12" t="s">
        <v>2692</v>
      </c>
      <c r="P385" s="12" t="s">
        <v>2693</v>
      </c>
      <c r="Q385" s="14">
        <v>3</v>
      </c>
      <c r="R385" s="21">
        <v>569.95889999999997</v>
      </c>
      <c r="S385" s="14">
        <v>2</v>
      </c>
      <c r="T385" s="52" t="s">
        <v>2</v>
      </c>
      <c r="U385" s="53">
        <v>86.887512500000014</v>
      </c>
      <c r="V385" s="24">
        <v>54530</v>
      </c>
      <c r="W385" s="24">
        <v>112813</v>
      </c>
      <c r="X385" s="24">
        <v>158632</v>
      </c>
      <c r="Y385" s="24">
        <v>98814</v>
      </c>
      <c r="Z385" s="24">
        <v>84389</v>
      </c>
      <c r="AA385" s="24">
        <v>81936</v>
      </c>
      <c r="AB385" s="24">
        <v>86066</v>
      </c>
      <c r="AC385" s="24">
        <v>85115</v>
      </c>
      <c r="AD385" s="24">
        <v>106197.25</v>
      </c>
      <c r="AE385" s="24">
        <v>84376.5</v>
      </c>
      <c r="AF385" s="24">
        <v>83671.5</v>
      </c>
      <c r="AG385" s="24">
        <v>128723</v>
      </c>
      <c r="AH385" s="24">
        <v>83162.5</v>
      </c>
      <c r="AI385" s="24">
        <v>85590.5</v>
      </c>
      <c r="AJ385" s="32">
        <v>40.381737704928739</v>
      </c>
      <c r="AK385" s="32">
        <v>2.0929686217286543</v>
      </c>
      <c r="AL385" s="32">
        <v>49.254889093533102</v>
      </c>
      <c r="AM385" s="32">
        <v>32.85948388168152</v>
      </c>
      <c r="AN385" s="32">
        <v>2.0857152373372627</v>
      </c>
      <c r="AO385" s="32">
        <v>0.78566961159054638</v>
      </c>
      <c r="AP385" s="19">
        <v>0.79452622360748515</v>
      </c>
      <c r="AQ385" s="19">
        <v>0.99391668608785544</v>
      </c>
      <c r="AR385" s="19">
        <v>0.66492002206287926</v>
      </c>
      <c r="AS385" s="19">
        <v>-0.33183325788861373</v>
      </c>
      <c r="AT385" s="19">
        <v>-8.8031702682275677E-3</v>
      </c>
      <c r="AU385" s="19">
        <v>-0.58874727414163175</v>
      </c>
      <c r="AV385" s="19">
        <v>-0.52952281057471429</v>
      </c>
      <c r="AW385" s="19">
        <v>-7.6627387251377271E-2</v>
      </c>
      <c r="AX385" s="19">
        <v>-0.89249818837742467</v>
      </c>
      <c r="AY385" s="19">
        <v>-1.2586116987549851</v>
      </c>
      <c r="AZ385" s="19">
        <v>-1.0061205471215993</v>
      </c>
      <c r="BA385" s="19">
        <v>-1.5039402737453338</v>
      </c>
      <c r="BB385" s="19">
        <v>-1.4434516768621202</v>
      </c>
      <c r="BC385" s="19">
        <v>-1.0545499175104456</v>
      </c>
      <c r="BD385" s="19">
        <v>-1.8563878861826106</v>
      </c>
      <c r="BE385" s="14" t="s">
        <v>4857</v>
      </c>
    </row>
    <row r="386" spans="1:57" s="30" customFormat="1" ht="17.100000000000001" customHeight="1">
      <c r="A386" s="14">
        <v>375</v>
      </c>
      <c r="B386" s="14" t="s">
        <v>2694</v>
      </c>
      <c r="C386" s="32">
        <v>-1.0039022888654456</v>
      </c>
      <c r="D386" s="32">
        <v>-1.3346450566990953</v>
      </c>
      <c r="E386" s="32">
        <v>1.2795931504854121</v>
      </c>
      <c r="F386" s="24">
        <v>114074.5</v>
      </c>
      <c r="G386" s="52" t="s">
        <v>2</v>
      </c>
      <c r="H386" s="32">
        <v>31.790279500116412</v>
      </c>
      <c r="I386" s="32">
        <v>29.139827165642242</v>
      </c>
      <c r="J386" s="12" t="s">
        <v>2695</v>
      </c>
      <c r="K386" s="12" t="s">
        <v>2696</v>
      </c>
      <c r="L386" s="14" t="s">
        <v>5060</v>
      </c>
      <c r="M386" s="12" t="s">
        <v>2697</v>
      </c>
      <c r="N386" s="15" t="s">
        <v>2698</v>
      </c>
      <c r="O386" s="12" t="s">
        <v>2699</v>
      </c>
      <c r="P386" s="12" t="s">
        <v>2700</v>
      </c>
      <c r="Q386" s="14">
        <v>2</v>
      </c>
      <c r="R386" s="21">
        <v>888.95500000000004</v>
      </c>
      <c r="S386" s="14">
        <v>13</v>
      </c>
      <c r="T386" s="52" t="s">
        <v>2</v>
      </c>
      <c r="U386" s="53">
        <v>51.608512499999996</v>
      </c>
      <c r="V386" s="24">
        <v>79908</v>
      </c>
      <c r="W386" s="24">
        <v>96897</v>
      </c>
      <c r="X386" s="24">
        <v>72995</v>
      </c>
      <c r="Y386" s="24">
        <v>71452</v>
      </c>
      <c r="Z386" s="24">
        <v>83730</v>
      </c>
      <c r="AA386" s="24">
        <v>55120</v>
      </c>
      <c r="AB386" s="24">
        <v>105432</v>
      </c>
      <c r="AC386" s="24">
        <v>122717</v>
      </c>
      <c r="AD386" s="24">
        <v>80313</v>
      </c>
      <c r="AE386" s="24">
        <v>91749.75</v>
      </c>
      <c r="AF386" s="24">
        <v>88402.5</v>
      </c>
      <c r="AG386" s="24">
        <v>72223.5</v>
      </c>
      <c r="AH386" s="24">
        <v>69425</v>
      </c>
      <c r="AI386" s="24">
        <v>114074.5</v>
      </c>
      <c r="AJ386" s="32">
        <v>14.507456677662041</v>
      </c>
      <c r="AK386" s="32">
        <v>31.790279500116412</v>
      </c>
      <c r="AL386" s="32">
        <v>13.589024185490519</v>
      </c>
      <c r="AM386" s="32">
        <v>1.5106797141800699</v>
      </c>
      <c r="AN386" s="32">
        <v>29.139827165642242</v>
      </c>
      <c r="AO386" s="32">
        <v>10.714349581027726</v>
      </c>
      <c r="AP386" s="19">
        <v>1.1424022262896418</v>
      </c>
      <c r="AQ386" s="19">
        <v>0.78532846921749955</v>
      </c>
      <c r="AR386" s="19">
        <v>1.5794651325399627</v>
      </c>
      <c r="AS386" s="19">
        <v>0.19207069597640822</v>
      </c>
      <c r="AT386" s="19">
        <v>-0.34863189719479065</v>
      </c>
      <c r="AU386" s="19">
        <v>0.65943608924248598</v>
      </c>
      <c r="AV386" s="19">
        <v>-5.6188567096923381E-3</v>
      </c>
      <c r="AW386" s="19">
        <v>-0.41645611417794037</v>
      </c>
      <c r="AX386" s="19">
        <v>0.35568517500669306</v>
      </c>
      <c r="AY386" s="19">
        <v>1.1424022262896418</v>
      </c>
      <c r="AZ386" s="19">
        <v>-1.2733525387108389</v>
      </c>
      <c r="BA386" s="19">
        <v>1.5794651325399627</v>
      </c>
      <c r="BB386" s="19">
        <v>-1.0039022888654456</v>
      </c>
      <c r="BC386" s="19">
        <v>-1.3346450566990953</v>
      </c>
      <c r="BD386" s="19">
        <v>1.2795931504854121</v>
      </c>
      <c r="BE386" s="14" t="s">
        <v>4857</v>
      </c>
    </row>
    <row r="387" spans="1:57" s="30" customFormat="1" ht="17.100000000000001" customHeight="1">
      <c r="A387" s="14">
        <v>376</v>
      </c>
      <c r="B387" s="14" t="s">
        <v>2703</v>
      </c>
      <c r="C387" s="32">
        <v>-1.332845089234066</v>
      </c>
      <c r="D387" s="32">
        <v>-1.6790051650090998</v>
      </c>
      <c r="E387" s="32">
        <v>-1.1533455584024781</v>
      </c>
      <c r="F387" s="24">
        <v>229936</v>
      </c>
      <c r="G387" s="52" t="s">
        <v>2</v>
      </c>
      <c r="H387" s="32">
        <v>37.357044176038414</v>
      </c>
      <c r="I387" s="32">
        <v>32.196754471770618</v>
      </c>
      <c r="J387" s="12" t="s">
        <v>2704</v>
      </c>
      <c r="K387" s="15" t="s">
        <v>2705</v>
      </c>
      <c r="L387" s="14" t="s">
        <v>4980</v>
      </c>
      <c r="M387" s="12" t="s">
        <v>2706</v>
      </c>
      <c r="N387" s="15" t="s">
        <v>2707</v>
      </c>
      <c r="O387" s="12" t="s">
        <v>2708</v>
      </c>
      <c r="P387" s="12" t="s">
        <v>2709</v>
      </c>
      <c r="Q387" s="14">
        <v>2</v>
      </c>
      <c r="R387" s="21">
        <v>766.42759999999998</v>
      </c>
      <c r="S387" s="14">
        <v>7</v>
      </c>
      <c r="T387" s="52" t="s">
        <v>2</v>
      </c>
      <c r="U387" s="53">
        <v>73.9313875</v>
      </c>
      <c r="V387" s="24">
        <v>147368</v>
      </c>
      <c r="W387" s="24">
        <v>234249</v>
      </c>
      <c r="X387" s="24">
        <v>194541</v>
      </c>
      <c r="Y387" s="24">
        <v>235152</v>
      </c>
      <c r="Z387" s="24">
        <v>131620</v>
      </c>
      <c r="AA387" s="24">
        <v>106608</v>
      </c>
      <c r="AB387" s="24">
        <v>221054</v>
      </c>
      <c r="AC387" s="24">
        <v>238818</v>
      </c>
      <c r="AD387" s="24">
        <v>202827.5</v>
      </c>
      <c r="AE387" s="24">
        <v>174525</v>
      </c>
      <c r="AF387" s="24">
        <v>190808.5</v>
      </c>
      <c r="AG387" s="24">
        <v>214846.5</v>
      </c>
      <c r="AH387" s="24">
        <v>119114</v>
      </c>
      <c r="AI387" s="24">
        <v>229936</v>
      </c>
      <c r="AJ387" s="32">
        <v>20.480242675637367</v>
      </c>
      <c r="AK387" s="32">
        <v>37.357044176038414</v>
      </c>
      <c r="AL387" s="32">
        <v>32.196754471770618</v>
      </c>
      <c r="AM387" s="32">
        <v>13.365967558590381</v>
      </c>
      <c r="AN387" s="32">
        <v>14.848090745871959</v>
      </c>
      <c r="AO387" s="32">
        <v>5.4628439483151094</v>
      </c>
      <c r="AP387" s="19">
        <v>0.86046024331020199</v>
      </c>
      <c r="AQ387" s="19">
        <v>0.62425940144175962</v>
      </c>
      <c r="AR387" s="19">
        <v>1.0702338646428962</v>
      </c>
      <c r="AS387" s="19">
        <v>-0.21681955933803596</v>
      </c>
      <c r="AT387" s="19">
        <v>-0.6797824513629982</v>
      </c>
      <c r="AU387" s="19">
        <v>9.7926084939033556E-2</v>
      </c>
      <c r="AV387" s="19">
        <v>-0.41450911202413654</v>
      </c>
      <c r="AW387" s="19">
        <v>-0.74760666834614786</v>
      </c>
      <c r="AX387" s="19">
        <v>-0.20582482929675938</v>
      </c>
      <c r="AY387" s="19">
        <v>-1.1621687437329895</v>
      </c>
      <c r="AZ387" s="19">
        <v>-1.6018981815739546</v>
      </c>
      <c r="BA387" s="19">
        <v>1.0702338646428962</v>
      </c>
      <c r="BB387" s="19">
        <v>-1.332845089234066</v>
      </c>
      <c r="BC387" s="19">
        <v>-1.6790051650090998</v>
      </c>
      <c r="BD387" s="19">
        <v>-1.1533455584024781</v>
      </c>
      <c r="BE387" s="14" t="s">
        <v>4857</v>
      </c>
    </row>
    <row r="388" spans="1:57" s="30" customFormat="1" ht="17.100000000000001" customHeight="1">
      <c r="A388" s="14">
        <v>377</v>
      </c>
      <c r="B388" s="14" t="s">
        <v>2710</v>
      </c>
      <c r="C388" s="32">
        <v>1.3652793089263848</v>
      </c>
      <c r="D388" s="32">
        <v>1.4198945588493723</v>
      </c>
      <c r="E388" s="32">
        <v>1.3103263867875106</v>
      </c>
      <c r="F388" s="24">
        <v>247341</v>
      </c>
      <c r="G388" s="52" t="s">
        <v>2</v>
      </c>
      <c r="H388" s="32">
        <v>28.000892754118102</v>
      </c>
      <c r="I388" s="32">
        <v>11.017780207365083</v>
      </c>
      <c r="J388" s="12" t="s">
        <v>2704</v>
      </c>
      <c r="K388" s="15" t="s">
        <v>2705</v>
      </c>
      <c r="L388" s="14" t="s">
        <v>5321</v>
      </c>
      <c r="M388" s="12" t="s">
        <v>2706</v>
      </c>
      <c r="N388" s="15" t="s">
        <v>2707</v>
      </c>
      <c r="O388" s="12" t="s">
        <v>2708</v>
      </c>
      <c r="P388" s="12" t="s">
        <v>2711</v>
      </c>
      <c r="Q388" s="14">
        <v>3</v>
      </c>
      <c r="R388" s="21">
        <v>937.84410000000003</v>
      </c>
      <c r="S388" s="14">
        <v>2</v>
      </c>
      <c r="T388" s="52" t="s">
        <v>2</v>
      </c>
      <c r="U388" s="53">
        <v>103.351125</v>
      </c>
      <c r="V388" s="24">
        <v>103128</v>
      </c>
      <c r="W388" s="24">
        <v>100458</v>
      </c>
      <c r="X388" s="24">
        <v>141011</v>
      </c>
      <c r="Y388" s="24">
        <v>164839</v>
      </c>
      <c r="Z388" s="24">
        <v>147176</v>
      </c>
      <c r="AA388" s="24">
        <v>155809</v>
      </c>
      <c r="AB388" s="24">
        <v>255391</v>
      </c>
      <c r="AC388" s="24">
        <v>239291</v>
      </c>
      <c r="AD388" s="24">
        <v>127359</v>
      </c>
      <c r="AE388" s="24">
        <v>199416.75</v>
      </c>
      <c r="AF388" s="24">
        <v>101793</v>
      </c>
      <c r="AG388" s="24">
        <v>152925</v>
      </c>
      <c r="AH388" s="24">
        <v>151492.5</v>
      </c>
      <c r="AI388" s="24">
        <v>247341</v>
      </c>
      <c r="AJ388" s="32">
        <v>24.420435118045884</v>
      </c>
      <c r="AK388" s="32">
        <v>28.000892754118102</v>
      </c>
      <c r="AL388" s="32">
        <v>1.8547199765878615</v>
      </c>
      <c r="AM388" s="32">
        <v>11.017780207365083</v>
      </c>
      <c r="AN388" s="32">
        <v>4.0295412921322606</v>
      </c>
      <c r="AO388" s="32">
        <v>4.6027222244203001</v>
      </c>
      <c r="AP388" s="19">
        <v>1.5657845146397191</v>
      </c>
      <c r="AQ388" s="19">
        <v>1.4882408417081725</v>
      </c>
      <c r="AR388" s="19">
        <v>1.6174006866110839</v>
      </c>
      <c r="AS388" s="19">
        <v>0.6468856806675759</v>
      </c>
      <c r="AT388" s="19">
        <v>0.57360801637989656</v>
      </c>
      <c r="AU388" s="19">
        <v>0.69367712901377843</v>
      </c>
      <c r="AV388" s="19">
        <v>0.44919612798147535</v>
      </c>
      <c r="AW388" s="19">
        <v>0.50578379939674689</v>
      </c>
      <c r="AX388" s="19">
        <v>0.3899262147779855</v>
      </c>
      <c r="AY388" s="19">
        <v>1.5657845146397191</v>
      </c>
      <c r="AZ388" s="19">
        <v>1.4882408417081725</v>
      </c>
      <c r="BA388" s="19">
        <v>1.6174006866110839</v>
      </c>
      <c r="BB388" s="19">
        <v>1.3652793089263848</v>
      </c>
      <c r="BC388" s="19">
        <v>1.4198945588493723</v>
      </c>
      <c r="BD388" s="19">
        <v>1.3103263867875106</v>
      </c>
      <c r="BE388" s="14" t="s">
        <v>4857</v>
      </c>
    </row>
    <row r="389" spans="1:57" s="30" customFormat="1" ht="17.100000000000001" customHeight="1">
      <c r="A389" s="14">
        <v>378</v>
      </c>
      <c r="B389" s="14" t="s">
        <v>2712</v>
      </c>
      <c r="C389" s="32">
        <v>1.0376498439292878</v>
      </c>
      <c r="D389" s="32">
        <v>1.0807864748974896</v>
      </c>
      <c r="E389" s="32">
        <v>1.0030586994965238</v>
      </c>
      <c r="F389" s="24">
        <v>554092.5</v>
      </c>
      <c r="G389" s="52" t="s">
        <v>2</v>
      </c>
      <c r="H389" s="32">
        <v>16.407828082424611</v>
      </c>
      <c r="I389" s="32">
        <v>11.846010273358507</v>
      </c>
      <c r="J389" s="12" t="s">
        <v>2704</v>
      </c>
      <c r="K389" s="15" t="s">
        <v>2705</v>
      </c>
      <c r="L389" s="14" t="s">
        <v>5264</v>
      </c>
      <c r="M389" s="12" t="s">
        <v>2706</v>
      </c>
      <c r="N389" s="15" t="s">
        <v>2707</v>
      </c>
      <c r="O389" s="12" t="s">
        <v>2708</v>
      </c>
      <c r="P389" s="12" t="s">
        <v>2713</v>
      </c>
      <c r="Q389" s="14">
        <v>3</v>
      </c>
      <c r="R389" s="21">
        <v>634.64909999999998</v>
      </c>
      <c r="S389" s="14">
        <v>7</v>
      </c>
      <c r="T389" s="52" t="s">
        <v>2</v>
      </c>
      <c r="U389" s="53">
        <v>68.311712499999999</v>
      </c>
      <c r="V389" s="24">
        <v>377451</v>
      </c>
      <c r="W389" s="24">
        <v>374594</v>
      </c>
      <c r="X389" s="24">
        <v>485012</v>
      </c>
      <c r="Y389" s="24">
        <v>410039</v>
      </c>
      <c r="Z389" s="24">
        <v>449186</v>
      </c>
      <c r="AA389" s="24">
        <v>402738</v>
      </c>
      <c r="AB389" s="24">
        <v>584896</v>
      </c>
      <c r="AC389" s="24">
        <v>523289</v>
      </c>
      <c r="AD389" s="24">
        <v>411774</v>
      </c>
      <c r="AE389" s="24">
        <v>490027.25</v>
      </c>
      <c r="AF389" s="24">
        <v>376022.5</v>
      </c>
      <c r="AG389" s="24">
        <v>447525.5</v>
      </c>
      <c r="AH389" s="24">
        <v>425962</v>
      </c>
      <c r="AI389" s="24">
        <v>554092.5</v>
      </c>
      <c r="AJ389" s="32">
        <v>12.483642822452284</v>
      </c>
      <c r="AK389" s="32">
        <v>16.407828082424611</v>
      </c>
      <c r="AL389" s="32">
        <v>0.53725616787558361</v>
      </c>
      <c r="AM389" s="32">
        <v>11.846010273358507</v>
      </c>
      <c r="AN389" s="32">
        <v>7.7104755289328057</v>
      </c>
      <c r="AO389" s="32">
        <v>7.861995509515042</v>
      </c>
      <c r="AP389" s="19">
        <v>1.1900393176839723</v>
      </c>
      <c r="AQ389" s="19">
        <v>1.1328098717496959</v>
      </c>
      <c r="AR389" s="19">
        <v>1.2381249783531889</v>
      </c>
      <c r="AS389" s="19">
        <v>0.25100923949173454</v>
      </c>
      <c r="AT389" s="19">
        <v>0.1799057427989755</v>
      </c>
      <c r="AU389" s="19">
        <v>0.30815694989134146</v>
      </c>
      <c r="AV389" s="19">
        <v>5.3319686805633981E-2</v>
      </c>
      <c r="AW389" s="19">
        <v>0.1120815258158258</v>
      </c>
      <c r="AX389" s="19">
        <v>4.4060356555485347E-3</v>
      </c>
      <c r="AY389" s="19">
        <v>1.1900393176839723</v>
      </c>
      <c r="AZ389" s="19">
        <v>1.1328098717496959</v>
      </c>
      <c r="BA389" s="19">
        <v>1.2381249783531889</v>
      </c>
      <c r="BB389" s="19">
        <v>1.0376498439292878</v>
      </c>
      <c r="BC389" s="19">
        <v>1.0807864748974896</v>
      </c>
      <c r="BD389" s="19">
        <v>1.0030586994965238</v>
      </c>
      <c r="BE389" s="14" t="s">
        <v>4857</v>
      </c>
    </row>
    <row r="390" spans="1:57" s="30" customFormat="1" ht="17.100000000000001" customHeight="1">
      <c r="A390" s="14">
        <v>379</v>
      </c>
      <c r="B390" s="14" t="s">
        <v>2714</v>
      </c>
      <c r="C390" s="32">
        <v>-1.0385469942232579</v>
      </c>
      <c r="D390" s="32">
        <v>-1.0388522967938956</v>
      </c>
      <c r="E390" s="32">
        <v>-1.0440544627538182</v>
      </c>
      <c r="F390" s="24">
        <v>376707</v>
      </c>
      <c r="G390" s="52" t="s">
        <v>2</v>
      </c>
      <c r="H390" s="32">
        <v>22.082062901663821</v>
      </c>
      <c r="I390" s="32">
        <v>11.870989138985907</v>
      </c>
      <c r="J390" s="12" t="s">
        <v>2704</v>
      </c>
      <c r="K390" s="15" t="s">
        <v>2705</v>
      </c>
      <c r="L390" s="14" t="s">
        <v>5238</v>
      </c>
      <c r="M390" s="12" t="s">
        <v>2706</v>
      </c>
      <c r="N390" s="15" t="s">
        <v>2707</v>
      </c>
      <c r="O390" s="12" t="s">
        <v>2708</v>
      </c>
      <c r="P390" s="12" t="s">
        <v>2715</v>
      </c>
      <c r="Q390" s="14">
        <v>2</v>
      </c>
      <c r="R390" s="21">
        <v>524.81110000000001</v>
      </c>
      <c r="S390" s="14">
        <v>4</v>
      </c>
      <c r="T390" s="52" t="s">
        <v>2</v>
      </c>
      <c r="U390" s="53">
        <v>51.239400000000003</v>
      </c>
      <c r="V390" s="24">
        <v>281422</v>
      </c>
      <c r="W390" s="24">
        <v>239657</v>
      </c>
      <c r="X390" s="24">
        <v>300274</v>
      </c>
      <c r="Y390" s="24">
        <v>336989</v>
      </c>
      <c r="Z390" s="24">
        <v>263363</v>
      </c>
      <c r="AA390" s="24">
        <v>262372</v>
      </c>
      <c r="AB390" s="24">
        <v>408328</v>
      </c>
      <c r="AC390" s="24">
        <v>345086</v>
      </c>
      <c r="AD390" s="24">
        <v>289585.5</v>
      </c>
      <c r="AE390" s="24">
        <v>319787.25</v>
      </c>
      <c r="AF390" s="24">
        <v>260539.5</v>
      </c>
      <c r="AG390" s="24">
        <v>318631.5</v>
      </c>
      <c r="AH390" s="24">
        <v>262867.5</v>
      </c>
      <c r="AI390" s="24">
        <v>376707</v>
      </c>
      <c r="AJ390" s="32">
        <v>13.985625798844431</v>
      </c>
      <c r="AK390" s="32">
        <v>22.082062901663821</v>
      </c>
      <c r="AL390" s="32">
        <v>11.335062328843096</v>
      </c>
      <c r="AM390" s="32">
        <v>8.1477899929115907</v>
      </c>
      <c r="AN390" s="32">
        <v>0.26657643875940107</v>
      </c>
      <c r="AO390" s="32">
        <v>11.870989138985907</v>
      </c>
      <c r="AP390" s="19">
        <v>1.1042930326276696</v>
      </c>
      <c r="AQ390" s="19">
        <v>1.0089353053951513</v>
      </c>
      <c r="AR390" s="19">
        <v>1.1822654069042138</v>
      </c>
      <c r="AS390" s="19">
        <v>0.14312305311510953</v>
      </c>
      <c r="AT390" s="19">
        <v>1.2833669411655996E-2</v>
      </c>
      <c r="AU390" s="19">
        <v>0.24155394265803368</v>
      </c>
      <c r="AV390" s="19">
        <v>-5.4566499570991023E-2</v>
      </c>
      <c r="AW390" s="19">
        <v>-5.4990547571493714E-2</v>
      </c>
      <c r="AX390" s="19">
        <v>-6.2196971577759247E-2</v>
      </c>
      <c r="AY390" s="19">
        <v>1.1042930326276696</v>
      </c>
      <c r="AZ390" s="19">
        <v>1.0089353053951513</v>
      </c>
      <c r="BA390" s="19">
        <v>1.1822654069042138</v>
      </c>
      <c r="BB390" s="19">
        <v>-1.0385469942232579</v>
      </c>
      <c r="BC390" s="19">
        <v>-1.0388522967938956</v>
      </c>
      <c r="BD390" s="19">
        <v>-1.0440544627538182</v>
      </c>
      <c r="BE390" s="14" t="s">
        <v>4857</v>
      </c>
    </row>
    <row r="391" spans="1:57" s="30" customFormat="1" ht="17.100000000000001" customHeight="1">
      <c r="A391" s="14">
        <v>380</v>
      </c>
      <c r="B391" s="14" t="s">
        <v>2716</v>
      </c>
      <c r="C391" s="32">
        <v>1.1490820495169372</v>
      </c>
      <c r="D391" s="32">
        <v>1.0943451164173352</v>
      </c>
      <c r="E391" s="32">
        <v>1.2016110694988789</v>
      </c>
      <c r="F391" s="24">
        <v>1134620</v>
      </c>
      <c r="G391" s="52" t="s">
        <v>2</v>
      </c>
      <c r="H391" s="32">
        <v>18.901315968800382</v>
      </c>
      <c r="I391" s="32">
        <v>20.858705821089252</v>
      </c>
      <c r="J391" s="12" t="s">
        <v>2717</v>
      </c>
      <c r="K391" s="12" t="s">
        <v>2718</v>
      </c>
      <c r="L391" s="14" t="s">
        <v>5295</v>
      </c>
      <c r="M391" s="12" t="s">
        <v>2719</v>
      </c>
      <c r="N391" s="15" t="s">
        <v>2720</v>
      </c>
      <c r="O391" s="12" t="s">
        <v>2721</v>
      </c>
      <c r="P391" s="12" t="s">
        <v>2723</v>
      </c>
      <c r="Q391" s="14">
        <v>2</v>
      </c>
      <c r="R391" s="21">
        <v>682.86210000000005</v>
      </c>
      <c r="S391" s="14">
        <v>17</v>
      </c>
      <c r="T391" s="52" t="s">
        <v>2</v>
      </c>
      <c r="U391" s="53">
        <v>44.355237500000001</v>
      </c>
      <c r="V391" s="24">
        <v>803148</v>
      </c>
      <c r="W391" s="24">
        <v>678047</v>
      </c>
      <c r="X391" s="24">
        <v>652148</v>
      </c>
      <c r="Y391" s="24">
        <v>877806</v>
      </c>
      <c r="Z391" s="24">
        <v>758944</v>
      </c>
      <c r="AA391" s="24">
        <v>940018</v>
      </c>
      <c r="AB391" s="24">
        <v>1072240</v>
      </c>
      <c r="AC391" s="24">
        <v>1197000</v>
      </c>
      <c r="AD391" s="24">
        <v>752787.25</v>
      </c>
      <c r="AE391" s="24">
        <v>992050.5</v>
      </c>
      <c r="AF391" s="24">
        <v>740597.5</v>
      </c>
      <c r="AG391" s="24">
        <v>764977</v>
      </c>
      <c r="AH391" s="24">
        <v>849481</v>
      </c>
      <c r="AI391" s="24">
        <v>1134620</v>
      </c>
      <c r="AJ391" s="32">
        <v>14.116936568195202</v>
      </c>
      <c r="AK391" s="32">
        <v>18.901315968800382</v>
      </c>
      <c r="AL391" s="32">
        <v>11.944378077595223</v>
      </c>
      <c r="AM391" s="32">
        <v>20.858705821089252</v>
      </c>
      <c r="AN391" s="32">
        <v>15.07257411249609</v>
      </c>
      <c r="AO391" s="32">
        <v>7.7751707197858009</v>
      </c>
      <c r="AP391" s="19">
        <v>1.3178364803601548</v>
      </c>
      <c r="AQ391" s="19">
        <v>1.1470211552158898</v>
      </c>
      <c r="AR391" s="19">
        <v>1.4832079918742656</v>
      </c>
      <c r="AS391" s="19">
        <v>0.39817136912524931</v>
      </c>
      <c r="AT391" s="19">
        <v>0.19789200011014335</v>
      </c>
      <c r="AU391" s="19">
        <v>0.56872092267796071</v>
      </c>
      <c r="AV391" s="19">
        <v>0.20048181643914875</v>
      </c>
      <c r="AW391" s="19">
        <v>0.13006778312699363</v>
      </c>
      <c r="AX391" s="19">
        <v>0.26497000844216778</v>
      </c>
      <c r="AY391" s="19">
        <v>1.3178364803601548</v>
      </c>
      <c r="AZ391" s="19">
        <v>1.1470211552158898</v>
      </c>
      <c r="BA391" s="19">
        <v>1.4832079918742656</v>
      </c>
      <c r="BB391" s="19">
        <v>1.1490820495169372</v>
      </c>
      <c r="BC391" s="19">
        <v>1.0943451164173352</v>
      </c>
      <c r="BD391" s="19">
        <v>1.2016110694988789</v>
      </c>
      <c r="BE391" s="14" t="s">
        <v>4857</v>
      </c>
    </row>
    <row r="392" spans="1:57" s="30" customFormat="1" ht="17.100000000000001" customHeight="1">
      <c r="A392" s="14">
        <v>381</v>
      </c>
      <c r="B392" s="14" t="s">
        <v>2725</v>
      </c>
      <c r="C392" s="32">
        <v>-1.2407386936563489</v>
      </c>
      <c r="D392" s="32">
        <v>-1.4567206608430174</v>
      </c>
      <c r="E392" s="32">
        <v>-1.1227379585601789</v>
      </c>
      <c r="F392" s="24">
        <v>158701.5</v>
      </c>
      <c r="G392" s="52" t="s">
        <v>2</v>
      </c>
      <c r="H392" s="32">
        <v>32.660642056619501</v>
      </c>
      <c r="I392" s="32">
        <v>6.9651865908504726</v>
      </c>
      <c r="J392" s="12" t="s">
        <v>2726</v>
      </c>
      <c r="K392" s="12" t="s">
        <v>2727</v>
      </c>
      <c r="L392" s="14" t="s">
        <v>5019</v>
      </c>
      <c r="M392" s="12" t="s">
        <v>2728</v>
      </c>
      <c r="N392" s="15" t="s">
        <v>2729</v>
      </c>
      <c r="O392" s="12" t="s">
        <v>2602</v>
      </c>
      <c r="P392" s="12" t="s">
        <v>2603</v>
      </c>
      <c r="Q392" s="14">
        <v>3</v>
      </c>
      <c r="R392" s="21">
        <v>468.9246</v>
      </c>
      <c r="S392" s="14">
        <v>1</v>
      </c>
      <c r="T392" s="52" t="s">
        <v>2</v>
      </c>
      <c r="U392" s="53">
        <v>52.617887499999995</v>
      </c>
      <c r="V392" s="24">
        <v>127850</v>
      </c>
      <c r="W392" s="24">
        <v>118924</v>
      </c>
      <c r="X392" s="24">
        <v>151461</v>
      </c>
      <c r="Y392" s="24">
        <v>137242</v>
      </c>
      <c r="Z392" s="24">
        <v>90081</v>
      </c>
      <c r="AA392" s="24">
        <v>87477</v>
      </c>
      <c r="AB392" s="24">
        <v>160627</v>
      </c>
      <c r="AC392" s="24">
        <v>156776</v>
      </c>
      <c r="AD392" s="24">
        <v>133869.25</v>
      </c>
      <c r="AE392" s="24">
        <v>123740.25</v>
      </c>
      <c r="AF392" s="24">
        <v>123387</v>
      </c>
      <c r="AG392" s="24">
        <v>144351.5</v>
      </c>
      <c r="AH392" s="24">
        <v>88779</v>
      </c>
      <c r="AI392" s="24">
        <v>158701.5</v>
      </c>
      <c r="AJ392" s="32">
        <v>10.39049119848746</v>
      </c>
      <c r="AK392" s="32">
        <v>32.660642056619501</v>
      </c>
      <c r="AL392" s="32">
        <v>5.1153161426010225</v>
      </c>
      <c r="AM392" s="32">
        <v>6.9651865908504726</v>
      </c>
      <c r="AN392" s="32">
        <v>2.0740333392015793</v>
      </c>
      <c r="AO392" s="32">
        <v>1.7158427704523238</v>
      </c>
      <c r="AP392" s="19">
        <v>0.92433661949999724</v>
      </c>
      <c r="AQ392" s="19">
        <v>0.71951664275815119</v>
      </c>
      <c r="AR392" s="19">
        <v>1.0994101204351878</v>
      </c>
      <c r="AS392" s="19">
        <v>-0.11350975531968728</v>
      </c>
      <c r="AT392" s="19">
        <v>-0.4749000373214235</v>
      </c>
      <c r="AU392" s="19">
        <v>0.13672966503629708</v>
      </c>
      <c r="AV392" s="19">
        <v>-0.31119930800578782</v>
      </c>
      <c r="AW392" s="19">
        <v>-0.54272425430457316</v>
      </c>
      <c r="AX392" s="19">
        <v>-0.16702124919949585</v>
      </c>
      <c r="AY392" s="19">
        <v>-1.0818569543863052</v>
      </c>
      <c r="AZ392" s="19">
        <v>-1.3898219173453181</v>
      </c>
      <c r="BA392" s="19">
        <v>1.0994101204351878</v>
      </c>
      <c r="BB392" s="19">
        <v>-1.2407386936563489</v>
      </c>
      <c r="BC392" s="19">
        <v>-1.4567206608430174</v>
      </c>
      <c r="BD392" s="19">
        <v>-1.1227379585601789</v>
      </c>
      <c r="BE392" s="14" t="s">
        <v>4857</v>
      </c>
    </row>
    <row r="393" spans="1:57" s="30" customFormat="1" ht="17.100000000000001" customHeight="1">
      <c r="A393" s="14">
        <v>382</v>
      </c>
      <c r="B393" s="14" t="s">
        <v>2604</v>
      </c>
      <c r="C393" s="32">
        <v>-1.221898335806243</v>
      </c>
      <c r="D393" s="32">
        <v>-1.3338216700455714</v>
      </c>
      <c r="E393" s="32">
        <v>-1.1202920263099234</v>
      </c>
      <c r="F393" s="24">
        <v>76285.5</v>
      </c>
      <c r="G393" s="52" t="s">
        <v>2</v>
      </c>
      <c r="H393" s="32">
        <v>17.243898666573521</v>
      </c>
      <c r="I393" s="32">
        <v>13.987155315228591</v>
      </c>
      <c r="J393" s="12" t="s">
        <v>2605</v>
      </c>
      <c r="K393" s="12" t="s">
        <v>2606</v>
      </c>
      <c r="L393" s="14" t="s">
        <v>5061</v>
      </c>
      <c r="M393" s="12" t="s">
        <v>2607</v>
      </c>
      <c r="N393" s="15" t="s">
        <v>2608</v>
      </c>
      <c r="O393" s="12" t="s">
        <v>2609</v>
      </c>
      <c r="P393" s="12" t="s">
        <v>2610</v>
      </c>
      <c r="Q393" s="14">
        <v>2</v>
      </c>
      <c r="R393" s="21">
        <v>529.3057</v>
      </c>
      <c r="S393" s="14">
        <v>5</v>
      </c>
      <c r="T393" s="52" t="s">
        <v>2</v>
      </c>
      <c r="U393" s="53">
        <v>40.778775000000003</v>
      </c>
      <c r="V393" s="24">
        <v>70098</v>
      </c>
      <c r="W393" s="24">
        <v>77843</v>
      </c>
      <c r="X393" s="24">
        <v>64085</v>
      </c>
      <c r="Y393" s="24">
        <v>74388</v>
      </c>
      <c r="Z393" s="24">
        <v>52378</v>
      </c>
      <c r="AA393" s="24">
        <v>63876</v>
      </c>
      <c r="AB393" s="24">
        <v>78167</v>
      </c>
      <c r="AC393" s="24">
        <v>74404</v>
      </c>
      <c r="AD393" s="24">
        <v>71603.5</v>
      </c>
      <c r="AE393" s="24">
        <v>67206.25</v>
      </c>
      <c r="AF393" s="24">
        <v>73970.5</v>
      </c>
      <c r="AG393" s="24">
        <v>69236.5</v>
      </c>
      <c r="AH393" s="24">
        <v>58127</v>
      </c>
      <c r="AI393" s="24">
        <v>76285.5</v>
      </c>
      <c r="AJ393" s="32">
        <v>8.2811085869952343</v>
      </c>
      <c r="AK393" s="32">
        <v>17.243898666573521</v>
      </c>
      <c r="AL393" s="32">
        <v>7.4036839284441909</v>
      </c>
      <c r="AM393" s="32">
        <v>10.522370666577597</v>
      </c>
      <c r="AN393" s="32">
        <v>13.987155315228591</v>
      </c>
      <c r="AO393" s="32">
        <v>3.4880060006226321</v>
      </c>
      <c r="AP393" s="19">
        <v>0.93858889579420002</v>
      </c>
      <c r="AQ393" s="19">
        <v>0.7858132633955428</v>
      </c>
      <c r="AR393" s="19">
        <v>1.1018104612451525</v>
      </c>
      <c r="AS393" s="19">
        <v>-9.143470257723188E-2</v>
      </c>
      <c r="AT393" s="19">
        <v>-0.34774157627186714</v>
      </c>
      <c r="AU393" s="19">
        <v>0.1398760658871738</v>
      </c>
      <c r="AV393" s="19">
        <v>-0.28912425526333241</v>
      </c>
      <c r="AW393" s="19">
        <v>-0.41556579325501686</v>
      </c>
      <c r="AX393" s="19">
        <v>-0.16387484834861912</v>
      </c>
      <c r="AY393" s="19">
        <v>-1.0654291825537059</v>
      </c>
      <c r="AZ393" s="19">
        <v>-1.2725669654377485</v>
      </c>
      <c r="BA393" s="19">
        <v>1.1018104612451525</v>
      </c>
      <c r="BB393" s="19">
        <v>-1.221898335806243</v>
      </c>
      <c r="BC393" s="19">
        <v>-1.3338216700455714</v>
      </c>
      <c r="BD393" s="19">
        <v>-1.1202920263099234</v>
      </c>
      <c r="BE393" s="14" t="s">
        <v>4857</v>
      </c>
    </row>
    <row r="394" spans="1:57" s="30" customFormat="1" ht="17.100000000000001" customHeight="1">
      <c r="A394" s="14">
        <v>383</v>
      </c>
      <c r="B394" s="14" t="s">
        <v>2613</v>
      </c>
      <c r="C394" s="32">
        <v>-1.0116685828072109</v>
      </c>
      <c r="D394" s="32">
        <v>1.0088659708356993</v>
      </c>
      <c r="E394" s="32">
        <v>-1.0250075088630901</v>
      </c>
      <c r="F394" s="24">
        <v>1817485</v>
      </c>
      <c r="G394" s="52" t="s">
        <v>2</v>
      </c>
      <c r="H394" s="32">
        <v>15.902204241986787</v>
      </c>
      <c r="I394" s="32">
        <v>13.454009029076994</v>
      </c>
      <c r="J394" s="12" t="s">
        <v>2605</v>
      </c>
      <c r="K394" s="12" t="s">
        <v>2606</v>
      </c>
      <c r="L394" s="14" t="s">
        <v>5251</v>
      </c>
      <c r="M394" s="12" t="s">
        <v>2607</v>
      </c>
      <c r="N394" s="15" t="s">
        <v>2608</v>
      </c>
      <c r="O394" s="12" t="s">
        <v>2609</v>
      </c>
      <c r="P394" s="12" t="s">
        <v>2612</v>
      </c>
      <c r="Q394" s="14">
        <v>3</v>
      </c>
      <c r="R394" s="21">
        <v>565.30550000000005</v>
      </c>
      <c r="S394" s="14">
        <v>9</v>
      </c>
      <c r="T394" s="52" t="s">
        <v>2</v>
      </c>
      <c r="U394" s="53">
        <v>59.783337499999995</v>
      </c>
      <c r="V394" s="24">
        <v>1520000</v>
      </c>
      <c r="W394" s="24">
        <v>1276570</v>
      </c>
      <c r="X394" s="24">
        <v>1485140</v>
      </c>
      <c r="Y394" s="24">
        <v>1533350</v>
      </c>
      <c r="Z394" s="24">
        <v>1353280</v>
      </c>
      <c r="AA394" s="24">
        <v>1603890</v>
      </c>
      <c r="AB394" s="24">
        <v>1990390</v>
      </c>
      <c r="AC394" s="24">
        <v>1644580</v>
      </c>
      <c r="AD394" s="24">
        <v>1453765</v>
      </c>
      <c r="AE394" s="24">
        <v>1648035</v>
      </c>
      <c r="AF394" s="24">
        <v>1398285</v>
      </c>
      <c r="AG394" s="24">
        <v>1509245</v>
      </c>
      <c r="AH394" s="24">
        <v>1478585</v>
      </c>
      <c r="AI394" s="24">
        <v>1817485</v>
      </c>
      <c r="AJ394" s="32">
        <v>8.2451859608443723</v>
      </c>
      <c r="AK394" s="32">
        <v>15.902204241986787</v>
      </c>
      <c r="AL394" s="32">
        <v>12.310151631766146</v>
      </c>
      <c r="AM394" s="32">
        <v>2.258719950770316</v>
      </c>
      <c r="AN394" s="32">
        <v>11.984974176875911</v>
      </c>
      <c r="AO394" s="32">
        <v>13.454009029076994</v>
      </c>
      <c r="AP394" s="19">
        <v>1.1336323270955071</v>
      </c>
      <c r="AQ394" s="19">
        <v>1.0574274915342723</v>
      </c>
      <c r="AR394" s="19">
        <v>1.2042345676149333</v>
      </c>
      <c r="AS394" s="19">
        <v>0.18095280440190764</v>
      </c>
      <c r="AT394" s="19">
        <v>8.055874023378265E-2</v>
      </c>
      <c r="AU394" s="19">
        <v>0.26811643576374161</v>
      </c>
      <c r="AV394" s="19">
        <v>-1.6736748284192915E-2</v>
      </c>
      <c r="AW394" s="19">
        <v>1.2734523250632943E-2</v>
      </c>
      <c r="AX394" s="19">
        <v>-3.5634478472051312E-2</v>
      </c>
      <c r="AY394" s="19">
        <v>1.1336323270955071</v>
      </c>
      <c r="AZ394" s="19">
        <v>1.0574274915342723</v>
      </c>
      <c r="BA394" s="19">
        <v>1.2042345676149333</v>
      </c>
      <c r="BB394" s="19">
        <v>-1.0116685828072109</v>
      </c>
      <c r="BC394" s="19">
        <v>1.0088659708356993</v>
      </c>
      <c r="BD394" s="19">
        <v>-1.0250075088630901</v>
      </c>
      <c r="BE394" s="14" t="s">
        <v>4857</v>
      </c>
    </row>
    <row r="395" spans="1:57" s="30" customFormat="1" ht="17.100000000000001" customHeight="1">
      <c r="A395" s="14">
        <v>384</v>
      </c>
      <c r="B395" s="14" t="s">
        <v>2614</v>
      </c>
      <c r="C395" s="32">
        <v>-1.2564276484229167</v>
      </c>
      <c r="D395" s="32">
        <v>-1.107064295368396</v>
      </c>
      <c r="E395" s="32">
        <v>-1.3926905152095401</v>
      </c>
      <c r="F395" s="24">
        <v>231643</v>
      </c>
      <c r="G395" s="52" t="s">
        <v>2</v>
      </c>
      <c r="H395" s="32">
        <v>14.688787502288008</v>
      </c>
      <c r="I395" s="32">
        <v>10.908404492794084</v>
      </c>
      <c r="J395" s="12" t="s">
        <v>2615</v>
      </c>
      <c r="K395" s="12" t="s">
        <v>2616</v>
      </c>
      <c r="L395" s="14" t="s">
        <v>5041</v>
      </c>
      <c r="M395" s="12" t="s">
        <v>2617</v>
      </c>
      <c r="N395" s="15" t="s">
        <v>2618</v>
      </c>
      <c r="O395" s="12" t="s">
        <v>2619</v>
      </c>
      <c r="P395" s="12" t="s">
        <v>2620</v>
      </c>
      <c r="Q395" s="14">
        <v>2</v>
      </c>
      <c r="R395" s="21">
        <v>572.27880000000005</v>
      </c>
      <c r="S395" s="14">
        <v>2</v>
      </c>
      <c r="T395" s="52" t="s">
        <v>2</v>
      </c>
      <c r="U395" s="53">
        <v>41.603774999999999</v>
      </c>
      <c r="V395" s="24">
        <v>176453</v>
      </c>
      <c r="W395" s="24">
        <v>184750</v>
      </c>
      <c r="X395" s="24">
        <v>224213</v>
      </c>
      <c r="Y395" s="24">
        <v>239073</v>
      </c>
      <c r="Z395" s="24">
        <v>184177</v>
      </c>
      <c r="AA395" s="24">
        <v>157799</v>
      </c>
      <c r="AB395" s="24">
        <v>197752</v>
      </c>
      <c r="AC395" s="24">
        <v>212861</v>
      </c>
      <c r="AD395" s="24">
        <v>206122.25</v>
      </c>
      <c r="AE395" s="24">
        <v>188147.25</v>
      </c>
      <c r="AF395" s="24">
        <v>180601.5</v>
      </c>
      <c r="AG395" s="24">
        <v>231643</v>
      </c>
      <c r="AH395" s="24">
        <v>170988</v>
      </c>
      <c r="AI395" s="24">
        <v>205306.5</v>
      </c>
      <c r="AJ395" s="32">
        <v>14.688787502288008</v>
      </c>
      <c r="AK395" s="32">
        <v>12.426159261613371</v>
      </c>
      <c r="AL395" s="32">
        <v>3.2485139733085191</v>
      </c>
      <c r="AM395" s="32">
        <v>4.5361210001735843</v>
      </c>
      <c r="AN395" s="32">
        <v>10.908404492794084</v>
      </c>
      <c r="AO395" s="32">
        <v>5.2037691728939643</v>
      </c>
      <c r="AP395" s="19">
        <v>0.91279447027188965</v>
      </c>
      <c r="AQ395" s="19">
        <v>0.94676954510344602</v>
      </c>
      <c r="AR395" s="19">
        <v>0.88630565136870099</v>
      </c>
      <c r="AS395" s="19">
        <v>-0.13163804311121338</v>
      </c>
      <c r="AT395" s="19">
        <v>-7.8914795484551797E-2</v>
      </c>
      <c r="AU395" s="19">
        <v>-0.17412378248393659</v>
      </c>
      <c r="AV395" s="19">
        <v>-0.32932759579731397</v>
      </c>
      <c r="AW395" s="19">
        <v>-0.14673901246770149</v>
      </c>
      <c r="AX395" s="19">
        <v>-0.47787469671972949</v>
      </c>
      <c r="AY395" s="19">
        <v>-1.0955368733797597</v>
      </c>
      <c r="AZ395" s="19">
        <v>-1.0562232437364025</v>
      </c>
      <c r="BA395" s="19">
        <v>-1.1282789390496648</v>
      </c>
      <c r="BB395" s="19">
        <v>-1.2564276484229167</v>
      </c>
      <c r="BC395" s="19">
        <v>-1.107064295368396</v>
      </c>
      <c r="BD395" s="19">
        <v>-1.3926905152095401</v>
      </c>
      <c r="BE395" s="14" t="s">
        <v>4857</v>
      </c>
    </row>
    <row r="396" spans="1:57" s="30" customFormat="1" ht="17.100000000000001" customHeight="1">
      <c r="A396" s="14">
        <v>385</v>
      </c>
      <c r="B396" s="14" t="s">
        <v>2621</v>
      </c>
      <c r="C396" s="32">
        <v>-1.2461896974462621</v>
      </c>
      <c r="D396" s="32">
        <v>-1.1533619046260961</v>
      </c>
      <c r="E396" s="32">
        <v>-1.3290092326550407</v>
      </c>
      <c r="F396" s="24">
        <v>42449.5</v>
      </c>
      <c r="G396" s="52" t="s">
        <v>2</v>
      </c>
      <c r="H396" s="32">
        <v>25.751827975463033</v>
      </c>
      <c r="I396" s="32">
        <v>37.435198086835122</v>
      </c>
      <c r="J396" s="12" t="s">
        <v>2622</v>
      </c>
      <c r="K396" s="12" t="s">
        <v>2623</v>
      </c>
      <c r="L396" s="14" t="s">
        <v>4970</v>
      </c>
      <c r="M396" s="12" t="s">
        <v>2624</v>
      </c>
      <c r="N396" s="15" t="s">
        <v>2625</v>
      </c>
      <c r="O396" s="12" t="s">
        <v>2626</v>
      </c>
      <c r="P396" s="12" t="s">
        <v>2627</v>
      </c>
      <c r="Q396" s="14">
        <v>2</v>
      </c>
      <c r="R396" s="21">
        <v>433.72570000000002</v>
      </c>
      <c r="S396" s="14">
        <v>2</v>
      </c>
      <c r="T396" s="52" t="s">
        <v>2</v>
      </c>
      <c r="U396" s="53">
        <v>30.578050000000001</v>
      </c>
      <c r="V396" s="24">
        <v>39493</v>
      </c>
      <c r="W396" s="24">
        <v>22961</v>
      </c>
      <c r="X396" s="24">
        <v>40528</v>
      </c>
      <c r="Y396" s="24">
        <v>44371</v>
      </c>
      <c r="Z396" s="24">
        <v>30272</v>
      </c>
      <c r="AA396" s="24">
        <v>26484</v>
      </c>
      <c r="AB396" s="24">
        <v>44583</v>
      </c>
      <c r="AC396" s="24">
        <v>34269</v>
      </c>
      <c r="AD396" s="24">
        <v>36838.25</v>
      </c>
      <c r="AE396" s="24">
        <v>33902</v>
      </c>
      <c r="AF396" s="24">
        <v>31227</v>
      </c>
      <c r="AG396" s="24">
        <v>42449.5</v>
      </c>
      <c r="AH396" s="24">
        <v>28378</v>
      </c>
      <c r="AI396" s="24">
        <v>39426</v>
      </c>
      <c r="AJ396" s="32">
        <v>25.751827975463033</v>
      </c>
      <c r="AK396" s="32">
        <v>23.001319342126607</v>
      </c>
      <c r="AL396" s="32">
        <v>37.435198086835122</v>
      </c>
      <c r="AM396" s="32">
        <v>6.4015155893471123</v>
      </c>
      <c r="AN396" s="32">
        <v>9.4387218519086691</v>
      </c>
      <c r="AO396" s="32">
        <v>18.498197486831156</v>
      </c>
      <c r="AP396" s="19">
        <v>0.92029344499263677</v>
      </c>
      <c r="AQ396" s="19">
        <v>0.9087648509302847</v>
      </c>
      <c r="AR396" s="19">
        <v>0.92877419050872212</v>
      </c>
      <c r="AS396" s="19">
        <v>-0.11983414226828486</v>
      </c>
      <c r="AT396" s="19">
        <v>-0.13802105930667591</v>
      </c>
      <c r="AU396" s="19">
        <v>-0.10660021284584481</v>
      </c>
      <c r="AV396" s="19">
        <v>-0.31752369495438543</v>
      </c>
      <c r="AW396" s="19">
        <v>-0.20584527628982563</v>
      </c>
      <c r="AX396" s="19">
        <v>-0.41035112708163773</v>
      </c>
      <c r="AY396" s="19">
        <v>-1.0866099345171376</v>
      </c>
      <c r="AZ396" s="19">
        <v>-1.100394671928959</v>
      </c>
      <c r="BA396" s="19">
        <v>-1.0766879724039973</v>
      </c>
      <c r="BB396" s="19">
        <v>-1.2461896974462621</v>
      </c>
      <c r="BC396" s="19">
        <v>-1.1533619046260961</v>
      </c>
      <c r="BD396" s="19">
        <v>-1.3290092326550407</v>
      </c>
      <c r="BE396" s="14" t="s">
        <v>4857</v>
      </c>
    </row>
    <row r="397" spans="1:57" s="30" customFormat="1" ht="17.100000000000001" customHeight="1">
      <c r="A397" s="14">
        <v>386</v>
      </c>
      <c r="B397" s="14" t="s">
        <v>2628</v>
      </c>
      <c r="C397" s="32">
        <v>1.0406180244430661</v>
      </c>
      <c r="D397" s="32">
        <v>1.1318976514022077</v>
      </c>
      <c r="E397" s="32">
        <v>-1.0293333861148903</v>
      </c>
      <c r="F397" s="24">
        <v>865042.5</v>
      </c>
      <c r="G397" s="52" t="s">
        <v>2</v>
      </c>
      <c r="H397" s="32">
        <v>15.970250311650465</v>
      </c>
      <c r="I397" s="32">
        <v>15.94065863467792</v>
      </c>
      <c r="J397" s="15" t="s">
        <v>2629</v>
      </c>
      <c r="K397" s="15" t="s">
        <v>2630</v>
      </c>
      <c r="L397" s="14" t="s">
        <v>5250</v>
      </c>
      <c r="M397" s="12" t="s">
        <v>2631</v>
      </c>
      <c r="N397" s="15" t="s">
        <v>2632</v>
      </c>
      <c r="O397" s="12" t="s">
        <v>2633</v>
      </c>
      <c r="P397" s="12" t="s">
        <v>2635</v>
      </c>
      <c r="Q397" s="14">
        <v>2</v>
      </c>
      <c r="R397" s="21">
        <v>554.2645</v>
      </c>
      <c r="S397" s="14">
        <v>2</v>
      </c>
      <c r="T397" s="52" t="s">
        <v>2</v>
      </c>
      <c r="U397" s="53">
        <v>57.654250000000005</v>
      </c>
      <c r="V397" s="24">
        <v>587878</v>
      </c>
      <c r="W397" s="24">
        <v>582760</v>
      </c>
      <c r="X397" s="24">
        <v>802676</v>
      </c>
      <c r="Y397" s="24">
        <v>640055</v>
      </c>
      <c r="Z397" s="24">
        <v>668834</v>
      </c>
      <c r="AA397" s="24">
        <v>719989</v>
      </c>
      <c r="AB397" s="24">
        <v>775333</v>
      </c>
      <c r="AC397" s="24">
        <v>954752</v>
      </c>
      <c r="AD397" s="24">
        <v>653342.25</v>
      </c>
      <c r="AE397" s="24">
        <v>779727</v>
      </c>
      <c r="AF397" s="24">
        <v>585319</v>
      </c>
      <c r="AG397" s="24">
        <v>721365.5</v>
      </c>
      <c r="AH397" s="24">
        <v>694411.5</v>
      </c>
      <c r="AI397" s="24">
        <v>865042.5</v>
      </c>
      <c r="AJ397" s="32">
        <v>15.744655453165453</v>
      </c>
      <c r="AK397" s="32">
        <v>15.970250311650465</v>
      </c>
      <c r="AL397" s="32">
        <v>0.61829062547307545</v>
      </c>
      <c r="AM397" s="32">
        <v>15.94065863467792</v>
      </c>
      <c r="AN397" s="32">
        <v>5.209021940390941</v>
      </c>
      <c r="AO397" s="32">
        <v>14.666145486922225</v>
      </c>
      <c r="AP397" s="19">
        <v>1.1934434058106604</v>
      </c>
      <c r="AQ397" s="19">
        <v>1.1863812724343477</v>
      </c>
      <c r="AR397" s="19">
        <v>1.199173650528061</v>
      </c>
      <c r="AS397" s="19">
        <v>0.25513015410951922</v>
      </c>
      <c r="AT397" s="19">
        <v>0.24656772949036282</v>
      </c>
      <c r="AU397" s="19">
        <v>0.26204058837327893</v>
      </c>
      <c r="AV397" s="19">
        <v>5.7440601423418669E-2</v>
      </c>
      <c r="AW397" s="19">
        <v>0.1787435125072131</v>
      </c>
      <c r="AX397" s="19">
        <v>-4.1710325862513997E-2</v>
      </c>
      <c r="AY397" s="19">
        <v>1.1934434058106604</v>
      </c>
      <c r="AZ397" s="19">
        <v>1.1863812724343477</v>
      </c>
      <c r="BA397" s="19">
        <v>1.199173650528061</v>
      </c>
      <c r="BB397" s="19">
        <v>1.0406180244430661</v>
      </c>
      <c r="BC397" s="19">
        <v>1.1318976514022077</v>
      </c>
      <c r="BD397" s="19">
        <v>-1.0293333861148903</v>
      </c>
      <c r="BE397" s="14" t="s">
        <v>4857</v>
      </c>
    </row>
    <row r="398" spans="1:57" s="30" customFormat="1" ht="17.100000000000001" customHeight="1">
      <c r="A398" s="14">
        <v>387</v>
      </c>
      <c r="B398" s="14" t="s">
        <v>2638</v>
      </c>
      <c r="C398" s="32">
        <v>-1.2639669427295182</v>
      </c>
      <c r="D398" s="32">
        <v>1.024813383589716</v>
      </c>
      <c r="E398" s="32">
        <v>-1.5347386642537861</v>
      </c>
      <c r="F398" s="40">
        <v>1966774</v>
      </c>
      <c r="G398" s="52" t="s">
        <v>4894</v>
      </c>
      <c r="H398" s="32">
        <v>28.48389084562325</v>
      </c>
      <c r="I398" s="32">
        <v>19.896944446391931</v>
      </c>
      <c r="J398" s="15" t="s">
        <v>2639</v>
      </c>
      <c r="K398" s="15" t="s">
        <v>2640</v>
      </c>
      <c r="L398" s="14" t="s">
        <v>2641</v>
      </c>
      <c r="M398" s="12" t="s">
        <v>2631</v>
      </c>
      <c r="N398" s="15" t="s">
        <v>2642</v>
      </c>
      <c r="O398" s="12" t="s">
        <v>2633</v>
      </c>
      <c r="P398" s="12" t="s">
        <v>2644</v>
      </c>
      <c r="Q398" s="14">
        <v>4</v>
      </c>
      <c r="R398" s="21">
        <v>794.64700000000005</v>
      </c>
      <c r="S398" s="14">
        <v>4</v>
      </c>
      <c r="T398" s="52" t="s">
        <v>4894</v>
      </c>
      <c r="U398" s="53">
        <v>54.081975</v>
      </c>
      <c r="V398" s="40">
        <v>1195413</v>
      </c>
      <c r="W398" s="40">
        <v>1235486</v>
      </c>
      <c r="X398" s="40">
        <v>1807231</v>
      </c>
      <c r="Y398" s="40">
        <v>2126317</v>
      </c>
      <c r="Z398" s="40">
        <v>1286284</v>
      </c>
      <c r="AA398" s="40">
        <v>1324848</v>
      </c>
      <c r="AB398" s="40">
        <v>1804375</v>
      </c>
      <c r="AC398" s="40">
        <v>1359273</v>
      </c>
      <c r="AD398" s="40">
        <v>1591111.75</v>
      </c>
      <c r="AE398" s="40">
        <v>1443695</v>
      </c>
      <c r="AF398" s="40">
        <v>1215449.5</v>
      </c>
      <c r="AG398" s="40">
        <v>1966774</v>
      </c>
      <c r="AH398" s="40">
        <v>1305566</v>
      </c>
      <c r="AI398" s="40">
        <v>1581824</v>
      </c>
      <c r="AJ398" s="32">
        <v>28.48389084562325</v>
      </c>
      <c r="AK398" s="32">
        <v>16.782946888941925</v>
      </c>
      <c r="AL398" s="32">
        <v>2.3313095313699597</v>
      </c>
      <c r="AM398" s="32">
        <v>11.471977684354719</v>
      </c>
      <c r="AN398" s="32">
        <v>2.0886623816550078</v>
      </c>
      <c r="AO398" s="32">
        <v>19.896944446391931</v>
      </c>
      <c r="AP398" s="19">
        <v>0.90734984516329542</v>
      </c>
      <c r="AQ398" s="19">
        <v>1.0741425291630791</v>
      </c>
      <c r="AR398" s="19">
        <v>0.80427339389274011</v>
      </c>
      <c r="AS398" s="19">
        <v>-0.14026917967081676</v>
      </c>
      <c r="AT398" s="19">
        <v>0.10318543882963288</v>
      </c>
      <c r="AU398" s="19">
        <v>-0.31424209974178025</v>
      </c>
      <c r="AV398" s="19">
        <v>-0.33795873235691731</v>
      </c>
      <c r="AW398" s="19">
        <v>3.5361221846483173E-2</v>
      </c>
      <c r="AX398" s="19">
        <v>-0.61799301397757311</v>
      </c>
      <c r="AY398" s="19">
        <v>-1.1021107297594022</v>
      </c>
      <c r="AZ398" s="19">
        <v>1.0741425291630791</v>
      </c>
      <c r="BA398" s="19">
        <v>-1.2433583002913093</v>
      </c>
      <c r="BB398" s="19">
        <v>-1.2639669427295182</v>
      </c>
      <c r="BC398" s="19">
        <v>1.024813383589716</v>
      </c>
      <c r="BD398" s="19">
        <v>-1.5347386642537861</v>
      </c>
      <c r="BE398" s="14" t="s">
        <v>4857</v>
      </c>
    </row>
    <row r="399" spans="1:57" s="30" customFormat="1" ht="17.100000000000001" customHeight="1">
      <c r="A399" s="14">
        <v>388</v>
      </c>
      <c r="B399" s="14" t="s">
        <v>2645</v>
      </c>
      <c r="C399" s="32">
        <v>-1.2639669427295182</v>
      </c>
      <c r="D399" s="32">
        <v>1.024813383589716</v>
      </c>
      <c r="E399" s="32">
        <v>-1.5347386642537861</v>
      </c>
      <c r="F399" s="40">
        <v>1966774</v>
      </c>
      <c r="G399" s="52" t="s">
        <v>4894</v>
      </c>
      <c r="H399" s="32">
        <v>28.48389084562325</v>
      </c>
      <c r="I399" s="32">
        <v>19.896944446391931</v>
      </c>
      <c r="J399" s="15" t="s">
        <v>2639</v>
      </c>
      <c r="K399" s="15" t="s">
        <v>2640</v>
      </c>
      <c r="L399" s="14" t="s">
        <v>2646</v>
      </c>
      <c r="M399" s="12" t="s">
        <v>2631</v>
      </c>
      <c r="N399" s="15" t="s">
        <v>2642</v>
      </c>
      <c r="O399" s="12" t="s">
        <v>2633</v>
      </c>
      <c r="P399" s="12" t="s">
        <v>2647</v>
      </c>
      <c r="Q399" s="14">
        <v>4</v>
      </c>
      <c r="R399" s="21">
        <v>794.64700000000005</v>
      </c>
      <c r="S399" s="14">
        <v>1</v>
      </c>
      <c r="T399" s="52" t="s">
        <v>4894</v>
      </c>
      <c r="U399" s="53">
        <v>54.081975</v>
      </c>
      <c r="V399" s="40">
        <v>1195413</v>
      </c>
      <c r="W399" s="40">
        <v>1235486</v>
      </c>
      <c r="X399" s="40">
        <v>1807231</v>
      </c>
      <c r="Y399" s="40">
        <v>2126317</v>
      </c>
      <c r="Z399" s="40">
        <v>1286284</v>
      </c>
      <c r="AA399" s="40">
        <v>1324848</v>
      </c>
      <c r="AB399" s="40">
        <v>1804375</v>
      </c>
      <c r="AC399" s="40">
        <v>1359273</v>
      </c>
      <c r="AD399" s="40">
        <v>1591111.75</v>
      </c>
      <c r="AE399" s="40">
        <v>1443695</v>
      </c>
      <c r="AF399" s="40">
        <v>1215449.5</v>
      </c>
      <c r="AG399" s="40">
        <v>1966774</v>
      </c>
      <c r="AH399" s="40">
        <v>1305566</v>
      </c>
      <c r="AI399" s="40">
        <v>1581824</v>
      </c>
      <c r="AJ399" s="32">
        <v>28.48389084562325</v>
      </c>
      <c r="AK399" s="32">
        <v>16.782946888941925</v>
      </c>
      <c r="AL399" s="32">
        <v>2.3313095313699597</v>
      </c>
      <c r="AM399" s="32">
        <v>11.471977684354719</v>
      </c>
      <c r="AN399" s="32">
        <v>2.0886623816550078</v>
      </c>
      <c r="AO399" s="32">
        <v>19.896944446391931</v>
      </c>
      <c r="AP399" s="19">
        <v>0.90734984516329542</v>
      </c>
      <c r="AQ399" s="19">
        <v>1.0741425291630791</v>
      </c>
      <c r="AR399" s="19">
        <v>0.80427339389274011</v>
      </c>
      <c r="AS399" s="19">
        <v>-0.14026917967081676</v>
      </c>
      <c r="AT399" s="19">
        <v>0.10318543882963288</v>
      </c>
      <c r="AU399" s="19">
        <v>-0.31424209974178025</v>
      </c>
      <c r="AV399" s="19">
        <v>-0.33795873235691731</v>
      </c>
      <c r="AW399" s="19">
        <v>3.5361221846483173E-2</v>
      </c>
      <c r="AX399" s="19">
        <v>-0.61799301397757311</v>
      </c>
      <c r="AY399" s="19">
        <v>-1.1021107297594022</v>
      </c>
      <c r="AZ399" s="19">
        <v>1.0741425291630791</v>
      </c>
      <c r="BA399" s="19">
        <v>-1.2433583002913093</v>
      </c>
      <c r="BB399" s="19">
        <v>-1.2639669427295182</v>
      </c>
      <c r="BC399" s="19">
        <v>1.024813383589716</v>
      </c>
      <c r="BD399" s="19">
        <v>-1.5347386642537861</v>
      </c>
      <c r="BE399" s="14" t="s">
        <v>4857</v>
      </c>
    </row>
    <row r="400" spans="1:57" s="30" customFormat="1" ht="17.100000000000001" customHeight="1">
      <c r="A400" s="14">
        <v>389</v>
      </c>
      <c r="B400" s="14" t="s">
        <v>2648</v>
      </c>
      <c r="C400" s="32">
        <v>-1.3640814513874226</v>
      </c>
      <c r="D400" s="32">
        <v>-1.3969337785481122</v>
      </c>
      <c r="E400" s="32">
        <v>-1.3391168008519085</v>
      </c>
      <c r="F400" s="24">
        <v>306067</v>
      </c>
      <c r="G400" s="52" t="s">
        <v>2</v>
      </c>
      <c r="H400" s="32">
        <v>19.696087179588471</v>
      </c>
      <c r="I400" s="32">
        <v>15.314982838677885</v>
      </c>
      <c r="J400" s="15" t="s">
        <v>2649</v>
      </c>
      <c r="K400" s="15" t="s">
        <v>2650</v>
      </c>
      <c r="L400" s="14" t="s">
        <v>5038</v>
      </c>
      <c r="M400" s="12" t="s">
        <v>2631</v>
      </c>
      <c r="N400" s="15" t="s">
        <v>2651</v>
      </c>
      <c r="O400" s="12" t="s">
        <v>2633</v>
      </c>
      <c r="P400" s="12" t="s">
        <v>2652</v>
      </c>
      <c r="Q400" s="14">
        <v>2</v>
      </c>
      <c r="R400" s="21">
        <v>765.90970000000004</v>
      </c>
      <c r="S400" s="14">
        <v>8</v>
      </c>
      <c r="T400" s="52" t="s">
        <v>2</v>
      </c>
      <c r="U400" s="53">
        <v>48.634337500000001</v>
      </c>
      <c r="V400" s="24">
        <v>273518</v>
      </c>
      <c r="W400" s="24">
        <v>274740</v>
      </c>
      <c r="X400" s="24">
        <v>339212</v>
      </c>
      <c r="Y400" s="24">
        <v>272922</v>
      </c>
      <c r="Z400" s="24">
        <v>203968</v>
      </c>
      <c r="AA400" s="24">
        <v>207396</v>
      </c>
      <c r="AB400" s="24">
        <v>258944</v>
      </c>
      <c r="AC400" s="24">
        <v>305299</v>
      </c>
      <c r="AD400" s="24">
        <v>290098</v>
      </c>
      <c r="AE400" s="24">
        <v>243901.75</v>
      </c>
      <c r="AF400" s="24">
        <v>274129</v>
      </c>
      <c r="AG400" s="24">
        <v>306067</v>
      </c>
      <c r="AH400" s="24">
        <v>205682</v>
      </c>
      <c r="AI400" s="24">
        <v>282121.5</v>
      </c>
      <c r="AJ400" s="32">
        <v>11.289774428666275</v>
      </c>
      <c r="AK400" s="32">
        <v>19.696087179588471</v>
      </c>
      <c r="AL400" s="32">
        <v>0.31521089947067293</v>
      </c>
      <c r="AM400" s="32">
        <v>15.314982838677885</v>
      </c>
      <c r="AN400" s="32">
        <v>1.1784998424302977</v>
      </c>
      <c r="AO400" s="32">
        <v>11.618375360226855</v>
      </c>
      <c r="AP400" s="19">
        <v>0.84075639956152748</v>
      </c>
      <c r="AQ400" s="19">
        <v>0.75031098497422744</v>
      </c>
      <c r="AR400" s="19">
        <v>0.92176386216089945</v>
      </c>
      <c r="AS400" s="19">
        <v>-0.2502402397729806</v>
      </c>
      <c r="AT400" s="19">
        <v>-0.41443941462702455</v>
      </c>
      <c r="AU400" s="19">
        <v>-0.11753088709915498</v>
      </c>
      <c r="AV400" s="19">
        <v>-0.44792979245908116</v>
      </c>
      <c r="AW400" s="19">
        <v>-0.48226363161017427</v>
      </c>
      <c r="AX400" s="19">
        <v>-0.42128180133494791</v>
      </c>
      <c r="AY400" s="19">
        <v>-1.1894051600695772</v>
      </c>
      <c r="AZ400" s="19">
        <v>-1.3327807003043535</v>
      </c>
      <c r="BA400" s="19">
        <v>-1.0848765514149046</v>
      </c>
      <c r="BB400" s="19">
        <v>-1.3640814513874226</v>
      </c>
      <c r="BC400" s="19">
        <v>-1.3969337785481122</v>
      </c>
      <c r="BD400" s="19">
        <v>-1.3391168008519085</v>
      </c>
      <c r="BE400" s="14" t="s">
        <v>4857</v>
      </c>
    </row>
    <row r="401" spans="1:105" s="30" customFormat="1" ht="17.100000000000001" customHeight="1">
      <c r="A401" s="14">
        <v>390</v>
      </c>
      <c r="B401" s="14" t="s">
        <v>2653</v>
      </c>
      <c r="C401" s="32">
        <v>-1.3624318926657699</v>
      </c>
      <c r="D401" s="32">
        <v>-1.2104574098790999</v>
      </c>
      <c r="E401" s="32">
        <v>-1.4996662451049803</v>
      </c>
      <c r="F401" s="24">
        <v>266246</v>
      </c>
      <c r="G401" s="52" t="s">
        <v>2</v>
      </c>
      <c r="H401" s="32">
        <v>21.130507826435355</v>
      </c>
      <c r="I401" s="32">
        <v>18.819639174185699</v>
      </c>
      <c r="J401" s="12" t="s">
        <v>2654</v>
      </c>
      <c r="K401" s="12" t="s">
        <v>2655</v>
      </c>
      <c r="L401" s="14" t="s">
        <v>5008</v>
      </c>
      <c r="M401" s="12" t="s">
        <v>2656</v>
      </c>
      <c r="N401" s="15" t="s">
        <v>2657</v>
      </c>
      <c r="O401" s="12" t="s">
        <v>2658</v>
      </c>
      <c r="P401" s="12" t="s">
        <v>2659</v>
      </c>
      <c r="Q401" s="14">
        <v>3</v>
      </c>
      <c r="R401" s="21">
        <v>616.64639999999997</v>
      </c>
      <c r="S401" s="14">
        <v>2</v>
      </c>
      <c r="T401" s="52" t="s">
        <v>2</v>
      </c>
      <c r="U401" s="53">
        <v>58.537475000000001</v>
      </c>
      <c r="V401" s="24">
        <v>233729</v>
      </c>
      <c r="W401" s="24">
        <v>178828</v>
      </c>
      <c r="X401" s="24">
        <v>300698</v>
      </c>
      <c r="Y401" s="24">
        <v>231794</v>
      </c>
      <c r="Z401" s="24">
        <v>189278</v>
      </c>
      <c r="AA401" s="24">
        <v>167955</v>
      </c>
      <c r="AB401" s="24">
        <v>207562</v>
      </c>
      <c r="AC401" s="24">
        <v>230723</v>
      </c>
      <c r="AD401" s="24">
        <v>236262.25</v>
      </c>
      <c r="AE401" s="24">
        <v>198879.5</v>
      </c>
      <c r="AF401" s="24">
        <v>206278.5</v>
      </c>
      <c r="AG401" s="24">
        <v>266246</v>
      </c>
      <c r="AH401" s="24">
        <v>178616.5</v>
      </c>
      <c r="AI401" s="24">
        <v>219142.5</v>
      </c>
      <c r="AJ401" s="32">
        <v>21.130507826435355</v>
      </c>
      <c r="AK401" s="32">
        <v>13.422822251420177</v>
      </c>
      <c r="AL401" s="32">
        <v>18.819639174185699</v>
      </c>
      <c r="AM401" s="32">
        <v>18.299800053663855</v>
      </c>
      <c r="AN401" s="32">
        <v>8.4413466254465579</v>
      </c>
      <c r="AO401" s="32">
        <v>7.4733564502830934</v>
      </c>
      <c r="AP401" s="19">
        <v>0.8417743418595226</v>
      </c>
      <c r="AQ401" s="19">
        <v>0.86589974233863443</v>
      </c>
      <c r="AR401" s="19">
        <v>0.82308278809822499</v>
      </c>
      <c r="AS401" s="19">
        <v>-0.24849455935448039</v>
      </c>
      <c r="AT401" s="19">
        <v>-0.2077281018108095</v>
      </c>
      <c r="AU401" s="19">
        <v>-0.28089054641319522</v>
      </c>
      <c r="AV401" s="19">
        <v>-0.44618411204058095</v>
      </c>
      <c r="AW401" s="19">
        <v>-0.27555231879395919</v>
      </c>
      <c r="AX401" s="19">
        <v>-0.58464146064898814</v>
      </c>
      <c r="AY401" s="19">
        <v>-1.1879668341885414</v>
      </c>
      <c r="AZ401" s="19">
        <v>-1.1548681112887107</v>
      </c>
      <c r="BA401" s="19">
        <v>-1.2149446136646245</v>
      </c>
      <c r="BB401" s="19">
        <v>-1.3624318926657699</v>
      </c>
      <c r="BC401" s="19">
        <v>-1.2104574098790999</v>
      </c>
      <c r="BD401" s="19">
        <v>-1.4996662451049803</v>
      </c>
      <c r="BE401" s="14" t="s">
        <v>4857</v>
      </c>
    </row>
    <row r="402" spans="1:105" s="30" customFormat="1" ht="17.100000000000001" customHeight="1">
      <c r="A402" s="14">
        <v>391</v>
      </c>
      <c r="B402" s="14" t="s">
        <v>2660</v>
      </c>
      <c r="C402" s="32">
        <v>-1.112411293405253</v>
      </c>
      <c r="D402" s="32">
        <v>1.0603049820208628</v>
      </c>
      <c r="E402" s="32">
        <v>-1.3055116953416013</v>
      </c>
      <c r="F402" s="24">
        <v>260417</v>
      </c>
      <c r="G402" s="52" t="s">
        <v>2</v>
      </c>
      <c r="H402" s="32">
        <v>12.988480844836333</v>
      </c>
      <c r="I402" s="32">
        <v>9.5475998843062531</v>
      </c>
      <c r="J402" s="12" t="s">
        <v>2661</v>
      </c>
      <c r="K402" s="12" t="s">
        <v>2662</v>
      </c>
      <c r="L402" s="14" t="s">
        <v>5073</v>
      </c>
      <c r="M402" s="12" t="s">
        <v>2663</v>
      </c>
      <c r="N402" s="15" t="s">
        <v>2664</v>
      </c>
      <c r="O402" s="12" t="s">
        <v>2541</v>
      </c>
      <c r="P402" s="12" t="s">
        <v>2542</v>
      </c>
      <c r="Q402" s="14">
        <v>2</v>
      </c>
      <c r="R402" s="21">
        <v>549.75670000000002</v>
      </c>
      <c r="S402" s="14">
        <v>8</v>
      </c>
      <c r="T402" s="52" t="s">
        <v>2</v>
      </c>
      <c r="U402" s="53">
        <v>26.967575</v>
      </c>
      <c r="V402" s="24">
        <v>220403</v>
      </c>
      <c r="W402" s="24">
        <v>248250</v>
      </c>
      <c r="X402" s="24">
        <v>235215</v>
      </c>
      <c r="Y402" s="24">
        <v>205464</v>
      </c>
      <c r="Z402" s="24">
        <v>255041</v>
      </c>
      <c r="AA402" s="24">
        <v>265793</v>
      </c>
      <c r="AB402" s="24">
        <v>210461</v>
      </c>
      <c r="AC402" s="24">
        <v>206197</v>
      </c>
      <c r="AD402" s="24">
        <v>227333</v>
      </c>
      <c r="AE402" s="24">
        <v>234373</v>
      </c>
      <c r="AF402" s="24">
        <v>234326.5</v>
      </c>
      <c r="AG402" s="24">
        <v>220339.5</v>
      </c>
      <c r="AH402" s="24">
        <v>260417</v>
      </c>
      <c r="AI402" s="24">
        <v>208329</v>
      </c>
      <c r="AJ402" s="32">
        <v>8.1345712845801348</v>
      </c>
      <c r="AK402" s="32">
        <v>12.988480844836333</v>
      </c>
      <c r="AL402" s="32">
        <v>8.403147973320042</v>
      </c>
      <c r="AM402" s="32">
        <v>9.5475998843062531</v>
      </c>
      <c r="AN402" s="32">
        <v>2.9194761138165939</v>
      </c>
      <c r="AO402" s="32">
        <v>1.4472796946077784</v>
      </c>
      <c r="AP402" s="19">
        <v>1.0309677873427967</v>
      </c>
      <c r="AQ402" s="19">
        <v>1.1113425071428114</v>
      </c>
      <c r="AR402" s="19">
        <v>0.9454909355789588</v>
      </c>
      <c r="AS402" s="19">
        <v>4.3999256307553712E-2</v>
      </c>
      <c r="AT402" s="19">
        <v>0.15230351268069092</v>
      </c>
      <c r="AU402" s="19">
        <v>-8.0864467762531797E-2</v>
      </c>
      <c r="AV402" s="19">
        <v>-0.15369029637854684</v>
      </c>
      <c r="AW402" s="19">
        <v>8.4479295697541215E-2</v>
      </c>
      <c r="AX402" s="19">
        <v>-0.38461538199832473</v>
      </c>
      <c r="AY402" s="19">
        <v>1.0309677873427967</v>
      </c>
      <c r="AZ402" s="19">
        <v>1.1113425071428114</v>
      </c>
      <c r="BA402" s="19">
        <v>-1.0576515991532625</v>
      </c>
      <c r="BB402" s="19">
        <v>-1.112411293405253</v>
      </c>
      <c r="BC402" s="19">
        <v>1.0603049820208628</v>
      </c>
      <c r="BD402" s="19">
        <v>-1.3055116953416013</v>
      </c>
      <c r="BE402" s="14" t="s">
        <v>4857</v>
      </c>
    </row>
    <row r="403" spans="1:105" s="30" customFormat="1" ht="17.100000000000001" customHeight="1">
      <c r="A403" s="14">
        <v>392</v>
      </c>
      <c r="B403" s="14" t="s">
        <v>2544</v>
      </c>
      <c r="C403" s="32">
        <v>-1.1962126856215243</v>
      </c>
      <c r="D403" s="32">
        <v>-1.3113012342684542</v>
      </c>
      <c r="E403" s="32">
        <v>-1.0772871276280573</v>
      </c>
      <c r="F403" s="24">
        <v>218350.5</v>
      </c>
      <c r="G403" s="52" t="s">
        <v>2</v>
      </c>
      <c r="H403" s="32">
        <v>17.144591393293918</v>
      </c>
      <c r="I403" s="32">
        <v>17.854615751792959</v>
      </c>
      <c r="J403" s="12" t="s">
        <v>2545</v>
      </c>
      <c r="K403" s="12" t="s">
        <v>2546</v>
      </c>
      <c r="L403" s="14" t="s">
        <v>4724</v>
      </c>
      <c r="M403" s="12" t="s">
        <v>2547</v>
      </c>
      <c r="N403" s="15" t="s">
        <v>2548</v>
      </c>
      <c r="O403" s="12" t="s">
        <v>2549</v>
      </c>
      <c r="P403" s="12" t="s">
        <v>2550</v>
      </c>
      <c r="Q403" s="14">
        <v>2</v>
      </c>
      <c r="R403" s="21">
        <v>637.83000000000004</v>
      </c>
      <c r="S403" s="14">
        <v>7</v>
      </c>
      <c r="T403" s="52" t="s">
        <v>2</v>
      </c>
      <c r="U403" s="53">
        <v>51.254375000000003</v>
      </c>
      <c r="V403" s="24">
        <v>209605</v>
      </c>
      <c r="W403" s="24">
        <v>227096</v>
      </c>
      <c r="X403" s="24">
        <v>178244</v>
      </c>
      <c r="Y403" s="24">
        <v>193979</v>
      </c>
      <c r="Z403" s="24">
        <v>188064</v>
      </c>
      <c r="AA403" s="24">
        <v>160995</v>
      </c>
      <c r="AB403" s="24">
        <v>186323</v>
      </c>
      <c r="AC403" s="24">
        <v>240168</v>
      </c>
      <c r="AD403" s="24">
        <v>202231</v>
      </c>
      <c r="AE403" s="24">
        <v>193887.5</v>
      </c>
      <c r="AF403" s="24">
        <v>218350.5</v>
      </c>
      <c r="AG403" s="24">
        <v>186111.5</v>
      </c>
      <c r="AH403" s="24">
        <v>174529.5</v>
      </c>
      <c r="AI403" s="24">
        <v>213245.5</v>
      </c>
      <c r="AJ403" s="32">
        <v>10.357112423268894</v>
      </c>
      <c r="AK403" s="32">
        <v>17.144591393293918</v>
      </c>
      <c r="AL403" s="32">
        <v>5.6642896213811751</v>
      </c>
      <c r="AM403" s="32">
        <v>5.9783114971242108</v>
      </c>
      <c r="AN403" s="32">
        <v>10.967013289981725</v>
      </c>
      <c r="AO403" s="32">
        <v>17.854615751792959</v>
      </c>
      <c r="AP403" s="19">
        <v>0.95874272490369927</v>
      </c>
      <c r="AQ403" s="19">
        <v>0.79930890929949783</v>
      </c>
      <c r="AR403" s="19">
        <v>1.1457943222208193</v>
      </c>
      <c r="AS403" s="19">
        <v>-6.0784369635730431E-2</v>
      </c>
      <c r="AT403" s="19">
        <v>-0.32317492491835753</v>
      </c>
      <c r="AU403" s="19">
        <v>0.19634809388278127</v>
      </c>
      <c r="AV403" s="19">
        <v>-0.25847392232183097</v>
      </c>
      <c r="AW403" s="19">
        <v>-0.39099914190150725</v>
      </c>
      <c r="AX403" s="19">
        <v>-0.10740282035301166</v>
      </c>
      <c r="AY403" s="19">
        <v>-1.0430326864805621</v>
      </c>
      <c r="AZ403" s="19">
        <v>-1.2510807628509792</v>
      </c>
      <c r="BA403" s="19">
        <v>1.1457943222208193</v>
      </c>
      <c r="BB403" s="19">
        <v>-1.1962126856215243</v>
      </c>
      <c r="BC403" s="19">
        <v>-1.3113012342684542</v>
      </c>
      <c r="BD403" s="19">
        <v>-1.0772871276280573</v>
      </c>
      <c r="BE403" s="14" t="s">
        <v>4857</v>
      </c>
    </row>
    <row r="404" spans="1:105" s="30" customFormat="1" ht="17.100000000000001" customHeight="1">
      <c r="A404" s="14">
        <v>393</v>
      </c>
      <c r="B404" s="14" t="s">
        <v>2551</v>
      </c>
      <c r="C404" s="32">
        <v>1.3971483391419495</v>
      </c>
      <c r="D404" s="32">
        <v>1.4257660118663933</v>
      </c>
      <c r="E404" s="32">
        <v>1.3666058282936553</v>
      </c>
      <c r="F404" s="24">
        <v>85404.5</v>
      </c>
      <c r="G404" s="52" t="s">
        <v>2</v>
      </c>
      <c r="H404" s="32">
        <v>38.595458779051604</v>
      </c>
      <c r="I404" s="32">
        <v>57.971896768276906</v>
      </c>
      <c r="J404" s="12" t="s">
        <v>2552</v>
      </c>
      <c r="K404" s="15" t="s">
        <v>2553</v>
      </c>
      <c r="L404" s="14" t="s">
        <v>4463</v>
      </c>
      <c r="M404" s="12" t="s">
        <v>2554</v>
      </c>
      <c r="N404" s="15" t="s">
        <v>2555</v>
      </c>
      <c r="O404" s="12" t="s">
        <v>2556</v>
      </c>
      <c r="P404" s="12" t="s">
        <v>2557</v>
      </c>
      <c r="Q404" s="14">
        <v>4</v>
      </c>
      <c r="R404" s="21">
        <v>521.00030000000004</v>
      </c>
      <c r="S404" s="14">
        <v>2</v>
      </c>
      <c r="T404" s="52" t="s">
        <v>2</v>
      </c>
      <c r="U404" s="53">
        <v>22.164874999999995</v>
      </c>
      <c r="V404" s="24">
        <v>37547</v>
      </c>
      <c r="W404" s="24">
        <v>41756</v>
      </c>
      <c r="X404" s="24">
        <v>41111</v>
      </c>
      <c r="Y404" s="24">
        <v>60147</v>
      </c>
      <c r="Z404" s="24">
        <v>34965</v>
      </c>
      <c r="AA404" s="24">
        <v>83545</v>
      </c>
      <c r="AB404" s="24">
        <v>100801</v>
      </c>
      <c r="AC404" s="24">
        <v>70008</v>
      </c>
      <c r="AD404" s="24">
        <v>45140.25</v>
      </c>
      <c r="AE404" s="24">
        <v>72329.75</v>
      </c>
      <c r="AF404" s="24">
        <v>39651.5</v>
      </c>
      <c r="AG404" s="24">
        <v>50629</v>
      </c>
      <c r="AH404" s="24">
        <v>59255</v>
      </c>
      <c r="AI404" s="24">
        <v>85404.5</v>
      </c>
      <c r="AJ404" s="32">
        <v>22.539266431616952</v>
      </c>
      <c r="AK404" s="32">
        <v>38.595458779051604</v>
      </c>
      <c r="AL404" s="32">
        <v>7.5059264895758755</v>
      </c>
      <c r="AM404" s="32">
        <v>26.58651106414726</v>
      </c>
      <c r="AN404" s="32">
        <v>57.971896768276906</v>
      </c>
      <c r="AO404" s="32">
        <v>25.495072406111341</v>
      </c>
      <c r="AP404" s="19">
        <v>1.6023338373181362</v>
      </c>
      <c r="AQ404" s="19">
        <v>1.4943949157030629</v>
      </c>
      <c r="AR404" s="19">
        <v>1.686869185644591</v>
      </c>
      <c r="AS404" s="19">
        <v>0.68017475652806292</v>
      </c>
      <c r="AT404" s="19">
        <v>0.57956145176724183</v>
      </c>
      <c r="AU404" s="19">
        <v>0.75434809897264798</v>
      </c>
      <c r="AV404" s="19">
        <v>0.48248520384196236</v>
      </c>
      <c r="AW404" s="19">
        <v>0.51173723478409217</v>
      </c>
      <c r="AX404" s="19">
        <v>0.45059718473685506</v>
      </c>
      <c r="AY404" s="19">
        <v>1.6023338373181362</v>
      </c>
      <c r="AZ404" s="19">
        <v>1.4943949157030629</v>
      </c>
      <c r="BA404" s="19">
        <v>1.686869185644591</v>
      </c>
      <c r="BB404" s="19">
        <v>1.3971483391419495</v>
      </c>
      <c r="BC404" s="19">
        <v>1.4257660118663933</v>
      </c>
      <c r="BD404" s="19">
        <v>1.3666058282936553</v>
      </c>
      <c r="BE404" s="14" t="s">
        <v>4857</v>
      </c>
    </row>
    <row r="405" spans="1:105" ht="17.100000000000001" customHeight="1">
      <c r="A405" s="14">
        <v>394</v>
      </c>
      <c r="B405" s="14" t="s">
        <v>2558</v>
      </c>
      <c r="C405" s="32">
        <v>1.1681238389367046</v>
      </c>
      <c r="D405" s="32">
        <v>1.0552225554931796</v>
      </c>
      <c r="E405" s="32">
        <v>1.280240929709717</v>
      </c>
      <c r="F405" s="42">
        <v>2177771.5</v>
      </c>
      <c r="G405" s="52" t="s">
        <v>4894</v>
      </c>
      <c r="H405" s="32">
        <v>20.130304190114657</v>
      </c>
      <c r="I405" s="32">
        <v>10.002259891125378</v>
      </c>
      <c r="J405" s="12" t="s">
        <v>2559</v>
      </c>
      <c r="K405" s="12" t="s">
        <v>2560</v>
      </c>
      <c r="L405" s="14" t="s">
        <v>5282</v>
      </c>
      <c r="M405" s="12" t="s">
        <v>2561</v>
      </c>
      <c r="N405" s="15" t="s">
        <v>2562</v>
      </c>
      <c r="O405" s="12" t="s">
        <v>2563</v>
      </c>
      <c r="P405" s="12" t="s">
        <v>2564</v>
      </c>
      <c r="Q405" s="14">
        <v>2</v>
      </c>
      <c r="R405" s="21">
        <v>436.21339999999998</v>
      </c>
      <c r="S405" s="14">
        <v>2</v>
      </c>
      <c r="T405" s="52" t="s">
        <v>4894</v>
      </c>
      <c r="U405" s="53">
        <v>32.990537500000002</v>
      </c>
      <c r="V405" s="42">
        <v>1387701</v>
      </c>
      <c r="W405" s="42">
        <v>1450263</v>
      </c>
      <c r="X405" s="42">
        <v>1411704</v>
      </c>
      <c r="Y405" s="42">
        <v>1344507</v>
      </c>
      <c r="Z405" s="42">
        <v>1501576</v>
      </c>
      <c r="AA405" s="42">
        <v>1637256</v>
      </c>
      <c r="AB405" s="42">
        <v>2331798</v>
      </c>
      <c r="AC405" s="42">
        <v>2023745</v>
      </c>
      <c r="AD405" s="42">
        <v>1398543.75</v>
      </c>
      <c r="AE405" s="42">
        <v>1873593.75</v>
      </c>
      <c r="AF405" s="42">
        <v>1418982</v>
      </c>
      <c r="AG405" s="42">
        <v>1378105.5</v>
      </c>
      <c r="AH405" s="42">
        <v>1569416</v>
      </c>
      <c r="AI405" s="42">
        <v>2177771.5</v>
      </c>
      <c r="AJ405" s="32">
        <v>3.1670797825700934</v>
      </c>
      <c r="AK405" s="32">
        <v>20.130304190114657</v>
      </c>
      <c r="AL405" s="32">
        <v>3.1175881332245785</v>
      </c>
      <c r="AM405" s="32">
        <v>3.4478822104252855</v>
      </c>
      <c r="AN405" s="32">
        <v>6.1131177502581071</v>
      </c>
      <c r="AO405" s="32">
        <v>10.002259891125378</v>
      </c>
      <c r="AP405" s="19">
        <v>1.3396747509686415</v>
      </c>
      <c r="AQ405" s="19">
        <v>1.1060154392374251</v>
      </c>
      <c r="AR405" s="19">
        <v>1.5802647184849055</v>
      </c>
      <c r="AS405" s="19">
        <v>0.4218827826823523</v>
      </c>
      <c r="AT405" s="19">
        <v>0.14537152477316401</v>
      </c>
      <c r="AU405" s="19">
        <v>0.66016625210864543</v>
      </c>
      <c r="AV405" s="19">
        <v>0.22419322999625174</v>
      </c>
      <c r="AW405" s="19">
        <v>7.75473077900143E-2</v>
      </c>
      <c r="AX405" s="19">
        <v>0.35641533787285251</v>
      </c>
      <c r="AY405" s="19">
        <v>1.3396747509686415</v>
      </c>
      <c r="AZ405" s="19">
        <v>1.1060154392374251</v>
      </c>
      <c r="BA405" s="19">
        <v>1.5802647184849055</v>
      </c>
      <c r="BB405" s="19">
        <v>1.1681238389367046</v>
      </c>
      <c r="BC405" s="19">
        <v>1.0552225554931796</v>
      </c>
      <c r="BD405" s="19">
        <v>1.280240929709717</v>
      </c>
      <c r="BE405" s="14" t="s">
        <v>4857</v>
      </c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s="30" customFormat="1" ht="17.100000000000001" customHeight="1">
      <c r="A406" s="14">
        <v>395</v>
      </c>
      <c r="B406" s="14" t="s">
        <v>2565</v>
      </c>
      <c r="C406" s="32">
        <v>-1.1899697818007027</v>
      </c>
      <c r="D406" s="32">
        <v>-1.2914297229877953</v>
      </c>
      <c r="E406" s="32">
        <v>-1.0486917638436728</v>
      </c>
      <c r="F406" s="24">
        <v>32968.5</v>
      </c>
      <c r="G406" s="52" t="s">
        <v>2</v>
      </c>
      <c r="H406" s="32">
        <v>34.071974294237087</v>
      </c>
      <c r="I406" s="32">
        <v>41.416625160908097</v>
      </c>
      <c r="J406" s="12" t="s">
        <v>2566</v>
      </c>
      <c r="K406" s="12" t="s">
        <v>2567</v>
      </c>
      <c r="L406" s="14" t="s">
        <v>5080</v>
      </c>
      <c r="M406" s="12" t="s">
        <v>2568</v>
      </c>
      <c r="N406" s="15" t="s">
        <v>2569</v>
      </c>
      <c r="O406" s="12" t="s">
        <v>2570</v>
      </c>
      <c r="P406" s="12" t="s">
        <v>2571</v>
      </c>
      <c r="Q406" s="14">
        <v>2</v>
      </c>
      <c r="R406" s="21">
        <v>708.87009999999998</v>
      </c>
      <c r="S406" s="14">
        <v>4</v>
      </c>
      <c r="T406" s="52" t="s">
        <v>2</v>
      </c>
      <c r="U406" s="53">
        <v>31.63054285714286</v>
      </c>
      <c r="V406" s="24">
        <v>27738</v>
      </c>
      <c r="W406" s="24">
        <v>38199</v>
      </c>
      <c r="X406" s="24">
        <v>28174</v>
      </c>
      <c r="Y406" s="24">
        <v>15410</v>
      </c>
      <c r="Z406" s="24">
        <v>25152</v>
      </c>
      <c r="AA406" s="24">
        <v>28363</v>
      </c>
      <c r="AB406" s="24">
        <v>25650</v>
      </c>
      <c r="AC406" s="24"/>
      <c r="AD406" s="24">
        <v>27380.25</v>
      </c>
      <c r="AE406" s="24">
        <v>26388.333333333332</v>
      </c>
      <c r="AF406" s="24">
        <v>32968.5</v>
      </c>
      <c r="AG406" s="24">
        <v>21792</v>
      </c>
      <c r="AH406" s="24">
        <v>26757.5</v>
      </c>
      <c r="AI406" s="24">
        <v>25650</v>
      </c>
      <c r="AJ406" s="32">
        <v>34.071974294237087</v>
      </c>
      <c r="AK406" s="32">
        <v>6.5488947931176327</v>
      </c>
      <c r="AL406" s="32">
        <v>22.436701815346389</v>
      </c>
      <c r="AM406" s="32">
        <v>41.416625160908097</v>
      </c>
      <c r="AN406" s="32">
        <v>8.4855456391292314</v>
      </c>
      <c r="AO406" s="32" t="s">
        <v>4854</v>
      </c>
      <c r="AP406" s="19">
        <v>0.96377254894799469</v>
      </c>
      <c r="AQ406" s="19">
        <v>0.81160805010843684</v>
      </c>
      <c r="AR406" s="19">
        <v>1.1770374449339207</v>
      </c>
      <c r="AS406" s="19">
        <v>-5.3235385385099754E-2</v>
      </c>
      <c r="AT406" s="19">
        <v>-0.3011449200417764</v>
      </c>
      <c r="AU406" s="19">
        <v>0.23516021736970757</v>
      </c>
      <c r="AV406" s="19">
        <v>-0.25092493807120031</v>
      </c>
      <c r="AW406" s="19">
        <v>-0.36896913702492612</v>
      </c>
      <c r="AX406" s="19">
        <v>-6.8590696866085349E-2</v>
      </c>
      <c r="AY406" s="19">
        <v>-1.0375892124044717</v>
      </c>
      <c r="AZ406" s="19">
        <v>-1.2321218349995329</v>
      </c>
      <c r="BA406" s="19">
        <v>1.1770374449339207</v>
      </c>
      <c r="BB406" s="19">
        <v>-1.1899697818007027</v>
      </c>
      <c r="BC406" s="19">
        <v>-1.2914297229877953</v>
      </c>
      <c r="BD406" s="19">
        <v>-1.0486917638436728</v>
      </c>
      <c r="BE406" s="14" t="s">
        <v>4857</v>
      </c>
    </row>
    <row r="407" spans="1:105" s="30" customFormat="1" ht="17.100000000000001" customHeight="1">
      <c r="A407" s="14">
        <v>396</v>
      </c>
      <c r="B407" s="14" t="s">
        <v>2572</v>
      </c>
      <c r="C407" s="32">
        <v>1.0937780807451507</v>
      </c>
      <c r="D407" s="32">
        <v>-1.0006453561660877</v>
      </c>
      <c r="E407" s="32">
        <v>1.1804861260351942</v>
      </c>
      <c r="F407" s="24">
        <v>241535</v>
      </c>
      <c r="G407" s="52" t="s">
        <v>2</v>
      </c>
      <c r="H407" s="32">
        <v>22.765217333407548</v>
      </c>
      <c r="I407" s="32">
        <v>14.299830806898758</v>
      </c>
      <c r="J407" s="12" t="s">
        <v>2573</v>
      </c>
      <c r="K407" s="12" t="s">
        <v>2574</v>
      </c>
      <c r="L407" s="14" t="s">
        <v>4106</v>
      </c>
      <c r="M407" s="12" t="s">
        <v>2575</v>
      </c>
      <c r="N407" s="15" t="s">
        <v>2576</v>
      </c>
      <c r="O407" s="12" t="s">
        <v>2577</v>
      </c>
      <c r="P407" s="12" t="s">
        <v>2578</v>
      </c>
      <c r="Q407" s="14">
        <v>2</v>
      </c>
      <c r="R407" s="21">
        <v>555.83510000000001</v>
      </c>
      <c r="S407" s="14">
        <v>4</v>
      </c>
      <c r="T407" s="52" t="s">
        <v>2</v>
      </c>
      <c r="U407" s="53">
        <v>39.7552375</v>
      </c>
      <c r="V407" s="24">
        <v>147894</v>
      </c>
      <c r="W407" s="24">
        <v>176851</v>
      </c>
      <c r="X407" s="24">
        <v>174069</v>
      </c>
      <c r="Y407" s="24">
        <v>157452</v>
      </c>
      <c r="Z407" s="24">
        <v>187276</v>
      </c>
      <c r="AA407" s="24">
        <v>152881</v>
      </c>
      <c r="AB407" s="24">
        <v>220465</v>
      </c>
      <c r="AC407" s="24">
        <v>262605</v>
      </c>
      <c r="AD407" s="24">
        <v>164066.5</v>
      </c>
      <c r="AE407" s="24">
        <v>205806.75</v>
      </c>
      <c r="AF407" s="24">
        <v>162372.5</v>
      </c>
      <c r="AG407" s="24">
        <v>165760.5</v>
      </c>
      <c r="AH407" s="24">
        <v>170078.5</v>
      </c>
      <c r="AI407" s="24">
        <v>241535</v>
      </c>
      <c r="AJ407" s="32">
        <v>8.3926144574054344</v>
      </c>
      <c r="AK407" s="32">
        <v>22.765217333407548</v>
      </c>
      <c r="AL407" s="32">
        <v>12.610319520127398</v>
      </c>
      <c r="AM407" s="32">
        <v>7.0885364022049036</v>
      </c>
      <c r="AN407" s="32">
        <v>14.299830806898758</v>
      </c>
      <c r="AO407" s="32">
        <v>12.336713006065834</v>
      </c>
      <c r="AP407" s="19">
        <v>1.2544105591330346</v>
      </c>
      <c r="AQ407" s="19">
        <v>1.0474587753468105</v>
      </c>
      <c r="AR407" s="19">
        <v>1.457132429016563</v>
      </c>
      <c r="AS407" s="19">
        <v>0.32700960865436662</v>
      </c>
      <c r="AT407" s="19">
        <v>6.6893465143653852E-2</v>
      </c>
      <c r="AU407" s="19">
        <v>0.54313200025991448</v>
      </c>
      <c r="AV407" s="19">
        <v>0.12932005596826607</v>
      </c>
      <c r="AW407" s="19">
        <v>-9.3075183949585527E-4</v>
      </c>
      <c r="AX407" s="19">
        <v>0.23938108602412156</v>
      </c>
      <c r="AY407" s="19">
        <v>1.2544105591330346</v>
      </c>
      <c r="AZ407" s="19">
        <v>1.0474587753468105</v>
      </c>
      <c r="BA407" s="19">
        <v>1.457132429016563</v>
      </c>
      <c r="BB407" s="19">
        <v>1.0937780807451507</v>
      </c>
      <c r="BC407" s="19">
        <v>-1.0006453561660877</v>
      </c>
      <c r="BD407" s="19">
        <v>1.1804861260351942</v>
      </c>
      <c r="BE407" s="14" t="s">
        <v>4857</v>
      </c>
    </row>
    <row r="408" spans="1:105" s="30" customFormat="1" ht="17.100000000000001" customHeight="1">
      <c r="A408" s="14">
        <v>397</v>
      </c>
      <c r="B408" s="14" t="s">
        <v>2579</v>
      </c>
      <c r="C408" s="32">
        <v>1.5058666350686634</v>
      </c>
      <c r="D408" s="32">
        <v>1.5632048230820259</v>
      </c>
      <c r="E408" s="32">
        <v>1.4536017855164243</v>
      </c>
      <c r="F408" s="24">
        <v>116726</v>
      </c>
      <c r="G408" s="52" t="s">
        <v>2</v>
      </c>
      <c r="H408" s="32">
        <v>24.761829197960736</v>
      </c>
      <c r="I408" s="32">
        <v>30.972120369440226</v>
      </c>
      <c r="J408" s="12" t="s">
        <v>2580</v>
      </c>
      <c r="K408" s="12" t="s">
        <v>2581</v>
      </c>
      <c r="L408" s="14" t="s">
        <v>5106</v>
      </c>
      <c r="M408" s="12" t="s">
        <v>2582</v>
      </c>
      <c r="N408" s="15" t="s">
        <v>2583</v>
      </c>
      <c r="O408" s="12" t="s">
        <v>2584</v>
      </c>
      <c r="P408" s="12" t="s">
        <v>2585</v>
      </c>
      <c r="Q408" s="14">
        <v>4</v>
      </c>
      <c r="R408" s="21">
        <v>594.28409999999997</v>
      </c>
      <c r="S408" s="14">
        <v>1</v>
      </c>
      <c r="T408" s="52" t="s">
        <v>2</v>
      </c>
      <c r="U408" s="53">
        <v>44.582887499999998</v>
      </c>
      <c r="V408" s="24">
        <v>60200</v>
      </c>
      <c r="W408" s="24">
        <v>38569</v>
      </c>
      <c r="X408" s="24">
        <v>57222</v>
      </c>
      <c r="Y408" s="24">
        <v>72889</v>
      </c>
      <c r="Z408" s="24">
        <v>86092</v>
      </c>
      <c r="AA408" s="24">
        <v>75736</v>
      </c>
      <c r="AB408" s="24">
        <v>110722</v>
      </c>
      <c r="AC408" s="24">
        <v>122730</v>
      </c>
      <c r="AD408" s="24">
        <v>57220</v>
      </c>
      <c r="AE408" s="24">
        <v>98820</v>
      </c>
      <c r="AF408" s="24">
        <v>49384.5</v>
      </c>
      <c r="AG408" s="24">
        <v>65055.5</v>
      </c>
      <c r="AH408" s="24">
        <v>80914</v>
      </c>
      <c r="AI408" s="24">
        <v>116726</v>
      </c>
      <c r="AJ408" s="32">
        <v>24.761829197960736</v>
      </c>
      <c r="AK408" s="32">
        <v>21.924494224170928</v>
      </c>
      <c r="AL408" s="32">
        <v>30.972120369440226</v>
      </c>
      <c r="AM408" s="32">
        <v>17.028909071253992</v>
      </c>
      <c r="AN408" s="32">
        <v>9.0500998912028638</v>
      </c>
      <c r="AO408" s="32">
        <v>7.2742475785069844</v>
      </c>
      <c r="AP408" s="19">
        <v>1.7270185249912617</v>
      </c>
      <c r="AQ408" s="19">
        <v>1.6384493110186396</v>
      </c>
      <c r="AR408" s="19">
        <v>1.7942525997033303</v>
      </c>
      <c r="AS408" s="19">
        <v>0.78828355812432793</v>
      </c>
      <c r="AT408" s="19">
        <v>0.71233104067241959</v>
      </c>
      <c r="AU408" s="19">
        <v>0.84338301104078728</v>
      </c>
      <c r="AV408" s="19">
        <v>0.59059400543822738</v>
      </c>
      <c r="AW408" s="19">
        <v>0.64450682368926993</v>
      </c>
      <c r="AX408" s="19">
        <v>0.53963209680499435</v>
      </c>
      <c r="AY408" s="19">
        <v>1.7270185249912617</v>
      </c>
      <c r="AZ408" s="19">
        <v>1.6384493110186396</v>
      </c>
      <c r="BA408" s="19">
        <v>1.7942525997033303</v>
      </c>
      <c r="BB408" s="19">
        <v>1.5058666350686634</v>
      </c>
      <c r="BC408" s="19">
        <v>1.5632048230820259</v>
      </c>
      <c r="BD408" s="19">
        <v>1.4536017855164243</v>
      </c>
      <c r="BE408" s="14" t="s">
        <v>4857</v>
      </c>
    </row>
    <row r="409" spans="1:105" s="30" customFormat="1" ht="17.100000000000001" customHeight="1">
      <c r="A409" s="14">
        <v>398</v>
      </c>
      <c r="B409" s="14" t="s">
        <v>2586</v>
      </c>
      <c r="C409" s="32">
        <v>-1.1991355624998692</v>
      </c>
      <c r="D409" s="32">
        <v>-1.0292904325112366</v>
      </c>
      <c r="E409" s="32">
        <v>-1.3498474818434611</v>
      </c>
      <c r="F409" s="24">
        <v>85597</v>
      </c>
      <c r="G409" s="52" t="s">
        <v>2</v>
      </c>
      <c r="H409" s="32">
        <v>31.28198000406211</v>
      </c>
      <c r="I409" s="32">
        <v>29.793699744470043</v>
      </c>
      <c r="J409" s="12" t="s">
        <v>2580</v>
      </c>
      <c r="K409" s="12" t="s">
        <v>2581</v>
      </c>
      <c r="L409" s="14" t="s">
        <v>5056</v>
      </c>
      <c r="M409" s="12" t="s">
        <v>2582</v>
      </c>
      <c r="N409" s="15" t="s">
        <v>2583</v>
      </c>
      <c r="O409" s="12" t="s">
        <v>2584</v>
      </c>
      <c r="P409" s="12" t="s">
        <v>2587</v>
      </c>
      <c r="Q409" s="14">
        <v>2</v>
      </c>
      <c r="R409" s="21">
        <v>804.39359999999999</v>
      </c>
      <c r="S409" s="14">
        <v>2</v>
      </c>
      <c r="T409" s="52" t="s">
        <v>2</v>
      </c>
      <c r="U409" s="53">
        <v>57.298137499999996</v>
      </c>
      <c r="V409" s="24">
        <v>65246</v>
      </c>
      <c r="W409" s="24">
        <v>50823</v>
      </c>
      <c r="X409" s="24">
        <v>103630</v>
      </c>
      <c r="Y409" s="24">
        <v>67564</v>
      </c>
      <c r="Z409" s="24">
        <v>62184</v>
      </c>
      <c r="AA409" s="24">
        <v>56010</v>
      </c>
      <c r="AB409" s="24">
        <v>82674</v>
      </c>
      <c r="AC409" s="24">
        <v>73872</v>
      </c>
      <c r="AD409" s="24">
        <v>71815.75</v>
      </c>
      <c r="AE409" s="24">
        <v>68685</v>
      </c>
      <c r="AF409" s="24">
        <v>58034.5</v>
      </c>
      <c r="AG409" s="24">
        <v>85597</v>
      </c>
      <c r="AH409" s="24">
        <v>59097</v>
      </c>
      <c r="AI409" s="24">
        <v>78273</v>
      </c>
      <c r="AJ409" s="32">
        <v>31.28198000406211</v>
      </c>
      <c r="AK409" s="32">
        <v>17.339448195796361</v>
      </c>
      <c r="AL409" s="32">
        <v>17.573341900168991</v>
      </c>
      <c r="AM409" s="32">
        <v>29.793699744470043</v>
      </c>
      <c r="AN409" s="32">
        <v>7.387307760200593</v>
      </c>
      <c r="AO409" s="32">
        <v>7.9515974703971883</v>
      </c>
      <c r="AP409" s="19">
        <v>0.95640580234837069</v>
      </c>
      <c r="AQ409" s="19">
        <v>1.0183080753689615</v>
      </c>
      <c r="AR409" s="19">
        <v>0.91443625360701897</v>
      </c>
      <c r="AS409" s="19">
        <v>-6.4305212230306691E-2</v>
      </c>
      <c r="AT409" s="19">
        <v>2.6174095370123003E-2</v>
      </c>
      <c r="AU409" s="19">
        <v>-0.1290454933228864</v>
      </c>
      <c r="AV409" s="19">
        <v>-0.26199476491640727</v>
      </c>
      <c r="AW409" s="19">
        <v>-4.1650121613026704E-2</v>
      </c>
      <c r="AX409" s="19">
        <v>-0.43279640755867932</v>
      </c>
      <c r="AY409" s="19">
        <v>-1.0455812768435611</v>
      </c>
      <c r="AZ409" s="19">
        <v>1.0183080753689615</v>
      </c>
      <c r="BA409" s="19">
        <v>-1.0935699411035733</v>
      </c>
      <c r="BB409" s="19">
        <v>-1.1991355624998692</v>
      </c>
      <c r="BC409" s="19">
        <v>-1.0292904325112366</v>
      </c>
      <c r="BD409" s="19">
        <v>-1.3498474818434611</v>
      </c>
      <c r="BE409" s="14" t="s">
        <v>4857</v>
      </c>
    </row>
    <row r="410" spans="1:105" s="30" customFormat="1" ht="17.100000000000001" customHeight="1">
      <c r="A410" s="14">
        <v>399</v>
      </c>
      <c r="B410" s="14" t="s">
        <v>2588</v>
      </c>
      <c r="C410" s="32">
        <v>1.0189581842889868</v>
      </c>
      <c r="D410" s="32">
        <v>1.0717086971718088</v>
      </c>
      <c r="E410" s="32">
        <v>-1.0232542240606797</v>
      </c>
      <c r="F410" s="24">
        <v>1649335</v>
      </c>
      <c r="G410" s="52" t="s">
        <v>2</v>
      </c>
      <c r="H410" s="32">
        <v>21.648127684061784</v>
      </c>
      <c r="I410" s="32">
        <v>24.475330379309728</v>
      </c>
      <c r="J410" s="12" t="s">
        <v>2580</v>
      </c>
      <c r="K410" s="12" t="s">
        <v>2581</v>
      </c>
      <c r="L410" s="14" t="s">
        <v>5253</v>
      </c>
      <c r="M410" s="12" t="s">
        <v>2582</v>
      </c>
      <c r="N410" s="15" t="s">
        <v>2583</v>
      </c>
      <c r="O410" s="12" t="s">
        <v>2584</v>
      </c>
      <c r="P410" s="12" t="s">
        <v>2589</v>
      </c>
      <c r="Q410" s="14">
        <v>2</v>
      </c>
      <c r="R410" s="21">
        <v>625.33799999999997</v>
      </c>
      <c r="S410" s="14">
        <v>2</v>
      </c>
      <c r="T410" s="52" t="s">
        <v>2</v>
      </c>
      <c r="U410" s="53">
        <v>61.096137499999998</v>
      </c>
      <c r="V410" s="24">
        <v>1125070</v>
      </c>
      <c r="W410" s="24">
        <v>1150040</v>
      </c>
      <c r="X410" s="24">
        <v>1377190</v>
      </c>
      <c r="Y410" s="24">
        <v>1357350</v>
      </c>
      <c r="Z410" s="24">
        <v>1268680</v>
      </c>
      <c r="AA410" s="24">
        <v>1286940</v>
      </c>
      <c r="AB410" s="24">
        <v>1363890</v>
      </c>
      <c r="AC410" s="24">
        <v>1934780</v>
      </c>
      <c r="AD410" s="24">
        <v>1252412.5</v>
      </c>
      <c r="AE410" s="24">
        <v>1463572.5</v>
      </c>
      <c r="AF410" s="24">
        <v>1137555</v>
      </c>
      <c r="AG410" s="24">
        <v>1367270</v>
      </c>
      <c r="AH410" s="24">
        <v>1277810</v>
      </c>
      <c r="AI410" s="24">
        <v>1649335</v>
      </c>
      <c r="AJ410" s="32">
        <v>10.640550059518951</v>
      </c>
      <c r="AK410" s="32">
        <v>21.648127684061784</v>
      </c>
      <c r="AL410" s="32">
        <v>1.5521408921966928</v>
      </c>
      <c r="AM410" s="32">
        <v>1.0260591206375553</v>
      </c>
      <c r="AN410" s="32">
        <v>1.0104608529019461</v>
      </c>
      <c r="AO410" s="32">
        <v>24.475330379309728</v>
      </c>
      <c r="AP410" s="19">
        <v>1.1686025969878135</v>
      </c>
      <c r="AQ410" s="19">
        <v>1.1232951373779729</v>
      </c>
      <c r="AR410" s="19">
        <v>1.2062979513921903</v>
      </c>
      <c r="AS410" s="19">
        <v>0.22478440050313389</v>
      </c>
      <c r="AT410" s="19">
        <v>0.16773703485311142</v>
      </c>
      <c r="AU410" s="19">
        <v>0.27058629190256767</v>
      </c>
      <c r="AV410" s="19">
        <v>2.7094847817033335E-2</v>
      </c>
      <c r="AW410" s="19">
        <v>9.9912817869961715E-2</v>
      </c>
      <c r="AX410" s="19">
        <v>-3.3164622333225258E-2</v>
      </c>
      <c r="AY410" s="19">
        <v>1.1686025969878135</v>
      </c>
      <c r="AZ410" s="19">
        <v>1.1232951373779729</v>
      </c>
      <c r="BA410" s="19">
        <v>1.2062979513921903</v>
      </c>
      <c r="BB410" s="19">
        <v>1.0189581842889868</v>
      </c>
      <c r="BC410" s="19">
        <v>1.0717086971718088</v>
      </c>
      <c r="BD410" s="19">
        <v>-1.0232542240606797</v>
      </c>
      <c r="BE410" s="14" t="s">
        <v>4857</v>
      </c>
    </row>
    <row r="411" spans="1:105" s="30" customFormat="1" ht="17.100000000000001" customHeight="1">
      <c r="A411" s="14">
        <v>400</v>
      </c>
      <c r="B411" s="14" t="s">
        <v>2590</v>
      </c>
      <c r="C411" s="32">
        <v>-1.0159641066046818</v>
      </c>
      <c r="D411" s="32">
        <v>1.6625356559618396</v>
      </c>
      <c r="E411" s="32">
        <v>-1.771473287498067</v>
      </c>
      <c r="F411" s="24">
        <v>114816.5</v>
      </c>
      <c r="G411" s="52" t="s">
        <v>2</v>
      </c>
      <c r="H411" s="32">
        <v>59.592990186441099</v>
      </c>
      <c r="I411" s="32">
        <v>64.090510856662974</v>
      </c>
      <c r="J411" s="12" t="s">
        <v>2591</v>
      </c>
      <c r="K411" s="12" t="s">
        <v>2592</v>
      </c>
      <c r="L411" s="14" t="s">
        <v>4969</v>
      </c>
      <c r="M411" s="12" t="s">
        <v>2593</v>
      </c>
      <c r="N411" s="15" t="s">
        <v>2594</v>
      </c>
      <c r="O411" s="12" t="s">
        <v>2595</v>
      </c>
      <c r="P411" s="12" t="s">
        <v>2596</v>
      </c>
      <c r="Q411" s="14">
        <v>3</v>
      </c>
      <c r="R411" s="21">
        <v>796.4248</v>
      </c>
      <c r="S411" s="14">
        <v>1</v>
      </c>
      <c r="T411" s="52" t="s">
        <v>2</v>
      </c>
      <c r="U411" s="53">
        <v>106.33312500000001</v>
      </c>
      <c r="V411" s="24">
        <v>63930</v>
      </c>
      <c r="W411" s="24">
        <v>67849</v>
      </c>
      <c r="X411" s="24">
        <v>91706</v>
      </c>
      <c r="Y411" s="24">
        <v>95486</v>
      </c>
      <c r="Z411" s="24">
        <v>166850</v>
      </c>
      <c r="AA411" s="24">
        <v>62783</v>
      </c>
      <c r="AB411" s="24">
        <v>45751</v>
      </c>
      <c r="AC411" s="24">
        <v>84683</v>
      </c>
      <c r="AD411" s="24">
        <v>79742.75</v>
      </c>
      <c r="AE411" s="24">
        <v>90016.75</v>
      </c>
      <c r="AF411" s="24">
        <v>65889.5</v>
      </c>
      <c r="AG411" s="24">
        <v>93596</v>
      </c>
      <c r="AH411" s="24">
        <v>114816.5</v>
      </c>
      <c r="AI411" s="24">
        <v>65217</v>
      </c>
      <c r="AJ411" s="32">
        <v>20.252704084259577</v>
      </c>
      <c r="AK411" s="32">
        <v>59.592990186441099</v>
      </c>
      <c r="AL411" s="32">
        <v>4.2057558115785971</v>
      </c>
      <c r="AM411" s="32">
        <v>2.8557455798166052</v>
      </c>
      <c r="AN411" s="32">
        <v>64.090510856662974</v>
      </c>
      <c r="AO411" s="32">
        <v>42.211511116970527</v>
      </c>
      <c r="AP411" s="19">
        <v>1.1288392988704303</v>
      </c>
      <c r="AQ411" s="19">
        <v>1.7425614096327944</v>
      </c>
      <c r="AR411" s="19">
        <v>0.6967925979742724</v>
      </c>
      <c r="AS411" s="19">
        <v>0.17484011921593337</v>
      </c>
      <c r="AT411" s="19">
        <v>0.80120949902717409</v>
      </c>
      <c r="AU411" s="19">
        <v>-0.52119879661437685</v>
      </c>
      <c r="AV411" s="19">
        <v>-2.2849433470167185E-2</v>
      </c>
      <c r="AW411" s="19">
        <v>0.73338528204402442</v>
      </c>
      <c r="AX411" s="19">
        <v>-0.82494971085016977</v>
      </c>
      <c r="AY411" s="19">
        <v>1.1288392988704303</v>
      </c>
      <c r="AZ411" s="19">
        <v>1.7425614096327944</v>
      </c>
      <c r="BA411" s="19">
        <v>-1.435147277550332</v>
      </c>
      <c r="BB411" s="19">
        <v>-1.0159641066046818</v>
      </c>
      <c r="BC411" s="19">
        <v>1.6625356559618396</v>
      </c>
      <c r="BD411" s="19">
        <v>-1.771473287498067</v>
      </c>
      <c r="BE411" s="14" t="s">
        <v>4857</v>
      </c>
    </row>
    <row r="412" spans="1:105" s="30" customFormat="1" ht="17.100000000000001" customHeight="1">
      <c r="A412" s="14">
        <v>401</v>
      </c>
      <c r="B412" s="14" t="s">
        <v>2597</v>
      </c>
      <c r="C412" s="32">
        <v>-1.0065156550364955</v>
      </c>
      <c r="D412" s="32">
        <v>-1.3701776854574563</v>
      </c>
      <c r="E412" s="32">
        <v>1.1721388656146188</v>
      </c>
      <c r="F412" s="24">
        <v>189374</v>
      </c>
      <c r="G412" s="52" t="s">
        <v>2</v>
      </c>
      <c r="H412" s="32">
        <v>45.602818332824839</v>
      </c>
      <c r="I412" s="32">
        <v>12.732233128073828</v>
      </c>
      <c r="J412" s="12" t="s">
        <v>2598</v>
      </c>
      <c r="K412" s="15" t="s">
        <v>2599</v>
      </c>
      <c r="L412" s="14" t="s">
        <v>5050</v>
      </c>
      <c r="M412" s="12" t="s">
        <v>2600</v>
      </c>
      <c r="N412" s="15" t="s">
        <v>2601</v>
      </c>
      <c r="O412" s="12" t="s">
        <v>2467</v>
      </c>
      <c r="P412" s="12" t="s">
        <v>2468</v>
      </c>
      <c r="Q412" s="14">
        <v>2</v>
      </c>
      <c r="R412" s="21">
        <v>546.30840000000001</v>
      </c>
      <c r="S412" s="14">
        <v>3</v>
      </c>
      <c r="T412" s="52" t="s">
        <v>2</v>
      </c>
      <c r="U412" s="53">
        <v>49.214312499999998</v>
      </c>
      <c r="V412" s="24">
        <v>106259</v>
      </c>
      <c r="W412" s="24">
        <v>108626</v>
      </c>
      <c r="X412" s="24">
        <v>142673</v>
      </c>
      <c r="Y412" s="24">
        <v>119105</v>
      </c>
      <c r="Z412" s="24">
        <v>83594</v>
      </c>
      <c r="AA412" s="24">
        <v>80785</v>
      </c>
      <c r="AB412" s="24">
        <v>191600</v>
      </c>
      <c r="AC412" s="24">
        <v>187148</v>
      </c>
      <c r="AD412" s="24">
        <v>119165.75</v>
      </c>
      <c r="AE412" s="24">
        <v>135781.75</v>
      </c>
      <c r="AF412" s="24">
        <v>107442.5</v>
      </c>
      <c r="AG412" s="24">
        <v>130889</v>
      </c>
      <c r="AH412" s="24">
        <v>82189.5</v>
      </c>
      <c r="AI412" s="24">
        <v>189374</v>
      </c>
      <c r="AJ412" s="32">
        <v>13.960349534202535</v>
      </c>
      <c r="AK412" s="32">
        <v>45.602818332824839</v>
      </c>
      <c r="AL412" s="32">
        <v>1.5577836992517466</v>
      </c>
      <c r="AM412" s="32">
        <v>12.732233128073828</v>
      </c>
      <c r="AN412" s="32">
        <v>2.4166869835599583</v>
      </c>
      <c r="AO412" s="32">
        <v>1.6623398089719337</v>
      </c>
      <c r="AP412" s="19">
        <v>1.1394360376198698</v>
      </c>
      <c r="AQ412" s="19">
        <v>0.76496265444307421</v>
      </c>
      <c r="AR412" s="19">
        <v>1.4468289925050997</v>
      </c>
      <c r="AS412" s="19">
        <v>0.18831994101515123</v>
      </c>
      <c r="AT412" s="19">
        <v>-0.38653877788589719</v>
      </c>
      <c r="AU412" s="19">
        <v>0.53289441306225904</v>
      </c>
      <c r="AV412" s="19">
        <v>-9.3696116709493238E-3</v>
      </c>
      <c r="AW412" s="19">
        <v>-0.45436299486904691</v>
      </c>
      <c r="AX412" s="19">
        <v>0.22914349882646612</v>
      </c>
      <c r="AY412" s="19">
        <v>1.1394360376198698</v>
      </c>
      <c r="AZ412" s="19">
        <v>-1.3072533596140625</v>
      </c>
      <c r="BA412" s="19">
        <v>1.4468289925050997</v>
      </c>
      <c r="BB412" s="19">
        <v>-1.0065156550364955</v>
      </c>
      <c r="BC412" s="19">
        <v>-1.3701776854574563</v>
      </c>
      <c r="BD412" s="19">
        <v>1.1721388656146188</v>
      </c>
      <c r="BE412" s="14" t="s">
        <v>4857</v>
      </c>
    </row>
    <row r="413" spans="1:105" s="30" customFormat="1" ht="17.100000000000001" customHeight="1">
      <c r="A413" s="14">
        <v>402</v>
      </c>
      <c r="B413" s="14" t="s">
        <v>2471</v>
      </c>
      <c r="C413" s="32">
        <v>1.1317938412885054</v>
      </c>
      <c r="D413" s="32">
        <v>-1.1300780826879833</v>
      </c>
      <c r="E413" s="32">
        <v>1.3044768977437931</v>
      </c>
      <c r="F413" s="24">
        <v>275887.5</v>
      </c>
      <c r="G413" s="52" t="s">
        <v>2</v>
      </c>
      <c r="H413" s="32">
        <v>44.207458910489102</v>
      </c>
      <c r="I413" s="32">
        <v>23.766169362180236</v>
      </c>
      <c r="J413" s="12" t="s">
        <v>2598</v>
      </c>
      <c r="K413" s="15" t="s">
        <v>2599</v>
      </c>
      <c r="L413" s="14" t="s">
        <v>5179</v>
      </c>
      <c r="M413" s="12" t="s">
        <v>2600</v>
      </c>
      <c r="N413" s="15" t="s">
        <v>2601</v>
      </c>
      <c r="O413" s="12" t="s">
        <v>2467</v>
      </c>
      <c r="P413" s="12" t="s">
        <v>2472</v>
      </c>
      <c r="Q413" s="14">
        <v>3</v>
      </c>
      <c r="R413" s="21">
        <v>902.45339999999999</v>
      </c>
      <c r="S413" s="14">
        <v>20</v>
      </c>
      <c r="T413" s="52" t="s">
        <v>2</v>
      </c>
      <c r="U413" s="53">
        <v>76.046537499999999</v>
      </c>
      <c r="V413" s="24">
        <v>130252</v>
      </c>
      <c r="W413" s="24">
        <v>158462</v>
      </c>
      <c r="X413" s="24">
        <v>168898</v>
      </c>
      <c r="Y413" s="24">
        <v>173781</v>
      </c>
      <c r="Z413" s="24">
        <v>142534</v>
      </c>
      <c r="AA413" s="24">
        <v>125245</v>
      </c>
      <c r="AB413" s="24">
        <v>229524</v>
      </c>
      <c r="AC413" s="24">
        <v>322251</v>
      </c>
      <c r="AD413" s="24">
        <v>157848.25</v>
      </c>
      <c r="AE413" s="24">
        <v>204888.5</v>
      </c>
      <c r="AF413" s="24">
        <v>144357</v>
      </c>
      <c r="AG413" s="24">
        <v>171339.5</v>
      </c>
      <c r="AH413" s="24">
        <v>133889.5</v>
      </c>
      <c r="AI413" s="24">
        <v>275887.5</v>
      </c>
      <c r="AJ413" s="32">
        <v>12.338082809020909</v>
      </c>
      <c r="AK413" s="32">
        <v>44.207458910489102</v>
      </c>
      <c r="AL413" s="32">
        <v>13.818160738497271</v>
      </c>
      <c r="AM413" s="32">
        <v>2.0151817955193705</v>
      </c>
      <c r="AN413" s="32">
        <v>9.1307900469672525</v>
      </c>
      <c r="AO413" s="32">
        <v>23.766169362180236</v>
      </c>
      <c r="AP413" s="19">
        <v>1.2980093222446243</v>
      </c>
      <c r="AQ413" s="19">
        <v>0.92748879513982696</v>
      </c>
      <c r="AR413" s="19">
        <v>1.6101803728854116</v>
      </c>
      <c r="AS413" s="19">
        <v>0.37630074474521302</v>
      </c>
      <c r="AT413" s="19">
        <v>-0.1085982420421692</v>
      </c>
      <c r="AU413" s="19">
        <v>0.68722230852102095</v>
      </c>
      <c r="AV413" s="19">
        <v>0.17861119205911247</v>
      </c>
      <c r="AW413" s="19">
        <v>-0.17642245902531889</v>
      </c>
      <c r="AX413" s="19">
        <v>0.38347139428522803</v>
      </c>
      <c r="AY413" s="19">
        <v>1.2980093222446243</v>
      </c>
      <c r="AZ413" s="19">
        <v>-1.0781801410864931</v>
      </c>
      <c r="BA413" s="19">
        <v>1.6101803728854116</v>
      </c>
      <c r="BB413" s="19">
        <v>1.1317938412885054</v>
      </c>
      <c r="BC413" s="19">
        <v>-1.1300780826879833</v>
      </c>
      <c r="BD413" s="19">
        <v>1.3044768977437931</v>
      </c>
      <c r="BE413" s="14" t="s">
        <v>4857</v>
      </c>
    </row>
    <row r="414" spans="1:105" s="30" customFormat="1" ht="17.100000000000001" customHeight="1">
      <c r="A414" s="14">
        <v>403</v>
      </c>
      <c r="B414" s="14" t="s">
        <v>2477</v>
      </c>
      <c r="C414" s="32">
        <v>1.0981596892563164</v>
      </c>
      <c r="D414" s="32">
        <v>1.4500348540584018</v>
      </c>
      <c r="E414" s="32">
        <v>-1.118103997110625</v>
      </c>
      <c r="F414" s="24">
        <v>55009</v>
      </c>
      <c r="G414" s="52" t="s">
        <v>2</v>
      </c>
      <c r="H414" s="32">
        <v>33.12113753525918</v>
      </c>
      <c r="I414" s="32">
        <v>38.1273102406901</v>
      </c>
      <c r="J414" s="12" t="s">
        <v>2478</v>
      </c>
      <c r="K414" s="12" t="s">
        <v>2479</v>
      </c>
      <c r="L414" s="14" t="s">
        <v>2480</v>
      </c>
      <c r="M414" s="12" t="s">
        <v>2481</v>
      </c>
      <c r="N414" s="15" t="s">
        <v>2482</v>
      </c>
      <c r="O414" s="12" t="s">
        <v>2483</v>
      </c>
      <c r="P414" s="12" t="s">
        <v>2485</v>
      </c>
      <c r="Q414" s="14">
        <v>4</v>
      </c>
      <c r="R414" s="21">
        <v>654.55840000000001</v>
      </c>
      <c r="S414" s="14">
        <v>1</v>
      </c>
      <c r="T414" s="52" t="s">
        <v>2</v>
      </c>
      <c r="U414" s="53">
        <v>45.718762500000004</v>
      </c>
      <c r="V414" s="24">
        <v>36020</v>
      </c>
      <c r="W414" s="24">
        <v>23480</v>
      </c>
      <c r="X414" s="24">
        <v>54259</v>
      </c>
      <c r="Y414" s="24">
        <v>45398</v>
      </c>
      <c r="Z414" s="24">
        <v>33025</v>
      </c>
      <c r="AA414" s="24">
        <v>57405</v>
      </c>
      <c r="AB414" s="24">
        <v>51148</v>
      </c>
      <c r="AC414" s="24">
        <v>58870</v>
      </c>
      <c r="AD414" s="24">
        <v>39789.25</v>
      </c>
      <c r="AE414" s="24">
        <v>50112</v>
      </c>
      <c r="AF414" s="24">
        <v>29750</v>
      </c>
      <c r="AG414" s="24">
        <v>49828.5</v>
      </c>
      <c r="AH414" s="24">
        <v>45215</v>
      </c>
      <c r="AI414" s="24">
        <v>55009</v>
      </c>
      <c r="AJ414" s="32">
        <v>33.12113753525918</v>
      </c>
      <c r="AK414" s="32">
        <v>23.693625081965717</v>
      </c>
      <c r="AL414" s="32">
        <v>29.805442138081702</v>
      </c>
      <c r="AM414" s="32">
        <v>12.5744768317208</v>
      </c>
      <c r="AN414" s="32">
        <v>38.1273102406901</v>
      </c>
      <c r="AO414" s="32">
        <v>9.9261549279618233</v>
      </c>
      <c r="AP414" s="19">
        <v>1.2594356515893113</v>
      </c>
      <c r="AQ414" s="19">
        <v>1.5198319327731094</v>
      </c>
      <c r="AR414" s="19">
        <v>1.1039666054567165</v>
      </c>
      <c r="AS414" s="19">
        <v>0.3327774122630518</v>
      </c>
      <c r="AT414" s="19">
        <v>0.60391179527362027</v>
      </c>
      <c r="AU414" s="19">
        <v>0.14269653183468248</v>
      </c>
      <c r="AV414" s="19">
        <v>0.13508785957695124</v>
      </c>
      <c r="AW414" s="19">
        <v>0.5360875782904706</v>
      </c>
      <c r="AX414" s="19">
        <v>-0.16105438240111045</v>
      </c>
      <c r="AY414" s="19">
        <v>1.2594356515893113</v>
      </c>
      <c r="AZ414" s="19">
        <v>1.5198319327731094</v>
      </c>
      <c r="BA414" s="19">
        <v>1.1039666054567165</v>
      </c>
      <c r="BB414" s="19">
        <v>1.0981596892563164</v>
      </c>
      <c r="BC414" s="19">
        <v>1.4500348540584018</v>
      </c>
      <c r="BD414" s="19">
        <v>-1.118103997110625</v>
      </c>
      <c r="BE414" s="14" t="s">
        <v>4857</v>
      </c>
    </row>
    <row r="415" spans="1:105" s="30" customFormat="1" ht="17.100000000000001" customHeight="1">
      <c r="A415" s="14">
        <v>404</v>
      </c>
      <c r="B415" s="14" t="s">
        <v>2486</v>
      </c>
      <c r="C415" s="32">
        <v>-1.1131290271366479</v>
      </c>
      <c r="D415" s="32">
        <v>-1.2037612083853713</v>
      </c>
      <c r="E415" s="32">
        <v>1.0000374902693021</v>
      </c>
      <c r="F415" s="24">
        <v>96300</v>
      </c>
      <c r="G415" s="52" t="s">
        <v>2</v>
      </c>
      <c r="H415" s="32">
        <v>19.787907940260123</v>
      </c>
      <c r="I415" s="32">
        <v>26.669100379412946</v>
      </c>
      <c r="J415" s="12" t="s">
        <v>2487</v>
      </c>
      <c r="K415" s="12" t="s">
        <v>2488</v>
      </c>
      <c r="L415" s="14" t="s">
        <v>2489</v>
      </c>
      <c r="M415" s="12" t="s">
        <v>2490</v>
      </c>
      <c r="N415" s="15" t="s">
        <v>2491</v>
      </c>
      <c r="O415" s="12" t="s">
        <v>2492</v>
      </c>
      <c r="P415" s="12" t="s">
        <v>2493</v>
      </c>
      <c r="Q415" s="14">
        <v>2</v>
      </c>
      <c r="R415" s="21">
        <v>548.3297</v>
      </c>
      <c r="S415" s="14">
        <v>1</v>
      </c>
      <c r="T415" s="52" t="s">
        <v>2</v>
      </c>
      <c r="U415" s="53">
        <v>42.5</v>
      </c>
      <c r="V415" s="24">
        <v>93100</v>
      </c>
      <c r="W415" s="24">
        <v>99500</v>
      </c>
      <c r="X415" s="24">
        <v>61100</v>
      </c>
      <c r="Y415" s="24">
        <v>89500</v>
      </c>
      <c r="Z415" s="24">
        <v>88300</v>
      </c>
      <c r="AA415" s="24">
        <v>79400</v>
      </c>
      <c r="AB415" s="24">
        <v>91700</v>
      </c>
      <c r="AC415" s="24">
        <v>94200</v>
      </c>
      <c r="AD415" s="24">
        <v>85800</v>
      </c>
      <c r="AE415" s="24">
        <v>88400</v>
      </c>
      <c r="AF415" s="24">
        <v>96300</v>
      </c>
      <c r="AG415" s="24">
        <v>75300</v>
      </c>
      <c r="AH415" s="24">
        <v>83850</v>
      </c>
      <c r="AI415" s="24">
        <v>92950</v>
      </c>
      <c r="AJ415" s="32">
        <v>19.787907940260123</v>
      </c>
      <c r="AK415" s="32">
        <v>7.3177601334889069</v>
      </c>
      <c r="AL415" s="32">
        <v>4.6993597088202543</v>
      </c>
      <c r="AM415" s="32">
        <v>26.669100379412946</v>
      </c>
      <c r="AN415" s="32">
        <v>7.505367146762401</v>
      </c>
      <c r="AO415" s="32">
        <v>1.9018471790923819</v>
      </c>
      <c r="AP415" s="19">
        <v>1.0303030303030303</v>
      </c>
      <c r="AQ415" s="19">
        <v>0.87071651090342683</v>
      </c>
      <c r="AR415" s="19">
        <v>1.2343957503320053</v>
      </c>
      <c r="AS415" s="19">
        <v>4.3068721891885937E-2</v>
      </c>
      <c r="AT415" s="19">
        <v>-0.19972501427911299</v>
      </c>
      <c r="AU415" s="19">
        <v>0.30380500024755347</v>
      </c>
      <c r="AV415" s="19">
        <v>-0.15462083079421463</v>
      </c>
      <c r="AW415" s="19">
        <v>-0.26754923126226271</v>
      </c>
      <c r="AX415" s="19">
        <v>5.4086011760545727E-5</v>
      </c>
      <c r="AY415" s="19">
        <v>1.0303030303030303</v>
      </c>
      <c r="AZ415" s="19">
        <v>-1.148479427549195</v>
      </c>
      <c r="BA415" s="19">
        <v>1.2343957503320053</v>
      </c>
      <c r="BB415" s="19">
        <v>-1.1131290271366479</v>
      </c>
      <c r="BC415" s="19">
        <v>-1.2037612083853713</v>
      </c>
      <c r="BD415" s="19">
        <v>1.0000374902693021</v>
      </c>
      <c r="BE415" s="14" t="s">
        <v>4857</v>
      </c>
    </row>
    <row r="416" spans="1:105" s="30" customFormat="1" ht="17.100000000000001" customHeight="1">
      <c r="A416" s="14">
        <v>405</v>
      </c>
      <c r="B416" s="14" t="s">
        <v>2494</v>
      </c>
      <c r="C416" s="32">
        <v>-1.087118200685421</v>
      </c>
      <c r="D416" s="32">
        <v>-1.1247675989567651</v>
      </c>
      <c r="E416" s="32">
        <v>-1.044992413903669</v>
      </c>
      <c r="F416" s="40">
        <v>141500</v>
      </c>
      <c r="G416" s="52" t="s">
        <v>2</v>
      </c>
      <c r="H416" s="32">
        <v>17.940421510051909</v>
      </c>
      <c r="I416" s="32">
        <v>20.48860638067028</v>
      </c>
      <c r="J416" s="12" t="s">
        <v>2495</v>
      </c>
      <c r="K416" s="15" t="s">
        <v>2496</v>
      </c>
      <c r="L416" s="14" t="s">
        <v>5183</v>
      </c>
      <c r="M416" s="12" t="s">
        <v>2497</v>
      </c>
      <c r="N416" s="15" t="s">
        <v>2498</v>
      </c>
      <c r="O416" s="12" t="s">
        <v>2499</v>
      </c>
      <c r="P416" s="12" t="s">
        <v>2500</v>
      </c>
      <c r="Q416" s="14">
        <v>4</v>
      </c>
      <c r="R416" s="21">
        <v>1021.5006</v>
      </c>
      <c r="S416" s="14">
        <v>2</v>
      </c>
      <c r="T416" s="52" t="s">
        <v>2</v>
      </c>
      <c r="U416" s="53">
        <v>88.230137500000012</v>
      </c>
      <c r="V416" s="40">
        <v>126743</v>
      </c>
      <c r="W416" s="40">
        <v>119000</v>
      </c>
      <c r="X416" s="40">
        <v>130586</v>
      </c>
      <c r="Y416" s="40">
        <v>109000</v>
      </c>
      <c r="Z416" s="40">
        <v>112000</v>
      </c>
      <c r="AA416" s="40">
        <v>117000</v>
      </c>
      <c r="AB416" s="40">
        <v>162000</v>
      </c>
      <c r="AC416" s="40">
        <v>121000</v>
      </c>
      <c r="AD416" s="40">
        <v>121332.25</v>
      </c>
      <c r="AE416" s="40">
        <v>128000</v>
      </c>
      <c r="AF416" s="40">
        <v>122871.5</v>
      </c>
      <c r="AG416" s="40">
        <v>119793</v>
      </c>
      <c r="AH416" s="40">
        <v>114500</v>
      </c>
      <c r="AI416" s="40">
        <v>141500</v>
      </c>
      <c r="AJ416" s="32">
        <v>7.85402155501294</v>
      </c>
      <c r="AK416" s="32">
        <v>17.940421510051909</v>
      </c>
      <c r="AL416" s="32">
        <v>4.4559786498312768</v>
      </c>
      <c r="AM416" s="32">
        <v>12.741651831653614</v>
      </c>
      <c r="AN416" s="32">
        <v>3.0878025379325216</v>
      </c>
      <c r="AO416" s="32">
        <v>20.48860638067028</v>
      </c>
      <c r="AP416" s="19">
        <v>1.0549544741814316</v>
      </c>
      <c r="AQ416" s="19">
        <v>0.93186784567617387</v>
      </c>
      <c r="AR416" s="19">
        <v>1.1812042439875452</v>
      </c>
      <c r="AS416" s="19">
        <v>7.7180741785687942E-2</v>
      </c>
      <c r="AT416" s="19">
        <v>-0.10180272359819148</v>
      </c>
      <c r="AU416" s="19">
        <v>0.24025844510023944</v>
      </c>
      <c r="AV416" s="19">
        <v>-0.12050881090041261</v>
      </c>
      <c r="AW416" s="19">
        <v>-0.1696269405813412</v>
      </c>
      <c r="AX416" s="19">
        <v>-6.3492469135553481E-2</v>
      </c>
      <c r="AY416" s="19">
        <v>1.0549544741814316</v>
      </c>
      <c r="AZ416" s="19">
        <v>-1.0731135371179039</v>
      </c>
      <c r="BA416" s="19">
        <v>1.1812042439875452</v>
      </c>
      <c r="BB416" s="19">
        <v>-1.087118200685421</v>
      </c>
      <c r="BC416" s="19">
        <v>-1.1247675989567651</v>
      </c>
      <c r="BD416" s="19">
        <v>-1.044992413903669</v>
      </c>
      <c r="BE416" s="14" t="s">
        <v>4857</v>
      </c>
    </row>
    <row r="417" spans="1:105" s="30" customFormat="1" ht="17.100000000000001" customHeight="1">
      <c r="A417" s="14">
        <v>406</v>
      </c>
      <c r="B417" s="14" t="s">
        <v>2501</v>
      </c>
      <c r="C417" s="32">
        <v>-1.087118200685421</v>
      </c>
      <c r="D417" s="32">
        <v>-1.1247675989567651</v>
      </c>
      <c r="E417" s="32">
        <v>-1.044992413903669</v>
      </c>
      <c r="F417" s="40">
        <v>141500</v>
      </c>
      <c r="G417" s="52" t="s">
        <v>2</v>
      </c>
      <c r="H417" s="32">
        <v>17.940421510051909</v>
      </c>
      <c r="I417" s="32">
        <v>20.48860638067028</v>
      </c>
      <c r="J417" s="12" t="s">
        <v>2495</v>
      </c>
      <c r="K417" s="15" t="s">
        <v>2496</v>
      </c>
      <c r="L417" s="14" t="s">
        <v>3582</v>
      </c>
      <c r="M417" s="12" t="s">
        <v>2497</v>
      </c>
      <c r="N417" s="15" t="s">
        <v>2498</v>
      </c>
      <c r="O417" s="12" t="s">
        <v>2499</v>
      </c>
      <c r="P417" s="12" t="s">
        <v>2502</v>
      </c>
      <c r="Q417" s="14">
        <v>4</v>
      </c>
      <c r="R417" s="21">
        <v>1021.5006</v>
      </c>
      <c r="S417" s="14">
        <v>1</v>
      </c>
      <c r="T417" s="52" t="s">
        <v>2</v>
      </c>
      <c r="U417" s="53">
        <v>88.230137500000012</v>
      </c>
      <c r="V417" s="40">
        <v>126743</v>
      </c>
      <c r="W417" s="40">
        <v>119000</v>
      </c>
      <c r="X417" s="40">
        <v>130586</v>
      </c>
      <c r="Y417" s="40">
        <v>109000</v>
      </c>
      <c r="Z417" s="40">
        <v>112000</v>
      </c>
      <c r="AA417" s="40">
        <v>117000</v>
      </c>
      <c r="AB417" s="40">
        <v>162000</v>
      </c>
      <c r="AC417" s="40">
        <v>121000</v>
      </c>
      <c r="AD417" s="40">
        <v>121332.25</v>
      </c>
      <c r="AE417" s="40">
        <v>128000</v>
      </c>
      <c r="AF417" s="40">
        <v>122871.5</v>
      </c>
      <c r="AG417" s="40">
        <v>119793</v>
      </c>
      <c r="AH417" s="40">
        <v>114500</v>
      </c>
      <c r="AI417" s="40">
        <v>141500</v>
      </c>
      <c r="AJ417" s="32">
        <v>7.85402155501294</v>
      </c>
      <c r="AK417" s="32">
        <v>17.940421510051909</v>
      </c>
      <c r="AL417" s="32">
        <v>4.4559786498312768</v>
      </c>
      <c r="AM417" s="32">
        <v>12.741651831653614</v>
      </c>
      <c r="AN417" s="32">
        <v>3.0878025379325216</v>
      </c>
      <c r="AO417" s="32">
        <v>20.48860638067028</v>
      </c>
      <c r="AP417" s="19">
        <v>1.0549544741814316</v>
      </c>
      <c r="AQ417" s="19">
        <v>0.93186784567617387</v>
      </c>
      <c r="AR417" s="19">
        <v>1.1812042439875452</v>
      </c>
      <c r="AS417" s="19">
        <v>7.7180741785687942E-2</v>
      </c>
      <c r="AT417" s="19">
        <v>-0.10180272359819148</v>
      </c>
      <c r="AU417" s="19">
        <v>0.24025844510023944</v>
      </c>
      <c r="AV417" s="19">
        <v>-0.12050881090041261</v>
      </c>
      <c r="AW417" s="19">
        <v>-0.1696269405813412</v>
      </c>
      <c r="AX417" s="19">
        <v>-6.3492469135553481E-2</v>
      </c>
      <c r="AY417" s="19">
        <v>1.0549544741814316</v>
      </c>
      <c r="AZ417" s="19">
        <v>-1.0731135371179039</v>
      </c>
      <c r="BA417" s="19">
        <v>1.1812042439875452</v>
      </c>
      <c r="BB417" s="19">
        <v>-1.087118200685421</v>
      </c>
      <c r="BC417" s="19">
        <v>-1.1247675989567651</v>
      </c>
      <c r="BD417" s="19">
        <v>-1.044992413903669</v>
      </c>
      <c r="BE417" s="14" t="s">
        <v>4857</v>
      </c>
    </row>
    <row r="418" spans="1:105" s="30" customFormat="1" ht="17.100000000000001" customHeight="1">
      <c r="A418" s="14">
        <v>407</v>
      </c>
      <c r="B418" s="14" t="s">
        <v>2503</v>
      </c>
      <c r="C418" s="32">
        <v>1.0010708204771843</v>
      </c>
      <c r="D418" s="32">
        <v>-1.1159761110646003</v>
      </c>
      <c r="E418" s="32">
        <v>1.0719767701078775</v>
      </c>
      <c r="F418" s="24">
        <v>5985845</v>
      </c>
      <c r="G418" s="52" t="s">
        <v>2</v>
      </c>
      <c r="H418" s="32">
        <v>30.316274768195267</v>
      </c>
      <c r="I418" s="32">
        <v>17.27707008581956</v>
      </c>
      <c r="J418" s="12" t="s">
        <v>2495</v>
      </c>
      <c r="K418" s="15" t="s">
        <v>2496</v>
      </c>
      <c r="L418" s="14" t="s">
        <v>5188</v>
      </c>
      <c r="M418" s="12" t="s">
        <v>2497</v>
      </c>
      <c r="N418" s="15" t="s">
        <v>2498</v>
      </c>
      <c r="O418" s="12" t="s">
        <v>2499</v>
      </c>
      <c r="P418" s="12" t="s">
        <v>2504</v>
      </c>
      <c r="Q418" s="14">
        <v>2</v>
      </c>
      <c r="R418" s="21">
        <v>499.76889999999997</v>
      </c>
      <c r="S418" s="14">
        <v>10</v>
      </c>
      <c r="T418" s="52" t="s">
        <v>2</v>
      </c>
      <c r="U418" s="53">
        <v>48.600099999999998</v>
      </c>
      <c r="V418" s="24">
        <v>4139100</v>
      </c>
      <c r="W418" s="24">
        <v>3445570</v>
      </c>
      <c r="X418" s="24">
        <v>4115340</v>
      </c>
      <c r="Y418" s="24">
        <v>4932230</v>
      </c>
      <c r="Z418" s="24">
        <v>3126660</v>
      </c>
      <c r="AA418" s="24">
        <v>3996930</v>
      </c>
      <c r="AB418" s="24">
        <v>6105940</v>
      </c>
      <c r="AC418" s="24">
        <v>5865750</v>
      </c>
      <c r="AD418" s="24">
        <v>4158060</v>
      </c>
      <c r="AE418" s="24">
        <v>4773820</v>
      </c>
      <c r="AF418" s="24">
        <v>3792335</v>
      </c>
      <c r="AG418" s="24">
        <v>4523785</v>
      </c>
      <c r="AH418" s="24">
        <v>3561795</v>
      </c>
      <c r="AI418" s="24">
        <v>5985845</v>
      </c>
      <c r="AJ418" s="32">
        <v>14.623348503150726</v>
      </c>
      <c r="AK418" s="32">
        <v>30.316274768195267</v>
      </c>
      <c r="AL418" s="32">
        <v>12.931340874587985</v>
      </c>
      <c r="AM418" s="32">
        <v>12.768698302051904</v>
      </c>
      <c r="AN418" s="32">
        <v>17.27707008581956</v>
      </c>
      <c r="AO418" s="32">
        <v>2.8373601015929553</v>
      </c>
      <c r="AP418" s="19">
        <v>1.1480882911742496</v>
      </c>
      <c r="AQ418" s="19">
        <v>0.93920895701460971</v>
      </c>
      <c r="AR418" s="19">
        <v>1.3231939625777971</v>
      </c>
      <c r="AS418" s="19">
        <v>0.19923359353040138</v>
      </c>
      <c r="AT418" s="19">
        <v>-9.0481927730985554E-2</v>
      </c>
      <c r="AU418" s="19">
        <v>0.40402455695938344</v>
      </c>
      <c r="AV418" s="19">
        <v>1.5440408443008202E-3</v>
      </c>
      <c r="AW418" s="19">
        <v>-0.15830614471413526</v>
      </c>
      <c r="AX418" s="19">
        <v>0.10027364272359052</v>
      </c>
      <c r="AY418" s="19">
        <v>1.1480882911742496</v>
      </c>
      <c r="AZ418" s="19">
        <v>-1.0647257913495864</v>
      </c>
      <c r="BA418" s="19">
        <v>1.3231939625777971</v>
      </c>
      <c r="BB418" s="19">
        <v>1.0010708204771843</v>
      </c>
      <c r="BC418" s="19">
        <v>-1.1159761110646003</v>
      </c>
      <c r="BD418" s="19">
        <v>1.0719767701078775</v>
      </c>
      <c r="BE418" s="14" t="s">
        <v>4857</v>
      </c>
    </row>
    <row r="419" spans="1:105" s="30" customFormat="1" ht="17.100000000000001" customHeight="1">
      <c r="A419" s="14">
        <v>408</v>
      </c>
      <c r="B419" s="14" t="s">
        <v>2506</v>
      </c>
      <c r="C419" s="32">
        <v>-1.3084603505415773</v>
      </c>
      <c r="D419" s="32">
        <v>-1.2185123214456057</v>
      </c>
      <c r="E419" s="32">
        <v>-1.3900275219788274</v>
      </c>
      <c r="F419" s="24">
        <v>1034779</v>
      </c>
      <c r="G419" s="52" t="s">
        <v>2</v>
      </c>
      <c r="H419" s="32">
        <v>28.884847335742315</v>
      </c>
      <c r="I419" s="32">
        <v>23.552030660797158</v>
      </c>
      <c r="J419" s="12" t="s">
        <v>2495</v>
      </c>
      <c r="K419" s="15" t="s">
        <v>2496</v>
      </c>
      <c r="L419" s="14" t="s">
        <v>5043</v>
      </c>
      <c r="M419" s="12" t="s">
        <v>2497</v>
      </c>
      <c r="N419" s="15" t="s">
        <v>2498</v>
      </c>
      <c r="O419" s="12" t="s">
        <v>2499</v>
      </c>
      <c r="P419" s="12" t="s">
        <v>2507</v>
      </c>
      <c r="Q419" s="14">
        <v>3</v>
      </c>
      <c r="R419" s="21">
        <v>741.36339999999996</v>
      </c>
      <c r="S419" s="14">
        <v>12</v>
      </c>
      <c r="T419" s="52" t="s">
        <v>2</v>
      </c>
      <c r="U419" s="53">
        <v>60.099674999999998</v>
      </c>
      <c r="V419" s="24">
        <v>676601</v>
      </c>
      <c r="W419" s="24">
        <v>782681</v>
      </c>
      <c r="X419" s="24">
        <v>877688</v>
      </c>
      <c r="Y419" s="24">
        <v>1191870</v>
      </c>
      <c r="Z419" s="24">
        <v>732142</v>
      </c>
      <c r="AA419" s="24">
        <v>523097</v>
      </c>
      <c r="AB419" s="24">
        <v>772305</v>
      </c>
      <c r="AC419" s="24">
        <v>1065470</v>
      </c>
      <c r="AD419" s="24">
        <v>882210</v>
      </c>
      <c r="AE419" s="24">
        <v>773253.5</v>
      </c>
      <c r="AF419" s="24">
        <v>729641</v>
      </c>
      <c r="AG419" s="24">
        <v>1034779</v>
      </c>
      <c r="AH419" s="24">
        <v>627619.5</v>
      </c>
      <c r="AI419" s="24">
        <v>918887.5</v>
      </c>
      <c r="AJ419" s="32">
        <v>25.184393971865958</v>
      </c>
      <c r="AK419" s="32">
        <v>28.884847335742315</v>
      </c>
      <c r="AL419" s="32">
        <v>10.280382729077584</v>
      </c>
      <c r="AM419" s="32">
        <v>21.469340093561222</v>
      </c>
      <c r="AN419" s="32">
        <v>23.552030660797158</v>
      </c>
      <c r="AO419" s="32">
        <v>22.559775762163945</v>
      </c>
      <c r="AP419" s="19">
        <v>0.87649595901202659</v>
      </c>
      <c r="AQ419" s="19">
        <v>0.86017575766712673</v>
      </c>
      <c r="AR419" s="19">
        <v>0.88800362202943817</v>
      </c>
      <c r="AS419" s="19">
        <v>-0.19018065527362554</v>
      </c>
      <c r="AT419" s="19">
        <v>-0.21729662250534795</v>
      </c>
      <c r="AU419" s="19">
        <v>-0.1713625337700313</v>
      </c>
      <c r="AV419" s="19">
        <v>-0.3878702079597261</v>
      </c>
      <c r="AW419" s="19">
        <v>-0.28512083948849765</v>
      </c>
      <c r="AX419" s="19">
        <v>-0.47511344800582422</v>
      </c>
      <c r="AY419" s="19">
        <v>-1.1409065720362082</v>
      </c>
      <c r="AZ419" s="19">
        <v>-1.1625531074161972</v>
      </c>
      <c r="BA419" s="19">
        <v>-1.126121532831821</v>
      </c>
      <c r="BB419" s="19">
        <v>-1.3084603505415773</v>
      </c>
      <c r="BC419" s="19">
        <v>-1.2185123214456057</v>
      </c>
      <c r="BD419" s="19">
        <v>-1.3900275219788274</v>
      </c>
      <c r="BE419" s="14" t="s">
        <v>4857</v>
      </c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28"/>
      <c r="BU419" s="28"/>
      <c r="BV419" s="28"/>
      <c r="BW419" s="28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</row>
    <row r="420" spans="1:105" s="30" customFormat="1" ht="17.100000000000001" customHeight="1">
      <c r="A420" s="14">
        <v>409</v>
      </c>
      <c r="B420" s="14" t="s">
        <v>2512</v>
      </c>
      <c r="C420" s="32">
        <v>-1.2375157204175822</v>
      </c>
      <c r="D420" s="32">
        <v>-1.2165850463127699</v>
      </c>
      <c r="E420" s="32">
        <v>-1.2685825301948539</v>
      </c>
      <c r="F420" s="24">
        <v>2647925</v>
      </c>
      <c r="G420" s="52" t="s">
        <v>2</v>
      </c>
      <c r="H420" s="32">
        <v>29.699363080404002</v>
      </c>
      <c r="I420" s="32">
        <v>18.409965139121979</v>
      </c>
      <c r="J420" s="12" t="s">
        <v>2495</v>
      </c>
      <c r="K420" s="15" t="s">
        <v>2496</v>
      </c>
      <c r="L420" s="14" t="s">
        <v>5090</v>
      </c>
      <c r="M420" s="12" t="s">
        <v>2497</v>
      </c>
      <c r="N420" s="15" t="s">
        <v>2498</v>
      </c>
      <c r="O420" s="12" t="s">
        <v>2499</v>
      </c>
      <c r="P420" s="12" t="s">
        <v>2513</v>
      </c>
      <c r="Q420" s="14">
        <v>2</v>
      </c>
      <c r="R420" s="21">
        <v>726.87940000000003</v>
      </c>
      <c r="S420" s="14">
        <v>32</v>
      </c>
      <c r="T420" s="52" t="s">
        <v>2</v>
      </c>
      <c r="U420" s="53">
        <v>64.159875</v>
      </c>
      <c r="V420" s="24">
        <v>1809400</v>
      </c>
      <c r="W420" s="24">
        <v>1948610</v>
      </c>
      <c r="X420" s="24">
        <v>2628260</v>
      </c>
      <c r="Y420" s="24">
        <v>2667590</v>
      </c>
      <c r="Z420" s="24">
        <v>1513250</v>
      </c>
      <c r="AA420" s="24">
        <v>1724420</v>
      </c>
      <c r="AB420" s="24">
        <v>2241070</v>
      </c>
      <c r="AC420" s="24">
        <v>2911870</v>
      </c>
      <c r="AD420" s="24">
        <v>2263465</v>
      </c>
      <c r="AE420" s="24">
        <v>2097652.5</v>
      </c>
      <c r="AF420" s="24">
        <v>1879005</v>
      </c>
      <c r="AG420" s="24">
        <v>2647925</v>
      </c>
      <c r="AH420" s="24">
        <v>1618835</v>
      </c>
      <c r="AI420" s="24">
        <v>2576470</v>
      </c>
      <c r="AJ420" s="32">
        <v>19.785908348797619</v>
      </c>
      <c r="AK420" s="32">
        <v>29.699363080404002</v>
      </c>
      <c r="AL420" s="32">
        <v>5.2387479016276846</v>
      </c>
      <c r="AM420" s="32">
        <v>1.0502755819770919</v>
      </c>
      <c r="AN420" s="32">
        <v>9.2239010759690299</v>
      </c>
      <c r="AO420" s="32">
        <v>18.409965139121979</v>
      </c>
      <c r="AP420" s="19">
        <v>0.92674395230321649</v>
      </c>
      <c r="AQ420" s="19">
        <v>0.86153842060026453</v>
      </c>
      <c r="AR420" s="19">
        <v>0.97301471907248127</v>
      </c>
      <c r="AS420" s="19">
        <v>-0.10975729947538541</v>
      </c>
      <c r="AT420" s="19">
        <v>-0.21501295952418592</v>
      </c>
      <c r="AU420" s="19">
        <v>-3.9466465654604044E-2</v>
      </c>
      <c r="AV420" s="19">
        <v>-0.30744685216148598</v>
      </c>
      <c r="AW420" s="19">
        <v>-0.28283717650733564</v>
      </c>
      <c r="AX420" s="19">
        <v>-0.34321737989039697</v>
      </c>
      <c r="AY420" s="19">
        <v>-1.0790466962473528</v>
      </c>
      <c r="AZ420" s="19">
        <v>-1.1607143408685876</v>
      </c>
      <c r="BA420" s="19">
        <v>-1.0277336821309777</v>
      </c>
      <c r="BB420" s="19">
        <v>-1.2375157204175822</v>
      </c>
      <c r="BC420" s="19">
        <v>-1.2165850463127699</v>
      </c>
      <c r="BD420" s="19">
        <v>-1.2685825301948539</v>
      </c>
      <c r="BE420" s="14" t="s">
        <v>4857</v>
      </c>
    </row>
    <row r="421" spans="1:105" s="30" customFormat="1" ht="17.100000000000001" customHeight="1">
      <c r="A421" s="14">
        <v>410</v>
      </c>
      <c r="B421" s="14" t="s">
        <v>2517</v>
      </c>
      <c r="C421" s="32">
        <v>-1.0596574540153199</v>
      </c>
      <c r="D421" s="32">
        <v>-1.0341703168113032</v>
      </c>
      <c r="E421" s="32">
        <v>-1.0955558528656821</v>
      </c>
      <c r="F421" s="24">
        <v>200466.5</v>
      </c>
      <c r="G421" s="52" t="s">
        <v>2</v>
      </c>
      <c r="H421" s="32">
        <v>33.087674871162704</v>
      </c>
      <c r="I421" s="32">
        <v>27.991649776787458</v>
      </c>
      <c r="J421" s="12" t="s">
        <v>2495</v>
      </c>
      <c r="K421" s="15" t="s">
        <v>2496</v>
      </c>
      <c r="L421" s="14" t="s">
        <v>5126</v>
      </c>
      <c r="M421" s="12" t="s">
        <v>2497</v>
      </c>
      <c r="N421" s="15" t="s">
        <v>2498</v>
      </c>
      <c r="O421" s="12" t="s">
        <v>2499</v>
      </c>
      <c r="P421" s="12" t="s">
        <v>2518</v>
      </c>
      <c r="Q421" s="14">
        <v>3</v>
      </c>
      <c r="R421" s="21">
        <v>917.73789999999997</v>
      </c>
      <c r="S421" s="14">
        <v>8</v>
      </c>
      <c r="T421" s="52" t="s">
        <v>2</v>
      </c>
      <c r="U421" s="53">
        <v>94.289024999999995</v>
      </c>
      <c r="V421" s="24">
        <v>120489</v>
      </c>
      <c r="W421" s="24">
        <v>109163</v>
      </c>
      <c r="X421" s="24">
        <v>198339</v>
      </c>
      <c r="Y421" s="24">
        <v>157512</v>
      </c>
      <c r="Z421" s="24">
        <v>139411</v>
      </c>
      <c r="AA421" s="24">
        <v>93342</v>
      </c>
      <c r="AB421" s="24">
        <v>193029</v>
      </c>
      <c r="AC421" s="24">
        <v>207904</v>
      </c>
      <c r="AD421" s="24">
        <v>146375.75</v>
      </c>
      <c r="AE421" s="24">
        <v>158421.5</v>
      </c>
      <c r="AF421" s="24">
        <v>114826</v>
      </c>
      <c r="AG421" s="24">
        <v>177925.5</v>
      </c>
      <c r="AH421" s="24">
        <v>116376.5</v>
      </c>
      <c r="AI421" s="24">
        <v>200466.5</v>
      </c>
      <c r="AJ421" s="32">
        <v>27.551195922791287</v>
      </c>
      <c r="AK421" s="32">
        <v>33.087674871162704</v>
      </c>
      <c r="AL421" s="32">
        <v>6.9746324035661234</v>
      </c>
      <c r="AM421" s="32">
        <v>16.225357554427656</v>
      </c>
      <c r="AN421" s="32">
        <v>27.991649776787458</v>
      </c>
      <c r="AO421" s="32">
        <v>5.2468683646144845</v>
      </c>
      <c r="AP421" s="19">
        <v>1.0822933443551954</v>
      </c>
      <c r="AQ421" s="19">
        <v>1.0135030393813247</v>
      </c>
      <c r="AR421" s="19">
        <v>1.1266878553102282</v>
      </c>
      <c r="AS421" s="19">
        <v>0.11409157965315508</v>
      </c>
      <c r="AT421" s="19">
        <v>1.9350415291037416E-2</v>
      </c>
      <c r="AU421" s="19">
        <v>0.17208787755868293</v>
      </c>
      <c r="AV421" s="19">
        <v>-8.3597973032945472E-2</v>
      </c>
      <c r="AW421" s="19">
        <v>-4.8473801692112295E-2</v>
      </c>
      <c r="AX421" s="19">
        <v>-0.13166303667710999</v>
      </c>
      <c r="AY421" s="19">
        <v>1.0822933443551954</v>
      </c>
      <c r="AZ421" s="19">
        <v>1.0135030393813247</v>
      </c>
      <c r="BA421" s="19">
        <v>1.1266878553102282</v>
      </c>
      <c r="BB421" s="19">
        <v>-1.0596574540153199</v>
      </c>
      <c r="BC421" s="19">
        <v>-1.0341703168113032</v>
      </c>
      <c r="BD421" s="19">
        <v>-1.0955558528656821</v>
      </c>
      <c r="BE421" s="14" t="s">
        <v>4857</v>
      </c>
    </row>
    <row r="422" spans="1:105" s="30" customFormat="1" ht="17.100000000000001" customHeight="1">
      <c r="A422" s="14">
        <v>411</v>
      </c>
      <c r="B422" s="14" t="s">
        <v>2520</v>
      </c>
      <c r="C422" s="32">
        <v>-1.4167531401487756</v>
      </c>
      <c r="D422" s="32">
        <v>-1.5592827858158558</v>
      </c>
      <c r="E422" s="32">
        <v>-1.3551159411947136</v>
      </c>
      <c r="F422" s="24">
        <v>490227</v>
      </c>
      <c r="G422" s="52" t="s">
        <v>2</v>
      </c>
      <c r="H422" s="32">
        <v>38.055671896526448</v>
      </c>
      <c r="I422" s="32">
        <v>20.257931490882385</v>
      </c>
      <c r="J422" s="12" t="s">
        <v>2495</v>
      </c>
      <c r="K422" s="15" t="s">
        <v>2496</v>
      </c>
      <c r="L422" s="14" t="s">
        <v>4996</v>
      </c>
      <c r="M422" s="12" t="s">
        <v>2497</v>
      </c>
      <c r="N422" s="15" t="s">
        <v>2498</v>
      </c>
      <c r="O422" s="12" t="s">
        <v>2499</v>
      </c>
      <c r="P422" s="12" t="s">
        <v>2521</v>
      </c>
      <c r="Q422" s="14">
        <v>2</v>
      </c>
      <c r="R422" s="21">
        <v>779.4221</v>
      </c>
      <c r="S422" s="14">
        <v>10</v>
      </c>
      <c r="T422" s="52" t="s">
        <v>2</v>
      </c>
      <c r="U422" s="53">
        <v>77.041425000000004</v>
      </c>
      <c r="V422" s="24">
        <v>312508</v>
      </c>
      <c r="W422" s="24">
        <v>411412</v>
      </c>
      <c r="X422" s="24">
        <v>431488</v>
      </c>
      <c r="Y422" s="24">
        <v>548966</v>
      </c>
      <c r="Z422" s="24">
        <v>276496</v>
      </c>
      <c r="AA422" s="24">
        <v>210116</v>
      </c>
      <c r="AB422" s="24">
        <v>510503</v>
      </c>
      <c r="AC422" s="24">
        <v>382574</v>
      </c>
      <c r="AD422" s="24">
        <v>426093.5</v>
      </c>
      <c r="AE422" s="24">
        <v>344922.25</v>
      </c>
      <c r="AF422" s="24">
        <v>361960</v>
      </c>
      <c r="AG422" s="24">
        <v>490227</v>
      </c>
      <c r="AH422" s="24">
        <v>243306</v>
      </c>
      <c r="AI422" s="24">
        <v>446538.5</v>
      </c>
      <c r="AJ422" s="32">
        <v>22.771796243560793</v>
      </c>
      <c r="AK422" s="32">
        <v>38.055671896526448</v>
      </c>
      <c r="AL422" s="32">
        <v>19.321386088649106</v>
      </c>
      <c r="AM422" s="32">
        <v>16.945107152448401</v>
      </c>
      <c r="AN422" s="32">
        <v>19.29165254254438</v>
      </c>
      <c r="AO422" s="32">
        <v>20.257931490882385</v>
      </c>
      <c r="AP422" s="19">
        <v>0.80949897146987693</v>
      </c>
      <c r="AQ422" s="19">
        <v>0.67219029727041657</v>
      </c>
      <c r="AR422" s="19">
        <v>0.91088108162137127</v>
      </c>
      <c r="AS422" s="19">
        <v>-0.30489884741233231</v>
      </c>
      <c r="AT422" s="19">
        <v>-0.57305837667001092</v>
      </c>
      <c r="AU422" s="19">
        <v>-0.13466537692334205</v>
      </c>
      <c r="AV422" s="19">
        <v>-0.50258840009843286</v>
      </c>
      <c r="AW422" s="19">
        <v>-0.64088259365316058</v>
      </c>
      <c r="AX422" s="19">
        <v>-0.43841629115913494</v>
      </c>
      <c r="AY422" s="19">
        <v>-1.2353320204770786</v>
      </c>
      <c r="AZ422" s="19">
        <v>-1.4876739578966405</v>
      </c>
      <c r="BA422" s="19">
        <v>-1.0978381483343542</v>
      </c>
      <c r="BB422" s="19">
        <v>-1.4167531401487756</v>
      </c>
      <c r="BC422" s="19">
        <v>-1.5592827858158558</v>
      </c>
      <c r="BD422" s="19">
        <v>-1.3551159411947136</v>
      </c>
      <c r="BE422" s="14" t="s">
        <v>4857</v>
      </c>
    </row>
    <row r="423" spans="1:105" s="30" customFormat="1" ht="17.100000000000001" customHeight="1">
      <c r="A423" s="14">
        <v>412</v>
      </c>
      <c r="B423" s="14" t="s">
        <v>2526</v>
      </c>
      <c r="C423" s="32">
        <v>-1.3067259770611908</v>
      </c>
      <c r="D423" s="32">
        <v>-1.197810339577128</v>
      </c>
      <c r="E423" s="32">
        <v>-1.4029773058271247</v>
      </c>
      <c r="F423" s="24">
        <v>4352755</v>
      </c>
      <c r="G423" s="52" t="s">
        <v>2</v>
      </c>
      <c r="H423" s="32">
        <v>15.930859937937591</v>
      </c>
      <c r="I423" s="32">
        <v>15.234110952564725</v>
      </c>
      <c r="J423" s="12" t="s">
        <v>2495</v>
      </c>
      <c r="K423" s="15" t="s">
        <v>2496</v>
      </c>
      <c r="L423" s="14" t="s">
        <v>5035</v>
      </c>
      <c r="M423" s="12" t="s">
        <v>2497</v>
      </c>
      <c r="N423" s="15" t="s">
        <v>2498</v>
      </c>
      <c r="O423" s="12" t="s">
        <v>2499</v>
      </c>
      <c r="P423" s="12" t="s">
        <v>2525</v>
      </c>
      <c r="Q423" s="14">
        <v>3</v>
      </c>
      <c r="R423" s="21">
        <v>605.66679999999997</v>
      </c>
      <c r="S423" s="14">
        <v>16</v>
      </c>
      <c r="T423" s="52" t="s">
        <v>2</v>
      </c>
      <c r="U423" s="53">
        <v>68.219112499999994</v>
      </c>
      <c r="V423" s="24">
        <v>3301360</v>
      </c>
      <c r="W423" s="24">
        <v>3843620</v>
      </c>
      <c r="X423" s="24">
        <v>3883870</v>
      </c>
      <c r="Y423" s="24">
        <v>4821640</v>
      </c>
      <c r="Z423" s="24">
        <v>3179810</v>
      </c>
      <c r="AA423" s="24">
        <v>3072350</v>
      </c>
      <c r="AB423" s="24">
        <v>4084970</v>
      </c>
      <c r="AC423" s="24">
        <v>3574200</v>
      </c>
      <c r="AD423" s="24">
        <v>3962622.5</v>
      </c>
      <c r="AE423" s="24">
        <v>3477832.5</v>
      </c>
      <c r="AF423" s="24">
        <v>3572490</v>
      </c>
      <c r="AG423" s="24">
        <v>4352755</v>
      </c>
      <c r="AH423" s="24">
        <v>3126080</v>
      </c>
      <c r="AI423" s="24">
        <v>3829585</v>
      </c>
      <c r="AJ423" s="32">
        <v>15.930859937937591</v>
      </c>
      <c r="AK423" s="32">
        <v>13.188403455304195</v>
      </c>
      <c r="AL423" s="32">
        <v>10.73301039796381</v>
      </c>
      <c r="AM423" s="32">
        <v>15.234110952564725</v>
      </c>
      <c r="AN423" s="32">
        <v>2.4307021799284216</v>
      </c>
      <c r="AO423" s="32">
        <v>9.4310200877289034</v>
      </c>
      <c r="AP423" s="19">
        <v>0.87765930264616421</v>
      </c>
      <c r="AQ423" s="19">
        <v>0.87504233741731963</v>
      </c>
      <c r="AR423" s="19">
        <v>0.87980715661690123</v>
      </c>
      <c r="AS423" s="19">
        <v>-0.18826708425221692</v>
      </c>
      <c r="AT423" s="19">
        <v>-0.19257527393741036</v>
      </c>
      <c r="AU423" s="19">
        <v>-0.18474075827478778</v>
      </c>
      <c r="AV423" s="19">
        <v>-0.3859566369383175</v>
      </c>
      <c r="AW423" s="19">
        <v>-0.26039949092056008</v>
      </c>
      <c r="AX423" s="19">
        <v>-0.48849167251058068</v>
      </c>
      <c r="AY423" s="19">
        <v>-1.1393942922783085</v>
      </c>
      <c r="AZ423" s="19">
        <v>-1.1428018476814412</v>
      </c>
      <c r="BA423" s="19">
        <v>-1.136612713910254</v>
      </c>
      <c r="BB423" s="19">
        <v>-1.3067259770611908</v>
      </c>
      <c r="BC423" s="19">
        <v>-1.197810339577128</v>
      </c>
      <c r="BD423" s="19">
        <v>-1.4029773058271247</v>
      </c>
      <c r="BE423" s="14" t="s">
        <v>4857</v>
      </c>
    </row>
    <row r="424" spans="1:105" ht="17.100000000000001" customHeight="1">
      <c r="A424" s="14">
        <v>413</v>
      </c>
      <c r="B424" s="14" t="s">
        <v>2528</v>
      </c>
      <c r="C424" s="32">
        <v>1.1410964717979846</v>
      </c>
      <c r="D424" s="32">
        <v>-1.0931510389766663</v>
      </c>
      <c r="E424" s="32">
        <v>1.3673390050888286</v>
      </c>
      <c r="F424" s="24">
        <v>3476030</v>
      </c>
      <c r="G424" s="52" t="s">
        <v>2</v>
      </c>
      <c r="H424" s="32">
        <v>37.241184526033742</v>
      </c>
      <c r="I424" s="32">
        <v>41.845613857093447</v>
      </c>
      <c r="J424" s="12" t="s">
        <v>2529</v>
      </c>
      <c r="K424" s="12" t="s">
        <v>2530</v>
      </c>
      <c r="L424" s="14" t="s">
        <v>5201</v>
      </c>
      <c r="M424" s="12" t="s">
        <v>2531</v>
      </c>
      <c r="N424" s="15" t="s">
        <v>2532</v>
      </c>
      <c r="O424" s="12" t="s">
        <v>2533</v>
      </c>
      <c r="P424" s="12" t="s">
        <v>2534</v>
      </c>
      <c r="Q424" s="14">
        <v>2</v>
      </c>
      <c r="R424" s="21">
        <v>437.23450000000003</v>
      </c>
      <c r="S424" s="14">
        <v>7</v>
      </c>
      <c r="T424" s="52" t="s">
        <v>2</v>
      </c>
      <c r="U424" s="53">
        <v>55.718412499999999</v>
      </c>
      <c r="V424" s="24">
        <v>2891980</v>
      </c>
      <c r="W424" s="24">
        <v>1571320</v>
      </c>
      <c r="X424" s="24">
        <v>2060200</v>
      </c>
      <c r="Y424" s="24">
        <v>2058870</v>
      </c>
      <c r="Z424" s="24">
        <v>2062440</v>
      </c>
      <c r="AA424" s="24">
        <v>2217060</v>
      </c>
      <c r="AB424" s="24">
        <v>2614980</v>
      </c>
      <c r="AC424" s="24">
        <v>4337080</v>
      </c>
      <c r="AD424" s="24">
        <v>2145592.5</v>
      </c>
      <c r="AE424" s="24">
        <v>2807890</v>
      </c>
      <c r="AF424" s="24">
        <v>2231650</v>
      </c>
      <c r="AG424" s="24">
        <v>2059535</v>
      </c>
      <c r="AH424" s="24">
        <v>2139750</v>
      </c>
      <c r="AI424" s="24">
        <v>3476030</v>
      </c>
      <c r="AJ424" s="32">
        <v>25.551839555454372</v>
      </c>
      <c r="AK424" s="32">
        <v>37.241184526033742</v>
      </c>
      <c r="AL424" s="32">
        <v>41.845613857093447</v>
      </c>
      <c r="AM424" s="32">
        <v>4.5663318126572656E-2</v>
      </c>
      <c r="AN424" s="32">
        <v>5.1096086228327602</v>
      </c>
      <c r="AO424" s="32">
        <v>35.031590287809756</v>
      </c>
      <c r="AP424" s="19">
        <v>1.3086781390222049</v>
      </c>
      <c r="AQ424" s="19">
        <v>0.958819707391392</v>
      </c>
      <c r="AR424" s="19">
        <v>1.6877741820362364</v>
      </c>
      <c r="AS424" s="19">
        <v>0.38811031933552248</v>
      </c>
      <c r="AT424" s="19">
        <v>-6.0668532725892427E-2</v>
      </c>
      <c r="AU424" s="19">
        <v>0.75512188967898031</v>
      </c>
      <c r="AV424" s="19">
        <v>0.19042076664942192</v>
      </c>
      <c r="AW424" s="19">
        <v>-0.12849274970904212</v>
      </c>
      <c r="AX424" s="19">
        <v>0.45137097544318738</v>
      </c>
      <c r="AY424" s="19">
        <v>1.3086781390222049</v>
      </c>
      <c r="AZ424" s="19">
        <v>-1.0429489426334853</v>
      </c>
      <c r="BA424" s="19">
        <v>1.6877741820362364</v>
      </c>
      <c r="BB424" s="19">
        <v>1.1410964717979846</v>
      </c>
      <c r="BC424" s="19">
        <v>-1.0931510389766663</v>
      </c>
      <c r="BD424" s="19">
        <v>1.3673390050888286</v>
      </c>
      <c r="BE424" s="14" t="s">
        <v>4857</v>
      </c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s="30" customFormat="1" ht="17.100000000000001" customHeight="1">
      <c r="A425" s="14">
        <v>414</v>
      </c>
      <c r="B425" s="14" t="s">
        <v>2536</v>
      </c>
      <c r="C425" s="32">
        <v>-1.1075994779161527</v>
      </c>
      <c r="D425" s="32">
        <v>-1.3004474712781149</v>
      </c>
      <c r="E425" s="32">
        <v>1.056494372256402</v>
      </c>
      <c r="F425" s="24">
        <v>264472</v>
      </c>
      <c r="G425" s="52" t="s">
        <v>2</v>
      </c>
      <c r="H425" s="32">
        <v>22.788892254653543</v>
      </c>
      <c r="I425" s="32">
        <v>19.38025278331471</v>
      </c>
      <c r="J425" s="12" t="s">
        <v>2529</v>
      </c>
      <c r="K425" s="12" t="s">
        <v>2530</v>
      </c>
      <c r="L425" s="14" t="s">
        <v>5076</v>
      </c>
      <c r="M425" s="12" t="s">
        <v>2531</v>
      </c>
      <c r="N425" s="15" t="s">
        <v>2532</v>
      </c>
      <c r="O425" s="12" t="s">
        <v>2533</v>
      </c>
      <c r="P425" s="12" t="s">
        <v>2537</v>
      </c>
      <c r="Q425" s="14">
        <v>2</v>
      </c>
      <c r="R425" s="21">
        <v>833.41129999999998</v>
      </c>
      <c r="S425" s="14">
        <v>8</v>
      </c>
      <c r="T425" s="52" t="s">
        <v>2</v>
      </c>
      <c r="U425" s="53">
        <v>58.338449999999995</v>
      </c>
      <c r="V425" s="24">
        <v>225463</v>
      </c>
      <c r="W425" s="24">
        <v>249380</v>
      </c>
      <c r="X425" s="24">
        <v>198501</v>
      </c>
      <c r="Y425" s="24">
        <v>207105</v>
      </c>
      <c r="Z425" s="24">
        <v>199107</v>
      </c>
      <c r="AA425" s="24">
        <v>183607</v>
      </c>
      <c r="AB425" s="24">
        <v>228229</v>
      </c>
      <c r="AC425" s="24">
        <v>300715</v>
      </c>
      <c r="AD425" s="24">
        <v>220112.25</v>
      </c>
      <c r="AE425" s="24">
        <v>227914.5</v>
      </c>
      <c r="AF425" s="24">
        <v>237421.5</v>
      </c>
      <c r="AG425" s="24">
        <v>202803</v>
      </c>
      <c r="AH425" s="24">
        <v>191357</v>
      </c>
      <c r="AI425" s="24">
        <v>264472</v>
      </c>
      <c r="AJ425" s="32">
        <v>10.231194517099366</v>
      </c>
      <c r="AK425" s="32">
        <v>22.788892254653543</v>
      </c>
      <c r="AL425" s="32">
        <v>7.1231429696293969</v>
      </c>
      <c r="AM425" s="32">
        <v>2.9999293626470291</v>
      </c>
      <c r="AN425" s="32">
        <v>5.7275955979616562</v>
      </c>
      <c r="AO425" s="32">
        <v>19.38025278331471</v>
      </c>
      <c r="AP425" s="19">
        <v>1.0354466868609085</v>
      </c>
      <c r="AQ425" s="19">
        <v>0.80598008183757575</v>
      </c>
      <c r="AR425" s="19">
        <v>1.3040832729298877</v>
      </c>
      <c r="AS425" s="19">
        <v>5.0253273904692954E-2</v>
      </c>
      <c r="AT425" s="19">
        <v>-0.31118390897434811</v>
      </c>
      <c r="AU425" s="19">
        <v>0.3830359965683674</v>
      </c>
      <c r="AV425" s="19">
        <v>-0.14743627878140761</v>
      </c>
      <c r="AW425" s="19">
        <v>-0.37900812595749783</v>
      </c>
      <c r="AX425" s="19">
        <v>7.9285082332574475E-2</v>
      </c>
      <c r="AY425" s="19">
        <v>1.0354466868609085</v>
      </c>
      <c r="AZ425" s="19">
        <v>-1.2407254503362826</v>
      </c>
      <c r="BA425" s="19">
        <v>1.3040832729298877</v>
      </c>
      <c r="BB425" s="19">
        <v>-1.1075994779161527</v>
      </c>
      <c r="BC425" s="19">
        <v>-1.3004474712781149</v>
      </c>
      <c r="BD425" s="19">
        <v>1.056494372256402</v>
      </c>
      <c r="BE425" s="14" t="s">
        <v>4857</v>
      </c>
    </row>
    <row r="426" spans="1:105" s="30" customFormat="1" ht="17.100000000000001" customHeight="1">
      <c r="A426" s="14">
        <v>415</v>
      </c>
      <c r="B426" s="14" t="s">
        <v>2538</v>
      </c>
      <c r="C426" s="32">
        <v>-1.1573184872294648</v>
      </c>
      <c r="D426" s="32">
        <v>-1.0754792683232492</v>
      </c>
      <c r="E426" s="32">
        <v>-1.2270617127682688</v>
      </c>
      <c r="F426" s="24">
        <v>132619</v>
      </c>
      <c r="G426" s="52" t="s">
        <v>2</v>
      </c>
      <c r="H426" s="32">
        <v>17.210523230011411</v>
      </c>
      <c r="I426" s="32">
        <v>27.224999307329796</v>
      </c>
      <c r="J426" s="12" t="s">
        <v>2529</v>
      </c>
      <c r="K426" s="12" t="s">
        <v>2530</v>
      </c>
      <c r="L426" s="14" t="s">
        <v>5116</v>
      </c>
      <c r="M426" s="12" t="s">
        <v>2531</v>
      </c>
      <c r="N426" s="15" t="s">
        <v>2532</v>
      </c>
      <c r="O426" s="12" t="s">
        <v>2533</v>
      </c>
      <c r="P426" s="12" t="s">
        <v>2539</v>
      </c>
      <c r="Q426" s="14">
        <v>2</v>
      </c>
      <c r="R426" s="21">
        <v>772.89940000000001</v>
      </c>
      <c r="S426" s="14">
        <v>15</v>
      </c>
      <c r="T426" s="52" t="s">
        <v>2</v>
      </c>
      <c r="U426" s="53">
        <v>42.181312499999997</v>
      </c>
      <c r="V426" s="24">
        <v>139841</v>
      </c>
      <c r="W426" s="24">
        <v>101099</v>
      </c>
      <c r="X426" s="24">
        <v>137351</v>
      </c>
      <c r="Y426" s="24">
        <v>126321</v>
      </c>
      <c r="Z426" s="24">
        <v>94805</v>
      </c>
      <c r="AA426" s="24">
        <v>140009</v>
      </c>
      <c r="AB426" s="24">
        <v>140854</v>
      </c>
      <c r="AC426" s="24">
        <v>124384</v>
      </c>
      <c r="AD426" s="24">
        <v>126153</v>
      </c>
      <c r="AE426" s="24">
        <v>125013</v>
      </c>
      <c r="AF426" s="24">
        <v>120470</v>
      </c>
      <c r="AG426" s="24">
        <v>131836</v>
      </c>
      <c r="AH426" s="24">
        <v>117407</v>
      </c>
      <c r="AI426" s="24">
        <v>132619</v>
      </c>
      <c r="AJ426" s="32">
        <v>14.035191644969652</v>
      </c>
      <c r="AK426" s="32">
        <v>17.210523230011411</v>
      </c>
      <c r="AL426" s="32">
        <v>22.739877908798228</v>
      </c>
      <c r="AM426" s="32">
        <v>5.9159772721317543</v>
      </c>
      <c r="AN426" s="32">
        <v>27.224999307329796</v>
      </c>
      <c r="AO426" s="32">
        <v>8.7815838500836527</v>
      </c>
      <c r="AP426" s="19">
        <v>0.99096335402249647</v>
      </c>
      <c r="AQ426" s="19">
        <v>0.97457458288370546</v>
      </c>
      <c r="AR426" s="19">
        <v>1.0059391971843805</v>
      </c>
      <c r="AS426" s="19">
        <v>-1.3096387574036965E-2</v>
      </c>
      <c r="AT426" s="19">
        <v>-3.7155497665770525E-2</v>
      </c>
      <c r="AU426" s="19">
        <v>8.5431057681152091E-3</v>
      </c>
      <c r="AV426" s="19">
        <v>-0.21078594026013753</v>
      </c>
      <c r="AW426" s="19">
        <v>-0.10497971464892022</v>
      </c>
      <c r="AX426" s="19">
        <v>-0.29520780846767769</v>
      </c>
      <c r="AY426" s="19">
        <v>-1.0091190516186317</v>
      </c>
      <c r="AZ426" s="19">
        <v>-1.0260887340618532</v>
      </c>
      <c r="BA426" s="19">
        <v>1.0059391971843805</v>
      </c>
      <c r="BB426" s="19">
        <v>-1.1573184872294648</v>
      </c>
      <c r="BC426" s="19">
        <v>-1.0754792683232492</v>
      </c>
      <c r="BD426" s="19">
        <v>-1.2270617127682688</v>
      </c>
      <c r="BE426" s="14" t="s">
        <v>4857</v>
      </c>
    </row>
    <row r="427" spans="1:105" s="30" customFormat="1" ht="17.100000000000001" customHeight="1">
      <c r="A427" s="14">
        <v>416</v>
      </c>
      <c r="B427" s="14" t="s">
        <v>2403</v>
      </c>
      <c r="C427" s="32">
        <v>-1.0652953190112648</v>
      </c>
      <c r="D427" s="32">
        <v>-1.0402177843999214</v>
      </c>
      <c r="E427" s="32">
        <v>-1.0873663910763796</v>
      </c>
      <c r="F427" s="24">
        <v>101253.5</v>
      </c>
      <c r="G427" s="52" t="s">
        <v>2</v>
      </c>
      <c r="H427" s="32">
        <v>23.071512895148867</v>
      </c>
      <c r="I427" s="32">
        <v>32.895167114624833</v>
      </c>
      <c r="J427" s="12" t="s">
        <v>2529</v>
      </c>
      <c r="K427" s="12" t="s">
        <v>2530</v>
      </c>
      <c r="L427" s="14" t="s">
        <v>5206</v>
      </c>
      <c r="M427" s="12" t="s">
        <v>2531</v>
      </c>
      <c r="N427" s="15" t="s">
        <v>2532</v>
      </c>
      <c r="O427" s="12" t="s">
        <v>2533</v>
      </c>
      <c r="P427" s="12" t="s">
        <v>2404</v>
      </c>
      <c r="Q427" s="14">
        <v>2</v>
      </c>
      <c r="R427" s="21">
        <v>702.85760000000005</v>
      </c>
      <c r="S427" s="14">
        <v>11</v>
      </c>
      <c r="T427" s="52" t="s">
        <v>2</v>
      </c>
      <c r="U427" s="53">
        <v>53.653625000000005</v>
      </c>
      <c r="V427" s="24">
        <v>66147</v>
      </c>
      <c r="W427" s="24">
        <v>85478</v>
      </c>
      <c r="X427" s="24">
        <v>84866</v>
      </c>
      <c r="Y427" s="24">
        <v>93527</v>
      </c>
      <c r="Z427" s="24">
        <v>94158</v>
      </c>
      <c r="AA427" s="24">
        <v>58621</v>
      </c>
      <c r="AB427" s="24">
        <v>103508</v>
      </c>
      <c r="AC427" s="24">
        <v>98999</v>
      </c>
      <c r="AD427" s="24">
        <v>82504.5</v>
      </c>
      <c r="AE427" s="24">
        <v>88821.5</v>
      </c>
      <c r="AF427" s="24">
        <v>75812.5</v>
      </c>
      <c r="AG427" s="24">
        <v>89196.5</v>
      </c>
      <c r="AH427" s="24">
        <v>76389.5</v>
      </c>
      <c r="AI427" s="24">
        <v>101253.5</v>
      </c>
      <c r="AJ427" s="32">
        <v>14.056385371674237</v>
      </c>
      <c r="AK427" s="32">
        <v>23.071512895148867</v>
      </c>
      <c r="AL427" s="32">
        <v>18.030115333377939</v>
      </c>
      <c r="AM427" s="32">
        <v>6.8660225814428681</v>
      </c>
      <c r="AN427" s="32">
        <v>32.895167114624833</v>
      </c>
      <c r="AO427" s="32">
        <v>3.1488733489411653</v>
      </c>
      <c r="AP427" s="19">
        <v>1.0765655206685696</v>
      </c>
      <c r="AQ427" s="19">
        <v>1.0076108821104699</v>
      </c>
      <c r="AR427" s="19">
        <v>1.1351734653265544</v>
      </c>
      <c r="AS427" s="19">
        <v>0.10643612579133988</v>
      </c>
      <c r="AT427" s="19">
        <v>1.0938608250722766E-2</v>
      </c>
      <c r="AU427" s="19">
        <v>0.18291277191666724</v>
      </c>
      <c r="AV427" s="19">
        <v>-9.1253426894760681E-2</v>
      </c>
      <c r="AW427" s="19">
        <v>-5.6885608732426943E-2</v>
      </c>
      <c r="AX427" s="19">
        <v>-0.12083814231912568</v>
      </c>
      <c r="AY427" s="19">
        <v>1.0765655206685696</v>
      </c>
      <c r="AZ427" s="19">
        <v>1.0076108821104699</v>
      </c>
      <c r="BA427" s="19">
        <v>1.1351734653265544</v>
      </c>
      <c r="BB427" s="19">
        <v>-1.0652953190112648</v>
      </c>
      <c r="BC427" s="19">
        <v>-1.0402177843999214</v>
      </c>
      <c r="BD427" s="19">
        <v>-1.0873663910763796</v>
      </c>
      <c r="BE427" s="14" t="s">
        <v>4857</v>
      </c>
    </row>
    <row r="428" spans="1:105" s="30" customFormat="1" ht="17.100000000000001" customHeight="1">
      <c r="A428" s="14">
        <v>417</v>
      </c>
      <c r="B428" s="14" t="s">
        <v>2406</v>
      </c>
      <c r="C428" s="32">
        <v>-1.1831325046598338</v>
      </c>
      <c r="D428" s="32">
        <v>-1.4094568427377396</v>
      </c>
      <c r="E428" s="32">
        <v>-1.0373566129515059</v>
      </c>
      <c r="F428" s="24">
        <v>178630</v>
      </c>
      <c r="G428" s="52" t="s">
        <v>2</v>
      </c>
      <c r="H428" s="32">
        <v>29.715917074356923</v>
      </c>
      <c r="I428" s="32">
        <v>13.991712639433304</v>
      </c>
      <c r="J428" s="12" t="s">
        <v>2529</v>
      </c>
      <c r="K428" s="12" t="s">
        <v>2530</v>
      </c>
      <c r="L428" s="14" t="s">
        <v>5033</v>
      </c>
      <c r="M428" s="12" t="s">
        <v>2531</v>
      </c>
      <c r="N428" s="15" t="s">
        <v>2532</v>
      </c>
      <c r="O428" s="12" t="s">
        <v>2533</v>
      </c>
      <c r="P428" s="12" t="s">
        <v>2407</v>
      </c>
      <c r="Q428" s="14">
        <v>2</v>
      </c>
      <c r="R428" s="21">
        <v>687.82159999999999</v>
      </c>
      <c r="S428" s="14">
        <v>8</v>
      </c>
      <c r="T428" s="52" t="s">
        <v>2</v>
      </c>
      <c r="U428" s="53">
        <v>56.5358375</v>
      </c>
      <c r="V428" s="24">
        <v>151534</v>
      </c>
      <c r="W428" s="24">
        <v>141871</v>
      </c>
      <c r="X428" s="24">
        <v>152070</v>
      </c>
      <c r="Y428" s="24">
        <v>148174</v>
      </c>
      <c r="Z428" s="24">
        <v>112473</v>
      </c>
      <c r="AA428" s="24">
        <v>105716</v>
      </c>
      <c r="AB428" s="24">
        <v>160957</v>
      </c>
      <c r="AC428" s="24">
        <v>196303</v>
      </c>
      <c r="AD428" s="24">
        <v>148412.25</v>
      </c>
      <c r="AE428" s="24">
        <v>143862.25</v>
      </c>
      <c r="AF428" s="24">
        <v>146702.5</v>
      </c>
      <c r="AG428" s="24">
        <v>150122</v>
      </c>
      <c r="AH428" s="24">
        <v>109094.5</v>
      </c>
      <c r="AI428" s="24">
        <v>178630</v>
      </c>
      <c r="AJ428" s="32">
        <v>3.1596584737805871</v>
      </c>
      <c r="AK428" s="32">
        <v>29.715917074356923</v>
      </c>
      <c r="AL428" s="32">
        <v>4.6575708161794163</v>
      </c>
      <c r="AM428" s="32">
        <v>1.8350994654366377</v>
      </c>
      <c r="AN428" s="32">
        <v>4.379616314734017</v>
      </c>
      <c r="AO428" s="32">
        <v>13.991712639433304</v>
      </c>
      <c r="AP428" s="19">
        <v>0.96934215335998208</v>
      </c>
      <c r="AQ428" s="19">
        <v>0.7436444505035702</v>
      </c>
      <c r="AR428" s="19">
        <v>1.1898988822424428</v>
      </c>
      <c r="AS428" s="19">
        <v>-4.4922104347951491E-2</v>
      </c>
      <c r="AT428" s="19">
        <v>-0.42731508659282053</v>
      </c>
      <c r="AU428" s="19">
        <v>0.25083897833512037</v>
      </c>
      <c r="AV428" s="19">
        <v>-0.24261165703405205</v>
      </c>
      <c r="AW428" s="19">
        <v>-0.49513930357597025</v>
      </c>
      <c r="AX428" s="19">
        <v>-5.2911935900672558E-2</v>
      </c>
      <c r="AY428" s="19">
        <v>-1.031627476978846</v>
      </c>
      <c r="AZ428" s="19">
        <v>-1.3447286526818492</v>
      </c>
      <c r="BA428" s="19">
        <v>1.1898988822424428</v>
      </c>
      <c r="BB428" s="19">
        <v>-1.1831325046598338</v>
      </c>
      <c r="BC428" s="19">
        <v>-1.4094568427377396</v>
      </c>
      <c r="BD428" s="19">
        <v>-1.0373566129515059</v>
      </c>
      <c r="BE428" s="14" t="s">
        <v>4857</v>
      </c>
    </row>
    <row r="429" spans="1:105" s="30" customFormat="1" ht="17.100000000000001" customHeight="1">
      <c r="A429" s="14">
        <v>418</v>
      </c>
      <c r="B429" s="14" t="s">
        <v>2408</v>
      </c>
      <c r="C429" s="32">
        <v>-1.1579940685234795</v>
      </c>
      <c r="D429" s="32">
        <v>1.0172645641460367</v>
      </c>
      <c r="E429" s="32">
        <v>-1.323266333069018</v>
      </c>
      <c r="F429" s="24">
        <v>565444</v>
      </c>
      <c r="G429" s="52" t="s">
        <v>2</v>
      </c>
      <c r="H429" s="32">
        <v>16.649842240933559</v>
      </c>
      <c r="I429" s="32">
        <v>14.251288611269478</v>
      </c>
      <c r="J429" s="12" t="s">
        <v>2529</v>
      </c>
      <c r="K429" s="12" t="s">
        <v>2530</v>
      </c>
      <c r="L429" s="14" t="s">
        <v>4608</v>
      </c>
      <c r="M429" s="12" t="s">
        <v>2531</v>
      </c>
      <c r="N429" s="15" t="s">
        <v>2532</v>
      </c>
      <c r="O429" s="12" t="s">
        <v>2533</v>
      </c>
      <c r="P429" s="12" t="s">
        <v>2409</v>
      </c>
      <c r="Q429" s="14">
        <v>3</v>
      </c>
      <c r="R429" s="21">
        <v>933.45839999999998</v>
      </c>
      <c r="S429" s="14">
        <v>2</v>
      </c>
      <c r="T429" s="52" t="s">
        <v>2</v>
      </c>
      <c r="U429" s="53">
        <v>91.8973625</v>
      </c>
      <c r="V429" s="24">
        <v>440173</v>
      </c>
      <c r="W429" s="24">
        <v>418376</v>
      </c>
      <c r="X429" s="24">
        <v>595382</v>
      </c>
      <c r="Y429" s="24">
        <v>535506</v>
      </c>
      <c r="Z429" s="24">
        <v>473844</v>
      </c>
      <c r="AA429" s="24">
        <v>441567</v>
      </c>
      <c r="AB429" s="24">
        <v>474297</v>
      </c>
      <c r="AC429" s="24">
        <v>580601</v>
      </c>
      <c r="AD429" s="24">
        <v>497359.25</v>
      </c>
      <c r="AE429" s="24">
        <v>492577.25</v>
      </c>
      <c r="AF429" s="24">
        <v>429274.5</v>
      </c>
      <c r="AG429" s="24">
        <v>565444</v>
      </c>
      <c r="AH429" s="24">
        <v>457705.5</v>
      </c>
      <c r="AI429" s="24">
        <v>527449</v>
      </c>
      <c r="AJ429" s="32">
        <v>16.649842240933559</v>
      </c>
      <c r="AK429" s="32">
        <v>12.312823472170242</v>
      </c>
      <c r="AL429" s="32">
        <v>3.5904314161505462</v>
      </c>
      <c r="AM429" s="32">
        <v>7.4876956215515085</v>
      </c>
      <c r="AN429" s="32">
        <v>4.986456482685524</v>
      </c>
      <c r="AO429" s="32">
        <v>14.251288611269478</v>
      </c>
      <c r="AP429" s="19">
        <v>0.99038521953698455</v>
      </c>
      <c r="AQ429" s="19">
        <v>1.0662303491122813</v>
      </c>
      <c r="AR429" s="19">
        <v>0.93280501694243811</v>
      </c>
      <c r="AS429" s="19">
        <v>-1.39383108883053E-2</v>
      </c>
      <c r="AT429" s="19">
        <v>9.2519152563954585E-2</v>
      </c>
      <c r="AU429" s="19">
        <v>-0.10035254702379016</v>
      </c>
      <c r="AV429" s="19">
        <v>-0.21162786357440586</v>
      </c>
      <c r="AW429" s="19">
        <v>2.4694935580804878E-2</v>
      </c>
      <c r="AX429" s="19">
        <v>-0.40410346125958307</v>
      </c>
      <c r="AY429" s="19">
        <v>-1.0097081219240231</v>
      </c>
      <c r="AZ429" s="19">
        <v>1.0662303491122813</v>
      </c>
      <c r="BA429" s="19">
        <v>-1.0720354005790134</v>
      </c>
      <c r="BB429" s="19">
        <v>-1.1579940685234795</v>
      </c>
      <c r="BC429" s="19">
        <v>1.0172645641460367</v>
      </c>
      <c r="BD429" s="19">
        <v>-1.323266333069018</v>
      </c>
      <c r="BE429" s="14" t="s">
        <v>4857</v>
      </c>
    </row>
    <row r="430" spans="1:105" s="30" customFormat="1" ht="17.100000000000001" customHeight="1">
      <c r="A430" s="14">
        <v>419</v>
      </c>
      <c r="B430" s="14" t="s">
        <v>2415</v>
      </c>
      <c r="C430" s="32">
        <v>-1.2138776310569224</v>
      </c>
      <c r="D430" s="32">
        <v>1.0886780610555822</v>
      </c>
      <c r="E430" s="32">
        <v>-1.5260657702301657</v>
      </c>
      <c r="F430" s="24">
        <v>486917</v>
      </c>
      <c r="G430" s="52" t="s">
        <v>2</v>
      </c>
      <c r="H430" s="32">
        <v>27.12586889919184</v>
      </c>
      <c r="I430" s="32">
        <v>46.304354779075418</v>
      </c>
      <c r="J430" s="12" t="s">
        <v>2529</v>
      </c>
      <c r="K430" s="12" t="s">
        <v>2530</v>
      </c>
      <c r="L430" s="14" t="s">
        <v>5002</v>
      </c>
      <c r="M430" s="12" t="s">
        <v>2531</v>
      </c>
      <c r="N430" s="15" t="s">
        <v>2532</v>
      </c>
      <c r="O430" s="12" t="s">
        <v>2533</v>
      </c>
      <c r="P430" s="12" t="s">
        <v>2416</v>
      </c>
      <c r="Q430" s="14">
        <v>3</v>
      </c>
      <c r="R430" s="21">
        <v>827.08479999999997</v>
      </c>
      <c r="S430" s="14">
        <v>18</v>
      </c>
      <c r="T430" s="52" t="s">
        <v>2</v>
      </c>
      <c r="U430" s="53">
        <v>62.196787499999999</v>
      </c>
      <c r="V430" s="24">
        <v>328605</v>
      </c>
      <c r="W430" s="24">
        <v>345850</v>
      </c>
      <c r="X430" s="24">
        <v>477293</v>
      </c>
      <c r="Y430" s="24">
        <v>496541</v>
      </c>
      <c r="Z430" s="24">
        <v>510797</v>
      </c>
      <c r="AA430" s="24">
        <v>258811</v>
      </c>
      <c r="AB430" s="24">
        <v>365306</v>
      </c>
      <c r="AC430" s="24">
        <v>422374</v>
      </c>
      <c r="AD430" s="24">
        <v>412072.25</v>
      </c>
      <c r="AE430" s="24">
        <v>389322</v>
      </c>
      <c r="AF430" s="24">
        <v>337227.5</v>
      </c>
      <c r="AG430" s="24">
        <v>486917</v>
      </c>
      <c r="AH430" s="24">
        <v>384804</v>
      </c>
      <c r="AI430" s="24">
        <v>393840</v>
      </c>
      <c r="AJ430" s="32">
        <v>21.128549183826642</v>
      </c>
      <c r="AK430" s="32">
        <v>27.12586889919184</v>
      </c>
      <c r="AL430" s="32">
        <v>3.6159733241096919</v>
      </c>
      <c r="AM430" s="32">
        <v>2.7952179374058961</v>
      </c>
      <c r="AN430" s="32">
        <v>46.304354779075418</v>
      </c>
      <c r="AO430" s="32">
        <v>10.246082111708791</v>
      </c>
      <c r="AP430" s="19">
        <v>0.94479062834248118</v>
      </c>
      <c r="AQ430" s="19">
        <v>1.1410813175082104</v>
      </c>
      <c r="AR430" s="19">
        <v>0.80884421780303417</v>
      </c>
      <c r="AS430" s="19">
        <v>-8.193344059988289E-2</v>
      </c>
      <c r="AT430" s="19">
        <v>0.19040160686370489</v>
      </c>
      <c r="AU430" s="19">
        <v>-0.30606622640333914</v>
      </c>
      <c r="AV430" s="19">
        <v>-0.27962299328598345</v>
      </c>
      <c r="AW430" s="19">
        <v>0.12257738988055518</v>
      </c>
      <c r="AX430" s="19">
        <v>-0.60981714063913206</v>
      </c>
      <c r="AY430" s="19">
        <v>-1.0584355623365749</v>
      </c>
      <c r="AZ430" s="19">
        <v>1.1410813175082104</v>
      </c>
      <c r="BA430" s="19">
        <v>-1.2363320130002031</v>
      </c>
      <c r="BB430" s="19">
        <v>-1.2138776310569224</v>
      </c>
      <c r="BC430" s="19">
        <v>1.0886780610555822</v>
      </c>
      <c r="BD430" s="19">
        <v>-1.5260657702301657</v>
      </c>
      <c r="BE430" s="14" t="s">
        <v>4857</v>
      </c>
    </row>
    <row r="431" spans="1:105" s="30" customFormat="1" ht="17.100000000000001" customHeight="1">
      <c r="A431" s="14">
        <v>420</v>
      </c>
      <c r="B431" s="14" t="s">
        <v>2417</v>
      </c>
      <c r="C431" s="32">
        <v>1.1684042864193687</v>
      </c>
      <c r="D431" s="32">
        <v>-1.1154256982555046</v>
      </c>
      <c r="E431" s="32">
        <v>1.3573959596626328</v>
      </c>
      <c r="F431" s="24">
        <v>55475</v>
      </c>
      <c r="G431" s="52" t="s">
        <v>2</v>
      </c>
      <c r="H431" s="32">
        <v>49.60751405678662</v>
      </c>
      <c r="I431" s="32">
        <v>34.280179852602089</v>
      </c>
      <c r="J431" s="12" t="s">
        <v>2418</v>
      </c>
      <c r="K431" s="12" t="s">
        <v>2419</v>
      </c>
      <c r="L431" s="14" t="s">
        <v>5027</v>
      </c>
      <c r="M431" s="12" t="s">
        <v>2420</v>
      </c>
      <c r="N431" s="15" t="s">
        <v>2421</v>
      </c>
      <c r="O431" s="12" t="s">
        <v>2422</v>
      </c>
      <c r="P431" s="12" t="s">
        <v>2423</v>
      </c>
      <c r="Q431" s="14">
        <v>2</v>
      </c>
      <c r="R431" s="21">
        <v>635.35609999999997</v>
      </c>
      <c r="S431" s="14">
        <v>6</v>
      </c>
      <c r="T431" s="52" t="s">
        <v>2</v>
      </c>
      <c r="U431" s="53">
        <v>42.323599999999992</v>
      </c>
      <c r="V431" s="24">
        <v>32264</v>
      </c>
      <c r="W431" s="24">
        <v>23233</v>
      </c>
      <c r="X431" s="24">
        <v>32336</v>
      </c>
      <c r="Y431" s="24">
        <v>33883</v>
      </c>
      <c r="Z431" s="24">
        <v>25237</v>
      </c>
      <c r="AA431" s="24">
        <v>26912</v>
      </c>
      <c r="AB431" s="24">
        <v>68922</v>
      </c>
      <c r="AC431" s="24">
        <v>42028</v>
      </c>
      <c r="AD431" s="24">
        <v>30429</v>
      </c>
      <c r="AE431" s="24">
        <v>40774.75</v>
      </c>
      <c r="AF431" s="24">
        <v>27748.5</v>
      </c>
      <c r="AG431" s="24">
        <v>33109.5</v>
      </c>
      <c r="AH431" s="24">
        <v>26074.5</v>
      </c>
      <c r="AI431" s="24">
        <v>55475</v>
      </c>
      <c r="AJ431" s="32">
        <v>15.955550126922679</v>
      </c>
      <c r="AK431" s="32">
        <v>49.60751405678662</v>
      </c>
      <c r="AL431" s="32">
        <v>23.013428981370922</v>
      </c>
      <c r="AM431" s="32">
        <v>3.3038680454117073</v>
      </c>
      <c r="AN431" s="32">
        <v>4.5423837791231545</v>
      </c>
      <c r="AO431" s="32">
        <v>34.280179852602089</v>
      </c>
      <c r="AP431" s="19">
        <v>1.339996385027441</v>
      </c>
      <c r="AQ431" s="19">
        <v>0.93967241472512031</v>
      </c>
      <c r="AR431" s="19">
        <v>1.6755009891420891</v>
      </c>
      <c r="AS431" s="19">
        <v>0.42222910866064578</v>
      </c>
      <c r="AT431" s="19">
        <v>-8.9770197693918807E-2</v>
      </c>
      <c r="AU431" s="19">
        <v>0.74459253824633242</v>
      </c>
      <c r="AV431" s="19">
        <v>0.22453955597454522</v>
      </c>
      <c r="AW431" s="19">
        <v>-0.15759441467706853</v>
      </c>
      <c r="AX431" s="19">
        <v>0.4408416240105395</v>
      </c>
      <c r="AY431" s="19">
        <v>1.339996385027441</v>
      </c>
      <c r="AZ431" s="19">
        <v>-1.0642006558131507</v>
      </c>
      <c r="BA431" s="19">
        <v>1.6755009891420891</v>
      </c>
      <c r="BB431" s="19">
        <v>1.1684042864193687</v>
      </c>
      <c r="BC431" s="19">
        <v>-1.1154256982555046</v>
      </c>
      <c r="BD431" s="19">
        <v>1.3573959596626328</v>
      </c>
      <c r="BE431" s="14" t="s">
        <v>4857</v>
      </c>
    </row>
    <row r="432" spans="1:105" s="30" customFormat="1" ht="17.100000000000001" customHeight="1">
      <c r="A432" s="14">
        <v>421</v>
      </c>
      <c r="B432" s="14" t="s">
        <v>2424</v>
      </c>
      <c r="C432" s="32">
        <v>1.3370653656898788</v>
      </c>
      <c r="D432" s="32">
        <v>1.4529508780854834</v>
      </c>
      <c r="E432" s="32">
        <v>1.2473170802120719</v>
      </c>
      <c r="F432" s="24">
        <v>90327.5</v>
      </c>
      <c r="G432" s="52" t="s">
        <v>2</v>
      </c>
      <c r="H432" s="32">
        <v>43.688573285370843</v>
      </c>
      <c r="I432" s="32">
        <v>61.993905831628481</v>
      </c>
      <c r="J432" s="12" t="s">
        <v>2425</v>
      </c>
      <c r="K432" s="15" t="s">
        <v>2426</v>
      </c>
      <c r="L432" s="14" t="s">
        <v>2427</v>
      </c>
      <c r="M432" s="12" t="s">
        <v>2428</v>
      </c>
      <c r="N432" s="15" t="s">
        <v>2429</v>
      </c>
      <c r="O432" s="12" t="s">
        <v>2430</v>
      </c>
      <c r="P432" s="12" t="s">
        <v>2432</v>
      </c>
      <c r="Q432" s="14">
        <v>3</v>
      </c>
      <c r="R432" s="21">
        <v>784.39570000000003</v>
      </c>
      <c r="S432" s="14">
        <v>3</v>
      </c>
      <c r="T432" s="52" t="s">
        <v>2</v>
      </c>
      <c r="U432" s="53">
        <v>54.875500000000009</v>
      </c>
      <c r="V432" s="24">
        <v>49630</v>
      </c>
      <c r="W432" s="24">
        <v>19379</v>
      </c>
      <c r="X432" s="24">
        <v>60599</v>
      </c>
      <c r="Y432" s="24">
        <v>56738</v>
      </c>
      <c r="Z432" s="24">
        <v>62143</v>
      </c>
      <c r="AA432" s="24">
        <v>42950</v>
      </c>
      <c r="AB432" s="24">
        <v>64729</v>
      </c>
      <c r="AC432" s="24">
        <v>115926</v>
      </c>
      <c r="AD432" s="24">
        <v>46586.5</v>
      </c>
      <c r="AE432" s="24">
        <v>71437</v>
      </c>
      <c r="AF432" s="24">
        <v>34504.5</v>
      </c>
      <c r="AG432" s="24">
        <v>58668.5</v>
      </c>
      <c r="AH432" s="24">
        <v>52546.5</v>
      </c>
      <c r="AI432" s="24">
        <v>90327.5</v>
      </c>
      <c r="AJ432" s="32">
        <v>40.137400495928027</v>
      </c>
      <c r="AK432" s="32">
        <v>43.688573285370843</v>
      </c>
      <c r="AL432" s="32">
        <v>61.993905831628481</v>
      </c>
      <c r="AM432" s="32">
        <v>4.6535010817751603</v>
      </c>
      <c r="AN432" s="32">
        <v>25.82760117479453</v>
      </c>
      <c r="AO432" s="32">
        <v>40.078321526011095</v>
      </c>
      <c r="AP432" s="19">
        <v>1.5334270657808593</v>
      </c>
      <c r="AQ432" s="19">
        <v>1.522888318914924</v>
      </c>
      <c r="AR432" s="19">
        <v>1.5396251821676028</v>
      </c>
      <c r="AS432" s="19">
        <v>0.61675954949469258</v>
      </c>
      <c r="AT432" s="19">
        <v>0.60681014559710855</v>
      </c>
      <c r="AU432" s="19">
        <v>0.62257917322891898</v>
      </c>
      <c r="AV432" s="19">
        <v>0.41906999680859203</v>
      </c>
      <c r="AW432" s="19">
        <v>0.53898592861395889</v>
      </c>
      <c r="AX432" s="19">
        <v>0.31882825899312606</v>
      </c>
      <c r="AY432" s="19">
        <v>1.5334270657808593</v>
      </c>
      <c r="AZ432" s="19">
        <v>1.522888318914924</v>
      </c>
      <c r="BA432" s="19">
        <v>1.5396251821676028</v>
      </c>
      <c r="BB432" s="19">
        <v>1.3370653656898788</v>
      </c>
      <c r="BC432" s="19">
        <v>1.4529508780854834</v>
      </c>
      <c r="BD432" s="19">
        <v>1.2473170802120719</v>
      </c>
      <c r="BE432" s="14" t="s">
        <v>4857</v>
      </c>
    </row>
    <row r="433" spans="1:105" s="30" customFormat="1" ht="17.100000000000001" customHeight="1">
      <c r="A433" s="14">
        <v>422</v>
      </c>
      <c r="B433" s="14" t="s">
        <v>2433</v>
      </c>
      <c r="C433" s="32">
        <v>-1.1930874302098979</v>
      </c>
      <c r="D433" s="32">
        <v>-1.222270873683913</v>
      </c>
      <c r="E433" s="32">
        <v>-1.1809099189682284</v>
      </c>
      <c r="F433" s="24">
        <v>182336</v>
      </c>
      <c r="G433" s="52" t="s">
        <v>2</v>
      </c>
      <c r="H433" s="32">
        <v>24.36710697034556</v>
      </c>
      <c r="I433" s="32">
        <v>19.421923651756874</v>
      </c>
      <c r="J433" s="12" t="s">
        <v>2434</v>
      </c>
      <c r="K433" s="12" t="s">
        <v>2435</v>
      </c>
      <c r="L433" s="14" t="s">
        <v>5117</v>
      </c>
      <c r="M433" s="12" t="s">
        <v>2436</v>
      </c>
      <c r="N433" s="15" t="s">
        <v>2437</v>
      </c>
      <c r="O433" s="12" t="s">
        <v>2438</v>
      </c>
      <c r="P433" s="12" t="s">
        <v>2439</v>
      </c>
      <c r="Q433" s="14">
        <v>2</v>
      </c>
      <c r="R433" s="21">
        <v>786.40890000000002</v>
      </c>
      <c r="S433" s="14">
        <v>2</v>
      </c>
      <c r="T433" s="52" t="s">
        <v>2</v>
      </c>
      <c r="U433" s="53">
        <v>84.118387499999997</v>
      </c>
      <c r="V433" s="24">
        <v>121868</v>
      </c>
      <c r="W433" s="24">
        <v>160670</v>
      </c>
      <c r="X433" s="24">
        <v>196957</v>
      </c>
      <c r="Y433" s="24">
        <v>151927</v>
      </c>
      <c r="Z433" s="24">
        <v>127610</v>
      </c>
      <c r="AA433" s="24">
        <v>114675</v>
      </c>
      <c r="AB433" s="24">
        <v>194020</v>
      </c>
      <c r="AC433" s="24">
        <v>170652</v>
      </c>
      <c r="AD433" s="24">
        <v>157855.5</v>
      </c>
      <c r="AE433" s="24">
        <v>151739.25</v>
      </c>
      <c r="AF433" s="24">
        <v>141269</v>
      </c>
      <c r="AG433" s="24">
        <v>174442</v>
      </c>
      <c r="AH433" s="24">
        <v>121142.5</v>
      </c>
      <c r="AI433" s="24">
        <v>182336</v>
      </c>
      <c r="AJ433" s="32">
        <v>19.583971589683394</v>
      </c>
      <c r="AK433" s="32">
        <v>24.36710697034556</v>
      </c>
      <c r="AL433" s="32">
        <v>19.421923651756874</v>
      </c>
      <c r="AM433" s="32">
        <v>18.253068846281419</v>
      </c>
      <c r="AN433" s="32">
        <v>7.5501382377348918</v>
      </c>
      <c r="AO433" s="32">
        <v>9.0622100203839295</v>
      </c>
      <c r="AP433" s="19">
        <v>0.96125412164922985</v>
      </c>
      <c r="AQ433" s="19">
        <v>0.8575306684410593</v>
      </c>
      <c r="AR433" s="19">
        <v>1.0452528634159204</v>
      </c>
      <c r="AS433" s="19">
        <v>-5.7010215836142915E-2</v>
      </c>
      <c r="AT433" s="19">
        <v>-0.22173982661458505</v>
      </c>
      <c r="AU433" s="19">
        <v>6.3851995575583062E-2</v>
      </c>
      <c r="AV433" s="19">
        <v>-0.25469976852224346</v>
      </c>
      <c r="AW433" s="19">
        <v>-0.28956404359773474</v>
      </c>
      <c r="AX433" s="19">
        <v>-0.23989891866020985</v>
      </c>
      <c r="AY433" s="19">
        <v>-1.0403076329954182</v>
      </c>
      <c r="AZ433" s="19">
        <v>-1.1661390511174856</v>
      </c>
      <c r="BA433" s="19">
        <v>1.0452528634159204</v>
      </c>
      <c r="BB433" s="19">
        <v>-1.1930874302098979</v>
      </c>
      <c r="BC433" s="19">
        <v>-1.222270873683913</v>
      </c>
      <c r="BD433" s="19">
        <v>-1.1809099189682284</v>
      </c>
      <c r="BE433" s="14" t="s">
        <v>4857</v>
      </c>
    </row>
    <row r="434" spans="1:105" s="30" customFormat="1" ht="17.100000000000001" customHeight="1">
      <c r="A434" s="14">
        <v>423</v>
      </c>
      <c r="B434" s="14" t="s">
        <v>2440</v>
      </c>
      <c r="C434" s="32">
        <v>-1.0119222290739791</v>
      </c>
      <c r="D434" s="32">
        <v>-1.1119783332842148</v>
      </c>
      <c r="E434" s="32">
        <v>1.0567935003154256</v>
      </c>
      <c r="F434" s="24">
        <v>295021.5</v>
      </c>
      <c r="G434" s="52" t="s">
        <v>2</v>
      </c>
      <c r="H434" s="32">
        <v>27.099811648284554</v>
      </c>
      <c r="I434" s="32">
        <v>13.934261380218835</v>
      </c>
      <c r="J434" s="12" t="s">
        <v>2434</v>
      </c>
      <c r="K434" s="12" t="s">
        <v>2435</v>
      </c>
      <c r="L434" s="14" t="s">
        <v>5039</v>
      </c>
      <c r="M434" s="12" t="s">
        <v>2436</v>
      </c>
      <c r="N434" s="15" t="s">
        <v>2437</v>
      </c>
      <c r="O434" s="12" t="s">
        <v>2438</v>
      </c>
      <c r="P434" s="12" t="s">
        <v>2441</v>
      </c>
      <c r="Q434" s="14">
        <v>2</v>
      </c>
      <c r="R434" s="21">
        <v>583.78240000000005</v>
      </c>
      <c r="S434" s="14">
        <v>6</v>
      </c>
      <c r="T434" s="52" t="s">
        <v>2</v>
      </c>
      <c r="U434" s="53">
        <v>74.908687499999985</v>
      </c>
      <c r="V434" s="24">
        <v>204078</v>
      </c>
      <c r="W434" s="24">
        <v>201639</v>
      </c>
      <c r="X434" s="24">
        <v>239134</v>
      </c>
      <c r="Y434" s="24">
        <v>213196</v>
      </c>
      <c r="Z434" s="24">
        <v>174543</v>
      </c>
      <c r="AA434" s="24">
        <v>207880</v>
      </c>
      <c r="AB434" s="24">
        <v>265953</v>
      </c>
      <c r="AC434" s="24">
        <v>324090</v>
      </c>
      <c r="AD434" s="24">
        <v>214511.75</v>
      </c>
      <c r="AE434" s="24">
        <v>243116.5</v>
      </c>
      <c r="AF434" s="24">
        <v>202858.5</v>
      </c>
      <c r="AG434" s="24">
        <v>226165</v>
      </c>
      <c r="AH434" s="24">
        <v>191211.5</v>
      </c>
      <c r="AI434" s="24">
        <v>295021.5</v>
      </c>
      <c r="AJ434" s="32">
        <v>7.9957595231212819</v>
      </c>
      <c r="AK434" s="32">
        <v>27.099811648284554</v>
      </c>
      <c r="AL434" s="32">
        <v>0.85016572601788409</v>
      </c>
      <c r="AM434" s="32">
        <v>8.1095375899969806</v>
      </c>
      <c r="AN434" s="32">
        <v>12.328138613219359</v>
      </c>
      <c r="AO434" s="32">
        <v>13.934261380218835</v>
      </c>
      <c r="AP434" s="19">
        <v>1.1333481732352657</v>
      </c>
      <c r="AQ434" s="19">
        <v>0.94258559537805908</v>
      </c>
      <c r="AR434" s="19">
        <v>1.3044525014922734</v>
      </c>
      <c r="AS434" s="19">
        <v>0.18059113621190176</v>
      </c>
      <c r="AT434" s="19">
        <v>-8.5304460675440841E-2</v>
      </c>
      <c r="AU434" s="19">
        <v>0.38344441283368319</v>
      </c>
      <c r="AV434" s="19">
        <v>-1.7098416474198797E-2</v>
      </c>
      <c r="AW434" s="19">
        <v>-0.15312867765859056</v>
      </c>
      <c r="AX434" s="19">
        <v>7.9693498597890267E-2</v>
      </c>
      <c r="AY434" s="19">
        <v>1.1333481732352657</v>
      </c>
      <c r="AZ434" s="19">
        <v>-1.0609116083499162</v>
      </c>
      <c r="BA434" s="19">
        <v>1.3044525014922734</v>
      </c>
      <c r="BB434" s="19">
        <v>-1.0119222290739791</v>
      </c>
      <c r="BC434" s="19">
        <v>-1.1119783332842148</v>
      </c>
      <c r="BD434" s="19">
        <v>1.0567935003154256</v>
      </c>
      <c r="BE434" s="14" t="s">
        <v>4857</v>
      </c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28"/>
      <c r="BU434" s="28"/>
      <c r="BV434" s="28"/>
      <c r="BW434" s="28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</row>
    <row r="435" spans="1:105" s="30" customFormat="1" ht="17.100000000000001" customHeight="1">
      <c r="A435" s="14">
        <v>424</v>
      </c>
      <c r="B435" s="14" t="s">
        <v>2442</v>
      </c>
      <c r="C435" s="32">
        <v>1.4338346588990805</v>
      </c>
      <c r="D435" s="32">
        <v>1.6305933929937768</v>
      </c>
      <c r="E435" s="32">
        <v>1.2884711002293445</v>
      </c>
      <c r="F435" s="24">
        <v>279509</v>
      </c>
      <c r="G435" s="52" t="s">
        <v>2</v>
      </c>
      <c r="H435" s="32">
        <v>26.65836362853835</v>
      </c>
      <c r="I435" s="32">
        <v>34.107506539371798</v>
      </c>
      <c r="J435" s="12" t="s">
        <v>2443</v>
      </c>
      <c r="K435" s="12" t="s">
        <v>2444</v>
      </c>
      <c r="L435" s="14" t="s">
        <v>5318</v>
      </c>
      <c r="M435" s="12" t="s">
        <v>2445</v>
      </c>
      <c r="N435" s="15" t="s">
        <v>2446</v>
      </c>
      <c r="O435" s="12" t="s">
        <v>2447</v>
      </c>
      <c r="P435" s="12" t="s">
        <v>2448</v>
      </c>
      <c r="Q435" s="14">
        <v>4</v>
      </c>
      <c r="R435" s="21">
        <v>903.96</v>
      </c>
      <c r="S435" s="14">
        <v>3</v>
      </c>
      <c r="T435" s="52" t="s">
        <v>2</v>
      </c>
      <c r="U435" s="53">
        <v>82.749100000000013</v>
      </c>
      <c r="V435" s="24">
        <v>165085</v>
      </c>
      <c r="W435" s="24">
        <v>128310</v>
      </c>
      <c r="X435" s="24">
        <v>149965</v>
      </c>
      <c r="Y435" s="24">
        <v>201525</v>
      </c>
      <c r="Z435" s="24">
        <v>200382</v>
      </c>
      <c r="AA435" s="24">
        <v>301054</v>
      </c>
      <c r="AB435" s="24">
        <v>212098</v>
      </c>
      <c r="AC435" s="24">
        <v>346920</v>
      </c>
      <c r="AD435" s="24">
        <v>161221.25</v>
      </c>
      <c r="AE435" s="24">
        <v>265113.5</v>
      </c>
      <c r="AF435" s="24">
        <v>146697.5</v>
      </c>
      <c r="AG435" s="24">
        <v>175745</v>
      </c>
      <c r="AH435" s="24">
        <v>250718</v>
      </c>
      <c r="AI435" s="24">
        <v>279509</v>
      </c>
      <c r="AJ435" s="32">
        <v>19.115101259276717</v>
      </c>
      <c r="AK435" s="32">
        <v>26.65836362853835</v>
      </c>
      <c r="AL435" s="32">
        <v>17.726172482922536</v>
      </c>
      <c r="AM435" s="32">
        <v>20.74507134654095</v>
      </c>
      <c r="AN435" s="32">
        <v>28.392797436008628</v>
      </c>
      <c r="AO435" s="32">
        <v>34.107506539371798</v>
      </c>
      <c r="AP435" s="19">
        <v>1.6444079176907511</v>
      </c>
      <c r="AQ435" s="19">
        <v>1.7090816135244296</v>
      </c>
      <c r="AR435" s="19">
        <v>1.5904236251386952</v>
      </c>
      <c r="AS435" s="19">
        <v>0.71756822349082106</v>
      </c>
      <c r="AT435" s="19">
        <v>0.77322129146438989</v>
      </c>
      <c r="AU435" s="19">
        <v>0.66941109285871403</v>
      </c>
      <c r="AV435" s="19">
        <v>0.5198786708047205</v>
      </c>
      <c r="AW435" s="19">
        <v>0.70539707448124023</v>
      </c>
      <c r="AX435" s="19">
        <v>0.36566017862292111</v>
      </c>
      <c r="AY435" s="19">
        <v>1.6444079176907511</v>
      </c>
      <c r="AZ435" s="19">
        <v>1.7090816135244296</v>
      </c>
      <c r="BA435" s="19">
        <v>1.5904236251386952</v>
      </c>
      <c r="BB435" s="19">
        <v>1.4338346588990805</v>
      </c>
      <c r="BC435" s="19">
        <v>1.6305933929937768</v>
      </c>
      <c r="BD435" s="19">
        <v>1.2884711002293445</v>
      </c>
      <c r="BE435" s="14" t="s">
        <v>4857</v>
      </c>
    </row>
    <row r="436" spans="1:105" s="30" customFormat="1" ht="17.100000000000001" customHeight="1">
      <c r="A436" s="14">
        <v>425</v>
      </c>
      <c r="B436" s="14" t="s">
        <v>2449</v>
      </c>
      <c r="C436" s="32">
        <v>1.0095761529925846</v>
      </c>
      <c r="D436" s="32">
        <v>1.1050934955719498</v>
      </c>
      <c r="E436" s="32">
        <v>-1.0663862485375823</v>
      </c>
      <c r="F436" s="24">
        <v>382835</v>
      </c>
      <c r="G436" s="52" t="s">
        <v>2</v>
      </c>
      <c r="H436" s="32">
        <v>22.97116837108339</v>
      </c>
      <c r="I436" s="32">
        <v>21.161828565374975</v>
      </c>
      <c r="J436" s="12" t="s">
        <v>2443</v>
      </c>
      <c r="K436" s="12" t="s">
        <v>2444</v>
      </c>
      <c r="L436" s="14" t="s">
        <v>5203</v>
      </c>
      <c r="M436" s="12" t="s">
        <v>2445</v>
      </c>
      <c r="N436" s="15" t="s">
        <v>2446</v>
      </c>
      <c r="O436" s="12" t="s">
        <v>2447</v>
      </c>
      <c r="P436" s="12" t="s">
        <v>2450</v>
      </c>
      <c r="Q436" s="14">
        <v>2</v>
      </c>
      <c r="R436" s="21">
        <v>740.43769999999995</v>
      </c>
      <c r="S436" s="14">
        <v>1</v>
      </c>
      <c r="T436" s="52" t="s">
        <v>2</v>
      </c>
      <c r="U436" s="53">
        <v>72.26218750000001</v>
      </c>
      <c r="V436" s="24">
        <v>281132</v>
      </c>
      <c r="W436" s="24">
        <v>218922</v>
      </c>
      <c r="X436" s="24">
        <v>281250</v>
      </c>
      <c r="Y436" s="24">
        <v>380232</v>
      </c>
      <c r="Z436" s="24">
        <v>270592</v>
      </c>
      <c r="AA436" s="24">
        <v>308614</v>
      </c>
      <c r="AB436" s="24">
        <v>381345</v>
      </c>
      <c r="AC436" s="24">
        <v>384325</v>
      </c>
      <c r="AD436" s="24">
        <v>290384</v>
      </c>
      <c r="AE436" s="24">
        <v>336219</v>
      </c>
      <c r="AF436" s="24">
        <v>250027</v>
      </c>
      <c r="AG436" s="24">
        <v>330741</v>
      </c>
      <c r="AH436" s="24">
        <v>289603</v>
      </c>
      <c r="AI436" s="24">
        <v>382835</v>
      </c>
      <c r="AJ436" s="32">
        <v>22.97116837108339</v>
      </c>
      <c r="AK436" s="32">
        <v>16.665971581049927</v>
      </c>
      <c r="AL436" s="32">
        <v>17.593745018584041</v>
      </c>
      <c r="AM436" s="32">
        <v>21.161828565374975</v>
      </c>
      <c r="AN436" s="32">
        <v>9.2836103335514153</v>
      </c>
      <c r="AO436" s="32">
        <v>0.55041420140162522</v>
      </c>
      <c r="AP436" s="19">
        <v>1.1578427186070859</v>
      </c>
      <c r="AQ436" s="19">
        <v>1.1582869050142584</v>
      </c>
      <c r="AR436" s="19">
        <v>1.1575069314055408</v>
      </c>
      <c r="AS436" s="19">
        <v>0.21143929089489366</v>
      </c>
      <c r="AT436" s="19">
        <v>0.21199264985043645</v>
      </c>
      <c r="AU436" s="19">
        <v>0.21102083268590849</v>
      </c>
      <c r="AV436" s="19">
        <v>1.3749738208793105E-2</v>
      </c>
      <c r="AW436" s="19">
        <v>0.14416843286728676</v>
      </c>
      <c r="AX436" s="19">
        <v>-9.2730081549884436E-2</v>
      </c>
      <c r="AY436" s="19">
        <v>1.1578427186070859</v>
      </c>
      <c r="AZ436" s="19">
        <v>1.1582869050142584</v>
      </c>
      <c r="BA436" s="19">
        <v>1.1575069314055408</v>
      </c>
      <c r="BB436" s="19">
        <v>1.0095761529925846</v>
      </c>
      <c r="BC436" s="19">
        <v>1.1050934955719498</v>
      </c>
      <c r="BD436" s="19">
        <v>-1.0663862485375823</v>
      </c>
      <c r="BE436" s="14" t="s">
        <v>4857</v>
      </c>
    </row>
    <row r="437" spans="1:105" s="30" customFormat="1" ht="17.100000000000001" customHeight="1">
      <c r="A437" s="14">
        <v>426</v>
      </c>
      <c r="B437" s="14" t="s">
        <v>2451</v>
      </c>
      <c r="C437" s="32">
        <v>-1.0569642830374444</v>
      </c>
      <c r="D437" s="32">
        <v>-1.0233511865002087</v>
      </c>
      <c r="E437" s="32">
        <v>-1.0896416253968055</v>
      </c>
      <c r="F437" s="24">
        <v>88101.5</v>
      </c>
      <c r="G437" s="52" t="s">
        <v>2</v>
      </c>
      <c r="H437" s="32">
        <v>23.493074360530287</v>
      </c>
      <c r="I437" s="32">
        <v>22.382516733635615</v>
      </c>
      <c r="J437" s="12" t="s">
        <v>2443</v>
      </c>
      <c r="K437" s="12" t="s">
        <v>2444</v>
      </c>
      <c r="L437" s="14" t="s">
        <v>5204</v>
      </c>
      <c r="M437" s="12" t="s">
        <v>2445</v>
      </c>
      <c r="N437" s="15" t="s">
        <v>2446</v>
      </c>
      <c r="O437" s="12" t="s">
        <v>2447</v>
      </c>
      <c r="P437" s="12" t="s">
        <v>2452</v>
      </c>
      <c r="Q437" s="14">
        <v>3</v>
      </c>
      <c r="R437" s="21">
        <v>634.30269999999996</v>
      </c>
      <c r="S437" s="14">
        <v>8</v>
      </c>
      <c r="T437" s="52" t="s">
        <v>2</v>
      </c>
      <c r="U437" s="53">
        <v>43.135849999999998</v>
      </c>
      <c r="V437" s="24">
        <v>70487</v>
      </c>
      <c r="W437" s="24">
        <v>51612</v>
      </c>
      <c r="X437" s="24">
        <v>65464</v>
      </c>
      <c r="Y437" s="24">
        <v>90082</v>
      </c>
      <c r="Z437" s="24">
        <v>54606</v>
      </c>
      <c r="AA437" s="24">
        <v>70450</v>
      </c>
      <c r="AB437" s="24">
        <v>97037</v>
      </c>
      <c r="AC437" s="24">
        <v>79166</v>
      </c>
      <c r="AD437" s="24">
        <v>69411.25</v>
      </c>
      <c r="AE437" s="24">
        <v>75314.75</v>
      </c>
      <c r="AF437" s="24">
        <v>61049.5</v>
      </c>
      <c r="AG437" s="24">
        <v>77773</v>
      </c>
      <c r="AH437" s="24">
        <v>62528</v>
      </c>
      <c r="AI437" s="24">
        <v>88101.5</v>
      </c>
      <c r="AJ437" s="32">
        <v>22.943183130626334</v>
      </c>
      <c r="AK437" s="32">
        <v>23.493074360530287</v>
      </c>
      <c r="AL437" s="32">
        <v>21.861998042401794</v>
      </c>
      <c r="AM437" s="32">
        <v>22.382516733635615</v>
      </c>
      <c r="AN437" s="32">
        <v>17.917412744881748</v>
      </c>
      <c r="AO437" s="32">
        <v>14.343348622423898</v>
      </c>
      <c r="AP437" s="19">
        <v>1.0850510544040051</v>
      </c>
      <c r="AQ437" s="19">
        <v>1.0242180525639031</v>
      </c>
      <c r="AR437" s="19">
        <v>1.1328031579082716</v>
      </c>
      <c r="AS437" s="19">
        <v>0.1177629267274479</v>
      </c>
      <c r="AT437" s="19">
        <v>3.4522892938843454E-2</v>
      </c>
      <c r="AU437" s="19">
        <v>0.17989719233108756</v>
      </c>
      <c r="AV437" s="19">
        <v>-7.9926625958652658E-2</v>
      </c>
      <c r="AW437" s="19">
        <v>-3.3301324044306253E-2</v>
      </c>
      <c r="AX437" s="19">
        <v>-0.12385372190470537</v>
      </c>
      <c r="AY437" s="19">
        <v>1.0850510544040051</v>
      </c>
      <c r="AZ437" s="19">
        <v>1.0242180525639031</v>
      </c>
      <c r="BA437" s="19">
        <v>1.1328031579082716</v>
      </c>
      <c r="BB437" s="19">
        <v>-1.0569642830374444</v>
      </c>
      <c r="BC437" s="19">
        <v>-1.0233511865002087</v>
      </c>
      <c r="BD437" s="19">
        <v>-1.0896416253968055</v>
      </c>
      <c r="BE437" s="14" t="s">
        <v>4857</v>
      </c>
    </row>
    <row r="438" spans="1:105" s="30" customFormat="1" ht="17.100000000000001" customHeight="1">
      <c r="A438" s="14">
        <v>427</v>
      </c>
      <c r="B438" s="14" t="s">
        <v>2453</v>
      </c>
      <c r="C438" s="32">
        <v>-1.13183363212002</v>
      </c>
      <c r="D438" s="32">
        <v>-1.0383048055311808</v>
      </c>
      <c r="E438" s="32">
        <v>-1.2143682788597978</v>
      </c>
      <c r="F438" s="24">
        <v>94269.5</v>
      </c>
      <c r="G438" s="52" t="s">
        <v>2</v>
      </c>
      <c r="H438" s="32">
        <v>18.299936028254134</v>
      </c>
      <c r="I438" s="32">
        <v>20.943283286226823</v>
      </c>
      <c r="J438" s="12" t="s">
        <v>2443</v>
      </c>
      <c r="K438" s="12" t="s">
        <v>2444</v>
      </c>
      <c r="L438" s="14" t="s">
        <v>5122</v>
      </c>
      <c r="M438" s="12" t="s">
        <v>2445</v>
      </c>
      <c r="N438" s="15" t="s">
        <v>2446</v>
      </c>
      <c r="O438" s="12" t="s">
        <v>2447</v>
      </c>
      <c r="P438" s="12" t="s">
        <v>2454</v>
      </c>
      <c r="Q438" s="14">
        <v>2</v>
      </c>
      <c r="R438" s="21">
        <v>635.84109999999998</v>
      </c>
      <c r="S438" s="14">
        <v>6</v>
      </c>
      <c r="T438" s="52" t="s">
        <v>2</v>
      </c>
      <c r="U438" s="53">
        <v>48.419375000000002</v>
      </c>
      <c r="V438" s="24">
        <v>75395</v>
      </c>
      <c r="W438" s="24">
        <v>79348</v>
      </c>
      <c r="X438" s="24">
        <v>81700</v>
      </c>
      <c r="Y438" s="24">
        <v>103787</v>
      </c>
      <c r="Z438" s="24">
        <v>85002</v>
      </c>
      <c r="AA438" s="24">
        <v>71206</v>
      </c>
      <c r="AB438" s="24">
        <v>80309</v>
      </c>
      <c r="AC438" s="24">
        <v>108230</v>
      </c>
      <c r="AD438" s="24">
        <v>85057.5</v>
      </c>
      <c r="AE438" s="24">
        <v>86186.75</v>
      </c>
      <c r="AF438" s="24">
        <v>77371.5</v>
      </c>
      <c r="AG438" s="24">
        <v>92743.5</v>
      </c>
      <c r="AH438" s="24">
        <v>78104</v>
      </c>
      <c r="AI438" s="24">
        <v>94269.5</v>
      </c>
      <c r="AJ438" s="32">
        <v>14.995111352271504</v>
      </c>
      <c r="AK438" s="32">
        <v>18.299936028254134</v>
      </c>
      <c r="AL438" s="32">
        <v>3.6126908564916307</v>
      </c>
      <c r="AM438" s="32">
        <v>16.839851284529132</v>
      </c>
      <c r="AN438" s="32">
        <v>12.490071127278512</v>
      </c>
      <c r="AO438" s="32">
        <v>20.943283286226823</v>
      </c>
      <c r="AP438" s="19">
        <v>1.0132763130823266</v>
      </c>
      <c r="AQ438" s="19">
        <v>1.0094673103145215</v>
      </c>
      <c r="AR438" s="19">
        <v>1.0164539832980208</v>
      </c>
      <c r="AS438" s="19">
        <v>1.9027640235952607E-2</v>
      </c>
      <c r="AT438" s="19">
        <v>1.3594192481438156E-2</v>
      </c>
      <c r="AU438" s="19">
        <v>2.3544903258912578E-2</v>
      </c>
      <c r="AV438" s="19">
        <v>-0.17866191245014795</v>
      </c>
      <c r="AW438" s="19">
        <v>-5.4230024501711549E-2</v>
      </c>
      <c r="AX438" s="19">
        <v>-0.28020601097688036</v>
      </c>
      <c r="AY438" s="19">
        <v>1.0132763130823266</v>
      </c>
      <c r="AZ438" s="19">
        <v>1.0094673103145215</v>
      </c>
      <c r="BA438" s="19">
        <v>1.0164539832980208</v>
      </c>
      <c r="BB438" s="19">
        <v>-1.13183363212002</v>
      </c>
      <c r="BC438" s="19">
        <v>-1.0383048055311808</v>
      </c>
      <c r="BD438" s="19">
        <v>-1.2143682788597978</v>
      </c>
      <c r="BE438" s="14" t="s">
        <v>4857</v>
      </c>
    </row>
    <row r="439" spans="1:105" s="30" customFormat="1" ht="17.100000000000001" customHeight="1">
      <c r="A439" s="14">
        <v>428</v>
      </c>
      <c r="B439" s="14" t="s">
        <v>2455</v>
      </c>
      <c r="C439" s="32">
        <v>1.3537920910469297</v>
      </c>
      <c r="D439" s="32">
        <v>1.5279269533474806</v>
      </c>
      <c r="E439" s="32">
        <v>1.227590630285428</v>
      </c>
      <c r="F439" s="24">
        <v>757819</v>
      </c>
      <c r="G439" s="52" t="s">
        <v>2</v>
      </c>
      <c r="H439" s="32">
        <v>28.034361199818893</v>
      </c>
      <c r="I439" s="32">
        <v>38.840788656620923</v>
      </c>
      <c r="J439" s="12" t="s">
        <v>2443</v>
      </c>
      <c r="K439" s="12" t="s">
        <v>2444</v>
      </c>
      <c r="L439" s="14" t="s">
        <v>5191</v>
      </c>
      <c r="M439" s="12" t="s">
        <v>2445</v>
      </c>
      <c r="N439" s="15" t="s">
        <v>2446</v>
      </c>
      <c r="O439" s="12" t="s">
        <v>2447</v>
      </c>
      <c r="P439" s="12" t="s">
        <v>2456</v>
      </c>
      <c r="Q439" s="14">
        <v>3</v>
      </c>
      <c r="R439" s="21">
        <v>798.11779999999999</v>
      </c>
      <c r="S439" s="14">
        <v>4</v>
      </c>
      <c r="T439" s="52" t="s">
        <v>2</v>
      </c>
      <c r="U439" s="53">
        <v>92.381912499999999</v>
      </c>
      <c r="V439" s="24">
        <v>295702</v>
      </c>
      <c r="W439" s="24">
        <v>468543</v>
      </c>
      <c r="X439" s="24">
        <v>477261</v>
      </c>
      <c r="Y439" s="24">
        <v>522978</v>
      </c>
      <c r="Z439" s="24">
        <v>443887</v>
      </c>
      <c r="AA439" s="24">
        <v>780031</v>
      </c>
      <c r="AB439" s="24">
        <v>629707</v>
      </c>
      <c r="AC439" s="24">
        <v>885931</v>
      </c>
      <c r="AD439" s="24">
        <v>441121</v>
      </c>
      <c r="AE439" s="24">
        <v>684889</v>
      </c>
      <c r="AF439" s="24">
        <v>382122.5</v>
      </c>
      <c r="AG439" s="24">
        <v>500119.5</v>
      </c>
      <c r="AH439" s="24">
        <v>611959</v>
      </c>
      <c r="AI439" s="24">
        <v>757819</v>
      </c>
      <c r="AJ439" s="32">
        <v>22.63371609788183</v>
      </c>
      <c r="AK439" s="32">
        <v>28.034361199818893</v>
      </c>
      <c r="AL439" s="32">
        <v>31.983733794022612</v>
      </c>
      <c r="AM439" s="32">
        <v>6.4638152912464708</v>
      </c>
      <c r="AN439" s="32">
        <v>38.840788656620923</v>
      </c>
      <c r="AO439" s="32">
        <v>23.907783771948441</v>
      </c>
      <c r="AP439" s="19">
        <v>1.5526102815327314</v>
      </c>
      <c r="AQ439" s="19">
        <v>1.6014733495148807</v>
      </c>
      <c r="AR439" s="19">
        <v>1.5152758490720717</v>
      </c>
      <c r="AS439" s="19">
        <v>0.63469574636506698</v>
      </c>
      <c r="AT439" s="19">
        <v>0.67939979009346929</v>
      </c>
      <c r="AU439" s="19">
        <v>0.59958045367324653</v>
      </c>
      <c r="AV439" s="19">
        <v>0.43700619367896643</v>
      </c>
      <c r="AW439" s="19">
        <v>0.61157557311031963</v>
      </c>
      <c r="AX439" s="19">
        <v>0.2958295394374536</v>
      </c>
      <c r="AY439" s="19">
        <v>1.5526102815327314</v>
      </c>
      <c r="AZ439" s="19">
        <v>1.6014733495148807</v>
      </c>
      <c r="BA439" s="19">
        <v>1.5152758490720717</v>
      </c>
      <c r="BB439" s="19">
        <v>1.3537920910469297</v>
      </c>
      <c r="BC439" s="19">
        <v>1.5279269533474806</v>
      </c>
      <c r="BD439" s="19">
        <v>1.227590630285428</v>
      </c>
      <c r="BE439" s="14" t="s">
        <v>4857</v>
      </c>
    </row>
    <row r="440" spans="1:105" s="30" customFormat="1" ht="17.100000000000001" customHeight="1">
      <c r="A440" s="14">
        <v>429</v>
      </c>
      <c r="B440" s="14" t="s">
        <v>2459</v>
      </c>
      <c r="C440" s="32">
        <v>-1.1458853252848462</v>
      </c>
      <c r="D440" s="32">
        <v>1.0064265484182555</v>
      </c>
      <c r="E440" s="32">
        <v>-1.2847166699181181</v>
      </c>
      <c r="F440" s="24">
        <v>172784.5</v>
      </c>
      <c r="G440" s="52" t="s">
        <v>2</v>
      </c>
      <c r="H440" s="32">
        <v>23.175358964021221</v>
      </c>
      <c r="I440" s="32">
        <v>27.306651467882077</v>
      </c>
      <c r="J440" s="12" t="s">
        <v>2460</v>
      </c>
      <c r="K440" s="15" t="s">
        <v>2461</v>
      </c>
      <c r="L440" s="14" t="s">
        <v>5082</v>
      </c>
      <c r="M440" s="12" t="s">
        <v>2462</v>
      </c>
      <c r="N440" s="15" t="s">
        <v>2463</v>
      </c>
      <c r="O440" s="12" t="s">
        <v>2464</v>
      </c>
      <c r="P440" s="12" t="s">
        <v>2465</v>
      </c>
      <c r="Q440" s="14">
        <v>2</v>
      </c>
      <c r="R440" s="21">
        <v>822.44119999999998</v>
      </c>
      <c r="S440" s="14">
        <v>1</v>
      </c>
      <c r="T440" s="52" t="s">
        <v>2</v>
      </c>
      <c r="U440" s="53">
        <v>84.287062500000005</v>
      </c>
      <c r="V440" s="24">
        <v>128298</v>
      </c>
      <c r="W440" s="24">
        <v>127941</v>
      </c>
      <c r="X440" s="24">
        <v>201527</v>
      </c>
      <c r="Y440" s="24">
        <v>144042</v>
      </c>
      <c r="Z440" s="24">
        <v>120977</v>
      </c>
      <c r="AA440" s="24">
        <v>149322</v>
      </c>
      <c r="AB440" s="24">
        <v>133956</v>
      </c>
      <c r="AC440" s="24">
        <v>198065</v>
      </c>
      <c r="AD440" s="24">
        <v>150452</v>
      </c>
      <c r="AE440" s="24">
        <v>150580</v>
      </c>
      <c r="AF440" s="24">
        <v>128119.5</v>
      </c>
      <c r="AG440" s="24">
        <v>172784.5</v>
      </c>
      <c r="AH440" s="24">
        <v>135149.5</v>
      </c>
      <c r="AI440" s="24">
        <v>166010.5</v>
      </c>
      <c r="AJ440" s="32">
        <v>23.175358964021221</v>
      </c>
      <c r="AK440" s="32">
        <v>22.386805541766254</v>
      </c>
      <c r="AL440" s="32">
        <v>0.1970325523309078</v>
      </c>
      <c r="AM440" s="32">
        <v>23.52527762415534</v>
      </c>
      <c r="AN440" s="32">
        <v>14.830200417117851</v>
      </c>
      <c r="AO440" s="32">
        <v>27.306651467882077</v>
      </c>
      <c r="AP440" s="19">
        <v>1.0008507696806954</v>
      </c>
      <c r="AQ440" s="19">
        <v>1.0548706481058698</v>
      </c>
      <c r="AR440" s="19">
        <v>0.96079509446738565</v>
      </c>
      <c r="AS440" s="19">
        <v>1.226879377360639E-3</v>
      </c>
      <c r="AT440" s="19">
        <v>7.7066101513092553E-2</v>
      </c>
      <c r="AU440" s="19">
        <v>-5.7699309794733929E-2</v>
      </c>
      <c r="AV440" s="19">
        <v>-0.19646267330873993</v>
      </c>
      <c r="AW440" s="19">
        <v>9.2418845299428454E-3</v>
      </c>
      <c r="AX440" s="19">
        <v>-0.36145022403052685</v>
      </c>
      <c r="AY440" s="19">
        <v>1.0008507696806954</v>
      </c>
      <c r="AZ440" s="19">
        <v>1.0548706481058698</v>
      </c>
      <c r="BA440" s="19">
        <v>-1.0408046478987776</v>
      </c>
      <c r="BB440" s="19">
        <v>-1.1458853252848462</v>
      </c>
      <c r="BC440" s="19">
        <v>1.0064265484182555</v>
      </c>
      <c r="BD440" s="19">
        <v>-1.2847166699181181</v>
      </c>
      <c r="BE440" s="14" t="s">
        <v>4857</v>
      </c>
    </row>
    <row r="441" spans="1:105" s="30" customFormat="1" ht="17.100000000000001" customHeight="1">
      <c r="A441" s="14">
        <v>430</v>
      </c>
      <c r="B441" s="14" t="s">
        <v>2466</v>
      </c>
      <c r="C441" s="32">
        <v>-1.2552937472232879</v>
      </c>
      <c r="D441" s="32">
        <v>-1.8996762541618057</v>
      </c>
      <c r="E441" s="32">
        <v>-1.0442072429731211</v>
      </c>
      <c r="F441" s="24">
        <v>41732</v>
      </c>
      <c r="G441" s="52" t="s">
        <v>2</v>
      </c>
      <c r="H441" s="32">
        <v>57.80174362315875</v>
      </c>
      <c r="I441" s="32">
        <v>39.672168524259483</v>
      </c>
      <c r="J441" s="12" t="s">
        <v>2460</v>
      </c>
      <c r="K441" s="15" t="s">
        <v>2461</v>
      </c>
      <c r="L441" s="14" t="s">
        <v>4951</v>
      </c>
      <c r="M441" s="12" t="s">
        <v>2462</v>
      </c>
      <c r="N441" s="15" t="s">
        <v>2463</v>
      </c>
      <c r="O441" s="12" t="s">
        <v>2464</v>
      </c>
      <c r="P441" s="12" t="s">
        <v>2341</v>
      </c>
      <c r="Q441" s="14">
        <v>2</v>
      </c>
      <c r="R441" s="21">
        <v>657.86680000000001</v>
      </c>
      <c r="S441" s="14">
        <v>1</v>
      </c>
      <c r="T441" s="52" t="s">
        <v>2</v>
      </c>
      <c r="U441" s="53">
        <v>33.076450000000001</v>
      </c>
      <c r="V441" s="24">
        <v>31135</v>
      </c>
      <c r="W441" s="24">
        <v>21248</v>
      </c>
      <c r="X441" s="24">
        <v>45207</v>
      </c>
      <c r="Y441" s="24">
        <v>25400</v>
      </c>
      <c r="Z441" s="24">
        <v>16139</v>
      </c>
      <c r="AA441" s="24">
        <v>12763</v>
      </c>
      <c r="AB441" s="24">
        <v>37204</v>
      </c>
      <c r="AC441" s="24">
        <v>46260</v>
      </c>
      <c r="AD441" s="24">
        <v>30747.5</v>
      </c>
      <c r="AE441" s="24">
        <v>28091.5</v>
      </c>
      <c r="AF441" s="24">
        <v>26191.5</v>
      </c>
      <c r="AG441" s="24">
        <v>35303.5</v>
      </c>
      <c r="AH441" s="24">
        <v>14451</v>
      </c>
      <c r="AI441" s="24">
        <v>41732</v>
      </c>
      <c r="AJ441" s="32">
        <v>34.010150558566501</v>
      </c>
      <c r="AK441" s="32">
        <v>57.80174362315875</v>
      </c>
      <c r="AL441" s="32">
        <v>26.692494685647617</v>
      </c>
      <c r="AM441" s="32">
        <v>39.672168524259483</v>
      </c>
      <c r="AN441" s="32">
        <v>16.519220076712923</v>
      </c>
      <c r="AO441" s="32">
        <v>15.344481478063296</v>
      </c>
      <c r="AP441" s="19">
        <v>0.91361899341409869</v>
      </c>
      <c r="AQ441" s="19">
        <v>0.55174388637535077</v>
      </c>
      <c r="AR441" s="19">
        <v>1.1820924270964634</v>
      </c>
      <c r="AS441" s="19">
        <v>-0.13033545138943289</v>
      </c>
      <c r="AT441" s="19">
        <v>-0.8579293561456427</v>
      </c>
      <c r="AU441" s="19">
        <v>0.2413428433839121</v>
      </c>
      <c r="AV441" s="19">
        <v>-0.32802500407553348</v>
      </c>
      <c r="AW441" s="19">
        <v>-0.92575357312879236</v>
      </c>
      <c r="AX441" s="19">
        <v>-6.2408070851880826E-2</v>
      </c>
      <c r="AY441" s="19">
        <v>-1.0945481729348736</v>
      </c>
      <c r="AZ441" s="19">
        <v>-1.8124351255968445</v>
      </c>
      <c r="BA441" s="19">
        <v>1.1820924270964634</v>
      </c>
      <c r="BB441" s="19">
        <v>-1.2552937472232879</v>
      </c>
      <c r="BC441" s="19">
        <v>-1.8996762541618057</v>
      </c>
      <c r="BD441" s="19">
        <v>-1.0442072429731211</v>
      </c>
      <c r="BE441" s="14" t="s">
        <v>4857</v>
      </c>
    </row>
    <row r="442" spans="1:105" s="30" customFormat="1" ht="17.100000000000001" customHeight="1">
      <c r="A442" s="14">
        <v>431</v>
      </c>
      <c r="B442" s="14" t="s">
        <v>2342</v>
      </c>
      <c r="C442" s="32">
        <v>-1.1332726210177755</v>
      </c>
      <c r="D442" s="32">
        <v>-1.3272778366397833</v>
      </c>
      <c r="E442" s="32">
        <v>-1.0397843466578027</v>
      </c>
      <c r="F442" s="24">
        <v>300030.5</v>
      </c>
      <c r="G442" s="52" t="s">
        <v>2</v>
      </c>
      <c r="H442" s="32">
        <v>36.359244123235747</v>
      </c>
      <c r="I442" s="32">
        <v>20.273874839518388</v>
      </c>
      <c r="J442" s="12" t="s">
        <v>2460</v>
      </c>
      <c r="K442" s="15" t="s">
        <v>2461</v>
      </c>
      <c r="L442" s="14" t="s">
        <v>5065</v>
      </c>
      <c r="M442" s="12" t="s">
        <v>2462</v>
      </c>
      <c r="N442" s="15" t="s">
        <v>2463</v>
      </c>
      <c r="O442" s="12" t="s">
        <v>2464</v>
      </c>
      <c r="P442" s="12" t="s">
        <v>2343</v>
      </c>
      <c r="Q442" s="14">
        <v>2</v>
      </c>
      <c r="R442" s="21">
        <v>1009.0317</v>
      </c>
      <c r="S442" s="14">
        <v>9</v>
      </c>
      <c r="T442" s="52" t="s">
        <v>2</v>
      </c>
      <c r="U442" s="53">
        <v>83.638050000000007</v>
      </c>
      <c r="V442" s="24">
        <v>189969</v>
      </c>
      <c r="W442" s="24">
        <v>208248</v>
      </c>
      <c r="X442" s="24">
        <v>288970</v>
      </c>
      <c r="Y442" s="24">
        <v>216506</v>
      </c>
      <c r="Z442" s="24">
        <v>165272</v>
      </c>
      <c r="AA442" s="24">
        <v>149195</v>
      </c>
      <c r="AB442" s="24">
        <v>310302</v>
      </c>
      <c r="AC442" s="24">
        <v>289759</v>
      </c>
      <c r="AD442" s="24">
        <v>225923.25</v>
      </c>
      <c r="AE442" s="24">
        <v>228632</v>
      </c>
      <c r="AF442" s="24">
        <v>199108.5</v>
      </c>
      <c r="AG442" s="24">
        <v>252738</v>
      </c>
      <c r="AH442" s="24">
        <v>157233.5</v>
      </c>
      <c r="AI442" s="24">
        <v>300030.5</v>
      </c>
      <c r="AJ442" s="32">
        <v>19.240669354657186</v>
      </c>
      <c r="AK442" s="32">
        <v>36.359244123235747</v>
      </c>
      <c r="AL442" s="32">
        <v>6.4915384593369456</v>
      </c>
      <c r="AM442" s="32">
        <v>20.273874839518388</v>
      </c>
      <c r="AN442" s="32">
        <v>7.2301104542836763</v>
      </c>
      <c r="AO442" s="32">
        <v>4.8415393121416805</v>
      </c>
      <c r="AP442" s="19">
        <v>1.0119896911893751</v>
      </c>
      <c r="AQ442" s="19">
        <v>0.78968753217466858</v>
      </c>
      <c r="AR442" s="19">
        <v>1.1871206545909203</v>
      </c>
      <c r="AS442" s="19">
        <v>1.7194593840803848E-2</v>
      </c>
      <c r="AT442" s="19">
        <v>-0.34064618204943975</v>
      </c>
      <c r="AU442" s="19">
        <v>0.24746657266632011</v>
      </c>
      <c r="AV442" s="19">
        <v>-0.1804949588452967</v>
      </c>
      <c r="AW442" s="19">
        <v>-0.40847039903258947</v>
      </c>
      <c r="AX442" s="19">
        <v>-5.6284341569472818E-2</v>
      </c>
      <c r="AY442" s="19">
        <v>1.0119896911893751</v>
      </c>
      <c r="AZ442" s="19">
        <v>-1.2663236524023189</v>
      </c>
      <c r="BA442" s="19">
        <v>1.1871206545909203</v>
      </c>
      <c r="BB442" s="19">
        <v>-1.1332726210177755</v>
      </c>
      <c r="BC442" s="19">
        <v>-1.3272778366397833</v>
      </c>
      <c r="BD442" s="19">
        <v>-1.0397843466578027</v>
      </c>
      <c r="BE442" s="14" t="s">
        <v>4857</v>
      </c>
    </row>
    <row r="443" spans="1:105" s="30" customFormat="1" ht="17.100000000000001" customHeight="1">
      <c r="A443" s="14">
        <v>432</v>
      </c>
      <c r="B443" s="14" t="s">
        <v>2345</v>
      </c>
      <c r="C443" s="32">
        <v>-1.3815897992590789</v>
      </c>
      <c r="D443" s="32">
        <v>-1.5735207727415641</v>
      </c>
      <c r="E443" s="32">
        <v>-1.146544589993979</v>
      </c>
      <c r="F443" s="24">
        <v>48328.5</v>
      </c>
      <c r="G443" s="52" t="s">
        <v>2</v>
      </c>
      <c r="H443" s="32">
        <v>25.762583112793013</v>
      </c>
      <c r="I443" s="32">
        <v>14.843634809545003</v>
      </c>
      <c r="J443" s="12" t="s">
        <v>2346</v>
      </c>
      <c r="K443" s="12" t="s">
        <v>2347</v>
      </c>
      <c r="L443" s="14" t="s">
        <v>4994</v>
      </c>
      <c r="M443" s="12" t="s">
        <v>2348</v>
      </c>
      <c r="N443" s="15" t="s">
        <v>2349</v>
      </c>
      <c r="O443" s="12" t="s">
        <v>2350</v>
      </c>
      <c r="P443" s="12" t="s">
        <v>2351</v>
      </c>
      <c r="Q443" s="14">
        <v>2</v>
      </c>
      <c r="R443" s="21">
        <v>860.36590000000001</v>
      </c>
      <c r="S443" s="14">
        <v>4</v>
      </c>
      <c r="T443" s="52" t="s">
        <v>2</v>
      </c>
      <c r="U443" s="53">
        <v>41.754150000000003</v>
      </c>
      <c r="V443" s="24">
        <v>43965</v>
      </c>
      <c r="W443" s="24">
        <v>52692</v>
      </c>
      <c r="X443" s="24">
        <v>28780</v>
      </c>
      <c r="Y443" s="24">
        <v>35530</v>
      </c>
      <c r="Z443" s="24">
        <v>35427</v>
      </c>
      <c r="AA443" s="24">
        <v>28957</v>
      </c>
      <c r="AB443" s="24">
        <v>33676</v>
      </c>
      <c r="AC443" s="24">
        <v>35559</v>
      </c>
      <c r="AD443" s="24">
        <v>40241.75</v>
      </c>
      <c r="AE443" s="24">
        <v>33404.75</v>
      </c>
      <c r="AF443" s="24">
        <v>48328.5</v>
      </c>
      <c r="AG443" s="24">
        <v>32155</v>
      </c>
      <c r="AH443" s="24">
        <v>32192</v>
      </c>
      <c r="AI443" s="24">
        <v>34617.5</v>
      </c>
      <c r="AJ443" s="32">
        <v>25.762583112793013</v>
      </c>
      <c r="AK443" s="32">
        <v>9.2408189249803634</v>
      </c>
      <c r="AL443" s="32">
        <v>12.768699379072391</v>
      </c>
      <c r="AM443" s="32">
        <v>14.843634809545003</v>
      </c>
      <c r="AN443" s="32">
        <v>14.211545956377245</v>
      </c>
      <c r="AO443" s="32">
        <v>3.8462687050603566</v>
      </c>
      <c r="AP443" s="19">
        <v>0.83010182211260697</v>
      </c>
      <c r="AQ443" s="19">
        <v>0.66610799010935573</v>
      </c>
      <c r="AR443" s="19">
        <v>1.0765821800653086</v>
      </c>
      <c r="AS443" s="19">
        <v>-0.26863978343128053</v>
      </c>
      <c r="AT443" s="19">
        <v>-0.58617200743229336</v>
      </c>
      <c r="AU443" s="19">
        <v>0.10645845071503356</v>
      </c>
      <c r="AV443" s="19">
        <v>-0.46632933611738109</v>
      </c>
      <c r="AW443" s="19">
        <v>-0.65399622441544303</v>
      </c>
      <c r="AX443" s="19">
        <v>-0.19729246352075935</v>
      </c>
      <c r="AY443" s="19">
        <v>-1.2046714913298258</v>
      </c>
      <c r="AZ443" s="19">
        <v>-1.5012580765407555</v>
      </c>
      <c r="BA443" s="19">
        <v>1.0765821800653086</v>
      </c>
      <c r="BB443" s="19">
        <v>-1.3815897992590789</v>
      </c>
      <c r="BC443" s="19">
        <v>-1.5735207727415641</v>
      </c>
      <c r="BD443" s="19">
        <v>-1.146544589993979</v>
      </c>
      <c r="BE443" s="14" t="s">
        <v>4857</v>
      </c>
    </row>
    <row r="444" spans="1:105" s="30" customFormat="1" ht="17.100000000000001" customHeight="1">
      <c r="A444" s="14">
        <v>433</v>
      </c>
      <c r="B444" s="14" t="s">
        <v>2352</v>
      </c>
      <c r="C444" s="32">
        <v>1.0970392666380215</v>
      </c>
      <c r="D444" s="32">
        <v>1.1449351227565687</v>
      </c>
      <c r="E444" s="32">
        <v>1.060953798272247</v>
      </c>
      <c r="F444" s="42">
        <v>6153876</v>
      </c>
      <c r="G444" s="52" t="s">
        <v>4894</v>
      </c>
      <c r="H444" s="32">
        <v>16.919332292256371</v>
      </c>
      <c r="I444" s="32">
        <v>18.422283830329349</v>
      </c>
      <c r="J444" s="12" t="s">
        <v>2353</v>
      </c>
      <c r="K444" s="12" t="s">
        <v>2354</v>
      </c>
      <c r="L444" s="14" t="s">
        <v>5237</v>
      </c>
      <c r="M444" s="12" t="s">
        <v>2355</v>
      </c>
      <c r="N444" s="15" t="s">
        <v>2356</v>
      </c>
      <c r="O444" s="12" t="s">
        <v>2357</v>
      </c>
      <c r="P444" s="12" t="s">
        <v>2358</v>
      </c>
      <c r="Q444" s="14">
        <v>3</v>
      </c>
      <c r="R444" s="21">
        <v>418.57990000000001</v>
      </c>
      <c r="S444" s="14">
        <v>1</v>
      </c>
      <c r="T444" s="52" t="s">
        <v>4894</v>
      </c>
      <c r="U444" s="53">
        <v>66.599999999999994</v>
      </c>
      <c r="V444" s="42">
        <v>3811547</v>
      </c>
      <c r="W444" s="42">
        <v>4508227</v>
      </c>
      <c r="X444" s="42">
        <v>4179630</v>
      </c>
      <c r="Y444" s="42">
        <v>5218558</v>
      </c>
      <c r="Z444" s="42">
        <v>5118877</v>
      </c>
      <c r="AA444" s="42">
        <v>4865237</v>
      </c>
      <c r="AB444" s="42">
        <v>6955512</v>
      </c>
      <c r="AC444" s="42">
        <v>5352240</v>
      </c>
      <c r="AD444" s="42">
        <v>4429490.5</v>
      </c>
      <c r="AE444" s="42">
        <v>5572966.5</v>
      </c>
      <c r="AF444" s="42">
        <v>4159887</v>
      </c>
      <c r="AG444" s="42">
        <v>4699094</v>
      </c>
      <c r="AH444" s="42">
        <v>4992057</v>
      </c>
      <c r="AI444" s="42">
        <v>6153876</v>
      </c>
      <c r="AJ444" s="32">
        <v>13.502307714658082</v>
      </c>
      <c r="AK444" s="32">
        <v>16.919332292256371</v>
      </c>
      <c r="AL444" s="32">
        <v>11.842320532193398</v>
      </c>
      <c r="AM444" s="32">
        <v>15.633503691660083</v>
      </c>
      <c r="AN444" s="32">
        <v>3.5927186724862303</v>
      </c>
      <c r="AO444" s="32">
        <v>18.422283830329349</v>
      </c>
      <c r="AP444" s="19">
        <v>1.2581506834702547</v>
      </c>
      <c r="AQ444" s="19">
        <v>1.2000462993345733</v>
      </c>
      <c r="AR444" s="19">
        <v>1.3095877630879484</v>
      </c>
      <c r="AS444" s="19">
        <v>0.33130471814470241</v>
      </c>
      <c r="AT444" s="19">
        <v>0.26309006794365575</v>
      </c>
      <c r="AU444" s="19">
        <v>0.38911274630862802</v>
      </c>
      <c r="AV444" s="19">
        <v>0.13361516545860186</v>
      </c>
      <c r="AW444" s="19">
        <v>0.19526585096050603</v>
      </c>
      <c r="AX444" s="19">
        <v>8.5361832072835098E-2</v>
      </c>
      <c r="AY444" s="19">
        <v>1.2581506834702547</v>
      </c>
      <c r="AZ444" s="19">
        <v>1.2000462993345733</v>
      </c>
      <c r="BA444" s="19">
        <v>1.3095877630879484</v>
      </c>
      <c r="BB444" s="19">
        <v>1.0970392666380215</v>
      </c>
      <c r="BC444" s="19">
        <v>1.1449351227565687</v>
      </c>
      <c r="BD444" s="19">
        <v>1.060953798272247</v>
      </c>
      <c r="BE444" s="14" t="s">
        <v>4857</v>
      </c>
    </row>
    <row r="445" spans="1:105" ht="17.100000000000001" customHeight="1">
      <c r="A445" s="14">
        <v>434</v>
      </c>
      <c r="B445" s="14" t="s">
        <v>2359</v>
      </c>
      <c r="C445" s="32">
        <v>-1.0588810585085564</v>
      </c>
      <c r="D445" s="32">
        <v>-1.2431711308311342</v>
      </c>
      <c r="E445" s="32">
        <v>1.0437999803182223</v>
      </c>
      <c r="F445" s="24">
        <v>117164.5</v>
      </c>
      <c r="G445" s="52" t="s">
        <v>2</v>
      </c>
      <c r="H445" s="32">
        <v>50.134070137802681</v>
      </c>
      <c r="I445" s="32">
        <v>51.462433022424101</v>
      </c>
      <c r="J445" s="12" t="s">
        <v>2360</v>
      </c>
      <c r="K445" s="12" t="s">
        <v>2361</v>
      </c>
      <c r="L445" s="14" t="s">
        <v>5105</v>
      </c>
      <c r="M445" s="12" t="s">
        <v>2362</v>
      </c>
      <c r="N445" s="15" t="s">
        <v>2363</v>
      </c>
      <c r="O445" s="12" t="s">
        <v>2364</v>
      </c>
      <c r="P445" s="12" t="s">
        <v>2365</v>
      </c>
      <c r="Q445" s="14">
        <v>2</v>
      </c>
      <c r="R445" s="21">
        <v>780.40120000000002</v>
      </c>
      <c r="S445" s="14">
        <v>4</v>
      </c>
      <c r="T445" s="52" t="s">
        <v>2</v>
      </c>
      <c r="U445" s="53">
        <v>54.839987499999999</v>
      </c>
      <c r="V445" s="24">
        <v>85701</v>
      </c>
      <c r="W445" s="24">
        <v>69915</v>
      </c>
      <c r="X445" s="24">
        <v>89605</v>
      </c>
      <c r="Y445" s="24">
        <v>92269</v>
      </c>
      <c r="Z445" s="24">
        <v>64512</v>
      </c>
      <c r="AA445" s="24">
        <v>66690</v>
      </c>
      <c r="AB445" s="24">
        <v>74529</v>
      </c>
      <c r="AC445" s="24">
        <v>159800</v>
      </c>
      <c r="AD445" s="24">
        <v>84372.5</v>
      </c>
      <c r="AE445" s="24">
        <v>91382.75</v>
      </c>
      <c r="AF445" s="24">
        <v>77808</v>
      </c>
      <c r="AG445" s="24">
        <v>90937</v>
      </c>
      <c r="AH445" s="24">
        <v>65601</v>
      </c>
      <c r="AI445" s="24">
        <v>117164.5</v>
      </c>
      <c r="AJ445" s="32">
        <v>11.862430760431646</v>
      </c>
      <c r="AK445" s="32">
        <v>50.134070137802681</v>
      </c>
      <c r="AL445" s="32">
        <v>14.346066789804185</v>
      </c>
      <c r="AM445" s="32">
        <v>2.0714697703695553</v>
      </c>
      <c r="AN445" s="32">
        <v>2.3476449588029151</v>
      </c>
      <c r="AO445" s="32">
        <v>51.462433022424101</v>
      </c>
      <c r="AP445" s="19">
        <v>1.0830869062787045</v>
      </c>
      <c r="AQ445" s="19">
        <v>0.84311381863047496</v>
      </c>
      <c r="AR445" s="19">
        <v>1.2884139569152271</v>
      </c>
      <c r="AS445" s="19">
        <v>0.11514900862213519</v>
      </c>
      <c r="AT445" s="19">
        <v>-0.24620068971105938</v>
      </c>
      <c r="AU445" s="19">
        <v>0.36559619410356348</v>
      </c>
      <c r="AV445" s="19">
        <v>-8.2540544063965368E-2</v>
      </c>
      <c r="AW445" s="19">
        <v>-0.31402490669420907</v>
      </c>
      <c r="AX445" s="19">
        <v>6.1845279867770553E-2</v>
      </c>
      <c r="AY445" s="19">
        <v>1.0830869062787045</v>
      </c>
      <c r="AZ445" s="19">
        <v>-1.1860794804957242</v>
      </c>
      <c r="BA445" s="19">
        <v>1.2884139569152271</v>
      </c>
      <c r="BB445" s="19">
        <v>-1.0588810585085564</v>
      </c>
      <c r="BC445" s="19">
        <v>-1.2431711308311342</v>
      </c>
      <c r="BD445" s="19">
        <v>1.0437999803182223</v>
      </c>
      <c r="BE445" s="14" t="s">
        <v>4857</v>
      </c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s="30" customFormat="1" ht="17.100000000000001" customHeight="1">
      <c r="A446" s="14">
        <v>435</v>
      </c>
      <c r="B446" s="14" t="s">
        <v>2366</v>
      </c>
      <c r="C446" s="32">
        <v>1.1445521599020916</v>
      </c>
      <c r="D446" s="32">
        <v>1.1445384857556624</v>
      </c>
      <c r="E446" s="32">
        <v>1.1158439602796815</v>
      </c>
      <c r="F446" s="24">
        <v>104194.5</v>
      </c>
      <c r="G446" s="52" t="s">
        <v>2</v>
      </c>
      <c r="H446" s="32">
        <v>40.417844441845816</v>
      </c>
      <c r="I446" s="32">
        <v>17.645655349363036</v>
      </c>
      <c r="J446" s="12" t="s">
        <v>2367</v>
      </c>
      <c r="K446" s="12" t="s">
        <v>2368</v>
      </c>
      <c r="L446" s="14" t="s">
        <v>5139</v>
      </c>
      <c r="M446" s="12" t="s">
        <v>2369</v>
      </c>
      <c r="N446" s="15" t="s">
        <v>2370</v>
      </c>
      <c r="O446" s="12" t="s">
        <v>2371</v>
      </c>
      <c r="P446" s="12" t="s">
        <v>2372</v>
      </c>
      <c r="Q446" s="14">
        <v>3</v>
      </c>
      <c r="R446" s="21">
        <v>742.99580000000003</v>
      </c>
      <c r="S446" s="14">
        <v>8</v>
      </c>
      <c r="T446" s="52" t="s">
        <v>2</v>
      </c>
      <c r="U446" s="53">
        <v>48.453462500000001</v>
      </c>
      <c r="V446" s="24">
        <v>42350</v>
      </c>
      <c r="W446" s="24">
        <v>44270</v>
      </c>
      <c r="X446" s="24">
        <v>66210</v>
      </c>
      <c r="Y446" s="24">
        <v>85088</v>
      </c>
      <c r="Z446" s="24">
        <v>52772</v>
      </c>
      <c r="AA446" s="24">
        <v>51140</v>
      </c>
      <c r="AB446" s="24">
        <v>92854</v>
      </c>
      <c r="AC446" s="24">
        <v>115535</v>
      </c>
      <c r="AD446" s="24">
        <v>59479.5</v>
      </c>
      <c r="AE446" s="24">
        <v>78075.25</v>
      </c>
      <c r="AF446" s="24">
        <v>43310</v>
      </c>
      <c r="AG446" s="24">
        <v>75649</v>
      </c>
      <c r="AH446" s="24">
        <v>51956</v>
      </c>
      <c r="AI446" s="24">
        <v>104194.5</v>
      </c>
      <c r="AJ446" s="32">
        <v>33.985181137398897</v>
      </c>
      <c r="AK446" s="32">
        <v>40.417844441845816</v>
      </c>
      <c r="AL446" s="32">
        <v>3.1347148923532004</v>
      </c>
      <c r="AM446" s="32">
        <v>17.645655349363036</v>
      </c>
      <c r="AN446" s="32">
        <v>2.2211068344299898</v>
      </c>
      <c r="AO446" s="32">
        <v>15.392260535913206</v>
      </c>
      <c r="AP446" s="19">
        <v>1.3126413302062054</v>
      </c>
      <c r="AQ446" s="19">
        <v>1.1996305703070884</v>
      </c>
      <c r="AR446" s="19">
        <v>1.377341405702653</v>
      </c>
      <c r="AS446" s="19">
        <v>0.39247276404398768</v>
      </c>
      <c r="AT446" s="19">
        <v>0.26259019213129609</v>
      </c>
      <c r="AU446" s="19">
        <v>0.46188620890272003</v>
      </c>
      <c r="AV446" s="19">
        <v>0.19478321135788712</v>
      </c>
      <c r="AW446" s="19">
        <v>0.19476597514814636</v>
      </c>
      <c r="AX446" s="19">
        <v>0.15813529466692711</v>
      </c>
      <c r="AY446" s="19">
        <v>1.3126413302062054</v>
      </c>
      <c r="AZ446" s="19">
        <v>1.1996305703070884</v>
      </c>
      <c r="BA446" s="19">
        <v>1.377341405702653</v>
      </c>
      <c r="BB446" s="19">
        <v>1.1445521599020916</v>
      </c>
      <c r="BC446" s="19">
        <v>1.1445384857556624</v>
      </c>
      <c r="BD446" s="19">
        <v>1.1158439602796815</v>
      </c>
      <c r="BE446" s="14" t="s">
        <v>4857</v>
      </c>
    </row>
    <row r="447" spans="1:105" s="30" customFormat="1" ht="17.100000000000001" customHeight="1">
      <c r="A447" s="14">
        <v>436</v>
      </c>
      <c r="B447" s="14" t="s">
        <v>2373</v>
      </c>
      <c r="C447" s="32">
        <v>-1.1858460729667646</v>
      </c>
      <c r="D447" s="32">
        <v>-1.1339974648859807</v>
      </c>
      <c r="E447" s="32">
        <v>-1.2320016257281123</v>
      </c>
      <c r="F447" s="24">
        <v>164555.5</v>
      </c>
      <c r="G447" s="52" t="s">
        <v>2</v>
      </c>
      <c r="H447" s="32">
        <v>20.366029644221246</v>
      </c>
      <c r="I447" s="32">
        <v>21.901164396088056</v>
      </c>
      <c r="J447" s="12" t="s">
        <v>2374</v>
      </c>
      <c r="K447" s="12" t="s">
        <v>2375</v>
      </c>
      <c r="L447" s="14" t="s">
        <v>5111</v>
      </c>
      <c r="M447" s="12" t="s">
        <v>2376</v>
      </c>
      <c r="N447" s="15" t="s">
        <v>2377</v>
      </c>
      <c r="O447" s="12" t="s">
        <v>2378</v>
      </c>
      <c r="P447" s="12" t="s">
        <v>2379</v>
      </c>
      <c r="Q447" s="14">
        <v>2</v>
      </c>
      <c r="R447" s="21">
        <v>627.80930000000001</v>
      </c>
      <c r="S447" s="14">
        <v>5</v>
      </c>
      <c r="T447" s="52" t="s">
        <v>2</v>
      </c>
      <c r="U447" s="53">
        <v>54.277675000000002</v>
      </c>
      <c r="V447" s="24">
        <v>112695</v>
      </c>
      <c r="W447" s="24">
        <v>153996</v>
      </c>
      <c r="X447" s="24">
        <v>172707</v>
      </c>
      <c r="Y447" s="24">
        <v>155778</v>
      </c>
      <c r="Z447" s="24">
        <v>124096</v>
      </c>
      <c r="AA447" s="24">
        <v>122402</v>
      </c>
      <c r="AB447" s="24">
        <v>143710</v>
      </c>
      <c r="AC447" s="24">
        <v>185401</v>
      </c>
      <c r="AD447" s="24">
        <v>148794</v>
      </c>
      <c r="AE447" s="24">
        <v>143902.25</v>
      </c>
      <c r="AF447" s="24">
        <v>133345.5</v>
      </c>
      <c r="AG447" s="24">
        <v>164242.5</v>
      </c>
      <c r="AH447" s="24">
        <v>123249</v>
      </c>
      <c r="AI447" s="24">
        <v>164555.5</v>
      </c>
      <c r="AJ447" s="32">
        <v>17.138035687502303</v>
      </c>
      <c r="AK447" s="32">
        <v>20.366029644221246</v>
      </c>
      <c r="AL447" s="32">
        <v>21.901164396088056</v>
      </c>
      <c r="AM447" s="32">
        <v>7.2883758459028964</v>
      </c>
      <c r="AN447" s="32">
        <v>0.97188527885014186</v>
      </c>
      <c r="AO447" s="32">
        <v>17.914921600583604</v>
      </c>
      <c r="AP447" s="19">
        <v>0.96712401037676254</v>
      </c>
      <c r="AQ447" s="19">
        <v>0.92428315916172654</v>
      </c>
      <c r="AR447" s="19">
        <v>1.0019057186781741</v>
      </c>
      <c r="AS447" s="19">
        <v>-4.822720240894051E-2</v>
      </c>
      <c r="AT447" s="19">
        <v>-0.11359319807608223</v>
      </c>
      <c r="AU447" s="19">
        <v>2.7467544462108002E-3</v>
      </c>
      <c r="AV447" s="19">
        <v>-0.24591675509504107</v>
      </c>
      <c r="AW447" s="19">
        <v>-0.18141741505923192</v>
      </c>
      <c r="AX447" s="19">
        <v>-0.30100415978958212</v>
      </c>
      <c r="AY447" s="19">
        <v>-1.0339935616017122</v>
      </c>
      <c r="AZ447" s="19">
        <v>-1.0819195287588539</v>
      </c>
      <c r="BA447" s="19">
        <v>1.0019057186781741</v>
      </c>
      <c r="BB447" s="19">
        <v>-1.1858460729667646</v>
      </c>
      <c r="BC447" s="19">
        <v>-1.1339974648859807</v>
      </c>
      <c r="BD447" s="19">
        <v>-1.2320016257281123</v>
      </c>
      <c r="BE447" s="14" t="s">
        <v>4857</v>
      </c>
    </row>
    <row r="448" spans="1:105" s="30" customFormat="1" ht="17.100000000000001" customHeight="1">
      <c r="A448" s="14">
        <v>437</v>
      </c>
      <c r="B448" s="14" t="s">
        <v>2380</v>
      </c>
      <c r="C448" s="32">
        <v>1.3018586438192785</v>
      </c>
      <c r="D448" s="32">
        <v>1.2366357149980907</v>
      </c>
      <c r="E448" s="32">
        <v>1.3386540022837885</v>
      </c>
      <c r="F448" s="24">
        <v>558500</v>
      </c>
      <c r="G448" s="52" t="s">
        <v>2</v>
      </c>
      <c r="H448" s="32">
        <v>27.542430394366264</v>
      </c>
      <c r="I448" s="32">
        <v>33.868734309117997</v>
      </c>
      <c r="J448" s="12" t="s">
        <v>2381</v>
      </c>
      <c r="K448" s="12" t="s">
        <v>2382</v>
      </c>
      <c r="L448" s="14" t="s">
        <v>4201</v>
      </c>
      <c r="M448" s="12" t="s">
        <v>2383</v>
      </c>
      <c r="N448" s="15" t="s">
        <v>2384</v>
      </c>
      <c r="O448" s="12" t="s">
        <v>2385</v>
      </c>
      <c r="P448" s="12" t="s">
        <v>2386</v>
      </c>
      <c r="Q448" s="14">
        <v>3</v>
      </c>
      <c r="R448" s="21">
        <v>383.8886</v>
      </c>
      <c r="S448" s="14">
        <v>1</v>
      </c>
      <c r="T448" s="52" t="s">
        <v>2</v>
      </c>
      <c r="U448" s="53">
        <v>24.32</v>
      </c>
      <c r="V448" s="24">
        <v>208000</v>
      </c>
      <c r="W448" s="24">
        <v>339000</v>
      </c>
      <c r="X448" s="24">
        <v>373000</v>
      </c>
      <c r="Y448" s="24">
        <v>303000</v>
      </c>
      <c r="Z448" s="24">
        <v>361000</v>
      </c>
      <c r="AA448" s="24">
        <v>348000</v>
      </c>
      <c r="AB448" s="24">
        <v>612000</v>
      </c>
      <c r="AC448" s="24">
        <v>505000</v>
      </c>
      <c r="AD448" s="24">
        <v>305750</v>
      </c>
      <c r="AE448" s="24">
        <v>456500</v>
      </c>
      <c r="AF448" s="24">
        <v>273500</v>
      </c>
      <c r="AG448" s="24">
        <v>338000</v>
      </c>
      <c r="AH448" s="24">
        <v>354500</v>
      </c>
      <c r="AI448" s="24">
        <v>558500</v>
      </c>
      <c r="AJ448" s="32">
        <v>23.273543691650527</v>
      </c>
      <c r="AK448" s="32">
        <v>27.542430394366264</v>
      </c>
      <c r="AL448" s="32">
        <v>33.868734309117997</v>
      </c>
      <c r="AM448" s="32">
        <v>14.64422327901134</v>
      </c>
      <c r="AN448" s="32">
        <v>2.5930573075952377</v>
      </c>
      <c r="AO448" s="32">
        <v>13.547077097038601</v>
      </c>
      <c r="AP448" s="19">
        <v>1.4930498773507768</v>
      </c>
      <c r="AQ448" s="19">
        <v>1.2961608775137112</v>
      </c>
      <c r="AR448" s="19">
        <v>1.6523668639053255</v>
      </c>
      <c r="AS448" s="19">
        <v>0.57826236145683529</v>
      </c>
      <c r="AT448" s="19">
        <v>0.37424479444695968</v>
      </c>
      <c r="AU448" s="19">
        <v>0.72453403420113061</v>
      </c>
      <c r="AV448" s="19">
        <v>0.38057280877073474</v>
      </c>
      <c r="AW448" s="19">
        <v>0.30642057746380996</v>
      </c>
      <c r="AX448" s="19">
        <v>0.42078311996533768</v>
      </c>
      <c r="AY448" s="19">
        <v>1.4930498773507768</v>
      </c>
      <c r="AZ448" s="19">
        <v>1.2961608775137112</v>
      </c>
      <c r="BA448" s="19">
        <v>1.6523668639053255</v>
      </c>
      <c r="BB448" s="19">
        <v>1.3018586438192785</v>
      </c>
      <c r="BC448" s="19">
        <v>1.2366357149980907</v>
      </c>
      <c r="BD448" s="19">
        <v>1.3386540022837885</v>
      </c>
      <c r="BE448" s="14" t="s">
        <v>4857</v>
      </c>
    </row>
    <row r="449" spans="1:105" ht="17.100000000000001" customHeight="1">
      <c r="A449" s="14">
        <v>438</v>
      </c>
      <c r="B449" s="14" t="s">
        <v>2387</v>
      </c>
      <c r="C449" s="32">
        <v>-1.0387868788555925</v>
      </c>
      <c r="D449" s="32">
        <v>-1.1893625451161871</v>
      </c>
      <c r="E449" s="32">
        <v>1.0732912157089887</v>
      </c>
      <c r="F449" s="24">
        <v>137767</v>
      </c>
      <c r="G449" s="52" t="s">
        <v>2</v>
      </c>
      <c r="H449" s="32">
        <v>39.259771637424976</v>
      </c>
      <c r="I449" s="32">
        <v>58.272926798904564</v>
      </c>
      <c r="J449" s="12" t="s">
        <v>2381</v>
      </c>
      <c r="K449" s="12" t="s">
        <v>2382</v>
      </c>
      <c r="L449" s="14" t="s">
        <v>3750</v>
      </c>
      <c r="M449" s="12" t="s">
        <v>2383</v>
      </c>
      <c r="N449" s="15" t="s">
        <v>2384</v>
      </c>
      <c r="O449" s="12" t="s">
        <v>2385</v>
      </c>
      <c r="P449" s="12" t="s">
        <v>2388</v>
      </c>
      <c r="Q449" s="14">
        <v>2</v>
      </c>
      <c r="R449" s="21">
        <v>575.32929999999999</v>
      </c>
      <c r="S449" s="14">
        <v>10</v>
      </c>
      <c r="T449" s="52" t="s">
        <v>2</v>
      </c>
      <c r="U449" s="53">
        <v>24.936237500000001</v>
      </c>
      <c r="V449" s="24">
        <v>60591</v>
      </c>
      <c r="W449" s="24">
        <v>145519</v>
      </c>
      <c r="X449" s="24">
        <v>129953</v>
      </c>
      <c r="Y449" s="24">
        <v>78026</v>
      </c>
      <c r="Z449" s="24">
        <v>101052</v>
      </c>
      <c r="AA449" s="24">
        <v>80584</v>
      </c>
      <c r="AB449" s="24">
        <v>124474</v>
      </c>
      <c r="AC449" s="24">
        <v>151060</v>
      </c>
      <c r="AD449" s="24">
        <v>103522.25</v>
      </c>
      <c r="AE449" s="24">
        <v>114292.5</v>
      </c>
      <c r="AF449" s="24">
        <v>103055</v>
      </c>
      <c r="AG449" s="24">
        <v>103989.5</v>
      </c>
      <c r="AH449" s="24">
        <v>90818</v>
      </c>
      <c r="AI449" s="24">
        <v>137767</v>
      </c>
      <c r="AJ449" s="32">
        <v>39.259771637424976</v>
      </c>
      <c r="AK449" s="32">
        <v>26.572532928006432</v>
      </c>
      <c r="AL449" s="32">
        <v>58.272926798904564</v>
      </c>
      <c r="AM449" s="32">
        <v>35.309270480840716</v>
      </c>
      <c r="AN449" s="32">
        <v>15.936335965696507</v>
      </c>
      <c r="AO449" s="32">
        <v>13.645605177310641</v>
      </c>
      <c r="AP449" s="19">
        <v>1.1040380208119511</v>
      </c>
      <c r="AQ449" s="19">
        <v>0.88125758090340112</v>
      </c>
      <c r="AR449" s="19">
        <v>1.3248164478144429</v>
      </c>
      <c r="AS449" s="19">
        <v>0.14278985643885261</v>
      </c>
      <c r="AT449" s="19">
        <v>-0.18236433183926343</v>
      </c>
      <c r="AU449" s="19">
        <v>0.40579248935765722</v>
      </c>
      <c r="AV449" s="19">
        <v>-5.4899696247247942E-2</v>
      </c>
      <c r="AW449" s="19">
        <v>-0.25018854882241315</v>
      </c>
      <c r="AX449" s="19">
        <v>0.10204157512186429</v>
      </c>
      <c r="AY449" s="19">
        <v>1.1040380208119511</v>
      </c>
      <c r="AZ449" s="19">
        <v>-1.1347420114955185</v>
      </c>
      <c r="BA449" s="19">
        <v>1.3248164478144429</v>
      </c>
      <c r="BB449" s="19">
        <v>-1.0387868788555925</v>
      </c>
      <c r="BC449" s="19">
        <v>-1.1893625451161871</v>
      </c>
      <c r="BD449" s="19">
        <v>1.0732912157089887</v>
      </c>
      <c r="BE449" s="14" t="s">
        <v>4857</v>
      </c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s="30" customFormat="1" ht="17.100000000000001" customHeight="1">
      <c r="A450" s="14">
        <v>439</v>
      </c>
      <c r="B450" s="14" t="s">
        <v>2390</v>
      </c>
      <c r="C450" s="32">
        <v>1.1415071001122685</v>
      </c>
      <c r="D450" s="32">
        <v>1.0898501786826535</v>
      </c>
      <c r="E450" s="32">
        <v>1.1689018188687599</v>
      </c>
      <c r="F450" s="24">
        <v>68858.5</v>
      </c>
      <c r="G450" s="52" t="s">
        <v>2</v>
      </c>
      <c r="H450" s="32">
        <v>40.095211104565884</v>
      </c>
      <c r="I450" s="32">
        <v>65.885440097430404</v>
      </c>
      <c r="J450" s="12" t="s">
        <v>2381</v>
      </c>
      <c r="K450" s="12" t="s">
        <v>2382</v>
      </c>
      <c r="L450" s="14" t="s">
        <v>3337</v>
      </c>
      <c r="M450" s="12" t="s">
        <v>2383</v>
      </c>
      <c r="N450" s="15" t="s">
        <v>2384</v>
      </c>
      <c r="O450" s="12" t="s">
        <v>2385</v>
      </c>
      <c r="P450" s="12" t="s">
        <v>2391</v>
      </c>
      <c r="Q450" s="14">
        <v>3</v>
      </c>
      <c r="R450" s="21">
        <v>1026.8330000000001</v>
      </c>
      <c r="S450" s="14">
        <v>3</v>
      </c>
      <c r="T450" s="52" t="s">
        <v>2</v>
      </c>
      <c r="U450" s="53">
        <v>80.207349999999991</v>
      </c>
      <c r="V450" s="24">
        <v>20425</v>
      </c>
      <c r="W450" s="24">
        <v>56056</v>
      </c>
      <c r="X450" s="24">
        <v>56843</v>
      </c>
      <c r="Y450" s="24">
        <v>38606</v>
      </c>
      <c r="Z450" s="24">
        <v>46950</v>
      </c>
      <c r="AA450" s="24">
        <v>40415</v>
      </c>
      <c r="AB450" s="24">
        <v>56764</v>
      </c>
      <c r="AC450" s="24">
        <v>80953</v>
      </c>
      <c r="AD450" s="24">
        <v>42982.5</v>
      </c>
      <c r="AE450" s="24">
        <v>56270.5</v>
      </c>
      <c r="AF450" s="24">
        <v>38240.5</v>
      </c>
      <c r="AG450" s="24">
        <v>47724.5</v>
      </c>
      <c r="AH450" s="24">
        <v>43682.5</v>
      </c>
      <c r="AI450" s="24">
        <v>68858.5</v>
      </c>
      <c r="AJ450" s="32">
        <v>40.095211104565884</v>
      </c>
      <c r="AK450" s="32">
        <v>31.586589322539748</v>
      </c>
      <c r="AL450" s="32">
        <v>65.885440097430404</v>
      </c>
      <c r="AM450" s="32">
        <v>27.020725976173804</v>
      </c>
      <c r="AN450" s="32">
        <v>10.57847608322346</v>
      </c>
      <c r="AO450" s="32">
        <v>24.839643515501209</v>
      </c>
      <c r="AP450" s="19">
        <v>1.3091490722968651</v>
      </c>
      <c r="AQ450" s="19">
        <v>1.1423098547351629</v>
      </c>
      <c r="AR450" s="19">
        <v>1.4428333455562656</v>
      </c>
      <c r="AS450" s="19">
        <v>0.38862938576155187</v>
      </c>
      <c r="AT450" s="19">
        <v>0.19195403884070578</v>
      </c>
      <c r="AU450" s="19">
        <v>0.52890467098330118</v>
      </c>
      <c r="AV450" s="19">
        <v>0.19093983307545132</v>
      </c>
      <c r="AW450" s="19">
        <v>0.12412982185755607</v>
      </c>
      <c r="AX450" s="19">
        <v>0.22515375674750826</v>
      </c>
      <c r="AY450" s="19">
        <v>1.3091490722968651</v>
      </c>
      <c r="AZ450" s="19">
        <v>1.1423098547351629</v>
      </c>
      <c r="BA450" s="19">
        <v>1.4428333455562656</v>
      </c>
      <c r="BB450" s="19">
        <v>1.1415071001122685</v>
      </c>
      <c r="BC450" s="19">
        <v>1.0898501786826535</v>
      </c>
      <c r="BD450" s="19">
        <v>1.1689018188687599</v>
      </c>
      <c r="BE450" s="14" t="s">
        <v>4857</v>
      </c>
    </row>
    <row r="451" spans="1:105" s="30" customFormat="1" ht="17.100000000000001" customHeight="1">
      <c r="A451" s="14">
        <v>440</v>
      </c>
      <c r="B451" s="14" t="s">
        <v>2392</v>
      </c>
      <c r="C451" s="32">
        <v>1.2843127954094606</v>
      </c>
      <c r="D451" s="32">
        <v>1.2764936693434421</v>
      </c>
      <c r="E451" s="32">
        <v>1.286213479928529</v>
      </c>
      <c r="F451" s="24">
        <v>101450</v>
      </c>
      <c r="G451" s="52" t="s">
        <v>2</v>
      </c>
      <c r="H451" s="32">
        <v>21.012982702097897</v>
      </c>
      <c r="I451" s="32">
        <v>11.918704739566254</v>
      </c>
      <c r="J451" s="12" t="s">
        <v>2393</v>
      </c>
      <c r="K451" s="12" t="s">
        <v>2394</v>
      </c>
      <c r="L451" s="14" t="s">
        <v>2395</v>
      </c>
      <c r="M451" s="12" t="s">
        <v>2396</v>
      </c>
      <c r="N451" s="15" t="s">
        <v>2397</v>
      </c>
      <c r="O451" s="12" t="s">
        <v>2398</v>
      </c>
      <c r="P451" s="12" t="s">
        <v>2276</v>
      </c>
      <c r="Q451" s="14">
        <v>2</v>
      </c>
      <c r="R451" s="21">
        <v>626.34190000000001</v>
      </c>
      <c r="S451" s="14">
        <v>2</v>
      </c>
      <c r="T451" s="52" t="s">
        <v>2</v>
      </c>
      <c r="U451" s="53">
        <v>50.765000000000001</v>
      </c>
      <c r="V451" s="24">
        <v>58000</v>
      </c>
      <c r="W451" s="24">
        <v>50600</v>
      </c>
      <c r="X451" s="24">
        <v>65600</v>
      </c>
      <c r="Y451" s="24">
        <v>62200</v>
      </c>
      <c r="Z451" s="24">
        <v>76400</v>
      </c>
      <c r="AA451" s="24">
        <v>68900</v>
      </c>
      <c r="AB451" s="24">
        <v>92900</v>
      </c>
      <c r="AC451" s="24">
        <v>110000</v>
      </c>
      <c r="AD451" s="24">
        <v>59100</v>
      </c>
      <c r="AE451" s="24">
        <v>87050</v>
      </c>
      <c r="AF451" s="24">
        <v>54300</v>
      </c>
      <c r="AG451" s="24">
        <v>63900</v>
      </c>
      <c r="AH451" s="24">
        <v>72650</v>
      </c>
      <c r="AI451" s="24">
        <v>101450</v>
      </c>
      <c r="AJ451" s="32">
        <v>10.936090231802698</v>
      </c>
      <c r="AK451" s="32">
        <v>21.012982702097897</v>
      </c>
      <c r="AL451" s="32">
        <v>9.6364460051205381</v>
      </c>
      <c r="AM451" s="32">
        <v>3.7623834992711451</v>
      </c>
      <c r="AN451" s="32">
        <v>7.2997947128686942</v>
      </c>
      <c r="AO451" s="32">
        <v>11.918704739566254</v>
      </c>
      <c r="AP451" s="19">
        <v>1.472927241962775</v>
      </c>
      <c r="AQ451" s="19">
        <v>1.3379373848987108</v>
      </c>
      <c r="AR451" s="19">
        <v>1.5876369327073552</v>
      </c>
      <c r="AS451" s="19">
        <v>0.5586861674735687</v>
      </c>
      <c r="AT451" s="19">
        <v>0.42001059982847966</v>
      </c>
      <c r="AU451" s="19">
        <v>0.66688102880966449</v>
      </c>
      <c r="AV451" s="19">
        <v>0.36099661478746814</v>
      </c>
      <c r="AW451" s="19">
        <v>0.35218638284532994</v>
      </c>
      <c r="AX451" s="19">
        <v>0.36313011457387157</v>
      </c>
      <c r="AY451" s="19">
        <v>1.472927241962775</v>
      </c>
      <c r="AZ451" s="19">
        <v>1.3379373848987108</v>
      </c>
      <c r="BA451" s="19">
        <v>1.5876369327073552</v>
      </c>
      <c r="BB451" s="19">
        <v>1.2843127954094606</v>
      </c>
      <c r="BC451" s="19">
        <v>1.2764936693434421</v>
      </c>
      <c r="BD451" s="19">
        <v>1.286213479928529</v>
      </c>
      <c r="BE451" s="14" t="s">
        <v>4857</v>
      </c>
    </row>
    <row r="452" spans="1:105" s="30" customFormat="1" ht="17.100000000000001" customHeight="1">
      <c r="A452" s="14">
        <v>441</v>
      </c>
      <c r="B452" s="14" t="s">
        <v>2277</v>
      </c>
      <c r="C452" s="32">
        <v>-1.0813355631757509</v>
      </c>
      <c r="D452" s="32">
        <v>-1.200558844130827</v>
      </c>
      <c r="E452" s="32">
        <v>1.0515007184727372</v>
      </c>
      <c r="F452" s="24">
        <v>50216.5</v>
      </c>
      <c r="G452" s="52" t="s">
        <v>2</v>
      </c>
      <c r="H452" s="32">
        <v>37.443694314377481</v>
      </c>
      <c r="I452" s="32">
        <v>54.132175719645048</v>
      </c>
      <c r="J452" s="12" t="s">
        <v>2278</v>
      </c>
      <c r="K452" s="15" t="s">
        <v>2279</v>
      </c>
      <c r="L452" s="14" t="s">
        <v>3812</v>
      </c>
      <c r="M452" s="12" t="s">
        <v>2280</v>
      </c>
      <c r="N452" s="15" t="s">
        <v>2281</v>
      </c>
      <c r="O452" s="12" t="s">
        <v>2282</v>
      </c>
      <c r="P452" s="12" t="s">
        <v>2283</v>
      </c>
      <c r="Q452" s="14">
        <v>2</v>
      </c>
      <c r="R452" s="21">
        <v>665.31640000000004</v>
      </c>
      <c r="S452" s="14">
        <v>3</v>
      </c>
      <c r="T452" s="52" t="s">
        <v>2</v>
      </c>
      <c r="U452" s="53">
        <v>45.530787500000002</v>
      </c>
      <c r="V452" s="24">
        <v>30217</v>
      </c>
      <c r="W452" s="24">
        <v>67695</v>
      </c>
      <c r="X452" s="24">
        <v>38503</v>
      </c>
      <c r="Y452" s="24">
        <v>38877</v>
      </c>
      <c r="Z452" s="24">
        <v>48034</v>
      </c>
      <c r="AA452" s="24">
        <v>37447</v>
      </c>
      <c r="AB452" s="24">
        <v>47040</v>
      </c>
      <c r="AC452" s="24">
        <v>53393</v>
      </c>
      <c r="AD452" s="24">
        <v>43823</v>
      </c>
      <c r="AE452" s="24">
        <v>46478.5</v>
      </c>
      <c r="AF452" s="24">
        <v>48956</v>
      </c>
      <c r="AG452" s="24">
        <v>38690</v>
      </c>
      <c r="AH452" s="24">
        <v>42740.5</v>
      </c>
      <c r="AI452" s="24">
        <v>50216.5</v>
      </c>
      <c r="AJ452" s="32">
        <v>37.443694314377481</v>
      </c>
      <c r="AK452" s="32">
        <v>14.277767890888343</v>
      </c>
      <c r="AL452" s="32">
        <v>54.132175719645048</v>
      </c>
      <c r="AM452" s="32">
        <v>0.68353046307513243</v>
      </c>
      <c r="AN452" s="32">
        <v>17.515329704664147</v>
      </c>
      <c r="AO452" s="32">
        <v>8.9457636053451282</v>
      </c>
      <c r="AP452" s="19">
        <v>1.060596034046049</v>
      </c>
      <c r="AQ452" s="19">
        <v>0.87303905547838878</v>
      </c>
      <c r="AR452" s="19">
        <v>1.2979193590074956</v>
      </c>
      <c r="AS452" s="19">
        <v>8.4875258840405282E-2</v>
      </c>
      <c r="AT452" s="19">
        <v>-0.19588190050037926</v>
      </c>
      <c r="AU452" s="19">
        <v>0.37620075007505338</v>
      </c>
      <c r="AV452" s="19">
        <v>-0.11281429384569527</v>
      </c>
      <c r="AW452" s="19">
        <v>-0.26370611748352896</v>
      </c>
      <c r="AX452" s="19">
        <v>7.2449835839260457E-2</v>
      </c>
      <c r="AY452" s="19">
        <v>1.060596034046049</v>
      </c>
      <c r="AZ452" s="19">
        <v>-1.1454241293386833</v>
      </c>
      <c r="BA452" s="19">
        <v>1.2979193590074956</v>
      </c>
      <c r="BB452" s="19">
        <v>-1.0813355631757509</v>
      </c>
      <c r="BC452" s="19">
        <v>-1.200558844130827</v>
      </c>
      <c r="BD452" s="19">
        <v>1.0515007184727372</v>
      </c>
      <c r="BE452" s="14" t="s">
        <v>4857</v>
      </c>
    </row>
    <row r="453" spans="1:105" s="30" customFormat="1" ht="17.100000000000001" customHeight="1">
      <c r="A453" s="14">
        <v>442</v>
      </c>
      <c r="B453" s="14" t="s">
        <v>4640</v>
      </c>
      <c r="C453" s="32">
        <v>-1.2218219696719375</v>
      </c>
      <c r="D453" s="32">
        <v>-1.3038022273445482</v>
      </c>
      <c r="E453" s="32">
        <v>-1.1024695866435112</v>
      </c>
      <c r="F453" s="42">
        <v>64000</v>
      </c>
      <c r="G453" s="52" t="s">
        <v>2</v>
      </c>
      <c r="H453" s="32">
        <v>34.491162195605391</v>
      </c>
      <c r="I453" s="32">
        <v>45.216351994241812</v>
      </c>
      <c r="J453" s="12" t="s">
        <v>2278</v>
      </c>
      <c r="K453" s="15" t="s">
        <v>2279</v>
      </c>
      <c r="L453" s="14" t="s">
        <v>5074</v>
      </c>
      <c r="M453" s="12" t="s">
        <v>2280</v>
      </c>
      <c r="N453" s="15" t="s">
        <v>2281</v>
      </c>
      <c r="O453" s="12" t="s">
        <v>2282</v>
      </c>
      <c r="P453" s="12" t="s">
        <v>2284</v>
      </c>
      <c r="Q453" s="14">
        <v>2</v>
      </c>
      <c r="R453" s="21">
        <v>730.89250000000004</v>
      </c>
      <c r="S453" s="14">
        <v>1</v>
      </c>
      <c r="T453" s="52" t="s">
        <v>2</v>
      </c>
      <c r="U453" s="53">
        <v>55.8</v>
      </c>
      <c r="V453" s="42">
        <v>50300</v>
      </c>
      <c r="W453" s="42">
        <v>77700</v>
      </c>
      <c r="X453" s="42">
        <v>60200</v>
      </c>
      <c r="Y453" s="42">
        <v>35100</v>
      </c>
      <c r="Z453" s="42">
        <v>67900</v>
      </c>
      <c r="AA453" s="42">
        <v>35000</v>
      </c>
      <c r="AB453" s="42">
        <v>38600</v>
      </c>
      <c r="AC453" s="42">
        <v>68100</v>
      </c>
      <c r="AD453" s="42">
        <v>55825</v>
      </c>
      <c r="AE453" s="42">
        <v>52400</v>
      </c>
      <c r="AF453" s="42">
        <v>64000</v>
      </c>
      <c r="AG453" s="42">
        <v>47650</v>
      </c>
      <c r="AH453" s="42">
        <v>51450</v>
      </c>
      <c r="AI453" s="42">
        <v>53350</v>
      </c>
      <c r="AJ453" s="32">
        <v>32.005681944633295</v>
      </c>
      <c r="AK453" s="32">
        <v>34.491162195605391</v>
      </c>
      <c r="AL453" s="32">
        <v>30.273009069549069</v>
      </c>
      <c r="AM453" s="32">
        <v>37.247387634380566</v>
      </c>
      <c r="AN453" s="32">
        <v>45.216351994241812</v>
      </c>
      <c r="AO453" s="32">
        <v>39.09962520150544</v>
      </c>
      <c r="AP453" s="19">
        <v>0.93864755933721455</v>
      </c>
      <c r="AQ453" s="19">
        <v>0.80390625000000004</v>
      </c>
      <c r="AR453" s="19">
        <v>1.1196222455403988</v>
      </c>
      <c r="AS453" s="19">
        <v>-9.1344534285023135E-2</v>
      </c>
      <c r="AT453" s="19">
        <v>-0.31490082799339375</v>
      </c>
      <c r="AU453" s="19">
        <v>0.16301205691448312</v>
      </c>
      <c r="AV453" s="19">
        <v>-0.2890340869711237</v>
      </c>
      <c r="AW453" s="19">
        <v>-0.38272504497654347</v>
      </c>
      <c r="AX453" s="19">
        <v>-0.14073885732130981</v>
      </c>
      <c r="AY453" s="19">
        <v>-1.0653625954198473</v>
      </c>
      <c r="AZ453" s="19">
        <v>-1.2439261418853256</v>
      </c>
      <c r="BA453" s="19">
        <v>1.1196222455403988</v>
      </c>
      <c r="BB453" s="19">
        <v>-1.2218219696719375</v>
      </c>
      <c r="BC453" s="19">
        <v>-1.3038022273445482</v>
      </c>
      <c r="BD453" s="19">
        <v>-1.1024695866435112</v>
      </c>
      <c r="BE453" s="14" t="s">
        <v>4857</v>
      </c>
    </row>
    <row r="454" spans="1:105" s="30" customFormat="1" ht="17.100000000000001" customHeight="1">
      <c r="A454" s="14">
        <v>443</v>
      </c>
      <c r="B454" s="14" t="s">
        <v>2285</v>
      </c>
      <c r="C454" s="32">
        <v>-1.3506969539658678</v>
      </c>
      <c r="D454" s="32">
        <v>-1.7443189427081005</v>
      </c>
      <c r="E454" s="32">
        <v>-1.1267379630700864</v>
      </c>
      <c r="F454" s="24">
        <v>60982.5</v>
      </c>
      <c r="G454" s="52" t="s">
        <v>2</v>
      </c>
      <c r="H454" s="32">
        <v>44.955221821326475</v>
      </c>
      <c r="I454" s="32">
        <v>37.464937636380149</v>
      </c>
      <c r="J454" s="12" t="s">
        <v>2278</v>
      </c>
      <c r="K454" s="15" t="s">
        <v>2279</v>
      </c>
      <c r="L454" s="14" t="s">
        <v>4697</v>
      </c>
      <c r="M454" s="12" t="s">
        <v>2280</v>
      </c>
      <c r="N454" s="15" t="s">
        <v>2281</v>
      </c>
      <c r="O454" s="12" t="s">
        <v>2282</v>
      </c>
      <c r="P454" s="12" t="s">
        <v>2286</v>
      </c>
      <c r="Q454" s="14">
        <v>2</v>
      </c>
      <c r="R454" s="21">
        <v>663.34040000000005</v>
      </c>
      <c r="S454" s="14">
        <v>2</v>
      </c>
      <c r="T454" s="52" t="s">
        <v>2</v>
      </c>
      <c r="U454" s="53">
        <v>53.954175000000006</v>
      </c>
      <c r="V454" s="24">
        <v>56083</v>
      </c>
      <c r="W454" s="24">
        <v>54449</v>
      </c>
      <c r="X454" s="24">
        <v>63969</v>
      </c>
      <c r="Y454" s="24">
        <v>47363</v>
      </c>
      <c r="Z454" s="24">
        <v>42006</v>
      </c>
      <c r="AA454" s="24">
        <v>24411</v>
      </c>
      <c r="AB454" s="24">
        <v>46516</v>
      </c>
      <c r="AC454" s="24">
        <v>75449</v>
      </c>
      <c r="AD454" s="24">
        <v>55466</v>
      </c>
      <c r="AE454" s="24">
        <v>47095.5</v>
      </c>
      <c r="AF454" s="24">
        <v>55266</v>
      </c>
      <c r="AG454" s="24">
        <v>55666</v>
      </c>
      <c r="AH454" s="24">
        <v>33208.5</v>
      </c>
      <c r="AI454" s="24">
        <v>60982.5</v>
      </c>
      <c r="AJ454" s="32">
        <v>12.288654557542197</v>
      </c>
      <c r="AK454" s="32">
        <v>44.955221821326475</v>
      </c>
      <c r="AL454" s="32">
        <v>2.0906388746404998</v>
      </c>
      <c r="AM454" s="32">
        <v>21.094052398921797</v>
      </c>
      <c r="AN454" s="32">
        <v>37.464937636380149</v>
      </c>
      <c r="AO454" s="32">
        <v>33.548510638413283</v>
      </c>
      <c r="AP454" s="19">
        <v>0.8490877294198248</v>
      </c>
      <c r="AQ454" s="19">
        <v>0.60088481163825858</v>
      </c>
      <c r="AR454" s="19">
        <v>1.095507131821938</v>
      </c>
      <c r="AS454" s="19">
        <v>-0.23601447130913056</v>
      </c>
      <c r="AT454" s="19">
        <v>-0.73483963906833072</v>
      </c>
      <c r="AU454" s="19">
        <v>0.13159887639627896</v>
      </c>
      <c r="AV454" s="19">
        <v>-0.43370402399523111</v>
      </c>
      <c r="AW454" s="19">
        <v>-0.80266385605148038</v>
      </c>
      <c r="AX454" s="19">
        <v>-0.17215203783951397</v>
      </c>
      <c r="AY454" s="19">
        <v>-1.1777346030937137</v>
      </c>
      <c r="AZ454" s="19">
        <v>-1.6642124757215775</v>
      </c>
      <c r="BA454" s="19">
        <v>1.095507131821938</v>
      </c>
      <c r="BB454" s="19">
        <v>-1.3506969539658678</v>
      </c>
      <c r="BC454" s="19">
        <v>-1.7443189427081005</v>
      </c>
      <c r="BD454" s="19">
        <v>-1.1267379630700864</v>
      </c>
      <c r="BE454" s="14" t="s">
        <v>4857</v>
      </c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28"/>
      <c r="BU454" s="28"/>
      <c r="BV454" s="28"/>
      <c r="BW454" s="28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</row>
    <row r="455" spans="1:105" s="30" customFormat="1" ht="17.100000000000001" customHeight="1">
      <c r="A455" s="14">
        <v>444</v>
      </c>
      <c r="B455" s="14" t="s">
        <v>2287</v>
      </c>
      <c r="C455" s="32">
        <v>-1.2170034985480813</v>
      </c>
      <c r="D455" s="32">
        <v>-1.3376960929961337</v>
      </c>
      <c r="E455" s="32">
        <v>-1.1275706944664059</v>
      </c>
      <c r="F455" s="24">
        <v>132586</v>
      </c>
      <c r="G455" s="52" t="s">
        <v>2</v>
      </c>
      <c r="H455" s="32">
        <v>22.018766266598114</v>
      </c>
      <c r="I455" s="32">
        <v>14.961648892981264</v>
      </c>
      <c r="J455" s="12" t="s">
        <v>2278</v>
      </c>
      <c r="K455" s="15" t="s">
        <v>2279</v>
      </c>
      <c r="L455" s="14" t="s">
        <v>4528</v>
      </c>
      <c r="M455" s="12" t="s">
        <v>2280</v>
      </c>
      <c r="N455" s="15" t="s">
        <v>2281</v>
      </c>
      <c r="O455" s="12" t="s">
        <v>2282</v>
      </c>
      <c r="P455" s="12" t="s">
        <v>2288</v>
      </c>
      <c r="Q455" s="14">
        <v>2</v>
      </c>
      <c r="R455" s="21">
        <v>543.26670000000001</v>
      </c>
      <c r="S455" s="14">
        <v>1</v>
      </c>
      <c r="T455" s="52" t="s">
        <v>2</v>
      </c>
      <c r="U455" s="53">
        <v>42.955312499999998</v>
      </c>
      <c r="V455" s="24">
        <v>120534</v>
      </c>
      <c r="W455" s="24">
        <v>111797</v>
      </c>
      <c r="X455" s="24">
        <v>133930</v>
      </c>
      <c r="Y455" s="24">
        <v>108303</v>
      </c>
      <c r="Z455" s="24">
        <v>89317</v>
      </c>
      <c r="AA455" s="24">
        <v>92723</v>
      </c>
      <c r="AB455" s="24">
        <v>139088</v>
      </c>
      <c r="AC455" s="24">
        <v>126084</v>
      </c>
      <c r="AD455" s="24">
        <v>118641</v>
      </c>
      <c r="AE455" s="24">
        <v>111803</v>
      </c>
      <c r="AF455" s="24">
        <v>116165.5</v>
      </c>
      <c r="AG455" s="24">
        <v>121116.5</v>
      </c>
      <c r="AH455" s="24">
        <v>91020</v>
      </c>
      <c r="AI455" s="24">
        <v>132586</v>
      </c>
      <c r="AJ455" s="32">
        <v>9.6232458225673341</v>
      </c>
      <c r="AK455" s="32">
        <v>22.018766266598114</v>
      </c>
      <c r="AL455" s="32">
        <v>5.318267426410479</v>
      </c>
      <c r="AM455" s="32">
        <v>14.961648892981264</v>
      </c>
      <c r="AN455" s="32">
        <v>2.6460181242818952</v>
      </c>
      <c r="AO455" s="32">
        <v>6.9352847076990507</v>
      </c>
      <c r="AP455" s="19">
        <v>0.94236393826754661</v>
      </c>
      <c r="AQ455" s="19">
        <v>0.78353728086221808</v>
      </c>
      <c r="AR455" s="19">
        <v>1.0946980799478188</v>
      </c>
      <c r="AS455" s="19">
        <v>-8.5643762720275587E-2</v>
      </c>
      <c r="AT455" s="19">
        <v>-0.35192617483472283</v>
      </c>
      <c r="AU455" s="19">
        <v>0.1305330263348953</v>
      </c>
      <c r="AV455" s="19">
        <v>-0.28333331540637613</v>
      </c>
      <c r="AW455" s="19">
        <v>-0.41975039181787255</v>
      </c>
      <c r="AX455" s="19">
        <v>-0.17321788790089762</v>
      </c>
      <c r="AY455" s="19">
        <v>-1.0611611495219271</v>
      </c>
      <c r="AZ455" s="19">
        <v>-1.2762634585805319</v>
      </c>
      <c r="BA455" s="19">
        <v>1.0946980799478188</v>
      </c>
      <c r="BB455" s="19">
        <v>-1.2170034985480813</v>
      </c>
      <c r="BC455" s="19">
        <v>-1.3376960929961337</v>
      </c>
      <c r="BD455" s="19">
        <v>-1.1275706944664059</v>
      </c>
      <c r="BE455" s="14" t="s">
        <v>4857</v>
      </c>
    </row>
    <row r="456" spans="1:105" s="30" customFormat="1" ht="17.100000000000001" customHeight="1">
      <c r="A456" s="14">
        <v>445</v>
      </c>
      <c r="B456" s="14" t="s">
        <v>2295</v>
      </c>
      <c r="C456" s="32">
        <v>1.0606590321873832</v>
      </c>
      <c r="D456" s="32">
        <v>-1.208949659222823</v>
      </c>
      <c r="E456" s="32">
        <v>1.1876067664019441</v>
      </c>
      <c r="F456" s="24">
        <v>65600</v>
      </c>
      <c r="G456" s="52" t="s">
        <v>2</v>
      </c>
      <c r="H456" s="32">
        <v>50.274084720361458</v>
      </c>
      <c r="I456" s="32">
        <v>21.953495733589563</v>
      </c>
      <c r="J456" s="12" t="s">
        <v>2290</v>
      </c>
      <c r="K456" s="15" t="s">
        <v>2291</v>
      </c>
      <c r="L456" s="14" t="s">
        <v>5127</v>
      </c>
      <c r="M456" s="12" t="s">
        <v>2280</v>
      </c>
      <c r="N456" s="15" t="s">
        <v>2292</v>
      </c>
      <c r="O456" s="12" t="s">
        <v>2282</v>
      </c>
      <c r="P456" s="12" t="s">
        <v>2296</v>
      </c>
      <c r="Q456" s="14">
        <v>2</v>
      </c>
      <c r="R456" s="21">
        <v>718.88189999999997</v>
      </c>
      <c r="S456" s="14">
        <v>3</v>
      </c>
      <c r="T456" s="52" t="s">
        <v>2</v>
      </c>
      <c r="U456" s="53">
        <v>50.712857142857146</v>
      </c>
      <c r="V456" s="24">
        <v>34600</v>
      </c>
      <c r="W456" s="24">
        <v>29300</v>
      </c>
      <c r="X456" s="24">
        <v>45800</v>
      </c>
      <c r="Y456" s="24">
        <v>43700</v>
      </c>
      <c r="Z456" s="24">
        <v>32000</v>
      </c>
      <c r="AA456" s="24">
        <v>23400</v>
      </c>
      <c r="AB456" s="24">
        <v>56200</v>
      </c>
      <c r="AC456" s="24">
        <v>75000</v>
      </c>
      <c r="AD456" s="24">
        <v>38350</v>
      </c>
      <c r="AE456" s="24">
        <v>46650</v>
      </c>
      <c r="AF456" s="24">
        <v>31950</v>
      </c>
      <c r="AG456" s="24">
        <v>44750</v>
      </c>
      <c r="AH456" s="24">
        <v>27700</v>
      </c>
      <c r="AI456" s="24">
        <v>65600</v>
      </c>
      <c r="AJ456" s="32">
        <v>20.203136745989504</v>
      </c>
      <c r="AK456" s="32">
        <v>50.274084720361458</v>
      </c>
      <c r="AL456" s="32">
        <v>11.729783850668863</v>
      </c>
      <c r="AM456" s="32">
        <v>3.3182664591994406</v>
      </c>
      <c r="AN456" s="32">
        <v>21.953495733589563</v>
      </c>
      <c r="AO456" s="32">
        <v>20.26464555839496</v>
      </c>
      <c r="AP456" s="19">
        <v>1.2164276401564538</v>
      </c>
      <c r="AQ456" s="19">
        <v>0.86697965571205005</v>
      </c>
      <c r="AR456" s="19">
        <v>1.4659217877094972</v>
      </c>
      <c r="AS456" s="19">
        <v>0.28265050334882535</v>
      </c>
      <c r="AT456" s="19">
        <v>-0.20592995489780616</v>
      </c>
      <c r="AU456" s="19">
        <v>0.55180813246646498</v>
      </c>
      <c r="AV456" s="19">
        <v>8.4960950662724799E-2</v>
      </c>
      <c r="AW456" s="19">
        <v>-0.27375417188095585</v>
      </c>
      <c r="AX456" s="19">
        <v>0.24805721823067206</v>
      </c>
      <c r="AY456" s="19">
        <v>1.2164276401564538</v>
      </c>
      <c r="AZ456" s="19">
        <v>-1.1534296028880866</v>
      </c>
      <c r="BA456" s="19">
        <v>1.4659217877094972</v>
      </c>
      <c r="BB456" s="19">
        <v>1.0606590321873832</v>
      </c>
      <c r="BC456" s="19">
        <v>-1.208949659222823</v>
      </c>
      <c r="BD456" s="19">
        <v>1.1876067664019441</v>
      </c>
      <c r="BE456" s="14" t="s">
        <v>4857</v>
      </c>
    </row>
    <row r="457" spans="1:105" s="30" customFormat="1" ht="17.100000000000001" customHeight="1">
      <c r="A457" s="14">
        <v>446</v>
      </c>
      <c r="B457" s="14" t="s">
        <v>2298</v>
      </c>
      <c r="C457" s="32">
        <v>-1.2168004027503951</v>
      </c>
      <c r="D457" s="32">
        <v>-1.0437015609483886</v>
      </c>
      <c r="E457" s="32">
        <v>-1.4178474058263637</v>
      </c>
      <c r="F457" s="24">
        <v>82750</v>
      </c>
      <c r="G457" s="52" t="s">
        <v>2</v>
      </c>
      <c r="H457" s="32">
        <v>23.562496948025817</v>
      </c>
      <c r="I457" s="32">
        <v>28.49022467887546</v>
      </c>
      <c r="J457" s="12" t="s">
        <v>2290</v>
      </c>
      <c r="K457" s="15" t="s">
        <v>2291</v>
      </c>
      <c r="L457" s="14" t="s">
        <v>5030</v>
      </c>
      <c r="M457" s="12" t="s">
        <v>2280</v>
      </c>
      <c r="N457" s="15" t="s">
        <v>2292</v>
      </c>
      <c r="O457" s="12" t="s">
        <v>2282</v>
      </c>
      <c r="P457" s="12" t="s">
        <v>2299</v>
      </c>
      <c r="Q457" s="14">
        <v>2</v>
      </c>
      <c r="R457" s="21">
        <v>518.27710000000002</v>
      </c>
      <c r="S457" s="14">
        <v>4</v>
      </c>
      <c r="T457" s="52" t="s">
        <v>2</v>
      </c>
      <c r="U457" s="53">
        <v>27.467500000000001</v>
      </c>
      <c r="V457" s="24">
        <v>65800</v>
      </c>
      <c r="W457" s="24">
        <v>99000</v>
      </c>
      <c r="X457" s="24">
        <v>82700</v>
      </c>
      <c r="Y457" s="24">
        <v>58700</v>
      </c>
      <c r="Z457" s="24">
        <v>80400</v>
      </c>
      <c r="AA457" s="24">
        <v>85100</v>
      </c>
      <c r="AB457" s="24">
        <v>64400</v>
      </c>
      <c r="AC457" s="24">
        <v>58700</v>
      </c>
      <c r="AD457" s="24">
        <v>76550</v>
      </c>
      <c r="AE457" s="24">
        <v>72150</v>
      </c>
      <c r="AF457" s="24">
        <v>82400</v>
      </c>
      <c r="AG457" s="24">
        <v>70700</v>
      </c>
      <c r="AH457" s="24">
        <v>82750</v>
      </c>
      <c r="AI457" s="24">
        <v>61550</v>
      </c>
      <c r="AJ457" s="32">
        <v>23.562496948025817</v>
      </c>
      <c r="AK457" s="32">
        <v>17.471865524089424</v>
      </c>
      <c r="AL457" s="32">
        <v>28.49022467887546</v>
      </c>
      <c r="AM457" s="32">
        <v>24.003624821042628</v>
      </c>
      <c r="AN457" s="32">
        <v>4.0161956151985176</v>
      </c>
      <c r="AO457" s="32">
        <v>6.5483487453506433</v>
      </c>
      <c r="AP457" s="19">
        <v>0.94252122795558457</v>
      </c>
      <c r="AQ457" s="19">
        <v>1.004247572815534</v>
      </c>
      <c r="AR457" s="19">
        <v>0.87057991513437061</v>
      </c>
      <c r="AS457" s="19">
        <v>-8.5402983008589742E-2</v>
      </c>
      <c r="AT457" s="19">
        <v>6.1149745113617026E-3</v>
      </c>
      <c r="AU457" s="19">
        <v>-0.19995135832494146</v>
      </c>
      <c r="AV457" s="19">
        <v>-0.28309253569469028</v>
      </c>
      <c r="AW457" s="19">
        <v>-6.1709242471788002E-2</v>
      </c>
      <c r="AX457" s="19">
        <v>-0.50370227256073441</v>
      </c>
      <c r="AY457" s="19">
        <v>-1.0609840609840611</v>
      </c>
      <c r="AZ457" s="19">
        <v>1.004247572815534</v>
      </c>
      <c r="BA457" s="19">
        <v>-1.148659626320065</v>
      </c>
      <c r="BB457" s="19">
        <v>-1.2168004027503951</v>
      </c>
      <c r="BC457" s="19">
        <v>-1.0437015609483886</v>
      </c>
      <c r="BD457" s="19">
        <v>-1.4178474058263637</v>
      </c>
      <c r="BE457" s="14" t="s">
        <v>4857</v>
      </c>
    </row>
    <row r="458" spans="1:105" s="30" customFormat="1" ht="17.100000000000001" customHeight="1">
      <c r="A458" s="14">
        <v>447</v>
      </c>
      <c r="B458" s="14" t="s">
        <v>2300</v>
      </c>
      <c r="C458" s="32">
        <v>1.0646894879545903</v>
      </c>
      <c r="D458" s="32">
        <v>1.2186636789355998</v>
      </c>
      <c r="E458" s="32">
        <v>-1.0466961731630184</v>
      </c>
      <c r="F458" s="24">
        <v>235048.5</v>
      </c>
      <c r="G458" s="52" t="s">
        <v>2</v>
      </c>
      <c r="H458" s="32">
        <v>21.903958929024199</v>
      </c>
      <c r="I458" s="32">
        <v>24.252969745596452</v>
      </c>
      <c r="J458" s="12" t="s">
        <v>2301</v>
      </c>
      <c r="K458" s="12" t="s">
        <v>2302</v>
      </c>
      <c r="L458" s="14" t="s">
        <v>3312</v>
      </c>
      <c r="M458" s="12" t="s">
        <v>2303</v>
      </c>
      <c r="N458" s="15" t="s">
        <v>2304</v>
      </c>
      <c r="O458" s="12" t="s">
        <v>2305</v>
      </c>
      <c r="P458" s="12" t="s">
        <v>2306</v>
      </c>
      <c r="Q458" s="14">
        <v>2</v>
      </c>
      <c r="R458" s="21">
        <v>741.88300000000004</v>
      </c>
      <c r="S458" s="14">
        <v>6</v>
      </c>
      <c r="T458" s="52" t="s">
        <v>2</v>
      </c>
      <c r="U458" s="53">
        <v>67.748850000000004</v>
      </c>
      <c r="V458" s="24">
        <v>139386</v>
      </c>
      <c r="W458" s="24">
        <v>156492</v>
      </c>
      <c r="X458" s="24">
        <v>175202</v>
      </c>
      <c r="Y458" s="24">
        <v>223428</v>
      </c>
      <c r="Z458" s="24">
        <v>212377</v>
      </c>
      <c r="AA458" s="24">
        <v>165555</v>
      </c>
      <c r="AB458" s="24">
        <v>275358</v>
      </c>
      <c r="AC458" s="24">
        <v>194739</v>
      </c>
      <c r="AD458" s="24">
        <v>173627</v>
      </c>
      <c r="AE458" s="24">
        <v>212007.25</v>
      </c>
      <c r="AF458" s="24">
        <v>147939</v>
      </c>
      <c r="AG458" s="24">
        <v>199315</v>
      </c>
      <c r="AH458" s="24">
        <v>188966</v>
      </c>
      <c r="AI458" s="24">
        <v>235048.5</v>
      </c>
      <c r="AJ458" s="32">
        <v>20.895260054497378</v>
      </c>
      <c r="AK458" s="32">
        <v>21.903958929024199</v>
      </c>
      <c r="AL458" s="32">
        <v>8.1761865356512367</v>
      </c>
      <c r="AM458" s="32">
        <v>17.109064360184853</v>
      </c>
      <c r="AN458" s="32">
        <v>17.520693515614727</v>
      </c>
      <c r="AO458" s="32">
        <v>24.252969745596452</v>
      </c>
      <c r="AP458" s="19">
        <v>1.2210500095031303</v>
      </c>
      <c r="AQ458" s="19">
        <v>1.2773237618207505</v>
      </c>
      <c r="AR458" s="19">
        <v>1.1792815392720066</v>
      </c>
      <c r="AS458" s="19">
        <v>0.2881222887648589</v>
      </c>
      <c r="AT458" s="19">
        <v>0.35312424968581196</v>
      </c>
      <c r="AU458" s="19">
        <v>0.23790818551271159</v>
      </c>
      <c r="AV458" s="19">
        <v>9.0432736078758347E-2</v>
      </c>
      <c r="AW458" s="19">
        <v>0.28530003270266224</v>
      </c>
      <c r="AX458" s="19">
        <v>-6.5842728723081334E-2</v>
      </c>
      <c r="AY458" s="19">
        <v>1.2210500095031303</v>
      </c>
      <c r="AZ458" s="19">
        <v>1.2773237618207505</v>
      </c>
      <c r="BA458" s="19">
        <v>1.1792815392720066</v>
      </c>
      <c r="BB458" s="19">
        <v>1.0646894879545903</v>
      </c>
      <c r="BC458" s="19">
        <v>1.2186636789355998</v>
      </c>
      <c r="BD458" s="19">
        <v>-1.0466961731630184</v>
      </c>
      <c r="BE458" s="14" t="s">
        <v>4857</v>
      </c>
    </row>
    <row r="459" spans="1:105" s="30" customFormat="1" ht="17.100000000000001" customHeight="1">
      <c r="A459" s="14">
        <v>448</v>
      </c>
      <c r="B459" s="14" t="s">
        <v>2307</v>
      </c>
      <c r="C459" s="32">
        <v>-1.0748378563270802</v>
      </c>
      <c r="D459" s="32">
        <v>1.0061826698056091</v>
      </c>
      <c r="E459" s="32">
        <v>-1.1453762493218458</v>
      </c>
      <c r="F459" s="24">
        <v>165792.5</v>
      </c>
      <c r="G459" s="52" t="s">
        <v>2</v>
      </c>
      <c r="H459" s="32">
        <v>15.407074727731024</v>
      </c>
      <c r="I459" s="32">
        <v>15.320554147474388</v>
      </c>
      <c r="J459" s="12" t="s">
        <v>2301</v>
      </c>
      <c r="K459" s="12" t="s">
        <v>2302</v>
      </c>
      <c r="L459" s="14" t="s">
        <v>5164</v>
      </c>
      <c r="M459" s="12" t="s">
        <v>2303</v>
      </c>
      <c r="N459" s="15" t="s">
        <v>2304</v>
      </c>
      <c r="O459" s="12" t="s">
        <v>2305</v>
      </c>
      <c r="P459" s="12" t="s">
        <v>2308</v>
      </c>
      <c r="Q459" s="14">
        <v>2</v>
      </c>
      <c r="R459" s="21">
        <v>616.84789999999998</v>
      </c>
      <c r="S459" s="14">
        <v>3</v>
      </c>
      <c r="T459" s="52" t="s">
        <v>2</v>
      </c>
      <c r="U459" s="53">
        <v>62.293087499999999</v>
      </c>
      <c r="V459" s="24">
        <v>144208</v>
      </c>
      <c r="W459" s="24">
        <v>120774</v>
      </c>
      <c r="X459" s="24">
        <v>148317</v>
      </c>
      <c r="Y459" s="24">
        <v>159367</v>
      </c>
      <c r="Z459" s="24">
        <v>154864</v>
      </c>
      <c r="AA459" s="24">
        <v>124590</v>
      </c>
      <c r="AB459" s="24">
        <v>181981</v>
      </c>
      <c r="AC459" s="24">
        <v>149604</v>
      </c>
      <c r="AD459" s="24">
        <v>143166.5</v>
      </c>
      <c r="AE459" s="24">
        <v>152759.75</v>
      </c>
      <c r="AF459" s="24">
        <v>132491</v>
      </c>
      <c r="AG459" s="24">
        <v>153842</v>
      </c>
      <c r="AH459" s="24">
        <v>139727</v>
      </c>
      <c r="AI459" s="24">
        <v>165792.5</v>
      </c>
      <c r="AJ459" s="32">
        <v>11.345441534450005</v>
      </c>
      <c r="AK459" s="32">
        <v>15.407074727731024</v>
      </c>
      <c r="AL459" s="32">
        <v>12.506766731570865</v>
      </c>
      <c r="AM459" s="32">
        <v>5.0789315870252265</v>
      </c>
      <c r="AN459" s="32">
        <v>15.320554147474388</v>
      </c>
      <c r="AO459" s="32">
        <v>13.80882504002102</v>
      </c>
      <c r="AP459" s="19">
        <v>1.0670076449448718</v>
      </c>
      <c r="AQ459" s="19">
        <v>1.0546150304548989</v>
      </c>
      <c r="AR459" s="19">
        <v>1.077680347369379</v>
      </c>
      <c r="AS459" s="19">
        <v>9.3570512886370305E-2</v>
      </c>
      <c r="AT459" s="19">
        <v>7.6716463378098398E-2</v>
      </c>
      <c r="AU459" s="19">
        <v>0.10792932127115783</v>
      </c>
      <c r="AV459" s="19">
        <v>-0.10411903979973025</v>
      </c>
      <c r="AW459" s="19">
        <v>8.8922463949486913E-3</v>
      </c>
      <c r="AX459" s="19">
        <v>-0.19582159296463508</v>
      </c>
      <c r="AY459" s="19">
        <v>1.0670076449448718</v>
      </c>
      <c r="AZ459" s="19">
        <v>1.0546150304548989</v>
      </c>
      <c r="BA459" s="19">
        <v>1.077680347369379</v>
      </c>
      <c r="BB459" s="19">
        <v>-1.0748378563270802</v>
      </c>
      <c r="BC459" s="19">
        <v>1.0061826698056091</v>
      </c>
      <c r="BD459" s="19">
        <v>-1.1453762493218458</v>
      </c>
      <c r="BE459" s="14" t="s">
        <v>4857</v>
      </c>
    </row>
    <row r="460" spans="1:105" s="30" customFormat="1" ht="17.100000000000001" customHeight="1">
      <c r="A460" s="14">
        <v>449</v>
      </c>
      <c r="B460" s="14" t="s">
        <v>2309</v>
      </c>
      <c r="C460" s="32">
        <v>1.3295628203299086</v>
      </c>
      <c r="D460" s="32">
        <v>1.3653734823949624</v>
      </c>
      <c r="E460" s="32">
        <v>1.311797927285044</v>
      </c>
      <c r="F460" s="24">
        <v>22750</v>
      </c>
      <c r="G460" s="52" t="s">
        <v>2</v>
      </c>
      <c r="H460" s="32">
        <v>15.80568761271563</v>
      </c>
      <c r="I460" s="32">
        <v>26.485271662817677</v>
      </c>
      <c r="J460" s="12" t="s">
        <v>2310</v>
      </c>
      <c r="K460" s="15" t="s">
        <v>2311</v>
      </c>
      <c r="L460" s="14" t="s">
        <v>4113</v>
      </c>
      <c r="M460" s="12" t="s">
        <v>2312</v>
      </c>
      <c r="N460" s="15" t="s">
        <v>2313</v>
      </c>
      <c r="O460" s="12" t="s">
        <v>2314</v>
      </c>
      <c r="P460" s="12" t="s">
        <v>2315</v>
      </c>
      <c r="Q460" s="14">
        <v>2</v>
      </c>
      <c r="R460" s="21">
        <v>576.28819999999996</v>
      </c>
      <c r="S460" s="14">
        <v>2</v>
      </c>
      <c r="T460" s="52" t="s">
        <v>2</v>
      </c>
      <c r="U460" s="53">
        <v>33.697499999999998</v>
      </c>
      <c r="V460" s="24">
        <v>16800</v>
      </c>
      <c r="W460" s="24">
        <v>11500</v>
      </c>
      <c r="X460" s="24">
        <v>13400</v>
      </c>
      <c r="Y460" s="24">
        <v>14700</v>
      </c>
      <c r="Z460" s="24">
        <v>21700</v>
      </c>
      <c r="AA460" s="24">
        <v>18800</v>
      </c>
      <c r="AB460" s="24">
        <v>23500</v>
      </c>
      <c r="AC460" s="24">
        <v>22000</v>
      </c>
      <c r="AD460" s="24">
        <v>14100</v>
      </c>
      <c r="AE460" s="24">
        <v>21500</v>
      </c>
      <c r="AF460" s="24">
        <v>14150</v>
      </c>
      <c r="AG460" s="24">
        <v>14050</v>
      </c>
      <c r="AH460" s="24">
        <v>20250</v>
      </c>
      <c r="AI460" s="24">
        <v>22750</v>
      </c>
      <c r="AJ460" s="32">
        <v>15.80568761271563</v>
      </c>
      <c r="AK460" s="32">
        <v>9.1380849787853489</v>
      </c>
      <c r="AL460" s="32">
        <v>26.485271662817677</v>
      </c>
      <c r="AM460" s="32">
        <v>6.5426250216548878</v>
      </c>
      <c r="AN460" s="32">
        <v>10.1264674836592</v>
      </c>
      <c r="AO460" s="32">
        <v>4.6622425133178957</v>
      </c>
      <c r="AP460" s="19">
        <v>1.5248226950354611</v>
      </c>
      <c r="AQ460" s="19">
        <v>1.431095406360424</v>
      </c>
      <c r="AR460" s="19">
        <v>1.6192170818505338</v>
      </c>
      <c r="AS460" s="19">
        <v>0.60864149719066685</v>
      </c>
      <c r="AT460" s="19">
        <v>0.51711985494010471</v>
      </c>
      <c r="AU460" s="19">
        <v>0.69529641486513261</v>
      </c>
      <c r="AV460" s="19">
        <v>0.41095194450456629</v>
      </c>
      <c r="AW460" s="19">
        <v>0.44929563795695499</v>
      </c>
      <c r="AX460" s="19">
        <v>0.39154550062933968</v>
      </c>
      <c r="AY460" s="19">
        <v>1.5248226950354611</v>
      </c>
      <c r="AZ460" s="19">
        <v>1.431095406360424</v>
      </c>
      <c r="BA460" s="19">
        <v>1.6192170818505338</v>
      </c>
      <c r="BB460" s="19">
        <v>1.3295628203299086</v>
      </c>
      <c r="BC460" s="19">
        <v>1.3653734823949624</v>
      </c>
      <c r="BD460" s="19">
        <v>1.311797927285044</v>
      </c>
      <c r="BE460" s="14" t="s">
        <v>4857</v>
      </c>
    </row>
    <row r="461" spans="1:105" s="30" customFormat="1" ht="17.100000000000001" customHeight="1">
      <c r="A461" s="14">
        <v>450</v>
      </c>
      <c r="B461" s="14" t="s">
        <v>2318</v>
      </c>
      <c r="C461" s="32">
        <v>-1.0095303639622841</v>
      </c>
      <c r="D461" s="32">
        <v>-1.1436603214856189</v>
      </c>
      <c r="E461" s="32">
        <v>1.0487979772055886</v>
      </c>
      <c r="F461" s="24">
        <v>108850.5</v>
      </c>
      <c r="G461" s="52" t="s">
        <v>2</v>
      </c>
      <c r="H461" s="32">
        <v>46.160211844212995</v>
      </c>
      <c r="I461" s="32">
        <v>34.741942172647576</v>
      </c>
      <c r="J461" s="12" t="s">
        <v>2310</v>
      </c>
      <c r="K461" s="15" t="s">
        <v>2311</v>
      </c>
      <c r="L461" s="14" t="s">
        <v>5168</v>
      </c>
      <c r="M461" s="12" t="s">
        <v>2312</v>
      </c>
      <c r="N461" s="15" t="s">
        <v>2313</v>
      </c>
      <c r="O461" s="12" t="s">
        <v>2314</v>
      </c>
      <c r="P461" s="12" t="s">
        <v>2319</v>
      </c>
      <c r="Q461" s="14">
        <v>3</v>
      </c>
      <c r="R461" s="21">
        <v>699.02</v>
      </c>
      <c r="S461" s="14">
        <v>5</v>
      </c>
      <c r="T461" s="52" t="s">
        <v>2</v>
      </c>
      <c r="U461" s="53">
        <v>44.771100000000004</v>
      </c>
      <c r="V461" s="24">
        <v>60142</v>
      </c>
      <c r="W461" s="24">
        <v>61293</v>
      </c>
      <c r="X461" s="24">
        <v>84116</v>
      </c>
      <c r="Y461" s="24">
        <v>84047</v>
      </c>
      <c r="Z461" s="24">
        <v>50015</v>
      </c>
      <c r="AA461" s="24">
        <v>61277</v>
      </c>
      <c r="AB461" s="24">
        <v>82110</v>
      </c>
      <c r="AC461" s="24">
        <v>135591</v>
      </c>
      <c r="AD461" s="24">
        <v>72399.5</v>
      </c>
      <c r="AE461" s="24">
        <v>82248.25</v>
      </c>
      <c r="AF461" s="24">
        <v>60717.5</v>
      </c>
      <c r="AG461" s="24">
        <v>84081.5</v>
      </c>
      <c r="AH461" s="24">
        <v>55646</v>
      </c>
      <c r="AI461" s="24">
        <v>108850.5</v>
      </c>
      <c r="AJ461" s="32">
        <v>18.642978096347644</v>
      </c>
      <c r="AK461" s="32">
        <v>46.160211844212995</v>
      </c>
      <c r="AL461" s="32">
        <v>1.340437114745693</v>
      </c>
      <c r="AM461" s="32">
        <v>5.802747084896414E-2</v>
      </c>
      <c r="AN461" s="32">
        <v>14.31088770032509</v>
      </c>
      <c r="AO461" s="32">
        <v>34.741942172647576</v>
      </c>
      <c r="AP461" s="19">
        <v>1.1360333980207045</v>
      </c>
      <c r="AQ461" s="19">
        <v>0.91647383373821389</v>
      </c>
      <c r="AR461" s="19">
        <v>1.2945832317453898</v>
      </c>
      <c r="AS461" s="19">
        <v>0.18400524897162263</v>
      </c>
      <c r="AT461" s="19">
        <v>-0.12583440394763706</v>
      </c>
      <c r="AU461" s="19">
        <v>0.37248772241545858</v>
      </c>
      <c r="AV461" s="19">
        <v>-1.368430371447793E-2</v>
      </c>
      <c r="AW461" s="19">
        <v>-0.19365862093078678</v>
      </c>
      <c r="AX461" s="19">
        <v>6.8736808179665654E-2</v>
      </c>
      <c r="AY461" s="19">
        <v>1.1360333980207045</v>
      </c>
      <c r="AZ461" s="19">
        <v>-1.0911386263163569</v>
      </c>
      <c r="BA461" s="19">
        <v>1.2945832317453898</v>
      </c>
      <c r="BB461" s="19">
        <v>-1.0095303639622841</v>
      </c>
      <c r="BC461" s="19">
        <v>-1.1436603214856189</v>
      </c>
      <c r="BD461" s="19">
        <v>1.0487979772055886</v>
      </c>
      <c r="BE461" s="14" t="s">
        <v>4857</v>
      </c>
    </row>
    <row r="462" spans="1:105" s="30" customFormat="1" ht="17.100000000000001" customHeight="1">
      <c r="A462" s="14">
        <v>451</v>
      </c>
      <c r="B462" s="14" t="s">
        <v>2320</v>
      </c>
      <c r="C462" s="32">
        <v>-1.7106502709787339</v>
      </c>
      <c r="D462" s="32">
        <v>-1.62647261451546</v>
      </c>
      <c r="E462" s="32">
        <v>-1.7889202246352109</v>
      </c>
      <c r="F462" s="24">
        <v>163200</v>
      </c>
      <c r="G462" s="52" t="s">
        <v>2</v>
      </c>
      <c r="H462" s="32">
        <v>24.483679434150886</v>
      </c>
      <c r="I462" s="32">
        <v>29.226728981195276</v>
      </c>
      <c r="J462" s="12" t="s">
        <v>2321</v>
      </c>
      <c r="K462" s="12" t="s">
        <v>2322</v>
      </c>
      <c r="L462" s="14" t="s">
        <v>4966</v>
      </c>
      <c r="M462" s="12" t="s">
        <v>2323</v>
      </c>
      <c r="N462" s="15" t="s">
        <v>2324</v>
      </c>
      <c r="O462" s="12" t="s">
        <v>2325</v>
      </c>
      <c r="P462" s="12" t="s">
        <v>2326</v>
      </c>
      <c r="Q462" s="14">
        <v>2</v>
      </c>
      <c r="R462" s="21">
        <v>702.34569999999997</v>
      </c>
      <c r="S462" s="14">
        <v>4</v>
      </c>
      <c r="T462" s="52" t="s">
        <v>2</v>
      </c>
      <c r="U462" s="53">
        <v>57.244950000000003</v>
      </c>
      <c r="V462" s="24">
        <v>135644</v>
      </c>
      <c r="W462" s="24">
        <v>110063</v>
      </c>
      <c r="X462" s="24">
        <v>191533</v>
      </c>
      <c r="Y462" s="24">
        <v>134867</v>
      </c>
      <c r="Z462" s="24">
        <v>95531</v>
      </c>
      <c r="AA462" s="24">
        <v>62808</v>
      </c>
      <c r="AB462" s="24">
        <v>112697</v>
      </c>
      <c r="AC462" s="24">
        <v>112518</v>
      </c>
      <c r="AD462" s="24">
        <v>143026.75</v>
      </c>
      <c r="AE462" s="24">
        <v>95888.5</v>
      </c>
      <c r="AF462" s="24">
        <v>122853.5</v>
      </c>
      <c r="AG462" s="24">
        <v>163200</v>
      </c>
      <c r="AH462" s="24">
        <v>79169.5</v>
      </c>
      <c r="AI462" s="24">
        <v>112607.5</v>
      </c>
      <c r="AJ462" s="32">
        <v>24.086890906038867</v>
      </c>
      <c r="AK462" s="32">
        <v>24.483679434150886</v>
      </c>
      <c r="AL462" s="32">
        <v>14.723633082926471</v>
      </c>
      <c r="AM462" s="32">
        <v>24.552029940390259</v>
      </c>
      <c r="AN462" s="32">
        <v>29.226728981195276</v>
      </c>
      <c r="AO462" s="32">
        <v>0.11240114009492441</v>
      </c>
      <c r="AP462" s="19">
        <v>0.67042353965254753</v>
      </c>
      <c r="AQ462" s="19">
        <v>0.64442201483881212</v>
      </c>
      <c r="AR462" s="19">
        <v>0.68999693627450975</v>
      </c>
      <c r="AS462" s="19">
        <v>-0.57685528960937149</v>
      </c>
      <c r="AT462" s="19">
        <v>-0.63392231444271419</v>
      </c>
      <c r="AU462" s="19">
        <v>-0.53533813883914161</v>
      </c>
      <c r="AV462" s="19">
        <v>-0.77454484229547205</v>
      </c>
      <c r="AW462" s="19">
        <v>-0.70174653142586385</v>
      </c>
      <c r="AX462" s="19">
        <v>-0.83908905307493453</v>
      </c>
      <c r="AY462" s="19">
        <v>-1.4915944039170494</v>
      </c>
      <c r="AZ462" s="19">
        <v>-1.5517781468873744</v>
      </c>
      <c r="BA462" s="19">
        <v>-1.4492817973936019</v>
      </c>
      <c r="BB462" s="19">
        <v>-1.7106502709787339</v>
      </c>
      <c r="BC462" s="19">
        <v>-1.62647261451546</v>
      </c>
      <c r="BD462" s="19">
        <v>-1.7889202246352109</v>
      </c>
      <c r="BE462" s="14" t="s">
        <v>4857</v>
      </c>
    </row>
    <row r="463" spans="1:105" s="30" customFormat="1" ht="17.100000000000001" customHeight="1">
      <c r="A463" s="14">
        <v>452</v>
      </c>
      <c r="B463" s="14" t="s">
        <v>2327</v>
      </c>
      <c r="C463" s="32">
        <v>1.0300848953224393</v>
      </c>
      <c r="D463" s="32">
        <v>1.1403757594215718</v>
      </c>
      <c r="E463" s="32">
        <v>-1.0515833872011238</v>
      </c>
      <c r="F463" s="24">
        <v>202196</v>
      </c>
      <c r="G463" s="52" t="s">
        <v>2</v>
      </c>
      <c r="H463" s="32">
        <v>35.244847607937515</v>
      </c>
      <c r="I463" s="32">
        <v>17.265511018926265</v>
      </c>
      <c r="J463" s="12" t="s">
        <v>2321</v>
      </c>
      <c r="K463" s="12" t="s">
        <v>2322</v>
      </c>
      <c r="L463" s="14" t="s">
        <v>5126</v>
      </c>
      <c r="M463" s="12" t="s">
        <v>2323</v>
      </c>
      <c r="N463" s="15" t="s">
        <v>2324</v>
      </c>
      <c r="O463" s="12" t="s">
        <v>2325</v>
      </c>
      <c r="P463" s="12" t="s">
        <v>2328</v>
      </c>
      <c r="Q463" s="14">
        <v>4</v>
      </c>
      <c r="R463" s="21">
        <v>642.0675</v>
      </c>
      <c r="S463" s="14">
        <v>5</v>
      </c>
      <c r="T463" s="52" t="s">
        <v>2</v>
      </c>
      <c r="U463" s="53">
        <v>49.537199999999999</v>
      </c>
      <c r="V463" s="24">
        <v>100212</v>
      </c>
      <c r="W463" s="24">
        <v>87172</v>
      </c>
      <c r="X463" s="24">
        <v>185140</v>
      </c>
      <c r="Y463" s="24">
        <v>159375</v>
      </c>
      <c r="Z463" s="24">
        <v>98315</v>
      </c>
      <c r="AA463" s="24">
        <v>125659</v>
      </c>
      <c r="AB463" s="24">
        <v>213067</v>
      </c>
      <c r="AC463" s="24">
        <v>191325</v>
      </c>
      <c r="AD463" s="24">
        <v>132974.75</v>
      </c>
      <c r="AE463" s="24">
        <v>157091.5</v>
      </c>
      <c r="AF463" s="24">
        <v>93692</v>
      </c>
      <c r="AG463" s="24">
        <v>172257.5</v>
      </c>
      <c r="AH463" s="24">
        <v>111987</v>
      </c>
      <c r="AI463" s="24">
        <v>202196</v>
      </c>
      <c r="AJ463" s="32">
        <v>35.244847607937515</v>
      </c>
      <c r="AK463" s="32">
        <v>34.374611608762898</v>
      </c>
      <c r="AL463" s="32">
        <v>9.8414725127786564</v>
      </c>
      <c r="AM463" s="32">
        <v>10.576379093665819</v>
      </c>
      <c r="AN463" s="32">
        <v>17.265511018926265</v>
      </c>
      <c r="AO463" s="32">
        <v>7.6034716990236788</v>
      </c>
      <c r="AP463" s="19">
        <v>1.1813633791377687</v>
      </c>
      <c r="AQ463" s="19">
        <v>1.1952674721427656</v>
      </c>
      <c r="AR463" s="19">
        <v>1.1738008504709518</v>
      </c>
      <c r="AS463" s="19">
        <v>0.24045279593291699</v>
      </c>
      <c r="AT463" s="19">
        <v>0.25733349482134144</v>
      </c>
      <c r="AU463" s="19">
        <v>0.23118765852500248</v>
      </c>
      <c r="AV463" s="19">
        <v>4.2763243246816435E-2</v>
      </c>
      <c r="AW463" s="19">
        <v>0.18950927783819171</v>
      </c>
      <c r="AX463" s="19">
        <v>-7.2563255710790447E-2</v>
      </c>
      <c r="AY463" s="19">
        <v>1.1813633791377687</v>
      </c>
      <c r="AZ463" s="19">
        <v>1.1952674721427656</v>
      </c>
      <c r="BA463" s="19">
        <v>1.1738008504709518</v>
      </c>
      <c r="BB463" s="19">
        <v>1.0300848953224393</v>
      </c>
      <c r="BC463" s="19">
        <v>1.1403757594215718</v>
      </c>
      <c r="BD463" s="19">
        <v>-1.0515833872011238</v>
      </c>
      <c r="BE463" s="14" t="s">
        <v>4857</v>
      </c>
    </row>
    <row r="464" spans="1:105" s="30" customFormat="1" ht="17.100000000000001" customHeight="1">
      <c r="A464" s="14">
        <v>453</v>
      </c>
      <c r="B464" s="14" t="s">
        <v>2329</v>
      </c>
      <c r="C464" s="32">
        <v>-1.1766115947308233</v>
      </c>
      <c r="D464" s="32">
        <v>-1.2698863193746979</v>
      </c>
      <c r="E464" s="32">
        <v>-1.1141890821070954</v>
      </c>
      <c r="F464" s="24">
        <v>218142</v>
      </c>
      <c r="G464" s="52" t="s">
        <v>2</v>
      </c>
      <c r="H464" s="32">
        <v>29.879268976006166</v>
      </c>
      <c r="I464" s="32">
        <v>24.446078705597575</v>
      </c>
      <c r="J464" s="12" t="s">
        <v>2330</v>
      </c>
      <c r="K464" s="12" t="s">
        <v>2331</v>
      </c>
      <c r="L464" s="14" t="s">
        <v>5089</v>
      </c>
      <c r="M464" s="12" t="s">
        <v>2332</v>
      </c>
      <c r="N464" s="15" t="s">
        <v>2333</v>
      </c>
      <c r="O464" s="12" t="s">
        <v>2334</v>
      </c>
      <c r="P464" s="12" t="s">
        <v>2335</v>
      </c>
      <c r="Q464" s="14">
        <v>2</v>
      </c>
      <c r="R464" s="21">
        <v>612.80899999999997</v>
      </c>
      <c r="S464" s="14">
        <v>3</v>
      </c>
      <c r="T464" s="52" t="s">
        <v>2</v>
      </c>
      <c r="U464" s="53">
        <v>37.136850000000003</v>
      </c>
      <c r="V464" s="24">
        <v>183308</v>
      </c>
      <c r="W464" s="24">
        <v>167768</v>
      </c>
      <c r="X464" s="24">
        <v>175326</v>
      </c>
      <c r="Y464" s="24">
        <v>218487</v>
      </c>
      <c r="Z464" s="24">
        <v>162405</v>
      </c>
      <c r="AA464" s="24">
        <v>127365</v>
      </c>
      <c r="AB464" s="24">
        <v>255850</v>
      </c>
      <c r="AC464" s="24">
        <v>180434</v>
      </c>
      <c r="AD464" s="24">
        <v>186222.25</v>
      </c>
      <c r="AE464" s="24">
        <v>181513.5</v>
      </c>
      <c r="AF464" s="24">
        <v>175538</v>
      </c>
      <c r="AG464" s="24">
        <v>196906.5</v>
      </c>
      <c r="AH464" s="24">
        <v>144885</v>
      </c>
      <c r="AI464" s="24">
        <v>218142</v>
      </c>
      <c r="AJ464" s="32">
        <v>12.042671968584633</v>
      </c>
      <c r="AK464" s="32">
        <v>29.879268976006166</v>
      </c>
      <c r="AL464" s="32">
        <v>6.2598636076740934</v>
      </c>
      <c r="AM464" s="32">
        <v>15.499455722788522</v>
      </c>
      <c r="AN464" s="32">
        <v>17.101164104480539</v>
      </c>
      <c r="AO464" s="32">
        <v>24.446078705597575</v>
      </c>
      <c r="AP464" s="19">
        <v>0.97471435341373014</v>
      </c>
      <c r="AQ464" s="19">
        <v>0.8253768414816165</v>
      </c>
      <c r="AR464" s="19">
        <v>1.1078456018465617</v>
      </c>
      <c r="AS464" s="19">
        <v>-3.6948605555401692E-2</v>
      </c>
      <c r="AT464" s="19">
        <v>-0.27687513527798802</v>
      </c>
      <c r="AU464" s="19">
        <v>0.14775682996866063</v>
      </c>
      <c r="AV464" s="19">
        <v>-0.23463815824150225</v>
      </c>
      <c r="AW464" s="19">
        <v>-0.34469935226113774</v>
      </c>
      <c r="AX464" s="19">
        <v>-0.15599408426713229</v>
      </c>
      <c r="AY464" s="19">
        <v>-1.0259415966305536</v>
      </c>
      <c r="AZ464" s="19">
        <v>-1.2115677951478758</v>
      </c>
      <c r="BA464" s="19">
        <v>1.1078456018465617</v>
      </c>
      <c r="BB464" s="19">
        <v>-1.1766115947308233</v>
      </c>
      <c r="BC464" s="19">
        <v>-1.2698863193746979</v>
      </c>
      <c r="BD464" s="19">
        <v>-1.1141890821070954</v>
      </c>
      <c r="BE464" s="14" t="s">
        <v>4857</v>
      </c>
    </row>
    <row r="465" spans="1:105" s="30" customFormat="1" ht="17.100000000000001" customHeight="1">
      <c r="A465" s="14">
        <v>454</v>
      </c>
      <c r="B465" s="14" t="s">
        <v>2336</v>
      </c>
      <c r="C465" s="32">
        <v>1.1117294167340839</v>
      </c>
      <c r="D465" s="32">
        <v>1.1262585306287132</v>
      </c>
      <c r="E465" s="32">
        <v>1.1020290064274625</v>
      </c>
      <c r="F465" s="39">
        <v>182015.5</v>
      </c>
      <c r="G465" s="52" t="s">
        <v>2</v>
      </c>
      <c r="H465" s="32">
        <v>17.817103613389961</v>
      </c>
      <c r="I465" s="32">
        <v>21.341209013442434</v>
      </c>
      <c r="J465" s="12" t="s">
        <v>2337</v>
      </c>
      <c r="K465" s="12" t="s">
        <v>2338</v>
      </c>
      <c r="L465" s="14" t="s">
        <v>5019</v>
      </c>
      <c r="M465" s="12" t="s">
        <v>2339</v>
      </c>
      <c r="N465" s="15" t="s">
        <v>2340</v>
      </c>
      <c r="O465" s="12" t="s">
        <v>2209</v>
      </c>
      <c r="P465" s="12" t="s">
        <v>2210</v>
      </c>
      <c r="Q465" s="14">
        <v>3</v>
      </c>
      <c r="R465" s="21">
        <v>813.05809999999997</v>
      </c>
      <c r="S465" s="14">
        <v>1</v>
      </c>
      <c r="T465" s="52" t="s">
        <v>2</v>
      </c>
      <c r="U465" s="53">
        <v>84.491112499999986</v>
      </c>
      <c r="V465" s="39">
        <v>104210</v>
      </c>
      <c r="W465" s="39">
        <v>137253</v>
      </c>
      <c r="X465" s="39">
        <v>124756</v>
      </c>
      <c r="Y465" s="39">
        <v>142857</v>
      </c>
      <c r="Z465" s="39">
        <v>121013</v>
      </c>
      <c r="AA465" s="39">
        <v>164027</v>
      </c>
      <c r="AB465" s="39">
        <v>178653</v>
      </c>
      <c r="AC465" s="39">
        <v>185378</v>
      </c>
      <c r="AD465" s="39">
        <v>127269</v>
      </c>
      <c r="AE465" s="39">
        <v>162267.75</v>
      </c>
      <c r="AF465" s="39">
        <v>120731.5</v>
      </c>
      <c r="AG465" s="39">
        <v>133806.5</v>
      </c>
      <c r="AH465" s="39">
        <v>142520</v>
      </c>
      <c r="AI465" s="39">
        <v>182015.5</v>
      </c>
      <c r="AJ465" s="32">
        <v>13.462645382039785</v>
      </c>
      <c r="AK465" s="32">
        <v>17.817103613389961</v>
      </c>
      <c r="AL465" s="32">
        <v>19.352803013916905</v>
      </c>
      <c r="AM465" s="32">
        <v>9.5655591068129713</v>
      </c>
      <c r="AN465" s="32">
        <v>21.341209013442434</v>
      </c>
      <c r="AO465" s="32">
        <v>2.6125759089085996</v>
      </c>
      <c r="AP465" s="19">
        <v>1.2749982320910827</v>
      </c>
      <c r="AQ465" s="19">
        <v>1.1804707139396098</v>
      </c>
      <c r="AR465" s="19">
        <v>1.360288924678547</v>
      </c>
      <c r="AS465" s="19">
        <v>0.35049524664868537</v>
      </c>
      <c r="AT465" s="19">
        <v>0.23936225047957183</v>
      </c>
      <c r="AU465" s="19">
        <v>0.44391311171865444</v>
      </c>
      <c r="AV465" s="19">
        <v>0.15280569396258481</v>
      </c>
      <c r="AW465" s="19">
        <v>0.1715380334964221</v>
      </c>
      <c r="AX465" s="19">
        <v>0.14016219748286152</v>
      </c>
      <c r="AY465" s="19">
        <v>1.2749982320910827</v>
      </c>
      <c r="AZ465" s="19">
        <v>1.1804707139396098</v>
      </c>
      <c r="BA465" s="19">
        <v>1.360288924678547</v>
      </c>
      <c r="BB465" s="19">
        <v>1.1117294167340839</v>
      </c>
      <c r="BC465" s="19">
        <v>1.1262585306287132</v>
      </c>
      <c r="BD465" s="19">
        <v>1.1020290064274625</v>
      </c>
      <c r="BE465" s="14" t="s">
        <v>4857</v>
      </c>
    </row>
    <row r="466" spans="1:105" s="30" customFormat="1" ht="17.100000000000001" customHeight="1">
      <c r="A466" s="14">
        <v>455</v>
      </c>
      <c r="B466" s="14" t="s">
        <v>2211</v>
      </c>
      <c r="C466" s="32">
        <v>1.1117294167340839</v>
      </c>
      <c r="D466" s="32">
        <v>1.1262585306287132</v>
      </c>
      <c r="E466" s="32">
        <v>1.1020290064274625</v>
      </c>
      <c r="F466" s="39">
        <v>182015.5</v>
      </c>
      <c r="G466" s="52" t="s">
        <v>2</v>
      </c>
      <c r="H466" s="32">
        <v>17.817103613389961</v>
      </c>
      <c r="I466" s="32">
        <v>21.341209013442434</v>
      </c>
      <c r="J466" s="12" t="s">
        <v>2337</v>
      </c>
      <c r="K466" s="12" t="s">
        <v>2338</v>
      </c>
      <c r="L466" s="14" t="s">
        <v>5089</v>
      </c>
      <c r="M466" s="12" t="s">
        <v>2339</v>
      </c>
      <c r="N466" s="15" t="s">
        <v>2340</v>
      </c>
      <c r="O466" s="12" t="s">
        <v>2209</v>
      </c>
      <c r="P466" s="12" t="s">
        <v>2212</v>
      </c>
      <c r="Q466" s="14">
        <v>3</v>
      </c>
      <c r="R466" s="21">
        <v>813.05809999999997</v>
      </c>
      <c r="S466" s="14">
        <v>1</v>
      </c>
      <c r="T466" s="52" t="s">
        <v>2</v>
      </c>
      <c r="U466" s="53">
        <v>84.491112499999986</v>
      </c>
      <c r="V466" s="39">
        <v>104210</v>
      </c>
      <c r="W466" s="39">
        <v>137253</v>
      </c>
      <c r="X466" s="39">
        <v>124756</v>
      </c>
      <c r="Y466" s="39">
        <v>142857</v>
      </c>
      <c r="Z466" s="39">
        <v>121013</v>
      </c>
      <c r="AA466" s="39">
        <v>164027</v>
      </c>
      <c r="AB466" s="39">
        <v>178653</v>
      </c>
      <c r="AC466" s="39">
        <v>185378</v>
      </c>
      <c r="AD466" s="39">
        <v>127269</v>
      </c>
      <c r="AE466" s="39">
        <v>162267.75</v>
      </c>
      <c r="AF466" s="39">
        <v>120731.5</v>
      </c>
      <c r="AG466" s="39">
        <v>133806.5</v>
      </c>
      <c r="AH466" s="39">
        <v>142520</v>
      </c>
      <c r="AI466" s="39">
        <v>182015.5</v>
      </c>
      <c r="AJ466" s="32">
        <v>13.462645382039785</v>
      </c>
      <c r="AK466" s="32">
        <v>17.817103613389961</v>
      </c>
      <c r="AL466" s="32">
        <v>19.352803013916905</v>
      </c>
      <c r="AM466" s="32">
        <v>9.5655591068129713</v>
      </c>
      <c r="AN466" s="32">
        <v>21.341209013442434</v>
      </c>
      <c r="AO466" s="32">
        <v>2.6125759089085996</v>
      </c>
      <c r="AP466" s="19">
        <v>1.2749982320910827</v>
      </c>
      <c r="AQ466" s="19">
        <v>1.1804707139396098</v>
      </c>
      <c r="AR466" s="19">
        <v>1.360288924678547</v>
      </c>
      <c r="AS466" s="19">
        <v>0.35049524664868537</v>
      </c>
      <c r="AT466" s="19">
        <v>0.23936225047957183</v>
      </c>
      <c r="AU466" s="19">
        <v>0.44391311171865444</v>
      </c>
      <c r="AV466" s="19">
        <v>0.15280569396258481</v>
      </c>
      <c r="AW466" s="19">
        <v>0.1715380334964221</v>
      </c>
      <c r="AX466" s="19">
        <v>0.14016219748286152</v>
      </c>
      <c r="AY466" s="19">
        <v>1.2749982320910827</v>
      </c>
      <c r="AZ466" s="19">
        <v>1.1804707139396098</v>
      </c>
      <c r="BA466" s="19">
        <v>1.360288924678547</v>
      </c>
      <c r="BB466" s="19">
        <v>1.1117294167340839</v>
      </c>
      <c r="BC466" s="19">
        <v>1.1262585306287132</v>
      </c>
      <c r="BD466" s="19">
        <v>1.1020290064274625</v>
      </c>
      <c r="BE466" s="14" t="s">
        <v>4857</v>
      </c>
    </row>
    <row r="467" spans="1:105" s="30" customFormat="1" ht="17.100000000000001" customHeight="1">
      <c r="A467" s="14">
        <v>456</v>
      </c>
      <c r="B467" s="14" t="s">
        <v>2213</v>
      </c>
      <c r="C467" s="32">
        <v>-1.1090794805515654</v>
      </c>
      <c r="D467" s="32">
        <v>-1.1558261044276354</v>
      </c>
      <c r="E467" s="32">
        <v>-1.0976756028913719</v>
      </c>
      <c r="F467" s="24">
        <v>282758</v>
      </c>
      <c r="G467" s="52" t="s">
        <v>2</v>
      </c>
      <c r="H467" s="32">
        <v>32.403640616468756</v>
      </c>
      <c r="I467" s="32">
        <v>13.136642665530038</v>
      </c>
      <c r="J467" s="12" t="s">
        <v>2214</v>
      </c>
      <c r="K467" s="12" t="s">
        <v>2215</v>
      </c>
      <c r="L467" s="14" t="s">
        <v>5019</v>
      </c>
      <c r="M467" s="12" t="s">
        <v>2216</v>
      </c>
      <c r="N467" s="15" t="s">
        <v>2217</v>
      </c>
      <c r="O467" s="12" t="s">
        <v>2218</v>
      </c>
      <c r="P467" s="12" t="s">
        <v>2219</v>
      </c>
      <c r="Q467" s="14">
        <v>3</v>
      </c>
      <c r="R467" s="21">
        <v>432.8888</v>
      </c>
      <c r="S467" s="14">
        <v>1</v>
      </c>
      <c r="T467" s="52" t="s">
        <v>2</v>
      </c>
      <c r="U467" s="53">
        <v>36.723212499999995</v>
      </c>
      <c r="V467" s="24">
        <v>162140</v>
      </c>
      <c r="W467" s="24">
        <v>195347</v>
      </c>
      <c r="X467" s="24">
        <v>273576</v>
      </c>
      <c r="Y467" s="24">
        <v>229323</v>
      </c>
      <c r="Z467" s="24">
        <v>174839</v>
      </c>
      <c r="AA467" s="24">
        <v>149340</v>
      </c>
      <c r="AB467" s="24">
        <v>301436</v>
      </c>
      <c r="AC467" s="24">
        <v>264080</v>
      </c>
      <c r="AD467" s="24">
        <v>215096.5</v>
      </c>
      <c r="AE467" s="24">
        <v>222423.75</v>
      </c>
      <c r="AF467" s="24">
        <v>178743.5</v>
      </c>
      <c r="AG467" s="24">
        <v>251449.5</v>
      </c>
      <c r="AH467" s="24">
        <v>162089.5</v>
      </c>
      <c r="AI467" s="24">
        <v>282758</v>
      </c>
      <c r="AJ467" s="32">
        <v>22.161157807791792</v>
      </c>
      <c r="AK467" s="32">
        <v>32.403640616468756</v>
      </c>
      <c r="AL467" s="32">
        <v>13.136642665530038</v>
      </c>
      <c r="AM467" s="32">
        <v>12.444485428624152</v>
      </c>
      <c r="AN467" s="32">
        <v>11.123802475469278</v>
      </c>
      <c r="AO467" s="32">
        <v>9.3417979042165626</v>
      </c>
      <c r="AP467" s="19">
        <v>1.0340649429442135</v>
      </c>
      <c r="AQ467" s="19">
        <v>0.90682738113553785</v>
      </c>
      <c r="AR467" s="19">
        <v>1.1245120789661542</v>
      </c>
      <c r="AS467" s="19">
        <v>4.8326794861139576E-2</v>
      </c>
      <c r="AT467" s="19">
        <v>-0.14110014179711886</v>
      </c>
      <c r="AU467" s="19">
        <v>0.16929915793296157</v>
      </c>
      <c r="AV467" s="19">
        <v>-0.14936275782496097</v>
      </c>
      <c r="AW467" s="19">
        <v>-0.20892435878026855</v>
      </c>
      <c r="AX467" s="19">
        <v>-0.13445175630283135</v>
      </c>
      <c r="AY467" s="19">
        <v>1.0340649429442135</v>
      </c>
      <c r="AZ467" s="19">
        <v>-1.1027457053047853</v>
      </c>
      <c r="BA467" s="19">
        <v>1.1245120789661542</v>
      </c>
      <c r="BB467" s="19">
        <v>-1.1090794805515654</v>
      </c>
      <c r="BC467" s="19">
        <v>-1.1558261044276354</v>
      </c>
      <c r="BD467" s="19">
        <v>-1.0976756028913719</v>
      </c>
      <c r="BE467" s="14" t="s">
        <v>4857</v>
      </c>
    </row>
    <row r="468" spans="1:105" s="30" customFormat="1" ht="17.100000000000001" customHeight="1">
      <c r="A468" s="31">
        <v>457</v>
      </c>
      <c r="B468" s="11" t="s">
        <v>2220</v>
      </c>
      <c r="C468" s="57"/>
      <c r="D468" s="57"/>
      <c r="E468" s="57"/>
      <c r="F468" s="27"/>
      <c r="G468" s="54"/>
      <c r="H468" s="57"/>
      <c r="I468" s="57"/>
      <c r="J468" s="13"/>
      <c r="K468" s="13"/>
      <c r="L468" s="13"/>
      <c r="M468" s="13"/>
      <c r="N468" s="13"/>
      <c r="O468" s="13"/>
      <c r="P468" s="13"/>
      <c r="Q468" s="13"/>
      <c r="R468" s="22"/>
      <c r="S468" s="18"/>
      <c r="T468" s="54"/>
      <c r="U468" s="5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57"/>
      <c r="AK468" s="57"/>
      <c r="AL468" s="57"/>
      <c r="AM468" s="57"/>
      <c r="AN468" s="57"/>
      <c r="AO468" s="5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13"/>
    </row>
    <row r="469" spans="1:105" s="30" customFormat="1" ht="17.100000000000001" customHeight="1">
      <c r="A469" s="14">
        <v>458</v>
      </c>
      <c r="B469" s="14" t="s">
        <v>2221</v>
      </c>
      <c r="C469" s="32">
        <v>1.0566388995895966</v>
      </c>
      <c r="D469" s="32">
        <v>-1.3319818832451586</v>
      </c>
      <c r="E469" s="32">
        <v>1.3678778227860926</v>
      </c>
      <c r="F469" s="24">
        <v>83701</v>
      </c>
      <c r="G469" s="52" t="s">
        <v>2</v>
      </c>
      <c r="H469" s="32">
        <v>36.500479664573497</v>
      </c>
      <c r="I469" s="32">
        <v>10.654557731857498</v>
      </c>
      <c r="J469" s="12" t="s">
        <v>2222</v>
      </c>
      <c r="K469" s="12" t="s">
        <v>2223</v>
      </c>
      <c r="L469" s="14" t="s">
        <v>4313</v>
      </c>
      <c r="M469" s="12" t="s">
        <v>2224</v>
      </c>
      <c r="N469" s="15" t="s">
        <v>2225</v>
      </c>
      <c r="O469" s="12" t="s">
        <v>2226</v>
      </c>
      <c r="P469" s="12" t="s">
        <v>2227</v>
      </c>
      <c r="Q469" s="14">
        <v>2</v>
      </c>
      <c r="R469" s="21">
        <v>654.29359999999997</v>
      </c>
      <c r="S469" s="14">
        <v>3</v>
      </c>
      <c r="T469" s="52" t="s">
        <v>2</v>
      </c>
      <c r="U469" s="53">
        <v>51.136737499999995</v>
      </c>
      <c r="V469" s="24">
        <v>52256</v>
      </c>
      <c r="W469" s="24">
        <v>58954</v>
      </c>
      <c r="X469" s="24">
        <v>48528</v>
      </c>
      <c r="Y469" s="24">
        <v>50618</v>
      </c>
      <c r="Z469" s="24">
        <v>47052</v>
      </c>
      <c r="AA469" s="24">
        <v>40459</v>
      </c>
      <c r="AB469" s="24">
        <v>81989</v>
      </c>
      <c r="AC469" s="24">
        <v>85413</v>
      </c>
      <c r="AD469" s="24">
        <v>52589</v>
      </c>
      <c r="AE469" s="24">
        <v>63728.25</v>
      </c>
      <c r="AF469" s="24">
        <v>55605</v>
      </c>
      <c r="AG469" s="24">
        <v>49573</v>
      </c>
      <c r="AH469" s="24">
        <v>43755.5</v>
      </c>
      <c r="AI469" s="24">
        <v>83701</v>
      </c>
      <c r="AJ469" s="32">
        <v>8.5745588211082744</v>
      </c>
      <c r="AK469" s="32">
        <v>36.500479664573497</v>
      </c>
      <c r="AL469" s="32">
        <v>8.5175815491187752</v>
      </c>
      <c r="AM469" s="32">
        <v>2.9811654987188274</v>
      </c>
      <c r="AN469" s="32">
        <v>10.654557731857498</v>
      </c>
      <c r="AO469" s="32">
        <v>2.8925981992840453</v>
      </c>
      <c r="AP469" s="19">
        <v>1.2118171100420241</v>
      </c>
      <c r="AQ469" s="19">
        <v>0.78689866019242871</v>
      </c>
      <c r="AR469" s="19">
        <v>1.6884392713775644</v>
      </c>
      <c r="AS469" s="19">
        <v>0.27717198070432209</v>
      </c>
      <c r="AT469" s="19">
        <v>-0.34575024295596929</v>
      </c>
      <c r="AU469" s="19">
        <v>0.75569029041556501</v>
      </c>
      <c r="AV469" s="19">
        <v>7.9482428018221529E-2</v>
      </c>
      <c r="AW469" s="19">
        <v>-0.41357445993911901</v>
      </c>
      <c r="AX469" s="19">
        <v>0.45193937617977209</v>
      </c>
      <c r="AY469" s="19">
        <v>1.2118171100420241</v>
      </c>
      <c r="AZ469" s="19">
        <v>-1.2708116693901339</v>
      </c>
      <c r="BA469" s="19">
        <v>1.6884392713775644</v>
      </c>
      <c r="BB469" s="19">
        <v>1.0566388995895966</v>
      </c>
      <c r="BC469" s="19">
        <v>-1.3319818832451586</v>
      </c>
      <c r="BD469" s="19">
        <v>1.3678778227860926</v>
      </c>
      <c r="BE469" s="14" t="s">
        <v>4857</v>
      </c>
    </row>
    <row r="470" spans="1:105" s="30" customFormat="1" ht="17.100000000000001" customHeight="1">
      <c r="A470" s="14">
        <v>459</v>
      </c>
      <c r="B470" s="14" t="s">
        <v>2230</v>
      </c>
      <c r="C470" s="32">
        <v>-1.08691821549788</v>
      </c>
      <c r="D470" s="32">
        <v>-1.3692307434813513</v>
      </c>
      <c r="E470" s="32">
        <v>1.2154654232141215</v>
      </c>
      <c r="F470" s="24">
        <v>183961.5</v>
      </c>
      <c r="G470" s="52" t="s">
        <v>2</v>
      </c>
      <c r="H470" s="32">
        <v>26.58873691063139</v>
      </c>
      <c r="I470" s="32">
        <v>20.69690324615863</v>
      </c>
      <c r="J470" s="12" t="s">
        <v>2231</v>
      </c>
      <c r="K470" s="15" t="s">
        <v>2232</v>
      </c>
      <c r="L470" s="14" t="s">
        <v>5052</v>
      </c>
      <c r="M470" s="12" t="s">
        <v>2233</v>
      </c>
      <c r="N470" s="15" t="s">
        <v>2234</v>
      </c>
      <c r="O470" s="12" t="s">
        <v>2235</v>
      </c>
      <c r="P470" s="12" t="s">
        <v>2237</v>
      </c>
      <c r="Q470" s="14">
        <v>2</v>
      </c>
      <c r="R470" s="21">
        <v>836.93629999999996</v>
      </c>
      <c r="S470" s="14">
        <v>11</v>
      </c>
      <c r="T470" s="52" t="s">
        <v>2</v>
      </c>
      <c r="U470" s="53">
        <v>43.675962500000004</v>
      </c>
      <c r="V470" s="24">
        <v>192502</v>
      </c>
      <c r="W470" s="24">
        <v>175421</v>
      </c>
      <c r="X470" s="24">
        <v>102182</v>
      </c>
      <c r="Y470" s="24">
        <v>137218</v>
      </c>
      <c r="Z470" s="24">
        <v>155320</v>
      </c>
      <c r="AA470" s="24">
        <v>126322</v>
      </c>
      <c r="AB470" s="24">
        <v>177392</v>
      </c>
      <c r="AC470" s="24">
        <v>181782</v>
      </c>
      <c r="AD470" s="24">
        <v>151830.75</v>
      </c>
      <c r="AE470" s="24">
        <v>160204</v>
      </c>
      <c r="AF470" s="24">
        <v>183961.5</v>
      </c>
      <c r="AG470" s="24">
        <v>119700</v>
      </c>
      <c r="AH470" s="24">
        <v>140821</v>
      </c>
      <c r="AI470" s="24">
        <v>179587</v>
      </c>
      <c r="AJ470" s="32">
        <v>26.58873691063139</v>
      </c>
      <c r="AK470" s="32">
        <v>15.844135729847109</v>
      </c>
      <c r="AL470" s="32">
        <v>6.5655536236915975</v>
      </c>
      <c r="AM470" s="32">
        <v>20.69690324615863</v>
      </c>
      <c r="AN470" s="32">
        <v>14.560812975939315</v>
      </c>
      <c r="AO470" s="32">
        <v>1.7285208669942387</v>
      </c>
      <c r="AP470" s="19">
        <v>1.0551485782688947</v>
      </c>
      <c r="AQ470" s="19">
        <v>0.76549169255523575</v>
      </c>
      <c r="AR470" s="19">
        <v>1.5003091060985798</v>
      </c>
      <c r="AS470" s="19">
        <v>7.7446162950653319E-2</v>
      </c>
      <c r="AT470" s="19">
        <v>-0.3855413738238242</v>
      </c>
      <c r="AU470" s="19">
        <v>0.58525976731692197</v>
      </c>
      <c r="AV470" s="19">
        <v>-0.12024338973544724</v>
      </c>
      <c r="AW470" s="19">
        <v>-0.45336559080697392</v>
      </c>
      <c r="AX470" s="19">
        <v>0.28150885308112905</v>
      </c>
      <c r="AY470" s="19">
        <v>1.0551485782688947</v>
      </c>
      <c r="AZ470" s="19">
        <v>-1.3063499051987986</v>
      </c>
      <c r="BA470" s="19">
        <v>1.5003091060985798</v>
      </c>
      <c r="BB470" s="19">
        <v>-1.08691821549788</v>
      </c>
      <c r="BC470" s="19">
        <v>-1.3692307434813513</v>
      </c>
      <c r="BD470" s="19">
        <v>1.2154654232141215</v>
      </c>
      <c r="BE470" s="14" t="s">
        <v>4857</v>
      </c>
    </row>
    <row r="471" spans="1:105" s="30" customFormat="1" ht="17.100000000000001" customHeight="1">
      <c r="A471" s="14">
        <v>460</v>
      </c>
      <c r="B471" s="14" t="s">
        <v>2239</v>
      </c>
      <c r="C471" s="32">
        <v>1.2207241894563903</v>
      </c>
      <c r="D471" s="32">
        <v>1.4149298489611555</v>
      </c>
      <c r="E471" s="32">
        <v>1.0855542121532828</v>
      </c>
      <c r="F471" s="24">
        <v>57350</v>
      </c>
      <c r="G471" s="52" t="s">
        <v>2</v>
      </c>
      <c r="H471" s="32">
        <v>27.90048113651704</v>
      </c>
      <c r="I471" s="32">
        <v>29.738135657378166</v>
      </c>
      <c r="J471" s="12" t="s">
        <v>2240</v>
      </c>
      <c r="K471" s="15" t="s">
        <v>2241</v>
      </c>
      <c r="L471" s="14" t="s">
        <v>2242</v>
      </c>
      <c r="M471" s="12" t="s">
        <v>2243</v>
      </c>
      <c r="N471" s="15" t="s">
        <v>2244</v>
      </c>
      <c r="O471" s="12" t="s">
        <v>2245</v>
      </c>
      <c r="P471" s="12" t="s">
        <v>2247</v>
      </c>
      <c r="Q471" s="14">
        <v>2</v>
      </c>
      <c r="R471" s="21">
        <v>561.29060000000004</v>
      </c>
      <c r="S471" s="14">
        <v>1</v>
      </c>
      <c r="T471" s="52" t="s">
        <v>2</v>
      </c>
      <c r="U471" s="53">
        <v>42.59</v>
      </c>
      <c r="V471" s="24">
        <v>28200</v>
      </c>
      <c r="W471" s="24">
        <v>33700</v>
      </c>
      <c r="X471" s="24">
        <v>51800</v>
      </c>
      <c r="Y471" s="24">
        <v>33800</v>
      </c>
      <c r="Z471" s="24">
        <v>52700</v>
      </c>
      <c r="AA471" s="24">
        <v>39100</v>
      </c>
      <c r="AB471" s="24">
        <v>65400</v>
      </c>
      <c r="AC471" s="24">
        <v>49300</v>
      </c>
      <c r="AD471" s="24">
        <v>36875</v>
      </c>
      <c r="AE471" s="24">
        <v>51625</v>
      </c>
      <c r="AF471" s="24">
        <v>30950</v>
      </c>
      <c r="AG471" s="24">
        <v>42800</v>
      </c>
      <c r="AH471" s="24">
        <v>45900</v>
      </c>
      <c r="AI471" s="24">
        <v>57350</v>
      </c>
      <c r="AJ471" s="32">
        <v>27.90048113651704</v>
      </c>
      <c r="AK471" s="32">
        <v>21.017544242736449</v>
      </c>
      <c r="AL471" s="32">
        <v>12.565710166481459</v>
      </c>
      <c r="AM471" s="32">
        <v>29.738135657378166</v>
      </c>
      <c r="AN471" s="32">
        <v>20.951312035156963</v>
      </c>
      <c r="AO471" s="32">
        <v>19.850774502359922</v>
      </c>
      <c r="AP471" s="19">
        <v>1.4</v>
      </c>
      <c r="AQ471" s="19">
        <v>1.4830371567043619</v>
      </c>
      <c r="AR471" s="19">
        <v>1.3399532710280373</v>
      </c>
      <c r="AS471" s="19">
        <v>0.48542682717024171</v>
      </c>
      <c r="AT471" s="19">
        <v>0.56855474419954333</v>
      </c>
      <c r="AU471" s="19">
        <v>0.42218268961467798</v>
      </c>
      <c r="AV471" s="19">
        <v>0.28773727448414116</v>
      </c>
      <c r="AW471" s="19">
        <v>0.50073052721639366</v>
      </c>
      <c r="AX471" s="19">
        <v>0.11843177537888505</v>
      </c>
      <c r="AY471" s="19">
        <v>1.4</v>
      </c>
      <c r="AZ471" s="19">
        <v>1.4830371567043619</v>
      </c>
      <c r="BA471" s="19">
        <v>1.3399532710280373</v>
      </c>
      <c r="BB471" s="19">
        <v>1.2207241894563903</v>
      </c>
      <c r="BC471" s="19">
        <v>1.4149298489611555</v>
      </c>
      <c r="BD471" s="19">
        <v>1.0855542121532828</v>
      </c>
      <c r="BE471" s="14" t="s">
        <v>4857</v>
      </c>
    </row>
    <row r="472" spans="1:105" s="30" customFormat="1" ht="17.100000000000001" customHeight="1">
      <c r="A472" s="14">
        <v>461</v>
      </c>
      <c r="B472" s="14" t="s">
        <v>2248</v>
      </c>
      <c r="C472" s="32">
        <v>1.0812165291254288</v>
      </c>
      <c r="D472" s="32">
        <v>1.1348373992106828</v>
      </c>
      <c r="E472" s="32">
        <v>1.0466815354034849</v>
      </c>
      <c r="F472" s="24">
        <v>60445.5</v>
      </c>
      <c r="G472" s="52" t="s">
        <v>2</v>
      </c>
      <c r="H472" s="32">
        <v>29.847833939853611</v>
      </c>
      <c r="I472" s="32">
        <v>46.26044862896785</v>
      </c>
      <c r="J472" s="12" t="s">
        <v>2249</v>
      </c>
      <c r="K472" s="15" t="s">
        <v>2250</v>
      </c>
      <c r="L472" s="14" t="s">
        <v>4351</v>
      </c>
      <c r="M472" s="12" t="s">
        <v>2251</v>
      </c>
      <c r="N472" s="15" t="s">
        <v>2252</v>
      </c>
      <c r="O472" s="12" t="s">
        <v>2253</v>
      </c>
      <c r="P472" s="12" t="s">
        <v>2254</v>
      </c>
      <c r="Q472" s="14">
        <v>2</v>
      </c>
      <c r="R472" s="21">
        <v>558.24659999999994</v>
      </c>
      <c r="S472" s="14">
        <v>6</v>
      </c>
      <c r="T472" s="52" t="s">
        <v>2</v>
      </c>
      <c r="U472" s="53">
        <v>24.960100000000001</v>
      </c>
      <c r="V472" s="24">
        <v>32369</v>
      </c>
      <c r="W472" s="24">
        <v>63840</v>
      </c>
      <c r="X472" s="24">
        <v>54020</v>
      </c>
      <c r="Y472" s="24">
        <v>39551</v>
      </c>
      <c r="Z472" s="24">
        <v>60975</v>
      </c>
      <c r="AA472" s="24">
        <v>53462</v>
      </c>
      <c r="AB472" s="24">
        <v>66529</v>
      </c>
      <c r="AC472" s="24">
        <v>54362</v>
      </c>
      <c r="AD472" s="24">
        <v>47445</v>
      </c>
      <c r="AE472" s="24">
        <v>58832</v>
      </c>
      <c r="AF472" s="24">
        <v>48104.5</v>
      </c>
      <c r="AG472" s="24">
        <v>46785.5</v>
      </c>
      <c r="AH472" s="24">
        <v>57218.5</v>
      </c>
      <c r="AI472" s="24">
        <v>60445.5</v>
      </c>
      <c r="AJ472" s="32">
        <v>29.847833939853611</v>
      </c>
      <c r="AK472" s="32">
        <v>10.415957047460566</v>
      </c>
      <c r="AL472" s="32">
        <v>46.26044862896785</v>
      </c>
      <c r="AM472" s="32">
        <v>21.868160043150453</v>
      </c>
      <c r="AN472" s="32">
        <v>9.2845727291951583</v>
      </c>
      <c r="AO472" s="32">
        <v>14.233265018399589</v>
      </c>
      <c r="AP472" s="19">
        <v>1.2400042154073136</v>
      </c>
      <c r="AQ472" s="19">
        <v>1.1894625242960637</v>
      </c>
      <c r="AR472" s="19">
        <v>1.2919708029197081</v>
      </c>
      <c r="AS472" s="19">
        <v>0.31034502507738404</v>
      </c>
      <c r="AT472" s="19">
        <v>0.25030981832553018</v>
      </c>
      <c r="AU472" s="19">
        <v>0.36957346712247086</v>
      </c>
      <c r="AV472" s="19">
        <v>0.11265547239128348</v>
      </c>
      <c r="AW472" s="19">
        <v>0.18248560134238045</v>
      </c>
      <c r="AX472" s="19">
        <v>6.5822552886677932E-2</v>
      </c>
      <c r="AY472" s="19">
        <v>1.2400042154073136</v>
      </c>
      <c r="AZ472" s="19">
        <v>1.1894625242960637</v>
      </c>
      <c r="BA472" s="19">
        <v>1.2919708029197081</v>
      </c>
      <c r="BB472" s="19">
        <v>1.0812165291254288</v>
      </c>
      <c r="BC472" s="19">
        <v>1.1348373992106828</v>
      </c>
      <c r="BD472" s="19">
        <v>1.0466815354034849</v>
      </c>
      <c r="BE472" s="14" t="s">
        <v>4857</v>
      </c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28"/>
      <c r="BU472" s="28"/>
      <c r="BV472" s="28"/>
      <c r="BW472" s="28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</row>
    <row r="473" spans="1:105" s="30" customFormat="1" ht="17.100000000000001" customHeight="1">
      <c r="A473" s="14">
        <v>462</v>
      </c>
      <c r="B473" s="14" t="s">
        <v>2255</v>
      </c>
      <c r="C473" s="32">
        <v>-1.086489206840942</v>
      </c>
      <c r="D473" s="32">
        <v>-1.8463130818743101</v>
      </c>
      <c r="E473" s="32">
        <v>1.0706975443659663</v>
      </c>
      <c r="F473" s="24">
        <v>72556</v>
      </c>
      <c r="G473" s="52" t="s">
        <v>2</v>
      </c>
      <c r="H473" s="32">
        <v>49.127878454790505</v>
      </c>
      <c r="I473" s="32">
        <v>34.427551342681483</v>
      </c>
      <c r="J473" s="12" t="s">
        <v>2256</v>
      </c>
      <c r="K473" s="12" t="s">
        <v>2257</v>
      </c>
      <c r="L473" s="14" t="s">
        <v>2258</v>
      </c>
      <c r="M473" s="12" t="s">
        <v>2259</v>
      </c>
      <c r="N473" s="15" t="s">
        <v>2260</v>
      </c>
      <c r="O473" s="12" t="s">
        <v>2261</v>
      </c>
      <c r="P473" s="12" t="s">
        <v>2262</v>
      </c>
      <c r="Q473" s="14">
        <v>3</v>
      </c>
      <c r="R473" s="21">
        <v>989.46849999999995</v>
      </c>
      <c r="S473" s="14">
        <v>1</v>
      </c>
      <c r="T473" s="52" t="s">
        <v>2</v>
      </c>
      <c r="U473" s="53">
        <v>103.70700000000001</v>
      </c>
      <c r="V473" s="24">
        <v>58327</v>
      </c>
      <c r="W473" s="24">
        <v>56253</v>
      </c>
      <c r="X473" s="24">
        <v>62106</v>
      </c>
      <c r="Y473" s="24">
        <v>47693</v>
      </c>
      <c r="Z473" s="24"/>
      <c r="AA473" s="24">
        <v>32523</v>
      </c>
      <c r="AB473" s="24">
        <v>90219</v>
      </c>
      <c r="AC473" s="24">
        <v>54893</v>
      </c>
      <c r="AD473" s="24">
        <v>56094.75</v>
      </c>
      <c r="AE473" s="24">
        <v>59211.666666666664</v>
      </c>
      <c r="AF473" s="24">
        <v>57290</v>
      </c>
      <c r="AG473" s="24">
        <v>54899.5</v>
      </c>
      <c r="AH473" s="24">
        <v>32523</v>
      </c>
      <c r="AI473" s="24">
        <v>72556</v>
      </c>
      <c r="AJ473" s="32">
        <v>10.879449952214927</v>
      </c>
      <c r="AK473" s="32">
        <v>49.127878454790505</v>
      </c>
      <c r="AL473" s="32">
        <v>2.5598524422777094</v>
      </c>
      <c r="AM473" s="32">
        <v>18.563976060331534</v>
      </c>
      <c r="AN473" s="32" t="s">
        <v>4854</v>
      </c>
      <c r="AO473" s="32">
        <v>34.427551342681483</v>
      </c>
      <c r="AP473" s="19">
        <v>1.0555652118365206</v>
      </c>
      <c r="AQ473" s="19">
        <v>0.56769069645662418</v>
      </c>
      <c r="AR473" s="19">
        <v>1.3216149509558375</v>
      </c>
      <c r="AS473" s="19">
        <v>7.8015709795427796E-2</v>
      </c>
      <c r="AT473" s="19">
        <v>-0.81682299654720647</v>
      </c>
      <c r="AU473" s="19">
        <v>0.40230191265377158</v>
      </c>
      <c r="AV473" s="19">
        <v>-0.11967384289067276</v>
      </c>
      <c r="AW473" s="19">
        <v>-0.88464721353035614</v>
      </c>
      <c r="AX473" s="19">
        <v>9.8550998417978652E-2</v>
      </c>
      <c r="AY473" s="19">
        <v>1.0555652118365206</v>
      </c>
      <c r="AZ473" s="19">
        <v>-1.7615226147649357</v>
      </c>
      <c r="BA473" s="19">
        <v>1.3216149509558375</v>
      </c>
      <c r="BB473" s="19">
        <v>-1.086489206840942</v>
      </c>
      <c r="BC473" s="19">
        <v>-1.8463130818743101</v>
      </c>
      <c r="BD473" s="19">
        <v>1.0706975443659663</v>
      </c>
      <c r="BE473" s="14" t="s">
        <v>4857</v>
      </c>
    </row>
    <row r="474" spans="1:105" s="30" customFormat="1" ht="17.100000000000001" customHeight="1">
      <c r="A474" s="14">
        <v>463</v>
      </c>
      <c r="B474" s="14" t="s">
        <v>2263</v>
      </c>
      <c r="C474" s="32">
        <v>1.2246320593562428</v>
      </c>
      <c r="D474" s="32">
        <v>-1.1572573595724558</v>
      </c>
      <c r="E474" s="32">
        <v>1.5945152364037611</v>
      </c>
      <c r="F474" s="24">
        <v>105862</v>
      </c>
      <c r="G474" s="52" t="s">
        <v>2</v>
      </c>
      <c r="H474" s="32">
        <v>37.679581141576968</v>
      </c>
      <c r="I474" s="32">
        <v>19.777387453782286</v>
      </c>
      <c r="J474" s="12" t="s">
        <v>2264</v>
      </c>
      <c r="K474" s="12" t="s">
        <v>2265</v>
      </c>
      <c r="L474" s="14" t="s">
        <v>5156</v>
      </c>
      <c r="M474" s="12" t="s">
        <v>2266</v>
      </c>
      <c r="N474" s="15" t="s">
        <v>2267</v>
      </c>
      <c r="O474" s="12" t="s">
        <v>2268</v>
      </c>
      <c r="P474" s="12" t="s">
        <v>2269</v>
      </c>
      <c r="Q474" s="14">
        <v>2</v>
      </c>
      <c r="R474" s="21">
        <v>697.33010000000002</v>
      </c>
      <c r="S474" s="14">
        <v>7</v>
      </c>
      <c r="T474" s="52" t="s">
        <v>2</v>
      </c>
      <c r="U474" s="53">
        <v>41.470412499999995</v>
      </c>
      <c r="V474" s="24">
        <v>65451</v>
      </c>
      <c r="W474" s="24">
        <v>56126</v>
      </c>
      <c r="X474" s="24">
        <v>56830</v>
      </c>
      <c r="Y474" s="24">
        <v>50743</v>
      </c>
      <c r="Z474" s="24">
        <v>62756</v>
      </c>
      <c r="AA474" s="24">
        <v>47357</v>
      </c>
      <c r="AB474" s="24">
        <v>100498</v>
      </c>
      <c r="AC474" s="24">
        <v>111226</v>
      </c>
      <c r="AD474" s="24">
        <v>57287.5</v>
      </c>
      <c r="AE474" s="24">
        <v>80459.25</v>
      </c>
      <c r="AF474" s="24">
        <v>60788.5</v>
      </c>
      <c r="AG474" s="24">
        <v>53786.5</v>
      </c>
      <c r="AH474" s="24">
        <v>55056.5</v>
      </c>
      <c r="AI474" s="24">
        <v>105862</v>
      </c>
      <c r="AJ474" s="32">
        <v>10.619469047779932</v>
      </c>
      <c r="AK474" s="32">
        <v>37.679581141576968</v>
      </c>
      <c r="AL474" s="32">
        <v>10.847069321606153</v>
      </c>
      <c r="AM474" s="32">
        <v>8.0023035093982973</v>
      </c>
      <c r="AN474" s="32">
        <v>19.777387453782286</v>
      </c>
      <c r="AO474" s="32">
        <v>7.1657833297777129</v>
      </c>
      <c r="AP474" s="19">
        <v>1.4044817804931267</v>
      </c>
      <c r="AQ474" s="19">
        <v>0.90570584896814366</v>
      </c>
      <c r="AR474" s="19">
        <v>1.9681890437191489</v>
      </c>
      <c r="AS474" s="19">
        <v>0.4900379093609265</v>
      </c>
      <c r="AT474" s="19">
        <v>-0.14288552048780678</v>
      </c>
      <c r="AU474" s="19">
        <v>0.97686879757643685</v>
      </c>
      <c r="AV474" s="19">
        <v>0.29234835667482595</v>
      </c>
      <c r="AW474" s="19">
        <v>-0.2107097374709565</v>
      </c>
      <c r="AX474" s="19">
        <v>0.67311788334064393</v>
      </c>
      <c r="AY474" s="19">
        <v>1.4044817804931267</v>
      </c>
      <c r="AZ474" s="19">
        <v>-1.1041112311897778</v>
      </c>
      <c r="BA474" s="19">
        <v>1.9681890437191489</v>
      </c>
      <c r="BB474" s="19">
        <v>1.2246320593562428</v>
      </c>
      <c r="BC474" s="19">
        <v>-1.1572573595724558</v>
      </c>
      <c r="BD474" s="19">
        <v>1.5945152364037611</v>
      </c>
      <c r="BE474" s="14" t="s">
        <v>4857</v>
      </c>
    </row>
    <row r="475" spans="1:105" s="30" customFormat="1" ht="17.100000000000001" customHeight="1">
      <c r="A475" s="31">
        <v>464</v>
      </c>
      <c r="B475" s="11" t="s">
        <v>4858</v>
      </c>
      <c r="C475" s="57"/>
      <c r="D475" s="57"/>
      <c r="E475" s="57"/>
      <c r="F475" s="27"/>
      <c r="G475" s="54"/>
      <c r="H475" s="57"/>
      <c r="I475" s="57"/>
      <c r="J475" s="13"/>
      <c r="K475" s="13"/>
      <c r="L475" s="13"/>
      <c r="M475" s="13"/>
      <c r="N475" s="13"/>
      <c r="O475" s="13"/>
      <c r="P475" s="13"/>
      <c r="Q475" s="13"/>
      <c r="R475" s="22"/>
      <c r="S475" s="18"/>
      <c r="T475" s="54"/>
      <c r="U475" s="5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57"/>
      <c r="AK475" s="57"/>
      <c r="AL475" s="57"/>
      <c r="AM475" s="57"/>
      <c r="AN475" s="57"/>
      <c r="AO475" s="5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13"/>
    </row>
    <row r="476" spans="1:105" s="30" customFormat="1" ht="17.100000000000001" customHeight="1">
      <c r="A476" s="14">
        <v>465</v>
      </c>
      <c r="B476" s="14" t="s">
        <v>2272</v>
      </c>
      <c r="C476" s="32">
        <v>1.0940532541685208</v>
      </c>
      <c r="D476" s="32">
        <v>1.1742438678731788</v>
      </c>
      <c r="E476" s="32">
        <v>1.0318066045481544</v>
      </c>
      <c r="F476" s="42">
        <v>3892645.5</v>
      </c>
      <c r="G476" s="52" t="s">
        <v>4894</v>
      </c>
      <c r="H476" s="32">
        <v>17.186193914025854</v>
      </c>
      <c r="I476" s="32">
        <v>10.246933966809666</v>
      </c>
      <c r="J476" s="12" t="s">
        <v>2273</v>
      </c>
      <c r="K476" s="12" t="s">
        <v>2273</v>
      </c>
      <c r="L476" s="14" t="s">
        <v>4286</v>
      </c>
      <c r="M476" s="12" t="s">
        <v>2274</v>
      </c>
      <c r="N476" s="15" t="s">
        <v>2275</v>
      </c>
      <c r="O476" s="12" t="s">
        <v>2142</v>
      </c>
      <c r="P476" s="12" t="s">
        <v>2143</v>
      </c>
      <c r="Q476" s="14">
        <v>3</v>
      </c>
      <c r="R476" s="21">
        <v>424.87990000000002</v>
      </c>
      <c r="S476" s="14">
        <v>1</v>
      </c>
      <c r="T476" s="52" t="s">
        <v>4894</v>
      </c>
      <c r="U476" s="53">
        <v>52.1</v>
      </c>
      <c r="V476" s="42">
        <v>2388103</v>
      </c>
      <c r="W476" s="42">
        <v>2429543</v>
      </c>
      <c r="X476" s="42">
        <v>3258262</v>
      </c>
      <c r="Y476" s="42">
        <v>2854513</v>
      </c>
      <c r="Z476" s="42">
        <v>3068341</v>
      </c>
      <c r="AA476" s="42">
        <v>2861053</v>
      </c>
      <c r="AB476" s="42">
        <v>4174694</v>
      </c>
      <c r="AC476" s="42">
        <v>3610597</v>
      </c>
      <c r="AD476" s="42">
        <v>2732605.25</v>
      </c>
      <c r="AE476" s="42">
        <v>3428671.25</v>
      </c>
      <c r="AF476" s="42">
        <v>2408823</v>
      </c>
      <c r="AG476" s="42">
        <v>3056387.5</v>
      </c>
      <c r="AH476" s="42">
        <v>2964697</v>
      </c>
      <c r="AI476" s="42">
        <v>3892645.5</v>
      </c>
      <c r="AJ476" s="32">
        <v>14.965344158150302</v>
      </c>
      <c r="AK476" s="32">
        <v>17.186193914025854</v>
      </c>
      <c r="AL476" s="32">
        <v>1.2164656769040536</v>
      </c>
      <c r="AM476" s="32">
        <v>9.3408854668227548</v>
      </c>
      <c r="AN476" s="32">
        <v>4.9440044111960537</v>
      </c>
      <c r="AO476" s="32">
        <v>10.246933966809666</v>
      </c>
      <c r="AP476" s="19">
        <v>1.254726144583086</v>
      </c>
      <c r="AQ476" s="19">
        <v>1.2307658138435245</v>
      </c>
      <c r="AR476" s="19">
        <v>1.2736099398391074</v>
      </c>
      <c r="AS476" s="19">
        <v>0.32737251719218552</v>
      </c>
      <c r="AT476" s="19">
        <v>0.29955627656815859</v>
      </c>
      <c r="AU476" s="19">
        <v>0.34892350049532128</v>
      </c>
      <c r="AV476" s="19">
        <v>0.12968296450608496</v>
      </c>
      <c r="AW476" s="19">
        <v>0.23173205958500886</v>
      </c>
      <c r="AX476" s="19">
        <v>4.5172586259528358E-2</v>
      </c>
      <c r="AY476" s="19">
        <v>1.254726144583086</v>
      </c>
      <c r="AZ476" s="19">
        <v>1.2307658138435245</v>
      </c>
      <c r="BA476" s="19">
        <v>1.2736099398391074</v>
      </c>
      <c r="BB476" s="19">
        <v>1.0940532541685208</v>
      </c>
      <c r="BC476" s="19">
        <v>1.1742438678731788</v>
      </c>
      <c r="BD476" s="19">
        <v>1.0318066045481544</v>
      </c>
      <c r="BE476" s="14" t="s">
        <v>4857</v>
      </c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28"/>
      <c r="BU476" s="28"/>
      <c r="BV476" s="28"/>
      <c r="BW476" s="28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</row>
    <row r="477" spans="1:105" s="30" customFormat="1" ht="17.100000000000001" customHeight="1">
      <c r="A477" s="14">
        <v>466</v>
      </c>
      <c r="B477" s="14" t="s">
        <v>2144</v>
      </c>
      <c r="C477" s="32">
        <v>1.4078034270762481</v>
      </c>
      <c r="D477" s="32">
        <v>1.1647677302271933</v>
      </c>
      <c r="E477" s="32">
        <v>1.8003069507409788</v>
      </c>
      <c r="F477" s="24">
        <v>198786.5</v>
      </c>
      <c r="G477" s="52" t="s">
        <v>2</v>
      </c>
      <c r="H477" s="32">
        <v>45.982409838922109</v>
      </c>
      <c r="I477" s="32">
        <v>53.569890607358886</v>
      </c>
      <c r="J477" s="12" t="s">
        <v>2145</v>
      </c>
      <c r="K477" s="12" t="s">
        <v>2146</v>
      </c>
      <c r="L477" s="14" t="s">
        <v>5183</v>
      </c>
      <c r="M477" s="12" t="s">
        <v>2147</v>
      </c>
      <c r="N477" s="15" t="s">
        <v>2148</v>
      </c>
      <c r="O477" s="12" t="s">
        <v>2149</v>
      </c>
      <c r="P477" s="12" t="s">
        <v>2150</v>
      </c>
      <c r="Q477" s="14">
        <v>2</v>
      </c>
      <c r="R477" s="21">
        <v>762.85559999999998</v>
      </c>
      <c r="S477" s="14">
        <v>7</v>
      </c>
      <c r="T477" s="52" t="s">
        <v>2</v>
      </c>
      <c r="U477" s="53">
        <v>50.869349999999997</v>
      </c>
      <c r="V477" s="24">
        <v>190358</v>
      </c>
      <c r="W477" s="24">
        <v>85764</v>
      </c>
      <c r="X477" s="24">
        <v>103166</v>
      </c>
      <c r="Y477" s="24">
        <v>75743</v>
      </c>
      <c r="Z477" s="24">
        <v>173407</v>
      </c>
      <c r="AA477" s="24">
        <v>163692</v>
      </c>
      <c r="AB477" s="24">
        <v>211036</v>
      </c>
      <c r="AC477" s="24">
        <v>186537</v>
      </c>
      <c r="AD477" s="24">
        <v>113757.75</v>
      </c>
      <c r="AE477" s="24">
        <v>183668</v>
      </c>
      <c r="AF477" s="24">
        <v>138061</v>
      </c>
      <c r="AG477" s="24">
        <v>89454.5</v>
      </c>
      <c r="AH477" s="24">
        <v>168549.5</v>
      </c>
      <c r="AI477" s="24">
        <v>198786.5</v>
      </c>
      <c r="AJ477" s="32">
        <v>45.982409838922109</v>
      </c>
      <c r="AK477" s="32">
        <v>11.16506059445196</v>
      </c>
      <c r="AL477" s="32">
        <v>53.569890607358886</v>
      </c>
      <c r="AM477" s="32">
        <v>21.676929903446659</v>
      </c>
      <c r="AN477" s="32">
        <v>4.0756824429780627</v>
      </c>
      <c r="AO477" s="32">
        <v>8.7145802317004559</v>
      </c>
      <c r="AP477" s="19">
        <v>1.6145537337016598</v>
      </c>
      <c r="AQ477" s="19">
        <v>1.2208335445926075</v>
      </c>
      <c r="AR477" s="19">
        <v>2.2222079381137898</v>
      </c>
      <c r="AS477" s="19">
        <v>0.69113545585118841</v>
      </c>
      <c r="AT477" s="19">
        <v>0.287866508465072</v>
      </c>
      <c r="AU477" s="19">
        <v>1.1519938199896664</v>
      </c>
      <c r="AV477" s="19">
        <v>0.49344590316508785</v>
      </c>
      <c r="AW477" s="19">
        <v>0.22004229148192228</v>
      </c>
      <c r="AX477" s="19">
        <v>0.84824290575387351</v>
      </c>
      <c r="AY477" s="19">
        <v>1.6145537337016598</v>
      </c>
      <c r="AZ477" s="19">
        <v>1.2208335445926075</v>
      </c>
      <c r="BA477" s="19">
        <v>2.2222079381137898</v>
      </c>
      <c r="BB477" s="19">
        <v>1.4078034270762481</v>
      </c>
      <c r="BC477" s="19">
        <v>1.1647677302271933</v>
      </c>
      <c r="BD477" s="19">
        <v>1.8003069507409788</v>
      </c>
      <c r="BE477" s="14" t="s">
        <v>4857</v>
      </c>
    </row>
    <row r="478" spans="1:105" s="30" customFormat="1" ht="17.100000000000001" customHeight="1">
      <c r="A478" s="14">
        <v>467</v>
      </c>
      <c r="B478" s="14" t="s">
        <v>2151</v>
      </c>
      <c r="C478" s="32">
        <v>1.1281362067901406</v>
      </c>
      <c r="D478" s="32">
        <v>1.0666623934651993</v>
      </c>
      <c r="E478" s="32">
        <v>1.1968668897246908</v>
      </c>
      <c r="F478" s="42">
        <v>16704500.5</v>
      </c>
      <c r="G478" s="52" t="s">
        <v>4894</v>
      </c>
      <c r="H478" s="32">
        <v>13.853088857764329</v>
      </c>
      <c r="I478" s="32">
        <v>4.5009594772767434</v>
      </c>
      <c r="J478" s="12" t="s">
        <v>2152</v>
      </c>
      <c r="K478" s="12" t="s">
        <v>2153</v>
      </c>
      <c r="L478" s="14" t="s">
        <v>3391</v>
      </c>
      <c r="M478" s="12" t="s">
        <v>2154</v>
      </c>
      <c r="N478" s="15" t="s">
        <v>2155</v>
      </c>
      <c r="O478" s="12" t="s">
        <v>2156</v>
      </c>
      <c r="P478" s="12" t="s">
        <v>2157</v>
      </c>
      <c r="Q478" s="14">
        <v>2</v>
      </c>
      <c r="R478" s="21">
        <v>548.82730000000004</v>
      </c>
      <c r="S478" s="14">
        <v>1</v>
      </c>
      <c r="T478" s="52" t="s">
        <v>4894</v>
      </c>
      <c r="U478" s="53">
        <v>47.1</v>
      </c>
      <c r="V478" s="42">
        <v>11816157</v>
      </c>
      <c r="W478" s="42">
        <v>11792114</v>
      </c>
      <c r="X478" s="42">
        <v>10947190</v>
      </c>
      <c r="Y478" s="42">
        <v>11666920</v>
      </c>
      <c r="Z478" s="42">
        <v>12919273</v>
      </c>
      <c r="AA478" s="42">
        <v>13474914</v>
      </c>
      <c r="AB478" s="42">
        <v>17158747</v>
      </c>
      <c r="AC478" s="42">
        <v>16250254</v>
      </c>
      <c r="AD478" s="42">
        <v>11555595.25</v>
      </c>
      <c r="AE478" s="42">
        <v>14950797</v>
      </c>
      <c r="AF478" s="42">
        <v>11804135.5</v>
      </c>
      <c r="AG478" s="42">
        <v>11307055</v>
      </c>
      <c r="AH478" s="42">
        <v>13197093.5</v>
      </c>
      <c r="AI478" s="42">
        <v>16704500.5</v>
      </c>
      <c r="AJ478" s="32">
        <v>3.5553872178802091</v>
      </c>
      <c r="AK478" s="32">
        <v>13.853088857764329</v>
      </c>
      <c r="AL478" s="32">
        <v>0.14402552681700545</v>
      </c>
      <c r="AM478" s="32">
        <v>4.5009594772767434</v>
      </c>
      <c r="AN478" s="32">
        <v>2.977151893371631</v>
      </c>
      <c r="AO478" s="32">
        <v>3.8456795577964762</v>
      </c>
      <c r="AP478" s="19">
        <v>1.2938145267765415</v>
      </c>
      <c r="AQ478" s="19">
        <v>1.1180059310569588</v>
      </c>
      <c r="AR478" s="19">
        <v>1.4773520160643068</v>
      </c>
      <c r="AS478" s="19">
        <v>0.37163081634264439</v>
      </c>
      <c r="AT478" s="19">
        <v>0.16092784174439895</v>
      </c>
      <c r="AU478" s="19">
        <v>0.56301362523694931</v>
      </c>
      <c r="AV478" s="19">
        <v>0.17394126365654383</v>
      </c>
      <c r="AW478" s="19">
        <v>9.310362476124924E-2</v>
      </c>
      <c r="AX478" s="19">
        <v>0.25926271100115639</v>
      </c>
      <c r="AY478" s="19">
        <v>1.2938145267765415</v>
      </c>
      <c r="AZ478" s="19">
        <v>1.1180059310569588</v>
      </c>
      <c r="BA478" s="19">
        <v>1.4773520160643068</v>
      </c>
      <c r="BB478" s="19">
        <v>1.1281362067901406</v>
      </c>
      <c r="BC478" s="19">
        <v>1.0666623934651993</v>
      </c>
      <c r="BD478" s="19">
        <v>1.1968668897246908</v>
      </c>
      <c r="BE478" s="14" t="s">
        <v>4857</v>
      </c>
    </row>
    <row r="479" spans="1:105" s="30" customFormat="1" ht="17.100000000000001" customHeight="1">
      <c r="A479" s="14">
        <v>468</v>
      </c>
      <c r="B479" s="14" t="s">
        <v>2158</v>
      </c>
      <c r="C479" s="32">
        <v>1.0171570693264314</v>
      </c>
      <c r="D479" s="32">
        <v>-1.5284380793711527</v>
      </c>
      <c r="E479" s="32">
        <v>1.4402619328360067</v>
      </c>
      <c r="F479" s="24">
        <v>123713.5</v>
      </c>
      <c r="G479" s="52" t="s">
        <v>2</v>
      </c>
      <c r="H479" s="32">
        <v>42.885787887139784</v>
      </c>
      <c r="I479" s="32">
        <v>34.049702264469531</v>
      </c>
      <c r="J479" s="12" t="s">
        <v>2159</v>
      </c>
      <c r="K479" s="12" t="s">
        <v>2160</v>
      </c>
      <c r="L479" s="14" t="s">
        <v>2161</v>
      </c>
      <c r="M479" s="12" t="s">
        <v>2162</v>
      </c>
      <c r="N479" s="15" t="s">
        <v>2163</v>
      </c>
      <c r="O479" s="12" t="s">
        <v>2164</v>
      </c>
      <c r="P479" s="12" t="s">
        <v>2165</v>
      </c>
      <c r="Q479" s="14">
        <v>2</v>
      </c>
      <c r="R479" s="21">
        <v>684.82360000000006</v>
      </c>
      <c r="S479" s="14">
        <v>9</v>
      </c>
      <c r="T479" s="52" t="s">
        <v>2</v>
      </c>
      <c r="U479" s="53">
        <v>50.512787500000002</v>
      </c>
      <c r="V479" s="24">
        <v>104758</v>
      </c>
      <c r="W479" s="24">
        <v>72187</v>
      </c>
      <c r="X479" s="24">
        <v>58058</v>
      </c>
      <c r="Y479" s="24">
        <v>81119</v>
      </c>
      <c r="Z479" s="24">
        <v>75278</v>
      </c>
      <c r="AA479" s="24">
        <v>46063</v>
      </c>
      <c r="AB479" s="24">
        <v>135722</v>
      </c>
      <c r="AC479" s="24">
        <v>111705</v>
      </c>
      <c r="AD479" s="24">
        <v>79030.5</v>
      </c>
      <c r="AE479" s="24">
        <v>92192</v>
      </c>
      <c r="AF479" s="24">
        <v>88472.5</v>
      </c>
      <c r="AG479" s="24">
        <v>69588.5</v>
      </c>
      <c r="AH479" s="24">
        <v>60670.5</v>
      </c>
      <c r="AI479" s="24">
        <v>123713.5</v>
      </c>
      <c r="AJ479" s="32">
        <v>24.805558041433688</v>
      </c>
      <c r="AK479" s="32">
        <v>42.885787887139784</v>
      </c>
      <c r="AL479" s="32">
        <v>26.032015564188921</v>
      </c>
      <c r="AM479" s="32">
        <v>23.432879686935301</v>
      </c>
      <c r="AN479" s="32">
        <v>34.049702264469531</v>
      </c>
      <c r="AO479" s="32">
        <v>13.727348724074018</v>
      </c>
      <c r="AP479" s="19">
        <v>1.1665369699040244</v>
      </c>
      <c r="AQ479" s="19">
        <v>0.68575546073638705</v>
      </c>
      <c r="AR479" s="19">
        <v>1.7777865595608471</v>
      </c>
      <c r="AS479" s="19">
        <v>0.22223202995565014</v>
      </c>
      <c r="AT479" s="19">
        <v>-0.54423388944933615</v>
      </c>
      <c r="AU479" s="19">
        <v>0.83008212509720836</v>
      </c>
      <c r="AV479" s="19">
        <v>2.4542477269549584E-2</v>
      </c>
      <c r="AW479" s="19">
        <v>-0.61205810643248582</v>
      </c>
      <c r="AX479" s="19">
        <v>0.52633121086141543</v>
      </c>
      <c r="AY479" s="19">
        <v>1.1665369699040244</v>
      </c>
      <c r="AZ479" s="19">
        <v>-1.4582457701848508</v>
      </c>
      <c r="BA479" s="19">
        <v>1.7777865595608471</v>
      </c>
      <c r="BB479" s="19">
        <v>1.0171570693264314</v>
      </c>
      <c r="BC479" s="19">
        <v>-1.5284380793711527</v>
      </c>
      <c r="BD479" s="19">
        <v>1.4402619328360067</v>
      </c>
      <c r="BE479" s="14" t="s">
        <v>4857</v>
      </c>
    </row>
    <row r="480" spans="1:105" s="30" customFormat="1" ht="17.100000000000001" customHeight="1">
      <c r="A480" s="14">
        <v>469</v>
      </c>
      <c r="B480" s="14" t="s">
        <v>2168</v>
      </c>
      <c r="C480" s="32">
        <v>-1.380224741079223</v>
      </c>
      <c r="D480" s="32">
        <v>-1.5953892948831683</v>
      </c>
      <c r="E480" s="32">
        <v>-1.1783078245125345</v>
      </c>
      <c r="F480" s="42">
        <v>631267.5</v>
      </c>
      <c r="G480" s="52" t="s">
        <v>4894</v>
      </c>
      <c r="H480" s="32">
        <v>17.020043683579082</v>
      </c>
      <c r="I480" s="32">
        <v>14.420319695203956</v>
      </c>
      <c r="J480" s="12" t="s">
        <v>2159</v>
      </c>
      <c r="K480" s="12" t="s">
        <v>2160</v>
      </c>
      <c r="L480" s="14" t="s">
        <v>4988</v>
      </c>
      <c r="M480" s="12" t="s">
        <v>2162</v>
      </c>
      <c r="N480" s="15" t="s">
        <v>2163</v>
      </c>
      <c r="O480" s="12" t="s">
        <v>2164</v>
      </c>
      <c r="P480" s="12" t="s">
        <v>2169</v>
      </c>
      <c r="Q480" s="14">
        <v>2</v>
      </c>
      <c r="R480" s="21">
        <v>754.86500000000001</v>
      </c>
      <c r="S480" s="14">
        <v>4</v>
      </c>
      <c r="T480" s="52" t="s">
        <v>4894</v>
      </c>
      <c r="U480" s="53">
        <v>41.145837499999999</v>
      </c>
      <c r="V480" s="42">
        <v>623211</v>
      </c>
      <c r="W480" s="42">
        <v>639324</v>
      </c>
      <c r="X480" s="42">
        <v>496398</v>
      </c>
      <c r="Y480" s="42">
        <v>517329</v>
      </c>
      <c r="Z480" s="42">
        <v>420015</v>
      </c>
      <c r="AA480" s="42">
        <v>409442</v>
      </c>
      <c r="AB480" s="42">
        <v>476829</v>
      </c>
      <c r="AC480" s="42">
        <v>585112</v>
      </c>
      <c r="AD480" s="42">
        <v>569065.5</v>
      </c>
      <c r="AE480" s="42">
        <v>472849.5</v>
      </c>
      <c r="AF480" s="42">
        <v>631267.5</v>
      </c>
      <c r="AG480" s="42">
        <v>506863.5</v>
      </c>
      <c r="AH480" s="42">
        <v>414728.5</v>
      </c>
      <c r="AI480" s="42">
        <v>530970.5</v>
      </c>
      <c r="AJ480" s="32">
        <v>12.762978412509163</v>
      </c>
      <c r="AK480" s="32">
        <v>17.020043683579082</v>
      </c>
      <c r="AL480" s="32">
        <v>1.8048785285570443</v>
      </c>
      <c r="AM480" s="32">
        <v>2.9200074649320036</v>
      </c>
      <c r="AN480" s="32">
        <v>1.8026829594506688</v>
      </c>
      <c r="AO480" s="32">
        <v>14.420319695203956</v>
      </c>
      <c r="AP480" s="19">
        <v>0.83092280238390837</v>
      </c>
      <c r="AQ480" s="19">
        <v>0.65697743032866418</v>
      </c>
      <c r="AR480" s="19">
        <v>1.0475611283905826</v>
      </c>
      <c r="AS480" s="19">
        <v>-0.26721364652150104</v>
      </c>
      <c r="AT480" s="19">
        <v>-0.60608428554554727</v>
      </c>
      <c r="AU480" s="19">
        <v>6.7034432041890829E-2</v>
      </c>
      <c r="AV480" s="19">
        <v>-0.46490319920760159</v>
      </c>
      <c r="AW480" s="19">
        <v>-0.67390850252869694</v>
      </c>
      <c r="AX480" s="19">
        <v>-0.23671648219390209</v>
      </c>
      <c r="AY480" s="19">
        <v>-1.203481234515422</v>
      </c>
      <c r="AZ480" s="19">
        <v>-1.5221223041097971</v>
      </c>
      <c r="BA480" s="19">
        <v>1.0475611283905826</v>
      </c>
      <c r="BB480" s="19">
        <v>-1.380224741079223</v>
      </c>
      <c r="BC480" s="19">
        <v>-1.5953892948831683</v>
      </c>
      <c r="BD480" s="19">
        <v>-1.1783078245125345</v>
      </c>
      <c r="BE480" s="14" t="s">
        <v>4857</v>
      </c>
    </row>
    <row r="481" spans="1:57" s="30" customFormat="1" ht="17.100000000000001" customHeight="1">
      <c r="A481" s="14">
        <v>470</v>
      </c>
      <c r="B481" s="14" t="s">
        <v>2170</v>
      </c>
      <c r="C481" s="32">
        <v>-1.0873855819135803</v>
      </c>
      <c r="D481" s="32">
        <v>-1.0549010825305447</v>
      </c>
      <c r="E481" s="32">
        <v>-1.1126354461313184</v>
      </c>
      <c r="F481" s="24">
        <v>336324</v>
      </c>
      <c r="G481" s="52" t="s">
        <v>2</v>
      </c>
      <c r="H481" s="32">
        <v>13.219627421904367</v>
      </c>
      <c r="I481" s="32">
        <v>19.304771869697593</v>
      </c>
      <c r="J481" s="12" t="s">
        <v>2171</v>
      </c>
      <c r="K481" s="15" t="s">
        <v>2172</v>
      </c>
      <c r="L481" s="14" t="s">
        <v>4754</v>
      </c>
      <c r="M481" s="12" t="s">
        <v>2173</v>
      </c>
      <c r="N481" s="15" t="s">
        <v>2174</v>
      </c>
      <c r="O481" s="12" t="s">
        <v>2175</v>
      </c>
      <c r="P481" s="12" t="s">
        <v>2176</v>
      </c>
      <c r="Q481" s="14">
        <v>2</v>
      </c>
      <c r="R481" s="21">
        <v>429.75580000000002</v>
      </c>
      <c r="S481" s="14">
        <v>1</v>
      </c>
      <c r="T481" s="52" t="s">
        <v>2</v>
      </c>
      <c r="U481" s="53">
        <v>37.4102125</v>
      </c>
      <c r="V481" s="24">
        <v>308393</v>
      </c>
      <c r="W481" s="24">
        <v>234311</v>
      </c>
      <c r="X481" s="24">
        <v>319449</v>
      </c>
      <c r="Y481" s="24">
        <v>286872</v>
      </c>
      <c r="Z481" s="24">
        <v>281211</v>
      </c>
      <c r="AA481" s="24">
        <v>258012</v>
      </c>
      <c r="AB481" s="24">
        <v>329518</v>
      </c>
      <c r="AC481" s="24">
        <v>343130</v>
      </c>
      <c r="AD481" s="24">
        <v>287256.25</v>
      </c>
      <c r="AE481" s="24">
        <v>302967.75</v>
      </c>
      <c r="AF481" s="24">
        <v>271352</v>
      </c>
      <c r="AG481" s="24">
        <v>303160.5</v>
      </c>
      <c r="AH481" s="24">
        <v>269611.5</v>
      </c>
      <c r="AI481" s="24">
        <v>336324</v>
      </c>
      <c r="AJ481" s="32">
        <v>13.158925053923648</v>
      </c>
      <c r="AK481" s="32">
        <v>13.219627421904367</v>
      </c>
      <c r="AL481" s="32">
        <v>19.304771869697593</v>
      </c>
      <c r="AM481" s="32">
        <v>7.5984231490296912</v>
      </c>
      <c r="AN481" s="32">
        <v>6.084373335984079</v>
      </c>
      <c r="AO481" s="32">
        <v>2.8618646024402916</v>
      </c>
      <c r="AP481" s="19">
        <v>1.0546950675572768</v>
      </c>
      <c r="AQ481" s="19">
        <v>0.99358582210560453</v>
      </c>
      <c r="AR481" s="19">
        <v>1.1093925494911112</v>
      </c>
      <c r="AS481" s="19">
        <v>7.6825948589260076E-2</v>
      </c>
      <c r="AT481" s="19">
        <v>-9.2835076050045689E-3</v>
      </c>
      <c r="AU481" s="19">
        <v>0.14976994169153315</v>
      </c>
      <c r="AV481" s="19">
        <v>-0.12086360409684048</v>
      </c>
      <c r="AW481" s="19">
        <v>-7.7107724588154278E-2</v>
      </c>
      <c r="AX481" s="19">
        <v>-0.15398097254425977</v>
      </c>
      <c r="AY481" s="19">
        <v>1.0546950675572768</v>
      </c>
      <c r="AZ481" s="19">
        <v>-1.006455585166063</v>
      </c>
      <c r="BA481" s="19">
        <v>1.1093925494911112</v>
      </c>
      <c r="BB481" s="19">
        <v>-1.0873855819135803</v>
      </c>
      <c r="BC481" s="19">
        <v>-1.0549010825305447</v>
      </c>
      <c r="BD481" s="19">
        <v>-1.1126354461313184</v>
      </c>
      <c r="BE481" s="14" t="s">
        <v>4857</v>
      </c>
    </row>
    <row r="482" spans="1:57" s="30" customFormat="1" ht="17.100000000000001" customHeight="1">
      <c r="A482" s="14">
        <v>471</v>
      </c>
      <c r="B482" s="14" t="s">
        <v>2177</v>
      </c>
      <c r="C482" s="32">
        <v>-1.1688812820597054</v>
      </c>
      <c r="D482" s="32">
        <v>-1.2403514649233274</v>
      </c>
      <c r="E482" s="32">
        <v>-1.1361871244905648</v>
      </c>
      <c r="F482" s="24">
        <v>455834.5</v>
      </c>
      <c r="G482" s="52" t="s">
        <v>2</v>
      </c>
      <c r="H482" s="32">
        <v>32.699751747894659</v>
      </c>
      <c r="I482" s="32">
        <v>24.560909140046682</v>
      </c>
      <c r="J482" s="12" t="s">
        <v>2178</v>
      </c>
      <c r="K482" s="15" t="s">
        <v>2179</v>
      </c>
      <c r="L482" s="14" t="s">
        <v>5106</v>
      </c>
      <c r="M482" s="12" t="s">
        <v>2180</v>
      </c>
      <c r="N482" s="15" t="s">
        <v>2181</v>
      </c>
      <c r="O482" s="12" t="s">
        <v>2182</v>
      </c>
      <c r="P482" s="12" t="s">
        <v>2183</v>
      </c>
      <c r="Q482" s="14">
        <v>2</v>
      </c>
      <c r="R482" s="21">
        <v>918.93100000000004</v>
      </c>
      <c r="S482" s="14">
        <v>15</v>
      </c>
      <c r="T482" s="52" t="s">
        <v>2</v>
      </c>
      <c r="U482" s="53">
        <v>67.054787500000003</v>
      </c>
      <c r="V482" s="24">
        <v>285146</v>
      </c>
      <c r="W482" s="24">
        <v>363575</v>
      </c>
      <c r="X482" s="24">
        <v>390972</v>
      </c>
      <c r="Y482" s="24">
        <v>448196</v>
      </c>
      <c r="Z482" s="24">
        <v>321697</v>
      </c>
      <c r="AA482" s="24">
        <v>226492</v>
      </c>
      <c r="AB482" s="24">
        <v>506660</v>
      </c>
      <c r="AC482" s="24">
        <v>405009</v>
      </c>
      <c r="AD482" s="24">
        <v>371972.25</v>
      </c>
      <c r="AE482" s="24">
        <v>364964.5</v>
      </c>
      <c r="AF482" s="24">
        <v>324360.5</v>
      </c>
      <c r="AG482" s="24">
        <v>419584</v>
      </c>
      <c r="AH482" s="24">
        <v>274094.5</v>
      </c>
      <c r="AI482" s="24">
        <v>455834.5</v>
      </c>
      <c r="AJ482" s="32">
        <v>18.220451941763979</v>
      </c>
      <c r="AK482" s="32">
        <v>32.699751747894659</v>
      </c>
      <c r="AL482" s="32">
        <v>17.097543548514611</v>
      </c>
      <c r="AM482" s="32">
        <v>9.6437134034231509</v>
      </c>
      <c r="AN482" s="32">
        <v>24.560909140046682</v>
      </c>
      <c r="AO482" s="32">
        <v>15.768466716405568</v>
      </c>
      <c r="AP482" s="19">
        <v>0.98116055700391624</v>
      </c>
      <c r="AQ482" s="19">
        <v>0.84503045222830775</v>
      </c>
      <c r="AR482" s="19">
        <v>1.086396287751678</v>
      </c>
      <c r="AS482" s="19">
        <v>-2.7438856669198743E-2</v>
      </c>
      <c r="AT482" s="19">
        <v>-0.24292476238349212</v>
      </c>
      <c r="AU482" s="19">
        <v>0.11955045497198072</v>
      </c>
      <c r="AV482" s="19">
        <v>-0.22512840935529929</v>
      </c>
      <c r="AW482" s="19">
        <v>-0.31074897936664181</v>
      </c>
      <c r="AX482" s="19">
        <v>-0.18420045926381221</v>
      </c>
      <c r="AY482" s="19">
        <v>-1.0192011825807716</v>
      </c>
      <c r="AZ482" s="19">
        <v>-1.1833893055132445</v>
      </c>
      <c r="BA482" s="19">
        <v>1.086396287751678</v>
      </c>
      <c r="BB482" s="19">
        <v>-1.1688812820597054</v>
      </c>
      <c r="BC482" s="19">
        <v>-1.2403514649233274</v>
      </c>
      <c r="BD482" s="19">
        <v>-1.1361871244905648</v>
      </c>
      <c r="BE482" s="14" t="s">
        <v>4857</v>
      </c>
    </row>
    <row r="483" spans="1:57" s="30" customFormat="1" ht="17.100000000000001" customHeight="1">
      <c r="A483" s="14">
        <v>472</v>
      </c>
      <c r="B483" s="14" t="s">
        <v>2186</v>
      </c>
      <c r="C483" s="32">
        <v>-1.1373252782051355</v>
      </c>
      <c r="D483" s="32">
        <v>-1.4995381041535372</v>
      </c>
      <c r="E483" s="32">
        <v>1.1237182565021968</v>
      </c>
      <c r="F483" s="24">
        <v>62605</v>
      </c>
      <c r="G483" s="52" t="s">
        <v>2</v>
      </c>
      <c r="H483" s="32">
        <v>32.784682516821221</v>
      </c>
      <c r="I483" s="32">
        <v>24.498276629560284</v>
      </c>
      <c r="J483" s="12" t="s">
        <v>2178</v>
      </c>
      <c r="K483" s="15" t="s">
        <v>2179</v>
      </c>
      <c r="L483" s="14" t="s">
        <v>5009</v>
      </c>
      <c r="M483" s="12" t="s">
        <v>2180</v>
      </c>
      <c r="N483" s="15" t="s">
        <v>2181</v>
      </c>
      <c r="O483" s="12" t="s">
        <v>2182</v>
      </c>
      <c r="P483" s="12" t="s">
        <v>2187</v>
      </c>
      <c r="Q483" s="14">
        <v>2</v>
      </c>
      <c r="R483" s="21">
        <v>670.34059999999999</v>
      </c>
      <c r="S483" s="14">
        <v>2</v>
      </c>
      <c r="T483" s="52" t="s">
        <v>2</v>
      </c>
      <c r="U483" s="53">
        <v>44.959799999999994</v>
      </c>
      <c r="V483" s="24">
        <v>57243</v>
      </c>
      <c r="W483" s="24">
        <v>53235</v>
      </c>
      <c r="X483" s="24">
        <v>42350</v>
      </c>
      <c r="Y483" s="24">
        <v>47920</v>
      </c>
      <c r="Z483" s="24">
        <v>35883</v>
      </c>
      <c r="AA483" s="24">
        <v>41338</v>
      </c>
      <c r="AB483" s="24">
        <v>51760</v>
      </c>
      <c r="AC483" s="24">
        <v>73450</v>
      </c>
      <c r="AD483" s="24">
        <v>50187</v>
      </c>
      <c r="AE483" s="24">
        <v>50607.75</v>
      </c>
      <c r="AF483" s="24">
        <v>55239</v>
      </c>
      <c r="AG483" s="24">
        <v>45135</v>
      </c>
      <c r="AH483" s="24">
        <v>38610.5</v>
      </c>
      <c r="AI483" s="24">
        <v>62605</v>
      </c>
      <c r="AJ483" s="32">
        <v>12.894484185751537</v>
      </c>
      <c r="AK483" s="32">
        <v>32.784682516821221</v>
      </c>
      <c r="AL483" s="32">
        <v>5.1305852368719247</v>
      </c>
      <c r="AM483" s="32">
        <v>8.7262319069659249</v>
      </c>
      <c r="AN483" s="32">
        <v>9.990203419724212</v>
      </c>
      <c r="AO483" s="32">
        <v>24.498276629560284</v>
      </c>
      <c r="AP483" s="19">
        <v>1.0083836451670751</v>
      </c>
      <c r="AQ483" s="19">
        <v>0.69897174098010462</v>
      </c>
      <c r="AR483" s="19">
        <v>1.3870610391049074</v>
      </c>
      <c r="AS483" s="19">
        <v>1.2044624630295727E-2</v>
      </c>
      <c r="AT483" s="19">
        <v>-0.51669396542683488</v>
      </c>
      <c r="AU483" s="19">
        <v>0.47203127639714415</v>
      </c>
      <c r="AV483" s="19">
        <v>-0.18564492805580482</v>
      </c>
      <c r="AW483" s="19">
        <v>-0.58451818240998454</v>
      </c>
      <c r="AX483" s="19">
        <v>0.16828036216135123</v>
      </c>
      <c r="AY483" s="19">
        <v>1.0083836451670751</v>
      </c>
      <c r="AZ483" s="19">
        <v>-1.4306730034576087</v>
      </c>
      <c r="BA483" s="19">
        <v>1.3870610391049074</v>
      </c>
      <c r="BB483" s="19">
        <v>-1.1373252782051355</v>
      </c>
      <c r="BC483" s="19">
        <v>-1.4995381041535372</v>
      </c>
      <c r="BD483" s="19">
        <v>1.1237182565021968</v>
      </c>
      <c r="BE483" s="14" t="s">
        <v>4857</v>
      </c>
    </row>
    <row r="484" spans="1:57" s="30" customFormat="1" ht="17.100000000000001" customHeight="1">
      <c r="A484" s="14">
        <v>473</v>
      </c>
      <c r="B484" s="14" t="s">
        <v>2188</v>
      </c>
      <c r="C484" s="32">
        <v>1.0653803039306784</v>
      </c>
      <c r="D484" s="32">
        <v>-1.0400062671488399</v>
      </c>
      <c r="E484" s="32">
        <v>1.2174820741101633</v>
      </c>
      <c r="F484" s="24">
        <v>356587</v>
      </c>
      <c r="G484" s="52" t="s">
        <v>2</v>
      </c>
      <c r="H484" s="32">
        <v>21.987899565045453</v>
      </c>
      <c r="I484" s="32">
        <v>29.13441670770105</v>
      </c>
      <c r="J484" s="12" t="s">
        <v>2189</v>
      </c>
      <c r="K484" s="12" t="s">
        <v>2190</v>
      </c>
      <c r="L484" s="14" t="s">
        <v>5240</v>
      </c>
      <c r="M484" s="12" t="s">
        <v>2191</v>
      </c>
      <c r="N484" s="15" t="s">
        <v>2192</v>
      </c>
      <c r="O484" s="12" t="s">
        <v>2193</v>
      </c>
      <c r="P484" s="12" t="s">
        <v>2194</v>
      </c>
      <c r="Q484" s="14">
        <v>2</v>
      </c>
      <c r="R484" s="21">
        <v>876.46230000000003</v>
      </c>
      <c r="S484" s="14">
        <v>10</v>
      </c>
      <c r="T484" s="52" t="s">
        <v>2</v>
      </c>
      <c r="U484" s="53">
        <v>68.288174999999995</v>
      </c>
      <c r="V484" s="24">
        <v>285520</v>
      </c>
      <c r="W484" s="24">
        <v>337448</v>
      </c>
      <c r="X484" s="24">
        <v>282367</v>
      </c>
      <c r="Y484" s="24">
        <v>192197</v>
      </c>
      <c r="Z484" s="24">
        <v>344075</v>
      </c>
      <c r="AA484" s="24">
        <v>283762</v>
      </c>
      <c r="AB484" s="24">
        <v>430048</v>
      </c>
      <c r="AC484" s="24">
        <v>283126</v>
      </c>
      <c r="AD484" s="24">
        <v>274383</v>
      </c>
      <c r="AE484" s="24">
        <v>335252.75</v>
      </c>
      <c r="AF484" s="24">
        <v>311484</v>
      </c>
      <c r="AG484" s="24">
        <v>237282</v>
      </c>
      <c r="AH484" s="24">
        <v>313918.5</v>
      </c>
      <c r="AI484" s="24">
        <v>356587</v>
      </c>
      <c r="AJ484" s="32">
        <v>21.987899565045453</v>
      </c>
      <c r="AK484" s="32">
        <v>20.688895645545255</v>
      </c>
      <c r="AL484" s="32">
        <v>11.788291191025877</v>
      </c>
      <c r="AM484" s="32">
        <v>26.87090401277425</v>
      </c>
      <c r="AN484" s="32">
        <v>13.585606230185302</v>
      </c>
      <c r="AO484" s="32">
        <v>29.13441670770105</v>
      </c>
      <c r="AP484" s="19">
        <v>1.221842278858384</v>
      </c>
      <c r="AQ484" s="19">
        <v>1.0078158107639559</v>
      </c>
      <c r="AR484" s="19">
        <v>1.50279835807183</v>
      </c>
      <c r="AS484" s="19">
        <v>0.28905806732160699</v>
      </c>
      <c r="AT484" s="19">
        <v>1.1231994811677269E-2</v>
      </c>
      <c r="AU484" s="19">
        <v>0.58765144483272469</v>
      </c>
      <c r="AV484" s="19">
        <v>9.1368514635506437E-2</v>
      </c>
      <c r="AW484" s="19">
        <v>-5.6592222171472438E-2</v>
      </c>
      <c r="AX484" s="19">
        <v>0.28390053059693177</v>
      </c>
      <c r="AY484" s="19">
        <v>1.221842278858384</v>
      </c>
      <c r="AZ484" s="19">
        <v>1.0078158107639559</v>
      </c>
      <c r="BA484" s="19">
        <v>1.50279835807183</v>
      </c>
      <c r="BB484" s="19">
        <v>1.0653803039306784</v>
      </c>
      <c r="BC484" s="19">
        <v>-1.0400062671488399</v>
      </c>
      <c r="BD484" s="19">
        <v>1.2174820741101633</v>
      </c>
      <c r="BE484" s="14" t="s">
        <v>4857</v>
      </c>
    </row>
    <row r="485" spans="1:57" s="30" customFormat="1" ht="17.100000000000001" customHeight="1">
      <c r="A485" s="14">
        <v>474</v>
      </c>
      <c r="B485" s="14" t="s">
        <v>2196</v>
      </c>
      <c r="C485" s="32">
        <v>1.3994470155469796</v>
      </c>
      <c r="D485" s="32">
        <v>1.1779459868644171</v>
      </c>
      <c r="E485" s="32">
        <v>1.5675873938679985</v>
      </c>
      <c r="F485" s="24">
        <v>58941.5</v>
      </c>
      <c r="G485" s="52" t="s">
        <v>2</v>
      </c>
      <c r="H485" s="32">
        <v>32.762722124088654</v>
      </c>
      <c r="I485" s="32">
        <v>18.913146046547304</v>
      </c>
      <c r="J485" s="12" t="s">
        <v>2197</v>
      </c>
      <c r="K485" s="12" t="s">
        <v>2198</v>
      </c>
      <c r="L485" s="14" t="s">
        <v>5312</v>
      </c>
      <c r="M485" s="12" t="s">
        <v>2199</v>
      </c>
      <c r="N485" s="15" t="s">
        <v>2200</v>
      </c>
      <c r="O485" s="12" t="s">
        <v>2201</v>
      </c>
      <c r="P485" s="12" t="s">
        <v>2202</v>
      </c>
      <c r="Q485" s="14">
        <v>2</v>
      </c>
      <c r="R485" s="21">
        <v>544.28390000000002</v>
      </c>
      <c r="S485" s="14">
        <v>1</v>
      </c>
      <c r="T485" s="52" t="s">
        <v>2</v>
      </c>
      <c r="U485" s="53">
        <v>41.095837500000002</v>
      </c>
      <c r="V485" s="24">
        <v>30773</v>
      </c>
      <c r="W485" s="24">
        <v>23513</v>
      </c>
      <c r="X485" s="24">
        <v>32454</v>
      </c>
      <c r="Y485" s="24">
        <v>28469</v>
      </c>
      <c r="Z485" s="24">
        <v>37596</v>
      </c>
      <c r="AA485" s="24">
        <v>29428</v>
      </c>
      <c r="AB485" s="24">
        <v>60955</v>
      </c>
      <c r="AC485" s="24">
        <v>56928</v>
      </c>
      <c r="AD485" s="24">
        <v>28802.25</v>
      </c>
      <c r="AE485" s="24">
        <v>46226.75</v>
      </c>
      <c r="AF485" s="24">
        <v>27143</v>
      </c>
      <c r="AG485" s="24">
        <v>30461.5</v>
      </c>
      <c r="AH485" s="24">
        <v>33512</v>
      </c>
      <c r="AI485" s="24">
        <v>58941.5</v>
      </c>
      <c r="AJ485" s="32">
        <v>13.492502821373572</v>
      </c>
      <c r="AK485" s="32">
        <v>32.762722124088654</v>
      </c>
      <c r="AL485" s="32">
        <v>18.913146046547304</v>
      </c>
      <c r="AM485" s="32">
        <v>9.2504325887707175</v>
      </c>
      <c r="AN485" s="32">
        <v>17.234567285544642</v>
      </c>
      <c r="AO485" s="32">
        <v>4.8310935552000318</v>
      </c>
      <c r="AP485" s="19">
        <v>1.6049700978222188</v>
      </c>
      <c r="AQ485" s="19">
        <v>1.2346461334414029</v>
      </c>
      <c r="AR485" s="19">
        <v>1.9349506754427721</v>
      </c>
      <c r="AS485" s="19">
        <v>0.68254641876473598</v>
      </c>
      <c r="AT485" s="19">
        <v>0.30409760481928028</v>
      </c>
      <c r="AU485" s="19">
        <v>0.95229679055517091</v>
      </c>
      <c r="AV485" s="19">
        <v>0.48485686607863543</v>
      </c>
      <c r="AW485" s="19">
        <v>0.23627338783613056</v>
      </c>
      <c r="AX485" s="19">
        <v>0.64854587631937799</v>
      </c>
      <c r="AY485" s="19">
        <v>1.6049700978222188</v>
      </c>
      <c r="AZ485" s="19">
        <v>1.2346461334414029</v>
      </c>
      <c r="BA485" s="19">
        <v>1.9349506754427721</v>
      </c>
      <c r="BB485" s="19">
        <v>1.3994470155469796</v>
      </c>
      <c r="BC485" s="19">
        <v>1.1779459868644171</v>
      </c>
      <c r="BD485" s="19">
        <v>1.5675873938679985</v>
      </c>
      <c r="BE485" s="14" t="s">
        <v>4857</v>
      </c>
    </row>
    <row r="486" spans="1:57" s="30" customFormat="1" ht="17.100000000000001" customHeight="1">
      <c r="A486" s="14">
        <v>475</v>
      </c>
      <c r="B486" s="14" t="s">
        <v>2203</v>
      </c>
      <c r="C486" s="32">
        <v>-1.0823017516244862</v>
      </c>
      <c r="D486" s="32">
        <v>-1.2538621540825303</v>
      </c>
      <c r="E486" s="32">
        <v>1.0636532495281521</v>
      </c>
      <c r="F486" s="24">
        <v>551865.5</v>
      </c>
      <c r="G486" s="52" t="s">
        <v>2</v>
      </c>
      <c r="H486" s="32">
        <v>32.050583365917703</v>
      </c>
      <c r="I486" s="32">
        <v>31.556461331896458</v>
      </c>
      <c r="J486" s="15" t="s">
        <v>2204</v>
      </c>
      <c r="K486" s="15" t="s">
        <v>2205</v>
      </c>
      <c r="L486" s="14" t="s">
        <v>4351</v>
      </c>
      <c r="M486" s="12" t="s">
        <v>2206</v>
      </c>
      <c r="N486" s="15" t="s">
        <v>2207</v>
      </c>
      <c r="O486" s="12" t="s">
        <v>2208</v>
      </c>
      <c r="P486" s="12" t="s">
        <v>2088</v>
      </c>
      <c r="Q486" s="14">
        <v>3</v>
      </c>
      <c r="R486" s="21">
        <v>864.05179999999996</v>
      </c>
      <c r="S486" s="14">
        <v>14</v>
      </c>
      <c r="T486" s="52" t="s">
        <v>2</v>
      </c>
      <c r="U486" s="53">
        <v>55.297550000000001</v>
      </c>
      <c r="V486" s="24">
        <v>535786</v>
      </c>
      <c r="W486" s="24">
        <v>415907</v>
      </c>
      <c r="X486" s="24">
        <v>437968</v>
      </c>
      <c r="Y486" s="24">
        <v>402701</v>
      </c>
      <c r="Z486" s="24">
        <v>486530</v>
      </c>
      <c r="AA486" s="24">
        <v>309014</v>
      </c>
      <c r="AB486" s="24">
        <v>674294</v>
      </c>
      <c r="AC486" s="24">
        <v>429437</v>
      </c>
      <c r="AD486" s="24">
        <v>448090.5</v>
      </c>
      <c r="AE486" s="24">
        <v>474818.75</v>
      </c>
      <c r="AF486" s="24">
        <v>475846.5</v>
      </c>
      <c r="AG486" s="24">
        <v>420334.5</v>
      </c>
      <c r="AH486" s="24">
        <v>397772</v>
      </c>
      <c r="AI486" s="24">
        <v>551865.5</v>
      </c>
      <c r="AJ486" s="32">
        <v>13.445180598064265</v>
      </c>
      <c r="AK486" s="32">
        <v>32.050583365917703</v>
      </c>
      <c r="AL486" s="32">
        <v>17.813991239162657</v>
      </c>
      <c r="AM486" s="32">
        <v>5.9327832600240926</v>
      </c>
      <c r="AN486" s="32">
        <v>31.556461331896458</v>
      </c>
      <c r="AO486" s="32">
        <v>31.373594674969617</v>
      </c>
      <c r="AP486" s="19">
        <v>1.0596492226458718</v>
      </c>
      <c r="AQ486" s="19">
        <v>0.83592503044574251</v>
      </c>
      <c r="AR486" s="19">
        <v>1.3129198293264055</v>
      </c>
      <c r="AS486" s="19">
        <v>8.3586766201944246E-2</v>
      </c>
      <c r="AT486" s="19">
        <v>-0.25855453422481617</v>
      </c>
      <c r="AU486" s="19">
        <v>0.39277882379784457</v>
      </c>
      <c r="AV486" s="19">
        <v>-0.11410278648415631</v>
      </c>
      <c r="AW486" s="19">
        <v>-0.32637875120796589</v>
      </c>
      <c r="AX486" s="19">
        <v>8.9027909562051644E-2</v>
      </c>
      <c r="AY486" s="19">
        <v>1.0596492226458718</v>
      </c>
      <c r="AZ486" s="19">
        <v>-1.196279526965196</v>
      </c>
      <c r="BA486" s="19">
        <v>1.3129198293264055</v>
      </c>
      <c r="BB486" s="19">
        <v>-1.0823017516244862</v>
      </c>
      <c r="BC486" s="19">
        <v>-1.2538621540825303</v>
      </c>
      <c r="BD486" s="19">
        <v>1.0636532495281521</v>
      </c>
      <c r="BE486" s="14" t="s">
        <v>4857</v>
      </c>
    </row>
    <row r="487" spans="1:57" s="30" customFormat="1" ht="17.100000000000001" customHeight="1">
      <c r="A487" s="14">
        <v>476</v>
      </c>
      <c r="B487" s="14" t="s">
        <v>2093</v>
      </c>
      <c r="C487" s="32">
        <v>1.1518872524047283</v>
      </c>
      <c r="D487" s="32">
        <v>1.4487691603484667</v>
      </c>
      <c r="E487" s="32">
        <v>-1.0288628746674231</v>
      </c>
      <c r="F487" s="24">
        <v>334080</v>
      </c>
      <c r="G487" s="52" t="s">
        <v>2</v>
      </c>
      <c r="H487" s="32">
        <v>35.12481479636179</v>
      </c>
      <c r="I487" s="32">
        <v>44.765226893975218</v>
      </c>
      <c r="J487" s="15" t="s">
        <v>2204</v>
      </c>
      <c r="K487" s="15" t="s">
        <v>2205</v>
      </c>
      <c r="L487" s="14" t="s">
        <v>4556</v>
      </c>
      <c r="M487" s="12" t="s">
        <v>2206</v>
      </c>
      <c r="N487" s="15" t="s">
        <v>2207</v>
      </c>
      <c r="O487" s="12" t="s">
        <v>2208</v>
      </c>
      <c r="P487" s="12" t="s">
        <v>2091</v>
      </c>
      <c r="Q487" s="14">
        <v>3</v>
      </c>
      <c r="R487" s="21">
        <v>509.6069</v>
      </c>
      <c r="S487" s="14">
        <v>17</v>
      </c>
      <c r="T487" s="52" t="s">
        <v>2</v>
      </c>
      <c r="U487" s="53">
        <v>42.522112499999999</v>
      </c>
      <c r="V487" s="24">
        <v>131323</v>
      </c>
      <c r="W487" s="24">
        <v>210903</v>
      </c>
      <c r="X487" s="24">
        <v>271776</v>
      </c>
      <c r="Y487" s="24">
        <v>285153</v>
      </c>
      <c r="Z487" s="24">
        <v>211044</v>
      </c>
      <c r="AA487" s="24">
        <v>308628</v>
      </c>
      <c r="AB487" s="24">
        <v>439829</v>
      </c>
      <c r="AC487" s="24">
        <v>228331</v>
      </c>
      <c r="AD487" s="24">
        <v>224788.75</v>
      </c>
      <c r="AE487" s="24">
        <v>296958</v>
      </c>
      <c r="AF487" s="24">
        <v>171113</v>
      </c>
      <c r="AG487" s="24">
        <v>278464.5</v>
      </c>
      <c r="AH487" s="24">
        <v>259836</v>
      </c>
      <c r="AI487" s="24">
        <v>334080</v>
      </c>
      <c r="AJ487" s="32">
        <v>31.225291090234087</v>
      </c>
      <c r="AK487" s="32">
        <v>35.12481479636179</v>
      </c>
      <c r="AL487" s="32">
        <v>32.885612225152649</v>
      </c>
      <c r="AM487" s="32">
        <v>3.396830623627948</v>
      </c>
      <c r="AN487" s="32">
        <v>26.556100053613836</v>
      </c>
      <c r="AO487" s="32">
        <v>44.765226893975218</v>
      </c>
      <c r="AP487" s="19">
        <v>1.3210536559325143</v>
      </c>
      <c r="AQ487" s="19">
        <v>1.5185053152010659</v>
      </c>
      <c r="AR487" s="19">
        <v>1.1997220471550234</v>
      </c>
      <c r="AS487" s="19">
        <v>0.40168906429534312</v>
      </c>
      <c r="AT487" s="19">
        <v>0.60265195835772611</v>
      </c>
      <c r="AU487" s="19">
        <v>0.26270019946742124</v>
      </c>
      <c r="AV487" s="19">
        <v>0.20399951160924257</v>
      </c>
      <c r="AW487" s="19">
        <v>0.53482774137457645</v>
      </c>
      <c r="AX487" s="19">
        <v>-4.1050714768371688E-2</v>
      </c>
      <c r="AY487" s="19">
        <v>1.3210536559325143</v>
      </c>
      <c r="AZ487" s="19">
        <v>1.5185053152010659</v>
      </c>
      <c r="BA487" s="19">
        <v>1.1997220471550234</v>
      </c>
      <c r="BB487" s="19">
        <v>1.1518872524047283</v>
      </c>
      <c r="BC487" s="19">
        <v>1.4487691603484667</v>
      </c>
      <c r="BD487" s="19">
        <v>-1.0288628746674231</v>
      </c>
      <c r="BE487" s="14" t="s">
        <v>4857</v>
      </c>
    </row>
    <row r="488" spans="1:57" s="30" customFormat="1" ht="17.100000000000001" customHeight="1">
      <c r="A488" s="14">
        <v>477</v>
      </c>
      <c r="B488" s="14" t="s">
        <v>2094</v>
      </c>
      <c r="C488" s="32">
        <v>1.1003405292260731</v>
      </c>
      <c r="D488" s="32">
        <v>-1.1575753926681764</v>
      </c>
      <c r="E488" s="32">
        <v>1.3141200186629389</v>
      </c>
      <c r="F488" s="24">
        <v>1950685</v>
      </c>
      <c r="G488" s="52" t="s">
        <v>2</v>
      </c>
      <c r="H488" s="32">
        <v>32.568594789452625</v>
      </c>
      <c r="I488" s="32">
        <v>9.3878717993184821</v>
      </c>
      <c r="J488" s="12" t="s">
        <v>2095</v>
      </c>
      <c r="K488" s="12" t="s">
        <v>2096</v>
      </c>
      <c r="L488" s="14" t="s">
        <v>5155</v>
      </c>
      <c r="M488" s="12" t="s">
        <v>2097</v>
      </c>
      <c r="N488" s="15" t="s">
        <v>2098</v>
      </c>
      <c r="O488" s="12" t="s">
        <v>2099</v>
      </c>
      <c r="P488" s="12" t="s">
        <v>2100</v>
      </c>
      <c r="Q488" s="14">
        <v>3</v>
      </c>
      <c r="R488" s="21">
        <v>769.04639999999995</v>
      </c>
      <c r="S488" s="14">
        <v>9</v>
      </c>
      <c r="T488" s="52" t="s">
        <v>2</v>
      </c>
      <c r="U488" s="53">
        <v>71.231425000000002</v>
      </c>
      <c r="V488" s="24">
        <v>1225360</v>
      </c>
      <c r="W488" s="24">
        <v>1204540</v>
      </c>
      <c r="X488" s="24">
        <v>1122750</v>
      </c>
      <c r="Y488" s="24">
        <v>1282410</v>
      </c>
      <c r="Z488" s="24">
        <v>1130100</v>
      </c>
      <c r="AA488" s="24">
        <v>1070070</v>
      </c>
      <c r="AB488" s="24">
        <v>2037570</v>
      </c>
      <c r="AC488" s="24">
        <v>1863800</v>
      </c>
      <c r="AD488" s="24">
        <v>1208765</v>
      </c>
      <c r="AE488" s="24">
        <v>1525385</v>
      </c>
      <c r="AF488" s="24">
        <v>1214950</v>
      </c>
      <c r="AG488" s="24">
        <v>1202580</v>
      </c>
      <c r="AH488" s="24">
        <v>1100085</v>
      </c>
      <c r="AI488" s="24">
        <v>1950685</v>
      </c>
      <c r="AJ488" s="32">
        <v>5.4700141136550302</v>
      </c>
      <c r="AK488" s="32">
        <v>32.568594789452625</v>
      </c>
      <c r="AL488" s="32">
        <v>1.2117340782998409</v>
      </c>
      <c r="AM488" s="32">
        <v>9.3878717993184821</v>
      </c>
      <c r="AN488" s="32">
        <v>3.8585763895179412</v>
      </c>
      <c r="AO488" s="32">
        <v>6.2990152365341583</v>
      </c>
      <c r="AP488" s="19">
        <v>1.261936770174517</v>
      </c>
      <c r="AQ488" s="19">
        <v>0.9054570146919626</v>
      </c>
      <c r="AR488" s="19">
        <v>1.622083354121971</v>
      </c>
      <c r="AS488" s="19">
        <v>0.33563962534347075</v>
      </c>
      <c r="AT488" s="19">
        <v>-0.14328194201975325</v>
      </c>
      <c r="AU488" s="19">
        <v>0.69784795734099769</v>
      </c>
      <c r="AV488" s="19">
        <v>0.13795007265737019</v>
      </c>
      <c r="AW488" s="19">
        <v>-0.21110615900290297</v>
      </c>
      <c r="AX488" s="19">
        <v>0.39409704310520477</v>
      </c>
      <c r="AY488" s="19">
        <v>1.261936770174517</v>
      </c>
      <c r="AZ488" s="19">
        <v>-1.1044146588672694</v>
      </c>
      <c r="BA488" s="19">
        <v>1.622083354121971</v>
      </c>
      <c r="BB488" s="19">
        <v>1.1003405292260731</v>
      </c>
      <c r="BC488" s="19">
        <v>-1.1575753926681764</v>
      </c>
      <c r="BD488" s="19">
        <v>1.3141200186629389</v>
      </c>
      <c r="BE488" s="14" t="s">
        <v>4857</v>
      </c>
    </row>
    <row r="489" spans="1:57" s="30" customFormat="1" ht="17.100000000000001" customHeight="1">
      <c r="A489" s="14">
        <v>478</v>
      </c>
      <c r="B489" s="14" t="s">
        <v>2102</v>
      </c>
      <c r="C489" s="32">
        <v>-1.2190051621992068</v>
      </c>
      <c r="D489" s="32">
        <v>-1.1828426144225459</v>
      </c>
      <c r="E489" s="32">
        <v>-1.2483149483296883</v>
      </c>
      <c r="F489" s="24">
        <v>108201.5</v>
      </c>
      <c r="G489" s="52" t="s">
        <v>2</v>
      </c>
      <c r="H489" s="32">
        <v>18.728465974875409</v>
      </c>
      <c r="I489" s="32">
        <v>22.704757965925886</v>
      </c>
      <c r="J489" s="12" t="s">
        <v>2103</v>
      </c>
      <c r="K489" s="12" t="s">
        <v>2104</v>
      </c>
      <c r="L489" s="14" t="s">
        <v>3555</v>
      </c>
      <c r="M489" s="12" t="s">
        <v>2105</v>
      </c>
      <c r="N489" s="15" t="s">
        <v>2106</v>
      </c>
      <c r="O489" s="12" t="s">
        <v>2107</v>
      </c>
      <c r="P489" s="12" t="s">
        <v>2108</v>
      </c>
      <c r="Q489" s="14">
        <v>2</v>
      </c>
      <c r="R489" s="21">
        <v>532.803</v>
      </c>
      <c r="S489" s="14">
        <v>1</v>
      </c>
      <c r="T489" s="52" t="s">
        <v>2</v>
      </c>
      <c r="U489" s="53">
        <v>29.049237500000004</v>
      </c>
      <c r="V489" s="24">
        <v>110180</v>
      </c>
      <c r="W489" s="24">
        <v>79696</v>
      </c>
      <c r="X489" s="24">
        <v>93285</v>
      </c>
      <c r="Y489" s="24">
        <v>123118</v>
      </c>
      <c r="Z489" s="24">
        <v>84015</v>
      </c>
      <c r="AA489" s="24">
        <v>84237</v>
      </c>
      <c r="AB489" s="24">
        <v>92324</v>
      </c>
      <c r="AC489" s="24">
        <v>121658</v>
      </c>
      <c r="AD489" s="24">
        <v>101569.75</v>
      </c>
      <c r="AE489" s="24">
        <v>95558.5</v>
      </c>
      <c r="AF489" s="24">
        <v>94938</v>
      </c>
      <c r="AG489" s="24">
        <v>108201.5</v>
      </c>
      <c r="AH489" s="24">
        <v>84126</v>
      </c>
      <c r="AI489" s="24">
        <v>106991</v>
      </c>
      <c r="AJ489" s="32">
        <v>18.728465974875409</v>
      </c>
      <c r="AK489" s="32">
        <v>18.652347877597258</v>
      </c>
      <c r="AL489" s="32">
        <v>22.704757965925886</v>
      </c>
      <c r="AM489" s="32">
        <v>19.496140629416665</v>
      </c>
      <c r="AN489" s="32">
        <v>0.18659832325727307</v>
      </c>
      <c r="AO489" s="32">
        <v>19.386930040214772</v>
      </c>
      <c r="AP489" s="19">
        <v>0.94081653248137365</v>
      </c>
      <c r="AQ489" s="19">
        <v>0.88611514883397591</v>
      </c>
      <c r="AR489" s="19">
        <v>0.98881253956738124</v>
      </c>
      <c r="AS489" s="19">
        <v>-8.801468275801845E-2</v>
      </c>
      <c r="AT489" s="19">
        <v>-0.1744339086832585</v>
      </c>
      <c r="AU489" s="19">
        <v>-1.623105607775403E-2</v>
      </c>
      <c r="AV489" s="19">
        <v>-0.28570423544411899</v>
      </c>
      <c r="AW489" s="19">
        <v>-0.2422581256664082</v>
      </c>
      <c r="AX489" s="19">
        <v>-0.31998197031354697</v>
      </c>
      <c r="AY489" s="19">
        <v>-1.0629064918348445</v>
      </c>
      <c r="AZ489" s="19">
        <v>-1.128521503459097</v>
      </c>
      <c r="BA489" s="19">
        <v>-1.0113140357600172</v>
      </c>
      <c r="BB489" s="19">
        <v>-1.2190051621992068</v>
      </c>
      <c r="BC489" s="19">
        <v>-1.1828426144225459</v>
      </c>
      <c r="BD489" s="19">
        <v>-1.2483149483296883</v>
      </c>
      <c r="BE489" s="14" t="s">
        <v>4857</v>
      </c>
    </row>
    <row r="490" spans="1:57" s="30" customFormat="1" ht="17.100000000000001" customHeight="1">
      <c r="A490" s="31">
        <v>479</v>
      </c>
      <c r="B490" s="11" t="s">
        <v>2109</v>
      </c>
      <c r="C490" s="57"/>
      <c r="D490" s="57"/>
      <c r="E490" s="57"/>
      <c r="F490" s="27"/>
      <c r="G490" s="54"/>
      <c r="H490" s="57"/>
      <c r="I490" s="57"/>
      <c r="J490" s="13"/>
      <c r="K490" s="13"/>
      <c r="L490" s="13"/>
      <c r="M490" s="13"/>
      <c r="N490" s="13"/>
      <c r="O490" s="13"/>
      <c r="P490" s="13"/>
      <c r="Q490" s="13"/>
      <c r="R490" s="22"/>
      <c r="S490" s="18"/>
      <c r="T490" s="54"/>
      <c r="U490" s="5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57"/>
      <c r="AK490" s="57"/>
      <c r="AL490" s="57"/>
      <c r="AM490" s="57"/>
      <c r="AN490" s="57"/>
      <c r="AO490" s="5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13"/>
    </row>
    <row r="491" spans="1:57" s="30" customFormat="1" ht="17.100000000000001" customHeight="1">
      <c r="A491" s="14">
        <v>480</v>
      </c>
      <c r="B491" s="14" t="s">
        <v>2110</v>
      </c>
      <c r="C491" s="32">
        <v>1.0648089412892849</v>
      </c>
      <c r="D491" s="32">
        <v>1.1004620928626903</v>
      </c>
      <c r="E491" s="32">
        <v>1.0411909890884665</v>
      </c>
      <c r="F491" s="42">
        <v>29118570.5</v>
      </c>
      <c r="G491" s="52" t="s">
        <v>4894</v>
      </c>
      <c r="H491" s="32">
        <v>11.021090338792614</v>
      </c>
      <c r="I491" s="32">
        <v>16.944312304528783</v>
      </c>
      <c r="J491" s="12" t="s">
        <v>2111</v>
      </c>
      <c r="K491" s="12" t="s">
        <v>2112</v>
      </c>
      <c r="L491" s="14" t="s">
        <v>3538</v>
      </c>
      <c r="M491" s="12" t="s">
        <v>2113</v>
      </c>
      <c r="N491" s="15" t="s">
        <v>2114</v>
      </c>
      <c r="O491" s="12" t="s">
        <v>2115</v>
      </c>
      <c r="P491" s="12" t="s">
        <v>2116</v>
      </c>
      <c r="Q491" s="14">
        <v>4</v>
      </c>
      <c r="R491" s="21">
        <v>888.43280000000004</v>
      </c>
      <c r="S491" s="14">
        <v>1</v>
      </c>
      <c r="T491" s="52" t="s">
        <v>4894</v>
      </c>
      <c r="U491" s="53">
        <v>89.2</v>
      </c>
      <c r="V491" s="42">
        <v>18839199</v>
      </c>
      <c r="W491" s="42">
        <v>23968133</v>
      </c>
      <c r="X491" s="42">
        <v>21879629</v>
      </c>
      <c r="Y491" s="42">
        <v>23434278</v>
      </c>
      <c r="Z491" s="42">
        <v>23337211</v>
      </c>
      <c r="AA491" s="42">
        <v>26038160</v>
      </c>
      <c r="AB491" s="42">
        <v>27874848</v>
      </c>
      <c r="AC491" s="42">
        <v>30362293</v>
      </c>
      <c r="AD491" s="42">
        <v>22030309.75</v>
      </c>
      <c r="AE491" s="42">
        <v>26903128</v>
      </c>
      <c r="AF491" s="42">
        <v>21403666</v>
      </c>
      <c r="AG491" s="42">
        <v>22656953.5</v>
      </c>
      <c r="AH491" s="42">
        <v>24687685.5</v>
      </c>
      <c r="AI491" s="42">
        <v>29118570.5</v>
      </c>
      <c r="AJ491" s="32">
        <v>10.460594043311355</v>
      </c>
      <c r="AK491" s="32">
        <v>11.021090338792614</v>
      </c>
      <c r="AL491" s="32">
        <v>16.944312304528783</v>
      </c>
      <c r="AM491" s="32">
        <v>4.851944681198578</v>
      </c>
      <c r="AN491" s="32">
        <v>7.7360810252505212</v>
      </c>
      <c r="AO491" s="32">
        <v>6.0404381023050968</v>
      </c>
      <c r="AP491" s="19">
        <v>1.2211870057796168</v>
      </c>
      <c r="AQ491" s="19">
        <v>1.153432570850246</v>
      </c>
      <c r="AR491" s="19">
        <v>1.2851935499624871</v>
      </c>
      <c r="AS491" s="19">
        <v>0.28828414352971415</v>
      </c>
      <c r="AT491" s="19">
        <v>0.20593366718225686</v>
      </c>
      <c r="AU491" s="19">
        <v>0.36198564544539552</v>
      </c>
      <c r="AV491" s="19">
        <v>9.0594590843613598E-2</v>
      </c>
      <c r="AW491" s="19">
        <v>0.13810945019910714</v>
      </c>
      <c r="AX491" s="19">
        <v>5.8234731209602597E-2</v>
      </c>
      <c r="AY491" s="19">
        <v>1.2211870057796168</v>
      </c>
      <c r="AZ491" s="19">
        <v>1.153432570850246</v>
      </c>
      <c r="BA491" s="19">
        <v>1.2851935499624871</v>
      </c>
      <c r="BB491" s="19">
        <v>1.0648089412892849</v>
      </c>
      <c r="BC491" s="19">
        <v>1.1004620928626903</v>
      </c>
      <c r="BD491" s="19">
        <v>1.0411909890884665</v>
      </c>
      <c r="BE491" s="14" t="s">
        <v>4857</v>
      </c>
    </row>
    <row r="492" spans="1:57" s="30" customFormat="1" ht="17.100000000000001" customHeight="1">
      <c r="A492" s="31">
        <v>481</v>
      </c>
      <c r="B492" s="11" t="s">
        <v>2117</v>
      </c>
      <c r="C492" s="57"/>
      <c r="D492" s="57"/>
      <c r="E492" s="57"/>
      <c r="F492" s="27"/>
      <c r="G492" s="54"/>
      <c r="H492" s="57"/>
      <c r="I492" s="57"/>
      <c r="J492" s="13"/>
      <c r="K492" s="13"/>
      <c r="L492" s="13"/>
      <c r="M492" s="13"/>
      <c r="N492" s="13"/>
      <c r="O492" s="13"/>
      <c r="P492" s="13"/>
      <c r="Q492" s="13"/>
      <c r="R492" s="22"/>
      <c r="S492" s="18"/>
      <c r="T492" s="54"/>
      <c r="U492" s="5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57"/>
      <c r="AK492" s="57"/>
      <c r="AL492" s="57"/>
      <c r="AM492" s="57"/>
      <c r="AN492" s="57"/>
      <c r="AO492" s="5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13"/>
    </row>
    <row r="493" spans="1:57" s="30" customFormat="1" ht="17.100000000000001" customHeight="1">
      <c r="A493" s="14">
        <v>482</v>
      </c>
      <c r="B493" s="14" t="s">
        <v>2118</v>
      </c>
      <c r="C493" s="32">
        <v>-1.3428310332163582</v>
      </c>
      <c r="D493" s="32">
        <v>-1.0717813230636155</v>
      </c>
      <c r="E493" s="32">
        <v>-1.6953128201102632</v>
      </c>
      <c r="F493" s="40">
        <v>1108741</v>
      </c>
      <c r="G493" s="52" t="s">
        <v>4894</v>
      </c>
      <c r="H493" s="32">
        <v>19.813886022517824</v>
      </c>
      <c r="I493" s="32">
        <v>12.354750528436782</v>
      </c>
      <c r="J493" s="12" t="s">
        <v>2119</v>
      </c>
      <c r="K493" s="15" t="s">
        <v>2120</v>
      </c>
      <c r="L493" s="14" t="s">
        <v>2121</v>
      </c>
      <c r="M493" s="12" t="s">
        <v>2122</v>
      </c>
      <c r="N493" s="15" t="s">
        <v>2123</v>
      </c>
      <c r="O493" s="12" t="s">
        <v>2124</v>
      </c>
      <c r="P493" s="12" t="s">
        <v>2126</v>
      </c>
      <c r="Q493" s="14">
        <v>2</v>
      </c>
      <c r="R493" s="21">
        <v>484.25139999999999</v>
      </c>
      <c r="S493" s="14">
        <v>1</v>
      </c>
      <c r="T493" s="52" t="s">
        <v>4894</v>
      </c>
      <c r="U493" s="53">
        <v>22.193312499999998</v>
      </c>
      <c r="V493" s="40">
        <v>1151985</v>
      </c>
      <c r="W493" s="40">
        <v>1065497</v>
      </c>
      <c r="X493" s="40">
        <v>1120261</v>
      </c>
      <c r="Y493" s="40">
        <v>1060423</v>
      </c>
      <c r="Z493" s="40">
        <v>989555</v>
      </c>
      <c r="AA493" s="40">
        <v>1179003</v>
      </c>
      <c r="AB493" s="40">
        <v>822001</v>
      </c>
      <c r="AC493" s="40">
        <v>765745</v>
      </c>
      <c r="AD493" s="40">
        <v>1099541.5</v>
      </c>
      <c r="AE493" s="40">
        <v>939076</v>
      </c>
      <c r="AF493" s="40">
        <v>1108741</v>
      </c>
      <c r="AG493" s="40">
        <v>1090342</v>
      </c>
      <c r="AH493" s="40">
        <v>1084279</v>
      </c>
      <c r="AI493" s="40">
        <v>793873</v>
      </c>
      <c r="AJ493" s="32">
        <v>4.0225942408852831</v>
      </c>
      <c r="AK493" s="32">
        <v>19.813886022517824</v>
      </c>
      <c r="AL493" s="32">
        <v>5.5158284298372777</v>
      </c>
      <c r="AM493" s="32">
        <v>3.8806040281526926</v>
      </c>
      <c r="AN493" s="32">
        <v>12.354750528436782</v>
      </c>
      <c r="AO493" s="32">
        <v>5.01075097432844</v>
      </c>
      <c r="AP493" s="19">
        <v>0.85406144288323815</v>
      </c>
      <c r="AQ493" s="19">
        <v>0.97793713770844592</v>
      </c>
      <c r="AR493" s="19">
        <v>0.72809540492799507</v>
      </c>
      <c r="AS493" s="19">
        <v>-0.22758823094993427</v>
      </c>
      <c r="AT493" s="19">
        <v>-3.2186363892938004E-2</v>
      </c>
      <c r="AU493" s="19">
        <v>-0.45780059061949296</v>
      </c>
      <c r="AV493" s="19">
        <v>-0.42527778363603486</v>
      </c>
      <c r="AW493" s="19">
        <v>-0.10001058087608772</v>
      </c>
      <c r="AX493" s="19">
        <v>-0.76155150485528589</v>
      </c>
      <c r="AY493" s="19">
        <v>-1.1708759461428042</v>
      </c>
      <c r="AZ493" s="19">
        <v>-1.0225606140117072</v>
      </c>
      <c r="BA493" s="19">
        <v>-1.3734463824818328</v>
      </c>
      <c r="BB493" s="19">
        <v>-1.3428310332163582</v>
      </c>
      <c r="BC493" s="19">
        <v>-1.0717813230636155</v>
      </c>
      <c r="BD493" s="19">
        <v>-1.6953128201102632</v>
      </c>
      <c r="BE493" s="14" t="s">
        <v>4857</v>
      </c>
    </row>
    <row r="494" spans="1:57" s="30" customFormat="1" ht="17.100000000000001" customHeight="1">
      <c r="A494" s="14">
        <v>483</v>
      </c>
      <c r="B494" s="14" t="s">
        <v>2127</v>
      </c>
      <c r="C494" s="32">
        <v>1.1541321324087774</v>
      </c>
      <c r="D494" s="32">
        <v>1.7927618853186369</v>
      </c>
      <c r="E494" s="32">
        <v>-1.2547332270233817</v>
      </c>
      <c r="F494" s="24">
        <v>31850</v>
      </c>
      <c r="G494" s="52" t="s">
        <v>2</v>
      </c>
      <c r="H494" s="32">
        <v>31.229686195080607</v>
      </c>
      <c r="I494" s="32">
        <v>36.631905461783468</v>
      </c>
      <c r="J494" s="12" t="s">
        <v>2128</v>
      </c>
      <c r="K494" s="15" t="s">
        <v>2129</v>
      </c>
      <c r="L494" s="14" t="s">
        <v>2130</v>
      </c>
      <c r="M494" s="12" t="s">
        <v>2131</v>
      </c>
      <c r="N494" s="15" t="s">
        <v>2132</v>
      </c>
      <c r="O494" s="12" t="s">
        <v>2133</v>
      </c>
      <c r="P494" s="12" t="s">
        <v>2135</v>
      </c>
      <c r="Q494" s="14">
        <v>3</v>
      </c>
      <c r="R494" s="21">
        <v>629.99310000000003</v>
      </c>
      <c r="S494" s="14">
        <v>1</v>
      </c>
      <c r="T494" s="52" t="s">
        <v>2</v>
      </c>
      <c r="U494" s="53">
        <v>46.78</v>
      </c>
      <c r="V494" s="24">
        <v>19300</v>
      </c>
      <c r="W494" s="24">
        <v>14600</v>
      </c>
      <c r="X494" s="24">
        <v>30800</v>
      </c>
      <c r="Y494" s="24">
        <v>24600</v>
      </c>
      <c r="Z494" s="24">
        <v>40100</v>
      </c>
      <c r="AA494" s="24">
        <v>23600</v>
      </c>
      <c r="AB494" s="24">
        <v>29500</v>
      </c>
      <c r="AC494" s="24">
        <v>25000</v>
      </c>
      <c r="AD494" s="24">
        <v>22325</v>
      </c>
      <c r="AE494" s="24">
        <v>29550</v>
      </c>
      <c r="AF494" s="24">
        <v>16950</v>
      </c>
      <c r="AG494" s="24">
        <v>27700</v>
      </c>
      <c r="AH494" s="24">
        <v>31850</v>
      </c>
      <c r="AI494" s="24">
        <v>27250</v>
      </c>
      <c r="AJ494" s="32">
        <v>31.229686195080607</v>
      </c>
      <c r="AK494" s="32">
        <v>25.279738991341805</v>
      </c>
      <c r="AL494" s="32">
        <v>19.607090687768576</v>
      </c>
      <c r="AM494" s="32">
        <v>15.826938784680847</v>
      </c>
      <c r="AN494" s="32">
        <v>36.631905461783468</v>
      </c>
      <c r="AO494" s="32">
        <v>11.676992716842069</v>
      </c>
      <c r="AP494" s="19">
        <v>1.3236282194848825</v>
      </c>
      <c r="AQ494" s="19">
        <v>1.8790560471976401</v>
      </c>
      <c r="AR494" s="19">
        <v>0.98375451263537905</v>
      </c>
      <c r="AS494" s="19">
        <v>0.4044979550563097</v>
      </c>
      <c r="AT494" s="19">
        <v>0.9100080991199565</v>
      </c>
      <c r="AU494" s="19">
        <v>-2.3629746384899637E-2</v>
      </c>
      <c r="AV494" s="19">
        <v>0.20680840237020914</v>
      </c>
      <c r="AW494" s="19">
        <v>0.84218388213680684</v>
      </c>
      <c r="AX494" s="19">
        <v>-0.32738066062069254</v>
      </c>
      <c r="AY494" s="19">
        <v>1.3236282194848825</v>
      </c>
      <c r="AZ494" s="19">
        <v>1.8790560471976401</v>
      </c>
      <c r="BA494" s="19">
        <v>-1.0165137614678899</v>
      </c>
      <c r="BB494" s="19">
        <v>1.1541321324087774</v>
      </c>
      <c r="BC494" s="19">
        <v>1.7927618853186369</v>
      </c>
      <c r="BD494" s="19">
        <v>-1.2547332270233817</v>
      </c>
      <c r="BE494" s="14" t="s">
        <v>4857</v>
      </c>
    </row>
    <row r="495" spans="1:57" s="30" customFormat="1" ht="17.100000000000001" customHeight="1">
      <c r="A495" s="14">
        <v>484</v>
      </c>
      <c r="B495" s="14" t="s">
        <v>2136</v>
      </c>
      <c r="C495" s="32">
        <v>1.253596089354273</v>
      </c>
      <c r="D495" s="32">
        <v>1.0735937773717366</v>
      </c>
      <c r="E495" s="32">
        <v>1.3918912621609021</v>
      </c>
      <c r="F495" s="24">
        <v>203135.5</v>
      </c>
      <c r="G495" s="52" t="s">
        <v>2</v>
      </c>
      <c r="H495" s="32">
        <v>30.155893559202752</v>
      </c>
      <c r="I495" s="32">
        <v>12.859422847127853</v>
      </c>
      <c r="J495" s="12" t="s">
        <v>2137</v>
      </c>
      <c r="K495" s="15" t="s">
        <v>2138</v>
      </c>
      <c r="L495" s="14" t="s">
        <v>2139</v>
      </c>
      <c r="M495" s="12" t="s">
        <v>2131</v>
      </c>
      <c r="N495" s="15" t="s">
        <v>2140</v>
      </c>
      <c r="O495" s="12" t="s">
        <v>2133</v>
      </c>
      <c r="P495" s="12" t="s">
        <v>2022</v>
      </c>
      <c r="Q495" s="14">
        <v>3</v>
      </c>
      <c r="R495" s="21">
        <v>526.91830000000004</v>
      </c>
      <c r="S495" s="14">
        <v>3</v>
      </c>
      <c r="T495" s="52" t="s">
        <v>2</v>
      </c>
      <c r="U495" s="53">
        <v>32.636674999999997</v>
      </c>
      <c r="V495" s="24">
        <v>108038</v>
      </c>
      <c r="W495" s="24">
        <v>104174</v>
      </c>
      <c r="X495" s="24">
        <v>128985</v>
      </c>
      <c r="Y495" s="24">
        <v>107483</v>
      </c>
      <c r="Z495" s="24">
        <v>125262</v>
      </c>
      <c r="AA495" s="24">
        <v>113534</v>
      </c>
      <c r="AB495" s="24">
        <v>200461</v>
      </c>
      <c r="AC495" s="24">
        <v>205810</v>
      </c>
      <c r="AD495" s="24">
        <v>112170</v>
      </c>
      <c r="AE495" s="24">
        <v>161266.75</v>
      </c>
      <c r="AF495" s="24">
        <v>106106</v>
      </c>
      <c r="AG495" s="24">
        <v>118234</v>
      </c>
      <c r="AH495" s="24">
        <v>119398</v>
      </c>
      <c r="AI495" s="24">
        <v>203135.5</v>
      </c>
      <c r="AJ495" s="32">
        <v>10.108801104938902</v>
      </c>
      <c r="AK495" s="32">
        <v>30.155893559202752</v>
      </c>
      <c r="AL495" s="32">
        <v>2.5750293126730059</v>
      </c>
      <c r="AM495" s="32">
        <v>12.859422847127853</v>
      </c>
      <c r="AN495" s="32">
        <v>6.9456342063986236</v>
      </c>
      <c r="AO495" s="32">
        <v>1.8619661125538582</v>
      </c>
      <c r="AP495" s="19">
        <v>1.4376994740126594</v>
      </c>
      <c r="AQ495" s="19">
        <v>1.1252709554596347</v>
      </c>
      <c r="AR495" s="19">
        <v>1.7180802476445016</v>
      </c>
      <c r="AS495" s="19">
        <v>0.52376213706839159</v>
      </c>
      <c r="AT495" s="19">
        <v>0.17027243169186307</v>
      </c>
      <c r="AU495" s="19">
        <v>0.78079742307415234</v>
      </c>
      <c r="AV495" s="19">
        <v>0.32607258438229103</v>
      </c>
      <c r="AW495" s="19">
        <v>0.10244821470871336</v>
      </c>
      <c r="AX495" s="19">
        <v>0.47704650883835942</v>
      </c>
      <c r="AY495" s="19">
        <v>1.4376994740126594</v>
      </c>
      <c r="AZ495" s="19">
        <v>1.1252709554596347</v>
      </c>
      <c r="BA495" s="19">
        <v>1.7180802476445016</v>
      </c>
      <c r="BB495" s="19">
        <v>1.253596089354273</v>
      </c>
      <c r="BC495" s="19">
        <v>1.0735937773717366</v>
      </c>
      <c r="BD495" s="19">
        <v>1.3918912621609021</v>
      </c>
      <c r="BE495" s="14" t="s">
        <v>4857</v>
      </c>
    </row>
    <row r="496" spans="1:57" s="30" customFormat="1" ht="17.100000000000001" customHeight="1">
      <c r="A496" s="14">
        <v>485</v>
      </c>
      <c r="B496" s="14" t="s">
        <v>2025</v>
      </c>
      <c r="C496" s="32">
        <v>-1.0108230097443267</v>
      </c>
      <c r="D496" s="32">
        <v>-1.1345145043257154</v>
      </c>
      <c r="E496" s="32">
        <v>1.1074123932846704</v>
      </c>
      <c r="F496" s="24">
        <v>886946</v>
      </c>
      <c r="G496" s="52" t="s">
        <v>2</v>
      </c>
      <c r="H496" s="32">
        <v>19.148397303051524</v>
      </c>
      <c r="I496" s="32">
        <v>18.394902465125572</v>
      </c>
      <c r="J496" s="15" t="s">
        <v>2026</v>
      </c>
      <c r="K496" s="15" t="s">
        <v>2027</v>
      </c>
      <c r="L496" s="14" t="s">
        <v>5175</v>
      </c>
      <c r="M496" s="12" t="s">
        <v>2028</v>
      </c>
      <c r="N496" s="15" t="s">
        <v>2029</v>
      </c>
      <c r="O496" s="12" t="s">
        <v>2030</v>
      </c>
      <c r="P496" s="12" t="s">
        <v>2031</v>
      </c>
      <c r="Q496" s="14">
        <v>2</v>
      </c>
      <c r="R496" s="21">
        <v>594.33879999999999</v>
      </c>
      <c r="S496" s="14">
        <v>1</v>
      </c>
      <c r="T496" s="52" t="s">
        <v>2</v>
      </c>
      <c r="U496" s="53">
        <v>71.874237499999992</v>
      </c>
      <c r="V496" s="24">
        <v>676952</v>
      </c>
      <c r="W496" s="24">
        <v>754001</v>
      </c>
      <c r="X496" s="24">
        <v>733256</v>
      </c>
      <c r="Y496" s="24">
        <v>564460</v>
      </c>
      <c r="Z496" s="24">
        <v>686516</v>
      </c>
      <c r="AA496" s="24">
        <v>635487</v>
      </c>
      <c r="AB496" s="24">
        <v>969226</v>
      </c>
      <c r="AC496" s="24">
        <v>804666</v>
      </c>
      <c r="AD496" s="24">
        <v>682167.25</v>
      </c>
      <c r="AE496" s="24">
        <v>773973.75</v>
      </c>
      <c r="AF496" s="24">
        <v>715476.5</v>
      </c>
      <c r="AG496" s="24">
        <v>648858</v>
      </c>
      <c r="AH496" s="24">
        <v>661001.5</v>
      </c>
      <c r="AI496" s="24">
        <v>886946</v>
      </c>
      <c r="AJ496" s="32">
        <v>12.453773466059094</v>
      </c>
      <c r="AK496" s="32">
        <v>19.148397303051524</v>
      </c>
      <c r="AL496" s="32">
        <v>7.6147672751854607</v>
      </c>
      <c r="AM496" s="32">
        <v>18.394902465125572</v>
      </c>
      <c r="AN496" s="32">
        <v>5.4588305680347675</v>
      </c>
      <c r="AO496" s="32">
        <v>13.119343445041554</v>
      </c>
      <c r="AP496" s="19">
        <v>1.1345806325354963</v>
      </c>
      <c r="AQ496" s="19">
        <v>0.92386192977686898</v>
      </c>
      <c r="AR496" s="19">
        <v>1.3669339054153604</v>
      </c>
      <c r="AS496" s="19">
        <v>0.18215914230719527</v>
      </c>
      <c r="AT496" s="19">
        <v>-0.11425083643875283</v>
      </c>
      <c r="AU496" s="19">
        <v>0.45094348681027946</v>
      </c>
      <c r="AV496" s="19">
        <v>-1.5530410378905291E-2</v>
      </c>
      <c r="AW496" s="19">
        <v>-0.18207505342190256</v>
      </c>
      <c r="AX496" s="19">
        <v>0.14719257257448654</v>
      </c>
      <c r="AY496" s="19">
        <v>1.1345806325354963</v>
      </c>
      <c r="AZ496" s="19">
        <v>-1.0824128235715047</v>
      </c>
      <c r="BA496" s="19">
        <v>1.3669339054153604</v>
      </c>
      <c r="BB496" s="19">
        <v>-1.0108230097443267</v>
      </c>
      <c r="BC496" s="19">
        <v>-1.1345145043257154</v>
      </c>
      <c r="BD496" s="19">
        <v>1.1074123932846704</v>
      </c>
      <c r="BE496" s="14" t="s">
        <v>4857</v>
      </c>
    </row>
    <row r="497" spans="1:105" s="30" customFormat="1" ht="17.100000000000001" customHeight="1">
      <c r="A497" s="14">
        <v>486</v>
      </c>
      <c r="B497" s="14" t="s">
        <v>2032</v>
      </c>
      <c r="C497" s="32">
        <v>-1.2474619825646218</v>
      </c>
      <c r="D497" s="32">
        <v>1.0654381733388354</v>
      </c>
      <c r="E497" s="32">
        <v>-1.534895478144239</v>
      </c>
      <c r="F497" s="24">
        <v>76350</v>
      </c>
      <c r="G497" s="52" t="s">
        <v>2</v>
      </c>
      <c r="H497" s="32">
        <v>30.437929295058652</v>
      </c>
      <c r="I497" s="32">
        <v>9.2131176701830295</v>
      </c>
      <c r="J497" s="12" t="s">
        <v>2033</v>
      </c>
      <c r="K497" s="15" t="s">
        <v>2034</v>
      </c>
      <c r="L497" s="14" t="s">
        <v>5000</v>
      </c>
      <c r="M497" s="12" t="s">
        <v>2035</v>
      </c>
      <c r="N497" s="15" t="s">
        <v>2036</v>
      </c>
      <c r="O497" s="12" t="s">
        <v>2037</v>
      </c>
      <c r="P497" s="12" t="s">
        <v>2038</v>
      </c>
      <c r="Q497" s="14">
        <v>2</v>
      </c>
      <c r="R497" s="21">
        <v>555.81330000000003</v>
      </c>
      <c r="S497" s="14">
        <v>1</v>
      </c>
      <c r="T497" s="52" t="s">
        <v>2</v>
      </c>
      <c r="U497" s="53">
        <v>52.64</v>
      </c>
      <c r="V497" s="24">
        <v>43500</v>
      </c>
      <c r="W497" s="24">
        <v>45600</v>
      </c>
      <c r="X497" s="24">
        <v>75300</v>
      </c>
      <c r="Y497" s="24">
        <v>77400</v>
      </c>
      <c r="Z497" s="24">
        <v>52300</v>
      </c>
      <c r="AA497" s="24">
        <v>47200</v>
      </c>
      <c r="AB497" s="24">
        <v>65400</v>
      </c>
      <c r="AC497" s="24">
        <v>57400</v>
      </c>
      <c r="AD497" s="24">
        <v>60450</v>
      </c>
      <c r="AE497" s="24">
        <v>55575</v>
      </c>
      <c r="AF497" s="24">
        <v>44550</v>
      </c>
      <c r="AG497" s="24">
        <v>76350</v>
      </c>
      <c r="AH497" s="24">
        <v>49750</v>
      </c>
      <c r="AI497" s="24">
        <v>61400</v>
      </c>
      <c r="AJ497" s="32">
        <v>30.437929295058652</v>
      </c>
      <c r="AK497" s="32">
        <v>13.965999488303193</v>
      </c>
      <c r="AL497" s="32">
        <v>3.3331632783204257</v>
      </c>
      <c r="AM497" s="32">
        <v>1.9448909502184017</v>
      </c>
      <c r="AN497" s="32">
        <v>7.248732832264106</v>
      </c>
      <c r="AO497" s="32">
        <v>9.2131176701830295</v>
      </c>
      <c r="AP497" s="19">
        <v>0.91935483870967738</v>
      </c>
      <c r="AQ497" s="19">
        <v>1.11672278338945</v>
      </c>
      <c r="AR497" s="19">
        <v>0.80419122462344461</v>
      </c>
      <c r="AS497" s="19">
        <v>-0.1213062962221336</v>
      </c>
      <c r="AT497" s="19">
        <v>0.15927109390908911</v>
      </c>
      <c r="AU497" s="19">
        <v>-0.31438950142667221</v>
      </c>
      <c r="AV497" s="19">
        <v>-0.31899584890823418</v>
      </c>
      <c r="AW497" s="19">
        <v>9.1446876925939405E-2</v>
      </c>
      <c r="AX497" s="19">
        <v>-0.61814041566246514</v>
      </c>
      <c r="AY497" s="19">
        <v>-1.0877192982456141</v>
      </c>
      <c r="AZ497" s="19">
        <v>1.11672278338945</v>
      </c>
      <c r="BA497" s="19">
        <v>-1.243485342019544</v>
      </c>
      <c r="BB497" s="19">
        <v>-1.2474619825646218</v>
      </c>
      <c r="BC497" s="19">
        <v>1.0654381733388354</v>
      </c>
      <c r="BD497" s="19">
        <v>-1.534895478144239</v>
      </c>
      <c r="BE497" s="14" t="s">
        <v>4857</v>
      </c>
    </row>
    <row r="498" spans="1:105" s="30" customFormat="1" ht="17.100000000000001" customHeight="1">
      <c r="A498" s="14">
        <v>487</v>
      </c>
      <c r="B498" s="14" t="s">
        <v>2039</v>
      </c>
      <c r="C498" s="32">
        <v>1.3506512431266529</v>
      </c>
      <c r="D498" s="32">
        <v>1.63596144571503</v>
      </c>
      <c r="E498" s="32">
        <v>1.1673872638957987</v>
      </c>
      <c r="F498" s="24">
        <v>149500</v>
      </c>
      <c r="G498" s="52" t="s">
        <v>2</v>
      </c>
      <c r="H498" s="32">
        <v>26.734280226796553</v>
      </c>
      <c r="I498" s="32">
        <v>22.681769625643874</v>
      </c>
      <c r="J498" s="12" t="s">
        <v>2040</v>
      </c>
      <c r="K498" s="15" t="s">
        <v>2041</v>
      </c>
      <c r="L498" s="14" t="s">
        <v>3783</v>
      </c>
      <c r="M498" s="12" t="s">
        <v>2042</v>
      </c>
      <c r="N498" s="15" t="s">
        <v>2043</v>
      </c>
      <c r="O498" s="12" t="s">
        <v>2044</v>
      </c>
      <c r="P498" s="12" t="s">
        <v>2045</v>
      </c>
      <c r="Q498" s="14">
        <v>3</v>
      </c>
      <c r="R498" s="21">
        <v>523.25599999999997</v>
      </c>
      <c r="S498" s="14">
        <v>1</v>
      </c>
      <c r="T498" s="52" t="s">
        <v>2</v>
      </c>
      <c r="U498" s="53">
        <v>50</v>
      </c>
      <c r="V498" s="24">
        <v>56800</v>
      </c>
      <c r="W498" s="24">
        <v>78500</v>
      </c>
      <c r="X498" s="24">
        <v>99500</v>
      </c>
      <c r="Y498" s="24">
        <v>108000</v>
      </c>
      <c r="Z498" s="24">
        <v>118000</v>
      </c>
      <c r="AA498" s="24">
        <v>114000</v>
      </c>
      <c r="AB498" s="24">
        <v>172000</v>
      </c>
      <c r="AC498" s="24">
        <v>127000</v>
      </c>
      <c r="AD498" s="24">
        <v>85700</v>
      </c>
      <c r="AE498" s="24">
        <v>132750</v>
      </c>
      <c r="AF498" s="24">
        <v>67650</v>
      </c>
      <c r="AG498" s="24">
        <v>103750</v>
      </c>
      <c r="AH498" s="24">
        <v>116000</v>
      </c>
      <c r="AI498" s="24">
        <v>149500</v>
      </c>
      <c r="AJ498" s="32">
        <v>26.734280226796553</v>
      </c>
      <c r="AK498" s="32">
        <v>20.132170267258406</v>
      </c>
      <c r="AL498" s="32">
        <v>22.681769625643874</v>
      </c>
      <c r="AM498" s="32">
        <v>5.793163990444004</v>
      </c>
      <c r="AN498" s="32">
        <v>2.4382992454708536</v>
      </c>
      <c r="AO498" s="32">
        <v>21.28415060427735</v>
      </c>
      <c r="AP498" s="19">
        <v>1.5490081680280046</v>
      </c>
      <c r="AQ498" s="19">
        <v>1.7147080561714707</v>
      </c>
      <c r="AR498" s="19">
        <v>1.4409638554216868</v>
      </c>
      <c r="AS498" s="19">
        <v>0.63134475157901604</v>
      </c>
      <c r="AT498" s="19">
        <v>0.77796296603839721</v>
      </c>
      <c r="AU498" s="19">
        <v>0.52703414796381798</v>
      </c>
      <c r="AV498" s="19">
        <v>0.43365519889291548</v>
      </c>
      <c r="AW498" s="19">
        <v>0.71013874905524754</v>
      </c>
      <c r="AX498" s="19">
        <v>0.22328323372802505</v>
      </c>
      <c r="AY498" s="19">
        <v>1.5490081680280046</v>
      </c>
      <c r="AZ498" s="19">
        <v>1.7147080561714707</v>
      </c>
      <c r="BA498" s="19">
        <v>1.4409638554216868</v>
      </c>
      <c r="BB498" s="19">
        <v>1.3506512431266529</v>
      </c>
      <c r="BC498" s="19">
        <v>1.63596144571503</v>
      </c>
      <c r="BD498" s="19">
        <v>1.1673872638957987</v>
      </c>
      <c r="BE498" s="14" t="s">
        <v>4857</v>
      </c>
    </row>
    <row r="499" spans="1:105" s="30" customFormat="1" ht="17.100000000000001" customHeight="1">
      <c r="A499" s="14">
        <v>488</v>
      </c>
      <c r="B499" s="14" t="s">
        <v>2046</v>
      </c>
      <c r="C499" s="32">
        <v>-1.1169105642923078</v>
      </c>
      <c r="D499" s="32">
        <v>-1.2142294664194708</v>
      </c>
      <c r="E499" s="32">
        <v>-1.03117700521608</v>
      </c>
      <c r="F499" s="24">
        <v>101756.5</v>
      </c>
      <c r="G499" s="52" t="s">
        <v>2</v>
      </c>
      <c r="H499" s="32">
        <v>21.090454760023803</v>
      </c>
      <c r="I499" s="32">
        <v>30.362369826937801</v>
      </c>
      <c r="J499" s="12" t="s">
        <v>2047</v>
      </c>
      <c r="K499" s="15" t="s">
        <v>2048</v>
      </c>
      <c r="L499" s="14" t="s">
        <v>5123</v>
      </c>
      <c r="M499" s="12" t="s">
        <v>2049</v>
      </c>
      <c r="N499" s="15" t="s">
        <v>2050</v>
      </c>
      <c r="O499" s="12" t="s">
        <v>2051</v>
      </c>
      <c r="P499" s="12" t="s">
        <v>2052</v>
      </c>
      <c r="Q499" s="14">
        <v>2</v>
      </c>
      <c r="R499" s="21">
        <v>772.40940000000001</v>
      </c>
      <c r="S499" s="14">
        <v>7</v>
      </c>
      <c r="T499" s="52" t="s">
        <v>2</v>
      </c>
      <c r="U499" s="53">
        <v>51.186062499999998</v>
      </c>
      <c r="V499" s="24">
        <v>107430</v>
      </c>
      <c r="W499" s="24">
        <v>69454</v>
      </c>
      <c r="X499" s="24">
        <v>81818</v>
      </c>
      <c r="Y499" s="24">
        <v>88197</v>
      </c>
      <c r="Z499" s="24">
        <v>90531</v>
      </c>
      <c r="AA499" s="24">
        <v>62157</v>
      </c>
      <c r="AB499" s="24">
        <v>103976</v>
      </c>
      <c r="AC499" s="24">
        <v>99537</v>
      </c>
      <c r="AD499" s="24">
        <v>86724.75</v>
      </c>
      <c r="AE499" s="24">
        <v>89050.25</v>
      </c>
      <c r="AF499" s="24">
        <v>88442</v>
      </c>
      <c r="AG499" s="24">
        <v>85007.5</v>
      </c>
      <c r="AH499" s="24">
        <v>76344</v>
      </c>
      <c r="AI499" s="24">
        <v>101756.5</v>
      </c>
      <c r="AJ499" s="32">
        <v>18.270906340564082</v>
      </c>
      <c r="AK499" s="32">
        <v>21.090454760023803</v>
      </c>
      <c r="AL499" s="32">
        <v>30.362369826937801</v>
      </c>
      <c r="AM499" s="32">
        <v>5.3061602296138428</v>
      </c>
      <c r="AN499" s="32">
        <v>26.280320404206094</v>
      </c>
      <c r="AO499" s="32">
        <v>3.084664863362129</v>
      </c>
      <c r="AP499" s="19">
        <v>1.0268147212877523</v>
      </c>
      <c r="AQ499" s="19">
        <v>0.86320978720517405</v>
      </c>
      <c r="AR499" s="19">
        <v>1.1970296738523072</v>
      </c>
      <c r="AS499" s="19">
        <v>3.8175884875394001E-2</v>
      </c>
      <c r="AT499" s="19">
        <v>-0.21221687247069873</v>
      </c>
      <c r="AU499" s="19">
        <v>0.25945891651611713</v>
      </c>
      <c r="AV499" s="19">
        <v>-0.15951366781070656</v>
      </c>
      <c r="AW499" s="19">
        <v>-0.28004108945384842</v>
      </c>
      <c r="AX499" s="19">
        <v>-4.4291997719675791E-2</v>
      </c>
      <c r="AY499" s="19">
        <v>1.0268147212877523</v>
      </c>
      <c r="AZ499" s="19">
        <v>-1.1584669391176778</v>
      </c>
      <c r="BA499" s="19">
        <v>1.1970296738523072</v>
      </c>
      <c r="BB499" s="19">
        <v>-1.1169105642923078</v>
      </c>
      <c r="BC499" s="19">
        <v>-1.2142294664194708</v>
      </c>
      <c r="BD499" s="19">
        <v>-1.03117700521608</v>
      </c>
      <c r="BE499" s="14" t="s">
        <v>4857</v>
      </c>
    </row>
    <row r="500" spans="1:105" s="30" customFormat="1" ht="17.100000000000001" customHeight="1">
      <c r="A500" s="14">
        <v>489</v>
      </c>
      <c r="B500" s="14" t="s">
        <v>2053</v>
      </c>
      <c r="C500" s="32">
        <v>1.3709892170616162</v>
      </c>
      <c r="D500" s="32">
        <v>1.1016276790702473</v>
      </c>
      <c r="E500" s="32">
        <v>1.6030404843166903</v>
      </c>
      <c r="F500" s="24">
        <v>155645.5</v>
      </c>
      <c r="G500" s="52" t="s">
        <v>2</v>
      </c>
      <c r="H500" s="32">
        <v>34.69589599511918</v>
      </c>
      <c r="I500" s="32">
        <v>32.199412541810013</v>
      </c>
      <c r="J500" s="12" t="s">
        <v>2054</v>
      </c>
      <c r="K500" s="15" t="s">
        <v>2055</v>
      </c>
      <c r="L500" s="14" t="s">
        <v>5296</v>
      </c>
      <c r="M500" s="12" t="s">
        <v>2056</v>
      </c>
      <c r="N500" s="15" t="s">
        <v>2057</v>
      </c>
      <c r="O500" s="12" t="s">
        <v>2058</v>
      </c>
      <c r="P500" s="12" t="s">
        <v>2059</v>
      </c>
      <c r="Q500" s="14">
        <v>3</v>
      </c>
      <c r="R500" s="21">
        <v>542.95219999999995</v>
      </c>
      <c r="S500" s="14">
        <v>2</v>
      </c>
      <c r="T500" s="52" t="s">
        <v>2</v>
      </c>
      <c r="U500" s="53">
        <v>49.163699999999999</v>
      </c>
      <c r="V500" s="24">
        <v>88502</v>
      </c>
      <c r="W500" s="24">
        <v>64562</v>
      </c>
      <c r="X500" s="24">
        <v>89953</v>
      </c>
      <c r="Y500" s="24">
        <v>67367</v>
      </c>
      <c r="Z500" s="24">
        <v>108488</v>
      </c>
      <c r="AA500" s="24">
        <v>68248</v>
      </c>
      <c r="AB500" s="24">
        <v>160114</v>
      </c>
      <c r="AC500" s="24">
        <v>151177</v>
      </c>
      <c r="AD500" s="24">
        <v>77596</v>
      </c>
      <c r="AE500" s="24">
        <v>122006.75</v>
      </c>
      <c r="AF500" s="24">
        <v>76532</v>
      </c>
      <c r="AG500" s="24">
        <v>78660</v>
      </c>
      <c r="AH500" s="24">
        <v>88368</v>
      </c>
      <c r="AI500" s="24">
        <v>155645.5</v>
      </c>
      <c r="AJ500" s="32">
        <v>17.388317067149604</v>
      </c>
      <c r="AK500" s="32">
        <v>34.69589599511918</v>
      </c>
      <c r="AL500" s="32">
        <v>22.119030394613947</v>
      </c>
      <c r="AM500" s="32">
        <v>20.303475413017242</v>
      </c>
      <c r="AN500" s="32">
        <v>32.199412541810013</v>
      </c>
      <c r="AO500" s="32">
        <v>4.0601323542692693</v>
      </c>
      <c r="AP500" s="19">
        <v>1.572332981081499</v>
      </c>
      <c r="AQ500" s="19">
        <v>1.1546542622693776</v>
      </c>
      <c r="AR500" s="19">
        <v>1.9787121789982203</v>
      </c>
      <c r="AS500" s="19">
        <v>0.65290677693751453</v>
      </c>
      <c r="AT500" s="19">
        <v>0.2074609306206926</v>
      </c>
      <c r="AU500" s="19">
        <v>0.98456177502794018</v>
      </c>
      <c r="AV500" s="19">
        <v>0.45521722425141398</v>
      </c>
      <c r="AW500" s="19">
        <v>0.13963671363754288</v>
      </c>
      <c r="AX500" s="19">
        <v>0.68081086079214725</v>
      </c>
      <c r="AY500" s="19">
        <v>1.572332981081499</v>
      </c>
      <c r="AZ500" s="19">
        <v>1.1546542622693776</v>
      </c>
      <c r="BA500" s="19">
        <v>1.9787121789982203</v>
      </c>
      <c r="BB500" s="19">
        <v>1.3709892170616162</v>
      </c>
      <c r="BC500" s="19">
        <v>1.1016276790702473</v>
      </c>
      <c r="BD500" s="19">
        <v>1.6030404843166903</v>
      </c>
      <c r="BE500" s="14" t="s">
        <v>4857</v>
      </c>
    </row>
    <row r="501" spans="1:105" s="30" customFormat="1" ht="17.100000000000001" customHeight="1">
      <c r="A501" s="31">
        <v>490</v>
      </c>
      <c r="B501" s="11" t="s">
        <v>2060</v>
      </c>
      <c r="C501" s="57"/>
      <c r="D501" s="57"/>
      <c r="E501" s="57"/>
      <c r="F501" s="27"/>
      <c r="G501" s="54"/>
      <c r="H501" s="57"/>
      <c r="I501" s="57"/>
      <c r="J501" s="13"/>
      <c r="K501" s="13"/>
      <c r="L501" s="13"/>
      <c r="M501" s="13"/>
      <c r="N501" s="13"/>
      <c r="O501" s="13"/>
      <c r="P501" s="13"/>
      <c r="Q501" s="13"/>
      <c r="R501" s="22"/>
      <c r="S501" s="18"/>
      <c r="T501" s="54"/>
      <c r="U501" s="5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57"/>
      <c r="AK501" s="57"/>
      <c r="AL501" s="57"/>
      <c r="AM501" s="57"/>
      <c r="AN501" s="57"/>
      <c r="AO501" s="5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13"/>
    </row>
    <row r="502" spans="1:105" s="30" customFormat="1" ht="17.100000000000001" customHeight="1">
      <c r="A502" s="14">
        <v>491</v>
      </c>
      <c r="B502" s="14" t="s">
        <v>2061</v>
      </c>
      <c r="C502" s="32">
        <v>1.3211855265889878</v>
      </c>
      <c r="D502" s="32">
        <v>1.123175045475012</v>
      </c>
      <c r="E502" s="32">
        <v>1.5794880853930489</v>
      </c>
      <c r="F502" s="24">
        <v>406500</v>
      </c>
      <c r="G502" s="52" t="s">
        <v>2</v>
      </c>
      <c r="H502" s="32">
        <v>20.220731585860669</v>
      </c>
      <c r="I502" s="32">
        <v>19.524590226792732</v>
      </c>
      <c r="J502" s="15" t="s">
        <v>2062</v>
      </c>
      <c r="K502" s="15" t="s">
        <v>2063</v>
      </c>
      <c r="L502" s="14" t="s">
        <v>2064</v>
      </c>
      <c r="M502" s="12" t="s">
        <v>2065</v>
      </c>
      <c r="N502" s="15" t="s">
        <v>2066</v>
      </c>
      <c r="O502" s="12" t="s">
        <v>2067</v>
      </c>
      <c r="P502" s="12" t="s">
        <v>2068</v>
      </c>
      <c r="Q502" s="14">
        <v>3</v>
      </c>
      <c r="R502" s="21">
        <v>561.66989999999998</v>
      </c>
      <c r="S502" s="14">
        <v>1</v>
      </c>
      <c r="T502" s="52" t="s">
        <v>2</v>
      </c>
      <c r="U502" s="53">
        <v>88</v>
      </c>
      <c r="V502" s="24">
        <v>305000</v>
      </c>
      <c r="W502" s="24">
        <v>231000</v>
      </c>
      <c r="X502" s="24">
        <v>227000</v>
      </c>
      <c r="Y502" s="24">
        <v>190000</v>
      </c>
      <c r="Z502" s="24">
        <v>349000</v>
      </c>
      <c r="AA502" s="24">
        <v>282000</v>
      </c>
      <c r="AB502" s="24">
        <v>370000</v>
      </c>
      <c r="AC502" s="24">
        <v>443000</v>
      </c>
      <c r="AD502" s="24">
        <v>238250</v>
      </c>
      <c r="AE502" s="24">
        <v>361000</v>
      </c>
      <c r="AF502" s="24">
        <v>268000</v>
      </c>
      <c r="AG502" s="24">
        <v>208500</v>
      </c>
      <c r="AH502" s="24">
        <v>315500</v>
      </c>
      <c r="AI502" s="24">
        <v>406500</v>
      </c>
      <c r="AJ502" s="32">
        <v>20.220731585860669</v>
      </c>
      <c r="AK502" s="32">
        <v>18.367691163773227</v>
      </c>
      <c r="AL502" s="32">
        <v>19.524590226792732</v>
      </c>
      <c r="AM502" s="32">
        <v>12.548177891559837</v>
      </c>
      <c r="AN502" s="32">
        <v>15.01621373676662</v>
      </c>
      <c r="AO502" s="32">
        <v>12.698350560053621</v>
      </c>
      <c r="AP502" s="19">
        <v>1.515215110178384</v>
      </c>
      <c r="AQ502" s="19">
        <v>1.1772388059701493</v>
      </c>
      <c r="AR502" s="19">
        <v>1.9496402877697843</v>
      </c>
      <c r="AS502" s="19">
        <v>0.59952262297722902</v>
      </c>
      <c r="AT502" s="19">
        <v>0.23540700452477664</v>
      </c>
      <c r="AU502" s="19">
        <v>0.96320796863036429</v>
      </c>
      <c r="AV502" s="19">
        <v>0.40183307029112847</v>
      </c>
      <c r="AW502" s="19">
        <v>0.16758278754162692</v>
      </c>
      <c r="AX502" s="19">
        <v>0.65945705439457136</v>
      </c>
      <c r="AY502" s="19">
        <v>1.515215110178384</v>
      </c>
      <c r="AZ502" s="19">
        <v>1.1772388059701493</v>
      </c>
      <c r="BA502" s="19">
        <v>1.9496402877697843</v>
      </c>
      <c r="BB502" s="19">
        <v>1.3211855265889878</v>
      </c>
      <c r="BC502" s="19">
        <v>1.123175045475012</v>
      </c>
      <c r="BD502" s="19">
        <v>1.5794880853930489</v>
      </c>
      <c r="BE502" s="14" t="s">
        <v>4857</v>
      </c>
    </row>
    <row r="503" spans="1:105" s="30" customFormat="1" ht="17.100000000000001" customHeight="1">
      <c r="A503" s="31">
        <v>492</v>
      </c>
      <c r="B503" s="11" t="s">
        <v>2069</v>
      </c>
      <c r="C503" s="57"/>
      <c r="D503" s="57"/>
      <c r="E503" s="57"/>
      <c r="F503" s="27"/>
      <c r="G503" s="54"/>
      <c r="H503" s="57"/>
      <c r="I503" s="57"/>
      <c r="J503" s="13"/>
      <c r="K503" s="13"/>
      <c r="L503" s="13"/>
      <c r="M503" s="13"/>
      <c r="N503" s="13"/>
      <c r="O503" s="13"/>
      <c r="P503" s="13"/>
      <c r="Q503" s="13"/>
      <c r="R503" s="22"/>
      <c r="S503" s="18"/>
      <c r="T503" s="54"/>
      <c r="U503" s="5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57"/>
      <c r="AK503" s="57"/>
      <c r="AL503" s="57"/>
      <c r="AM503" s="57"/>
      <c r="AN503" s="57"/>
      <c r="AO503" s="5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13"/>
    </row>
    <row r="504" spans="1:105" s="30" customFormat="1" ht="17.100000000000001" customHeight="1">
      <c r="A504" s="14">
        <v>493</v>
      </c>
      <c r="B504" s="14" t="s">
        <v>2070</v>
      </c>
      <c r="C504" s="32">
        <v>-1.419773516165189</v>
      </c>
      <c r="D504" s="32">
        <v>-1.3086795579592598</v>
      </c>
      <c r="E504" s="32">
        <v>-1.5142891611861287</v>
      </c>
      <c r="F504" s="24">
        <v>73283.5</v>
      </c>
      <c r="G504" s="52" t="s">
        <v>2</v>
      </c>
      <c r="H504" s="32">
        <v>17.204712353433184</v>
      </c>
      <c r="I504" s="32">
        <v>23.679419674413836</v>
      </c>
      <c r="J504" s="12" t="s">
        <v>2071</v>
      </c>
      <c r="K504" s="12" t="s">
        <v>2072</v>
      </c>
      <c r="L504" s="14" t="s">
        <v>3452</v>
      </c>
      <c r="M504" s="12" t="s">
        <v>2073</v>
      </c>
      <c r="N504" s="15" t="s">
        <v>2074</v>
      </c>
      <c r="O504" s="12" t="s">
        <v>2075</v>
      </c>
      <c r="P504" s="12" t="s">
        <v>2076</v>
      </c>
      <c r="Q504" s="14">
        <v>3</v>
      </c>
      <c r="R504" s="21">
        <v>786.41449999999998</v>
      </c>
      <c r="S504" s="14">
        <v>1</v>
      </c>
      <c r="T504" s="52" t="s">
        <v>2</v>
      </c>
      <c r="U504" s="53">
        <v>41.278962499999999</v>
      </c>
      <c r="V504" s="24">
        <v>61013</v>
      </c>
      <c r="W504" s="24">
        <v>85554</v>
      </c>
      <c r="X504" s="24">
        <v>60629</v>
      </c>
      <c r="Y504" s="24">
        <v>76157</v>
      </c>
      <c r="Z504" s="24">
        <v>55332</v>
      </c>
      <c r="AA504" s="24">
        <v>62055</v>
      </c>
      <c r="AB504" s="24">
        <v>56459</v>
      </c>
      <c r="AC504" s="24">
        <v>55040</v>
      </c>
      <c r="AD504" s="24">
        <v>70838.25</v>
      </c>
      <c r="AE504" s="24">
        <v>57221.5</v>
      </c>
      <c r="AF504" s="24">
        <v>73283.5</v>
      </c>
      <c r="AG504" s="24">
        <v>68393</v>
      </c>
      <c r="AH504" s="24">
        <v>58693.5</v>
      </c>
      <c r="AI504" s="24">
        <v>55749.5</v>
      </c>
      <c r="AJ504" s="32">
        <v>17.204712353433184</v>
      </c>
      <c r="AK504" s="32">
        <v>5.731940771192523</v>
      </c>
      <c r="AL504" s="32">
        <v>23.679419674413836</v>
      </c>
      <c r="AM504" s="32">
        <v>16.054207445593423</v>
      </c>
      <c r="AN504" s="32">
        <v>8.0994980533060019</v>
      </c>
      <c r="AO504" s="32">
        <v>1.799809007262327</v>
      </c>
      <c r="AP504" s="19">
        <v>0.80777687195829939</v>
      </c>
      <c r="AQ504" s="19">
        <v>0.80091016395232217</v>
      </c>
      <c r="AR504" s="19">
        <v>0.81513458979720144</v>
      </c>
      <c r="AS504" s="19">
        <v>-0.30797125509634493</v>
      </c>
      <c r="AT504" s="19">
        <v>-0.32028766659669061</v>
      </c>
      <c r="AU504" s="19">
        <v>-0.29488980732048903</v>
      </c>
      <c r="AV504" s="19">
        <v>-0.50566080778244549</v>
      </c>
      <c r="AW504" s="19">
        <v>-0.38811188357984033</v>
      </c>
      <c r="AX504" s="19">
        <v>-0.5986407215562819</v>
      </c>
      <c r="AY504" s="19">
        <v>-1.2379656248088569</v>
      </c>
      <c r="AZ504" s="19">
        <v>-1.2485794849514853</v>
      </c>
      <c r="BA504" s="19">
        <v>-1.226791271670598</v>
      </c>
      <c r="BB504" s="19">
        <v>-1.419773516165189</v>
      </c>
      <c r="BC504" s="19">
        <v>-1.3086795579592598</v>
      </c>
      <c r="BD504" s="19">
        <v>-1.5142891611861287</v>
      </c>
      <c r="BE504" s="14" t="s">
        <v>4857</v>
      </c>
    </row>
    <row r="505" spans="1:105" s="30" customFormat="1" ht="17.100000000000001" customHeight="1">
      <c r="A505" s="31">
        <v>494</v>
      </c>
      <c r="B505" s="11" t="s">
        <v>2077</v>
      </c>
      <c r="C505" s="57"/>
      <c r="D505" s="57"/>
      <c r="E505" s="57"/>
      <c r="F505" s="27"/>
      <c r="G505" s="54"/>
      <c r="H505" s="57"/>
      <c r="I505" s="57"/>
      <c r="J505" s="13"/>
      <c r="K505" s="13"/>
      <c r="L505" s="13"/>
      <c r="M505" s="13"/>
      <c r="N505" s="13"/>
      <c r="O505" s="13"/>
      <c r="P505" s="13"/>
      <c r="Q505" s="13"/>
      <c r="R505" s="22"/>
      <c r="S505" s="18"/>
      <c r="T505" s="54"/>
      <c r="U505" s="5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57"/>
      <c r="AK505" s="57"/>
      <c r="AL505" s="57"/>
      <c r="AM505" s="57"/>
      <c r="AN505" s="57"/>
      <c r="AO505" s="5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13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28"/>
      <c r="BU505" s="28"/>
      <c r="BV505" s="28"/>
      <c r="BW505" s="28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</row>
    <row r="506" spans="1:105" s="30" customFormat="1" ht="17.100000000000001" customHeight="1">
      <c r="A506" s="14">
        <v>495</v>
      </c>
      <c r="B506" s="14" t="s">
        <v>2078</v>
      </c>
      <c r="C506" s="32">
        <v>1.062204692404122</v>
      </c>
      <c r="D506" s="32">
        <v>-1.0211437686921898</v>
      </c>
      <c r="E506" s="32">
        <v>1.1525115682455784</v>
      </c>
      <c r="F506" s="42">
        <v>8626871.5</v>
      </c>
      <c r="G506" s="52" t="s">
        <v>4894</v>
      </c>
      <c r="H506" s="32">
        <v>15.198680100789428</v>
      </c>
      <c r="I506" s="32">
        <v>3.6872082838521858</v>
      </c>
      <c r="J506" s="12" t="s">
        <v>2079</v>
      </c>
      <c r="K506" s="15" t="s">
        <v>2080</v>
      </c>
      <c r="L506" s="14" t="s">
        <v>4389</v>
      </c>
      <c r="M506" s="12" t="s">
        <v>2081</v>
      </c>
      <c r="N506" s="15" t="s">
        <v>2082</v>
      </c>
      <c r="O506" s="12" t="s">
        <v>2083</v>
      </c>
      <c r="P506" s="12" t="s">
        <v>2084</v>
      </c>
      <c r="Q506" s="14">
        <v>2</v>
      </c>
      <c r="R506" s="21">
        <v>489.80840000000001</v>
      </c>
      <c r="S506" s="14">
        <v>2</v>
      </c>
      <c r="T506" s="52" t="s">
        <v>4894</v>
      </c>
      <c r="U506" s="53">
        <v>35.4</v>
      </c>
      <c r="V506" s="42">
        <v>6612853</v>
      </c>
      <c r="W506" s="42">
        <v>6314451</v>
      </c>
      <c r="X506" s="42">
        <v>6187636</v>
      </c>
      <c r="Y506" s="42">
        <v>5940663</v>
      </c>
      <c r="Z506" s="42">
        <v>6807478</v>
      </c>
      <c r="AA506" s="42">
        <v>6461522</v>
      </c>
      <c r="AB506" s="42">
        <v>8680571</v>
      </c>
      <c r="AC506" s="42">
        <v>8573172</v>
      </c>
      <c r="AD506" s="42">
        <v>6263900.75</v>
      </c>
      <c r="AE506" s="42">
        <v>7630685.75</v>
      </c>
      <c r="AF506" s="42">
        <v>6463652</v>
      </c>
      <c r="AG506" s="42">
        <v>6064149.5</v>
      </c>
      <c r="AH506" s="42">
        <v>6634500</v>
      </c>
      <c r="AI506" s="42">
        <v>8626871.5</v>
      </c>
      <c r="AJ506" s="32">
        <v>4.4645617082979392</v>
      </c>
      <c r="AK506" s="32">
        <v>15.198680100789428</v>
      </c>
      <c r="AL506" s="32">
        <v>3.2644405626978084</v>
      </c>
      <c r="AM506" s="32">
        <v>2.8798149364553955</v>
      </c>
      <c r="AN506" s="32">
        <v>3.6872082838521858</v>
      </c>
      <c r="AO506" s="32">
        <v>0.88030245022954168</v>
      </c>
      <c r="AP506" s="19">
        <v>1.2182002963568668</v>
      </c>
      <c r="AQ506" s="19">
        <v>1.0264321160854575</v>
      </c>
      <c r="AR506" s="19">
        <v>1.4226020483169157</v>
      </c>
      <c r="AS506" s="19">
        <v>0.28475136050494559</v>
      </c>
      <c r="AT506" s="19">
        <v>3.7638216803235564E-2</v>
      </c>
      <c r="AU506" s="19">
        <v>0.50853214590278617</v>
      </c>
      <c r="AV506" s="19">
        <v>8.7061807818845038E-2</v>
      </c>
      <c r="AW506" s="19">
        <v>-3.0186000179914144E-2</v>
      </c>
      <c r="AX506" s="19">
        <v>0.20478123166699325</v>
      </c>
      <c r="AY506" s="19">
        <v>1.2182002963568668</v>
      </c>
      <c r="AZ506" s="19">
        <v>1.0264321160854575</v>
      </c>
      <c r="BA506" s="19">
        <v>1.4226020483169157</v>
      </c>
      <c r="BB506" s="19">
        <v>1.062204692404122</v>
      </c>
      <c r="BC506" s="19">
        <v>-1.0211437686921898</v>
      </c>
      <c r="BD506" s="19">
        <v>1.1525115682455784</v>
      </c>
      <c r="BE506" s="14" t="s">
        <v>4857</v>
      </c>
    </row>
    <row r="507" spans="1:105" s="30" customFormat="1" ht="17.100000000000001" customHeight="1">
      <c r="A507" s="31">
        <v>496</v>
      </c>
      <c r="B507" s="11" t="s">
        <v>2085</v>
      </c>
      <c r="C507" s="57"/>
      <c r="D507" s="57"/>
      <c r="E507" s="57"/>
      <c r="F507" s="27"/>
      <c r="G507" s="54"/>
      <c r="H507" s="57"/>
      <c r="I507" s="57"/>
      <c r="J507" s="13"/>
      <c r="K507" s="13"/>
      <c r="L507" s="13"/>
      <c r="M507" s="13"/>
      <c r="N507" s="13"/>
      <c r="O507" s="13"/>
      <c r="P507" s="13"/>
      <c r="Q507" s="13"/>
      <c r="R507" s="22"/>
      <c r="S507" s="18"/>
      <c r="T507" s="54"/>
      <c r="U507" s="5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57"/>
      <c r="AK507" s="57"/>
      <c r="AL507" s="57"/>
      <c r="AM507" s="57"/>
      <c r="AN507" s="57"/>
      <c r="AO507" s="5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13"/>
    </row>
    <row r="508" spans="1:105" ht="17.100000000000001" customHeight="1">
      <c r="A508" s="14">
        <v>497</v>
      </c>
      <c r="B508" s="14" t="s">
        <v>2086</v>
      </c>
      <c r="C508" s="32">
        <v>1.2911959252989773</v>
      </c>
      <c r="D508" s="32">
        <v>1.2237613555543274</v>
      </c>
      <c r="E508" s="32">
        <v>1.3812551105781745</v>
      </c>
      <c r="F508" s="24">
        <v>95568.5</v>
      </c>
      <c r="G508" s="52" t="s">
        <v>2</v>
      </c>
      <c r="H508" s="32">
        <v>19.328695701693377</v>
      </c>
      <c r="I508" s="32">
        <v>30.62567176192784</v>
      </c>
      <c r="J508" s="12" t="s">
        <v>2087</v>
      </c>
      <c r="K508" s="12" t="s">
        <v>1961</v>
      </c>
      <c r="L508" s="14" t="s">
        <v>2957</v>
      </c>
      <c r="M508" s="12" t="s">
        <v>1962</v>
      </c>
      <c r="N508" s="15" t="s">
        <v>1963</v>
      </c>
      <c r="O508" s="12" t="s">
        <v>1964</v>
      </c>
      <c r="P508" s="12" t="s">
        <v>1965</v>
      </c>
      <c r="Q508" s="14">
        <v>2</v>
      </c>
      <c r="R508" s="21">
        <v>597.31169999999997</v>
      </c>
      <c r="S508" s="14">
        <v>1</v>
      </c>
      <c r="T508" s="52" t="s">
        <v>2</v>
      </c>
      <c r="U508" s="53">
        <v>66.673662500000006</v>
      </c>
      <c r="V508" s="24">
        <v>51830</v>
      </c>
      <c r="W508" s="24">
        <v>74973</v>
      </c>
      <c r="X508" s="24">
        <v>60158</v>
      </c>
      <c r="Y508" s="24">
        <v>51949</v>
      </c>
      <c r="Z508" s="24">
        <v>63712</v>
      </c>
      <c r="AA508" s="24">
        <v>98934</v>
      </c>
      <c r="AB508" s="24">
        <v>100742</v>
      </c>
      <c r="AC508" s="24">
        <v>90395</v>
      </c>
      <c r="AD508" s="24">
        <v>59727.5</v>
      </c>
      <c r="AE508" s="24">
        <v>88445.75</v>
      </c>
      <c r="AF508" s="24">
        <v>63401.5</v>
      </c>
      <c r="AG508" s="24">
        <v>56053.5</v>
      </c>
      <c r="AH508" s="24">
        <v>81323</v>
      </c>
      <c r="AI508" s="24">
        <v>95568.5</v>
      </c>
      <c r="AJ508" s="32">
        <v>18.22537150702037</v>
      </c>
      <c r="AK508" s="32">
        <v>19.328695701693377</v>
      </c>
      <c r="AL508" s="32">
        <v>25.811017463309653</v>
      </c>
      <c r="AM508" s="32">
        <v>10.355534563872672</v>
      </c>
      <c r="AN508" s="32">
        <v>30.62567176192784</v>
      </c>
      <c r="AO508" s="32">
        <v>7.6556960347156311</v>
      </c>
      <c r="AP508" s="19">
        <v>1.4808212297517893</v>
      </c>
      <c r="AQ508" s="19">
        <v>1.2826668138766433</v>
      </c>
      <c r="AR508" s="19">
        <v>1.7049515195304485</v>
      </c>
      <c r="AS508" s="19">
        <v>0.56639748362614606</v>
      </c>
      <c r="AT508" s="19">
        <v>0.35914646396301314</v>
      </c>
      <c r="AU508" s="19">
        <v>0.76973071665272985</v>
      </c>
      <c r="AV508" s="19">
        <v>0.3687079309400455</v>
      </c>
      <c r="AW508" s="19">
        <v>0.29132224697986342</v>
      </c>
      <c r="AX508" s="19">
        <v>0.46597980241693693</v>
      </c>
      <c r="AY508" s="19">
        <v>1.4808212297517893</v>
      </c>
      <c r="AZ508" s="19">
        <v>1.2826668138766433</v>
      </c>
      <c r="BA508" s="19">
        <v>1.7049515195304485</v>
      </c>
      <c r="BB508" s="19">
        <v>1.2911959252989773</v>
      </c>
      <c r="BC508" s="19">
        <v>1.2237613555543274</v>
      </c>
      <c r="BD508" s="19">
        <v>1.3812551105781745</v>
      </c>
      <c r="BE508" s="14" t="s">
        <v>4857</v>
      </c>
    </row>
    <row r="509" spans="1:105" s="30" customFormat="1" ht="17.100000000000001" customHeight="1">
      <c r="A509" s="14">
        <v>498</v>
      </c>
      <c r="B509" s="14" t="s">
        <v>1966</v>
      </c>
      <c r="C509" s="32">
        <v>-1.0058389546451607</v>
      </c>
      <c r="D509" s="32">
        <v>1.2192946214744584</v>
      </c>
      <c r="E509" s="32">
        <v>-1.1779600335730527</v>
      </c>
      <c r="F509" s="24">
        <v>18858</v>
      </c>
      <c r="G509" s="52" t="s">
        <v>2</v>
      </c>
      <c r="H509" s="32">
        <v>41.439004312108807</v>
      </c>
      <c r="I509" s="32">
        <v>58.937291579495657</v>
      </c>
      <c r="J509" s="12" t="s">
        <v>1967</v>
      </c>
      <c r="K509" s="12" t="s">
        <v>1968</v>
      </c>
      <c r="L509" s="14" t="s">
        <v>4028</v>
      </c>
      <c r="M509" s="12" t="s">
        <v>1969</v>
      </c>
      <c r="N509" s="15" t="s">
        <v>1970</v>
      </c>
      <c r="O509" s="12" t="s">
        <v>1971</v>
      </c>
      <c r="P509" s="12" t="s">
        <v>1972</v>
      </c>
      <c r="Q509" s="14">
        <v>3</v>
      </c>
      <c r="R509" s="21">
        <v>706.33950000000004</v>
      </c>
      <c r="S509" s="14">
        <v>5</v>
      </c>
      <c r="T509" s="52" t="s">
        <v>2</v>
      </c>
      <c r="U509" s="53">
        <v>24.376474999999999</v>
      </c>
      <c r="V509" s="24">
        <v>17086</v>
      </c>
      <c r="W509" s="24">
        <v>7034</v>
      </c>
      <c r="X509" s="24">
        <v>14086</v>
      </c>
      <c r="Y509" s="24">
        <v>21907</v>
      </c>
      <c r="Z509" s="24">
        <v>13932</v>
      </c>
      <c r="AA509" s="24">
        <v>16893</v>
      </c>
      <c r="AB509" s="24">
        <v>18532</v>
      </c>
      <c r="AC509" s="24">
        <v>19184</v>
      </c>
      <c r="AD509" s="24">
        <v>15028.25</v>
      </c>
      <c r="AE509" s="24">
        <v>17135.25</v>
      </c>
      <c r="AF509" s="24">
        <v>12060</v>
      </c>
      <c r="AG509" s="24">
        <v>17996.5</v>
      </c>
      <c r="AH509" s="24">
        <v>15412.5</v>
      </c>
      <c r="AI509" s="24">
        <v>18858</v>
      </c>
      <c r="AJ509" s="32">
        <v>41.439004312108807</v>
      </c>
      <c r="AK509" s="32">
        <v>13.673084319887549</v>
      </c>
      <c r="AL509" s="32">
        <v>58.937291579495657</v>
      </c>
      <c r="AM509" s="32">
        <v>30.729764874614439</v>
      </c>
      <c r="AN509" s="32">
        <v>13.584708380167834</v>
      </c>
      <c r="AO509" s="32">
        <v>2.4447641390053505</v>
      </c>
      <c r="AP509" s="19">
        <v>1.1402026184020095</v>
      </c>
      <c r="AQ509" s="19">
        <v>1.2779850746268657</v>
      </c>
      <c r="AR509" s="19">
        <v>1.0478704192481871</v>
      </c>
      <c r="AS509" s="19">
        <v>0.1892902196438267</v>
      </c>
      <c r="AT509" s="19">
        <v>0.35387098739011674</v>
      </c>
      <c r="AU509" s="19">
        <v>6.7460322727942293E-2</v>
      </c>
      <c r="AV509" s="19">
        <v>-8.3993330422738599E-3</v>
      </c>
      <c r="AW509" s="19">
        <v>0.28604677040696702</v>
      </c>
      <c r="AX509" s="19">
        <v>-0.23629059150785064</v>
      </c>
      <c r="AY509" s="19">
        <v>1.1402026184020095</v>
      </c>
      <c r="AZ509" s="19">
        <v>1.2779850746268657</v>
      </c>
      <c r="BA509" s="19">
        <v>1.0478704192481871</v>
      </c>
      <c r="BB509" s="19">
        <v>-1.0058389546451607</v>
      </c>
      <c r="BC509" s="19">
        <v>1.2192946214744584</v>
      </c>
      <c r="BD509" s="19">
        <v>-1.1779600335730527</v>
      </c>
      <c r="BE509" s="14" t="s">
        <v>4857</v>
      </c>
    </row>
    <row r="510" spans="1:105" s="30" customFormat="1" ht="17.100000000000001" customHeight="1">
      <c r="A510" s="14">
        <v>499</v>
      </c>
      <c r="B510" s="14" t="s">
        <v>1973</v>
      </c>
      <c r="C510" s="32">
        <v>-1.3340967870483653</v>
      </c>
      <c r="D510" s="32">
        <v>-1.2399380295312268</v>
      </c>
      <c r="E510" s="32">
        <v>-1.423009398473257</v>
      </c>
      <c r="F510" s="24">
        <v>70268</v>
      </c>
      <c r="G510" s="52" t="s">
        <v>2</v>
      </c>
      <c r="H510" s="32">
        <v>46.902597916011771</v>
      </c>
      <c r="I510" s="32">
        <v>40.692753483266365</v>
      </c>
      <c r="J510" s="12" t="s">
        <v>1974</v>
      </c>
      <c r="K510" s="12" t="s">
        <v>1975</v>
      </c>
      <c r="L510" s="14" t="s">
        <v>5029</v>
      </c>
      <c r="M510" s="12" t="s">
        <v>1976</v>
      </c>
      <c r="N510" s="15" t="s">
        <v>1977</v>
      </c>
      <c r="O510" s="12" t="s">
        <v>1978</v>
      </c>
      <c r="P510" s="12" t="s">
        <v>1979</v>
      </c>
      <c r="Q510" s="14">
        <v>3</v>
      </c>
      <c r="R510" s="21">
        <v>732.37829999999997</v>
      </c>
      <c r="S510" s="14">
        <v>7</v>
      </c>
      <c r="T510" s="52" t="s">
        <v>2</v>
      </c>
      <c r="U510" s="53">
        <v>44.780324999999998</v>
      </c>
      <c r="V510" s="24">
        <v>44465</v>
      </c>
      <c r="W510" s="24">
        <v>31669</v>
      </c>
      <c r="X510" s="24">
        <v>90487</v>
      </c>
      <c r="Y510" s="24">
        <v>50049</v>
      </c>
      <c r="Z510" s="24">
        <v>31293</v>
      </c>
      <c r="AA510" s="24">
        <v>33064</v>
      </c>
      <c r="AB510" s="24">
        <v>59023</v>
      </c>
      <c r="AC510" s="24">
        <v>62881</v>
      </c>
      <c r="AD510" s="24">
        <v>54167.5</v>
      </c>
      <c r="AE510" s="24">
        <v>46565.25</v>
      </c>
      <c r="AF510" s="24">
        <v>38067</v>
      </c>
      <c r="AG510" s="24">
        <v>70268</v>
      </c>
      <c r="AH510" s="24">
        <v>32178.5</v>
      </c>
      <c r="AI510" s="24">
        <v>60952</v>
      </c>
      <c r="AJ510" s="32">
        <v>46.902597916011771</v>
      </c>
      <c r="AK510" s="32">
        <v>35.869110060162264</v>
      </c>
      <c r="AL510" s="32">
        <v>23.768981984561595</v>
      </c>
      <c r="AM510" s="32">
        <v>40.692753483266365</v>
      </c>
      <c r="AN510" s="32">
        <v>3.8916857823744913</v>
      </c>
      <c r="AO510" s="32">
        <v>4.4756824416224248</v>
      </c>
      <c r="AP510" s="19">
        <v>0.85965292841648588</v>
      </c>
      <c r="AQ510" s="19">
        <v>0.84531221267764733</v>
      </c>
      <c r="AR510" s="19">
        <v>0.86742187055274089</v>
      </c>
      <c r="AS510" s="19">
        <v>-0.21817378334871654</v>
      </c>
      <c r="AT510" s="19">
        <v>-0.24244380143375674</v>
      </c>
      <c r="AU510" s="19">
        <v>-0.20519427615002417</v>
      </c>
      <c r="AV510" s="19">
        <v>-0.41586333603481707</v>
      </c>
      <c r="AW510" s="19">
        <v>-0.31026801841690643</v>
      </c>
      <c r="AX510" s="19">
        <v>-0.50894519038581709</v>
      </c>
      <c r="AY510" s="19">
        <v>-1.1632601564471361</v>
      </c>
      <c r="AZ510" s="19">
        <v>-1.1829948568143325</v>
      </c>
      <c r="BA510" s="19">
        <v>-1.1528415802598766</v>
      </c>
      <c r="BB510" s="19">
        <v>-1.3340967870483653</v>
      </c>
      <c r="BC510" s="19">
        <v>-1.2399380295312268</v>
      </c>
      <c r="BD510" s="19">
        <v>-1.423009398473257</v>
      </c>
      <c r="BE510" s="14" t="s">
        <v>4857</v>
      </c>
    </row>
    <row r="511" spans="1:105" s="30" customFormat="1" ht="17.100000000000001" customHeight="1">
      <c r="A511" s="14">
        <v>500</v>
      </c>
      <c r="B511" s="14" t="s">
        <v>1980</v>
      </c>
      <c r="C511" s="32">
        <v>1.1721883087540701</v>
      </c>
      <c r="D511" s="32">
        <v>-1.0940932266393231</v>
      </c>
      <c r="E511" s="32">
        <v>1.3725881493368399</v>
      </c>
      <c r="F511" s="24">
        <v>1088321.5</v>
      </c>
      <c r="G511" s="52" t="s">
        <v>2</v>
      </c>
      <c r="H511" s="32">
        <v>39.812751352937312</v>
      </c>
      <c r="I511" s="32">
        <v>18.384348143834515</v>
      </c>
      <c r="J511" s="12" t="s">
        <v>1981</v>
      </c>
      <c r="K511" s="15" t="s">
        <v>1982</v>
      </c>
      <c r="L511" s="14" t="s">
        <v>5200</v>
      </c>
      <c r="M511" s="12" t="s">
        <v>1983</v>
      </c>
      <c r="N511" s="15" t="s">
        <v>1984</v>
      </c>
      <c r="O511" s="12" t="s">
        <v>1985</v>
      </c>
      <c r="P511" s="12" t="s">
        <v>1986</v>
      </c>
      <c r="Q511" s="14">
        <v>2</v>
      </c>
      <c r="R511" s="21">
        <v>527.30259999999998</v>
      </c>
      <c r="S511" s="14">
        <v>1</v>
      </c>
      <c r="T511" s="52" t="s">
        <v>2</v>
      </c>
      <c r="U511" s="53">
        <v>46.966762500000002</v>
      </c>
      <c r="V511" s="24">
        <v>540419</v>
      </c>
      <c r="W511" s="24">
        <v>623177</v>
      </c>
      <c r="X511" s="24">
        <v>594956</v>
      </c>
      <c r="Y511" s="24">
        <v>689765</v>
      </c>
      <c r="Z511" s="24">
        <v>556215</v>
      </c>
      <c r="AA511" s="24">
        <v>558503</v>
      </c>
      <c r="AB511" s="24">
        <v>946843</v>
      </c>
      <c r="AC511" s="24">
        <v>1229800</v>
      </c>
      <c r="AD511" s="24">
        <v>612079.25</v>
      </c>
      <c r="AE511" s="24">
        <v>822840.25</v>
      </c>
      <c r="AF511" s="24">
        <v>581798</v>
      </c>
      <c r="AG511" s="24">
        <v>642360.5</v>
      </c>
      <c r="AH511" s="24">
        <v>557359</v>
      </c>
      <c r="AI511" s="24">
        <v>1088321.5</v>
      </c>
      <c r="AJ511" s="32">
        <v>10.153372979352842</v>
      </c>
      <c r="AK511" s="32">
        <v>39.812751352937312</v>
      </c>
      <c r="AL511" s="32">
        <v>10.058257848503484</v>
      </c>
      <c r="AM511" s="32">
        <v>10.436520741470776</v>
      </c>
      <c r="AN511" s="32">
        <v>0.29027257393436201</v>
      </c>
      <c r="AO511" s="32">
        <v>18.384348143834515</v>
      </c>
      <c r="AP511" s="19">
        <v>1.3443361296760183</v>
      </c>
      <c r="AQ511" s="19">
        <v>0.95799401166727971</v>
      </c>
      <c r="AR511" s="19">
        <v>1.6942534604789679</v>
      </c>
      <c r="AS511" s="19">
        <v>0.42689390596401283</v>
      </c>
      <c r="AT511" s="19">
        <v>-6.1911457052128673E-2</v>
      </c>
      <c r="AU511" s="19">
        <v>0.76064971813106597</v>
      </c>
      <c r="AV511" s="19">
        <v>0.22920435327791228</v>
      </c>
      <c r="AW511" s="19">
        <v>-0.12973567403527839</v>
      </c>
      <c r="AX511" s="19">
        <v>0.45689880389527304</v>
      </c>
      <c r="AY511" s="19">
        <v>1.3443361296760183</v>
      </c>
      <c r="AZ511" s="19">
        <v>-1.0438478610733837</v>
      </c>
      <c r="BA511" s="19">
        <v>1.6942534604789679</v>
      </c>
      <c r="BB511" s="19">
        <v>1.1721883087540701</v>
      </c>
      <c r="BC511" s="19">
        <v>-1.0940932266393231</v>
      </c>
      <c r="BD511" s="19">
        <v>1.3725881493368399</v>
      </c>
      <c r="BE511" s="14" t="s">
        <v>4857</v>
      </c>
    </row>
    <row r="512" spans="1:105" s="30" customFormat="1" ht="17.100000000000001" customHeight="1">
      <c r="A512" s="14">
        <v>501</v>
      </c>
      <c r="B512" s="14" t="s">
        <v>1987</v>
      </c>
      <c r="C512" s="32">
        <v>-1.094134667651337</v>
      </c>
      <c r="D512" s="32">
        <v>1.0112048606250772</v>
      </c>
      <c r="E512" s="32">
        <v>-1.1922536244027035</v>
      </c>
      <c r="F512" s="24">
        <v>151665.5</v>
      </c>
      <c r="G512" s="52" t="s">
        <v>2</v>
      </c>
      <c r="H512" s="32">
        <v>13.38395998026955</v>
      </c>
      <c r="I512" s="32">
        <v>17.011418765348655</v>
      </c>
      <c r="J512" s="12" t="s">
        <v>1988</v>
      </c>
      <c r="K512" s="15" t="s">
        <v>1989</v>
      </c>
      <c r="L512" s="14" t="s">
        <v>5139</v>
      </c>
      <c r="M512" s="12" t="s">
        <v>1990</v>
      </c>
      <c r="N512" s="15" t="s">
        <v>1991</v>
      </c>
      <c r="O512" s="12" t="s">
        <v>1992</v>
      </c>
      <c r="P512" s="12" t="s">
        <v>1993</v>
      </c>
      <c r="Q512" s="14">
        <v>2</v>
      </c>
      <c r="R512" s="21">
        <v>418.22469999999998</v>
      </c>
      <c r="S512" s="14">
        <v>7</v>
      </c>
      <c r="T512" s="52" t="s">
        <v>2</v>
      </c>
      <c r="U512" s="53">
        <v>27.143425000000001</v>
      </c>
      <c r="V512" s="24">
        <v>135631</v>
      </c>
      <c r="W512" s="24">
        <v>150563</v>
      </c>
      <c r="X512" s="24">
        <v>136827</v>
      </c>
      <c r="Y512" s="24">
        <v>122889</v>
      </c>
      <c r="Z512" s="24">
        <v>163499</v>
      </c>
      <c r="AA512" s="24">
        <v>139832</v>
      </c>
      <c r="AB512" s="24">
        <v>150615</v>
      </c>
      <c r="AC512" s="24">
        <v>118271</v>
      </c>
      <c r="AD512" s="24">
        <v>136477.5</v>
      </c>
      <c r="AE512" s="24">
        <v>143054.25</v>
      </c>
      <c r="AF512" s="24">
        <v>143097</v>
      </c>
      <c r="AG512" s="24">
        <v>129858</v>
      </c>
      <c r="AH512" s="24">
        <v>151665.5</v>
      </c>
      <c r="AI512" s="24">
        <v>134443</v>
      </c>
      <c r="AJ512" s="32">
        <v>8.288581604807197</v>
      </c>
      <c r="AK512" s="32">
        <v>13.38395998026955</v>
      </c>
      <c r="AL512" s="32">
        <v>7.3785742934355909</v>
      </c>
      <c r="AM512" s="32">
        <v>7.5895626886122534</v>
      </c>
      <c r="AN512" s="32">
        <v>11.034214234840501</v>
      </c>
      <c r="AO512" s="32">
        <v>17.011418765348655</v>
      </c>
      <c r="AP512" s="19">
        <v>1.0481892619662583</v>
      </c>
      <c r="AQ512" s="19">
        <v>1.0598789632207524</v>
      </c>
      <c r="AR512" s="19">
        <v>1.0353077977483096</v>
      </c>
      <c r="AS512" s="19">
        <v>6.7899234669100583E-2</v>
      </c>
      <c r="AT512" s="19">
        <v>8.3899520324847016E-2</v>
      </c>
      <c r="AU512" s="19">
        <v>5.0059745762395476E-2</v>
      </c>
      <c r="AV512" s="19">
        <v>-0.12979031801699997</v>
      </c>
      <c r="AW512" s="19">
        <v>1.6075303341697308E-2</v>
      </c>
      <c r="AX512" s="19">
        <v>-0.25369116847339745</v>
      </c>
      <c r="AY512" s="19">
        <v>1.0481892619662583</v>
      </c>
      <c r="AZ512" s="19">
        <v>1.0598789632207524</v>
      </c>
      <c r="BA512" s="19">
        <v>1.0353077977483096</v>
      </c>
      <c r="BB512" s="19">
        <v>-1.094134667651337</v>
      </c>
      <c r="BC512" s="19">
        <v>1.0112048606250772</v>
      </c>
      <c r="BD512" s="19">
        <v>-1.1922536244027035</v>
      </c>
      <c r="BE512" s="14" t="s">
        <v>4857</v>
      </c>
    </row>
    <row r="513" spans="1:105" s="30" customFormat="1" ht="17.100000000000001" customHeight="1">
      <c r="A513" s="14">
        <v>502</v>
      </c>
      <c r="B513" s="14" t="s">
        <v>1994</v>
      </c>
      <c r="C513" s="32">
        <v>-1.1291358419374675</v>
      </c>
      <c r="D513" s="32">
        <v>-1.3213917288570471</v>
      </c>
      <c r="E513" s="32">
        <v>1.0028184013823966</v>
      </c>
      <c r="F513" s="24">
        <v>90778</v>
      </c>
      <c r="G513" s="52" t="s">
        <v>2</v>
      </c>
      <c r="H513" s="32">
        <v>29.539580554202967</v>
      </c>
      <c r="I513" s="32">
        <v>46.442374983006324</v>
      </c>
      <c r="J513" s="12" t="s">
        <v>1995</v>
      </c>
      <c r="K513" s="12" t="s">
        <v>1996</v>
      </c>
      <c r="L513" s="14" t="s">
        <v>5069</v>
      </c>
      <c r="M513" s="12" t="s">
        <v>1997</v>
      </c>
      <c r="N513" s="15" t="s">
        <v>1998</v>
      </c>
      <c r="O513" s="12" t="s">
        <v>1999</v>
      </c>
      <c r="P513" s="12" t="s">
        <v>2000</v>
      </c>
      <c r="Q513" s="14">
        <v>2</v>
      </c>
      <c r="R513" s="21">
        <v>661.82039999999995</v>
      </c>
      <c r="S513" s="14">
        <v>6</v>
      </c>
      <c r="T513" s="52" t="s">
        <v>2</v>
      </c>
      <c r="U513" s="53">
        <v>36.436587499999995</v>
      </c>
      <c r="V513" s="24">
        <v>79985</v>
      </c>
      <c r="W513" s="24">
        <v>66450</v>
      </c>
      <c r="X513" s="24">
        <v>49253</v>
      </c>
      <c r="Y513" s="24">
        <v>97420</v>
      </c>
      <c r="Z513" s="24">
        <v>45229</v>
      </c>
      <c r="AA513" s="24">
        <v>70924</v>
      </c>
      <c r="AB513" s="24">
        <v>85749</v>
      </c>
      <c r="AC513" s="24">
        <v>95807</v>
      </c>
      <c r="AD513" s="24">
        <v>73277</v>
      </c>
      <c r="AE513" s="24">
        <v>74427.25</v>
      </c>
      <c r="AF513" s="24">
        <v>73217.5</v>
      </c>
      <c r="AG513" s="24">
        <v>73336.5</v>
      </c>
      <c r="AH513" s="24">
        <v>58076.5</v>
      </c>
      <c r="AI513" s="24">
        <v>90778</v>
      </c>
      <c r="AJ513" s="32">
        <v>27.874802156090656</v>
      </c>
      <c r="AK513" s="32">
        <v>29.539580554202967</v>
      </c>
      <c r="AL513" s="32">
        <v>13.071588463632223</v>
      </c>
      <c r="AM513" s="32">
        <v>46.442374983006324</v>
      </c>
      <c r="AN513" s="32">
        <v>31.284786002235563</v>
      </c>
      <c r="AO513" s="32">
        <v>7.8345854779509301</v>
      </c>
      <c r="AP513" s="19">
        <v>1.0156972856421524</v>
      </c>
      <c r="AQ513" s="19">
        <v>0.79320517635811105</v>
      </c>
      <c r="AR513" s="19">
        <v>1.2378283665023555</v>
      </c>
      <c r="AS513" s="19">
        <v>2.2470491109861827E-2</v>
      </c>
      <c r="AT513" s="19">
        <v>-0.33423400244187068</v>
      </c>
      <c r="AU513" s="19">
        <v>0.30781128873483987</v>
      </c>
      <c r="AV513" s="19">
        <v>-0.17521906157623873</v>
      </c>
      <c r="AW513" s="19">
        <v>-0.4020582194250204</v>
      </c>
      <c r="AX513" s="19">
        <v>4.0603744990469481E-3</v>
      </c>
      <c r="AY513" s="19">
        <v>1.0156972856421524</v>
      </c>
      <c r="AZ513" s="19">
        <v>-1.260707859461228</v>
      </c>
      <c r="BA513" s="19">
        <v>1.2378283665023555</v>
      </c>
      <c r="BB513" s="19">
        <v>-1.1291358419374675</v>
      </c>
      <c r="BC513" s="19">
        <v>-1.3213917288570471</v>
      </c>
      <c r="BD513" s="19">
        <v>1.0028184013823966</v>
      </c>
      <c r="BE513" s="14" t="s">
        <v>4857</v>
      </c>
    </row>
    <row r="514" spans="1:105" ht="17.100000000000001" customHeight="1">
      <c r="A514" s="14">
        <v>503</v>
      </c>
      <c r="B514" s="14" t="s">
        <v>2001</v>
      </c>
      <c r="C514" s="32">
        <v>1.0156694796347918</v>
      </c>
      <c r="D514" s="32">
        <v>-1.2219003806482995</v>
      </c>
      <c r="E514" s="32">
        <v>1.2140145108547218</v>
      </c>
      <c r="F514" s="24">
        <v>1800050</v>
      </c>
      <c r="G514" s="52" t="s">
        <v>2</v>
      </c>
      <c r="H514" s="32">
        <v>27.438614200582791</v>
      </c>
      <c r="I514" s="32">
        <v>12.728756201125929</v>
      </c>
      <c r="J514" s="15" t="s">
        <v>2002</v>
      </c>
      <c r="K514" s="15" t="s">
        <v>2003</v>
      </c>
      <c r="L514" s="14" t="s">
        <v>5118</v>
      </c>
      <c r="M514" s="12" t="s">
        <v>2004</v>
      </c>
      <c r="N514" s="15" t="s">
        <v>2005</v>
      </c>
      <c r="O514" s="12" t="s">
        <v>2006</v>
      </c>
      <c r="P514" s="12" t="s">
        <v>2008</v>
      </c>
      <c r="Q514" s="14">
        <v>2</v>
      </c>
      <c r="R514" s="21">
        <v>835.89970000000005</v>
      </c>
      <c r="S514" s="14">
        <v>22</v>
      </c>
      <c r="T514" s="52" t="s">
        <v>2</v>
      </c>
      <c r="U514" s="53">
        <v>50.9318375</v>
      </c>
      <c r="V514" s="24">
        <v>1422970</v>
      </c>
      <c r="W514" s="24">
        <v>1187970</v>
      </c>
      <c r="X514" s="24">
        <v>1286330</v>
      </c>
      <c r="Y514" s="24">
        <v>1116110</v>
      </c>
      <c r="Z514" s="24">
        <v>1152080</v>
      </c>
      <c r="AA514" s="24">
        <v>1087560</v>
      </c>
      <c r="AB514" s="24">
        <v>1891190</v>
      </c>
      <c r="AC514" s="24">
        <v>1708910</v>
      </c>
      <c r="AD514" s="24">
        <v>1253345</v>
      </c>
      <c r="AE514" s="24">
        <v>1459935</v>
      </c>
      <c r="AF514" s="24">
        <v>1305470</v>
      </c>
      <c r="AG514" s="24">
        <v>1201220</v>
      </c>
      <c r="AH514" s="24">
        <v>1119820</v>
      </c>
      <c r="AI514" s="24">
        <v>1800050</v>
      </c>
      <c r="AJ514" s="32">
        <v>10.601699073499224</v>
      </c>
      <c r="AK514" s="32">
        <v>27.438614200582791</v>
      </c>
      <c r="AL514" s="32">
        <v>12.728756201125929</v>
      </c>
      <c r="AM514" s="32">
        <v>10.020122566521881</v>
      </c>
      <c r="AN514" s="32">
        <v>4.0740949011587615</v>
      </c>
      <c r="AO514" s="32">
        <v>7.1604357698221657</v>
      </c>
      <c r="AP514" s="19">
        <v>1.1648309124782084</v>
      </c>
      <c r="AQ514" s="19">
        <v>0.85779068075099385</v>
      </c>
      <c r="AR514" s="19">
        <v>1.4985181731905897</v>
      </c>
      <c r="AS514" s="19">
        <v>0.22012054764035482</v>
      </c>
      <c r="AT514" s="19">
        <v>-0.22130245262263606</v>
      </c>
      <c r="AU514" s="19">
        <v>0.58353658015643195</v>
      </c>
      <c r="AV514" s="19">
        <v>2.2430994954254269E-2</v>
      </c>
      <c r="AW514" s="19">
        <v>-0.28912666960578576</v>
      </c>
      <c r="AX514" s="19">
        <v>0.27978566592063903</v>
      </c>
      <c r="AY514" s="19">
        <v>1.1648309124782084</v>
      </c>
      <c r="AZ514" s="19">
        <v>-1.1657855726813238</v>
      </c>
      <c r="BA514" s="19">
        <v>1.4985181731905897</v>
      </c>
      <c r="BB514" s="19">
        <v>1.0156694796347918</v>
      </c>
      <c r="BC514" s="19">
        <v>-1.2219003806482995</v>
      </c>
      <c r="BD514" s="19">
        <v>1.2140145108547218</v>
      </c>
      <c r="BE514" s="14" t="s">
        <v>4857</v>
      </c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s="30" customFormat="1" ht="17.100000000000001" customHeight="1">
      <c r="A515" s="14">
        <v>504</v>
      </c>
      <c r="B515" s="14" t="s">
        <v>2011</v>
      </c>
      <c r="C515" s="32">
        <v>-1.1062018920391312</v>
      </c>
      <c r="D515" s="32">
        <v>-1.4173786559356618</v>
      </c>
      <c r="E515" s="32">
        <v>1.1131609602187709</v>
      </c>
      <c r="F515" s="24">
        <v>82128.5</v>
      </c>
      <c r="G515" s="52" t="s">
        <v>2</v>
      </c>
      <c r="H515" s="32">
        <v>28.100106517822603</v>
      </c>
      <c r="I515" s="32">
        <v>42.566948070424871</v>
      </c>
      <c r="J515" s="15" t="s">
        <v>2012</v>
      </c>
      <c r="K515" s="12" t="s">
        <v>2013</v>
      </c>
      <c r="L515" s="14" t="s">
        <v>5031</v>
      </c>
      <c r="M515" s="12" t="s">
        <v>2014</v>
      </c>
      <c r="N515" s="15" t="s">
        <v>2015</v>
      </c>
      <c r="O515" s="12" t="s">
        <v>2016</v>
      </c>
      <c r="P515" s="12" t="s">
        <v>2018</v>
      </c>
      <c r="Q515" s="14">
        <v>2</v>
      </c>
      <c r="R515" s="21">
        <v>900.48050000000001</v>
      </c>
      <c r="S515" s="14">
        <v>2</v>
      </c>
      <c r="T515" s="52" t="s">
        <v>2</v>
      </c>
      <c r="U515" s="53">
        <v>66.715800000000002</v>
      </c>
      <c r="V515" s="24">
        <v>73298</v>
      </c>
      <c r="W515" s="24">
        <v>62335</v>
      </c>
      <c r="X515" s="24">
        <v>41781</v>
      </c>
      <c r="Y515" s="24">
        <v>77763</v>
      </c>
      <c r="Z515" s="24">
        <v>47653</v>
      </c>
      <c r="AA515" s="24">
        <v>52646</v>
      </c>
      <c r="AB515" s="24">
        <v>81387</v>
      </c>
      <c r="AC515" s="24">
        <v>82870</v>
      </c>
      <c r="AD515" s="24">
        <v>63794.25</v>
      </c>
      <c r="AE515" s="24">
        <v>66139</v>
      </c>
      <c r="AF515" s="24">
        <v>67816.5</v>
      </c>
      <c r="AG515" s="24">
        <v>59772</v>
      </c>
      <c r="AH515" s="24">
        <v>50149.5</v>
      </c>
      <c r="AI515" s="24">
        <v>82128.5</v>
      </c>
      <c r="AJ515" s="32">
        <v>25.148462457586078</v>
      </c>
      <c r="AK515" s="32">
        <v>28.100106517822603</v>
      </c>
      <c r="AL515" s="32">
        <v>11.430863642547346</v>
      </c>
      <c r="AM515" s="32">
        <v>42.566948070424871</v>
      </c>
      <c r="AN515" s="32">
        <v>7.0401183630234234</v>
      </c>
      <c r="AO515" s="32">
        <v>1.2768276012585764</v>
      </c>
      <c r="AP515" s="19">
        <v>1.0367548799460766</v>
      </c>
      <c r="AQ515" s="19">
        <v>0.73948817765588015</v>
      </c>
      <c r="AR515" s="19">
        <v>1.3740296459880881</v>
      </c>
      <c r="AS515" s="19">
        <v>5.207483794311292E-2</v>
      </c>
      <c r="AT515" s="19">
        <v>-0.435401012030324</v>
      </c>
      <c r="AU515" s="19">
        <v>0.45841313200069339</v>
      </c>
      <c r="AV515" s="19">
        <v>-0.14561471474298765</v>
      </c>
      <c r="AW515" s="19">
        <v>-0.50322522901347366</v>
      </c>
      <c r="AX515" s="19">
        <v>0.15466221776490047</v>
      </c>
      <c r="AY515" s="19">
        <v>1.0367548799460766</v>
      </c>
      <c r="AZ515" s="19">
        <v>-1.3522866628779948</v>
      </c>
      <c r="BA515" s="19">
        <v>1.3740296459880881</v>
      </c>
      <c r="BB515" s="19">
        <v>-1.1062018920391312</v>
      </c>
      <c r="BC515" s="19">
        <v>-1.4173786559356618</v>
      </c>
      <c r="BD515" s="19">
        <v>1.1131609602187709</v>
      </c>
      <c r="BE515" s="14" t="s">
        <v>4857</v>
      </c>
    </row>
    <row r="516" spans="1:105" ht="17.100000000000001" customHeight="1">
      <c r="A516" s="14">
        <v>505</v>
      </c>
      <c r="B516" s="14" t="s">
        <v>2019</v>
      </c>
      <c r="C516" s="32">
        <v>-1.3154565936174123</v>
      </c>
      <c r="D516" s="32">
        <v>-1.5526823750918308</v>
      </c>
      <c r="E516" s="32">
        <v>-1.1488658378746033</v>
      </c>
      <c r="F516" s="24">
        <v>286279.5</v>
      </c>
      <c r="G516" s="52" t="s">
        <v>2</v>
      </c>
      <c r="H516" s="32">
        <v>34.040632409450033</v>
      </c>
      <c r="I516" s="32">
        <v>33.238374538691211</v>
      </c>
      <c r="J516" s="12" t="s">
        <v>2020</v>
      </c>
      <c r="K516" s="12" t="s">
        <v>2021</v>
      </c>
      <c r="L516" s="14" t="s">
        <v>4997</v>
      </c>
      <c r="M516" s="12" t="s">
        <v>1893</v>
      </c>
      <c r="N516" s="15" t="s">
        <v>1894</v>
      </c>
      <c r="O516" s="12" t="s">
        <v>1895</v>
      </c>
      <c r="P516" s="12" t="s">
        <v>1897</v>
      </c>
      <c r="Q516" s="14">
        <v>3</v>
      </c>
      <c r="R516" s="21">
        <v>989.76390000000004</v>
      </c>
      <c r="S516" s="14">
        <v>9</v>
      </c>
      <c r="T516" s="52" t="s">
        <v>2</v>
      </c>
      <c r="U516" s="53">
        <v>63.830387500000001</v>
      </c>
      <c r="V516" s="24">
        <v>243176</v>
      </c>
      <c r="W516" s="24">
        <v>305400</v>
      </c>
      <c r="X516" s="24">
        <v>325290</v>
      </c>
      <c r="Y516" s="24">
        <v>207617</v>
      </c>
      <c r="Z516" s="24">
        <v>189361</v>
      </c>
      <c r="AA516" s="24">
        <v>180954</v>
      </c>
      <c r="AB516" s="24">
        <v>218995</v>
      </c>
      <c r="AC516" s="24">
        <v>353564</v>
      </c>
      <c r="AD516" s="24">
        <v>270370.75</v>
      </c>
      <c r="AE516" s="24">
        <v>235718.5</v>
      </c>
      <c r="AF516" s="24">
        <v>274288</v>
      </c>
      <c r="AG516" s="24">
        <v>266453.5</v>
      </c>
      <c r="AH516" s="24">
        <v>185157.5</v>
      </c>
      <c r="AI516" s="24">
        <v>286279.5</v>
      </c>
      <c r="AJ516" s="32">
        <v>20.168824791016643</v>
      </c>
      <c r="AK516" s="32">
        <v>34.040632409450033</v>
      </c>
      <c r="AL516" s="32">
        <v>16.041172910426898</v>
      </c>
      <c r="AM516" s="32">
        <v>31.227728764142565</v>
      </c>
      <c r="AN516" s="32">
        <v>3.2105892061813885</v>
      </c>
      <c r="AO516" s="32">
        <v>33.238374538691211</v>
      </c>
      <c r="AP516" s="19">
        <v>0.87183432379427139</v>
      </c>
      <c r="AQ516" s="19">
        <v>0.67504776001866651</v>
      </c>
      <c r="AR516" s="19">
        <v>1.0744069790789013</v>
      </c>
      <c r="AS516" s="19">
        <v>-0.19787409170818507</v>
      </c>
      <c r="AT516" s="19">
        <v>-0.56693851760603176</v>
      </c>
      <c r="AU516" s="19">
        <v>0.10354058129442902</v>
      </c>
      <c r="AV516" s="19">
        <v>-0.3955636443942856</v>
      </c>
      <c r="AW516" s="19">
        <v>-0.63476273458918142</v>
      </c>
      <c r="AX516" s="19">
        <v>-0.20021033294136392</v>
      </c>
      <c r="AY516" s="19">
        <v>-1.1470069171490571</v>
      </c>
      <c r="AZ516" s="19">
        <v>-1.4813766658115388</v>
      </c>
      <c r="BA516" s="19">
        <v>1.0744069790789013</v>
      </c>
      <c r="BB516" s="19">
        <v>-1.3154565936174123</v>
      </c>
      <c r="BC516" s="19">
        <v>-1.5526823750918308</v>
      </c>
      <c r="BD516" s="19">
        <v>-1.1488658378746033</v>
      </c>
      <c r="BE516" s="14" t="s">
        <v>4857</v>
      </c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s="30" customFormat="1" ht="17.100000000000001" customHeight="1">
      <c r="A517" s="14">
        <v>506</v>
      </c>
      <c r="B517" s="14" t="s">
        <v>1899</v>
      </c>
      <c r="C517" s="32">
        <v>1.0109488133553304</v>
      </c>
      <c r="D517" s="32">
        <v>1.1056092100663357</v>
      </c>
      <c r="E517" s="32">
        <v>-1.0640922967234434</v>
      </c>
      <c r="F517" s="24">
        <v>153651</v>
      </c>
      <c r="G517" s="52" t="s">
        <v>2</v>
      </c>
      <c r="H517" s="32">
        <v>30.295413512822012</v>
      </c>
      <c r="I517" s="32">
        <v>51.33251548412111</v>
      </c>
      <c r="J517" s="12" t="s">
        <v>1900</v>
      </c>
      <c r="K517" s="12" t="s">
        <v>1901</v>
      </c>
      <c r="L517" s="14" t="s">
        <v>3869</v>
      </c>
      <c r="M517" s="12" t="s">
        <v>1902</v>
      </c>
      <c r="N517" s="15" t="s">
        <v>1903</v>
      </c>
      <c r="O517" s="12" t="s">
        <v>1904</v>
      </c>
      <c r="P517" s="12" t="s">
        <v>1905</v>
      </c>
      <c r="Q517" s="14">
        <v>2</v>
      </c>
      <c r="R517" s="21">
        <v>438.72840000000002</v>
      </c>
      <c r="S517" s="14">
        <v>1</v>
      </c>
      <c r="T517" s="52" t="s">
        <v>2</v>
      </c>
      <c r="U517" s="53">
        <v>24.7875625</v>
      </c>
      <c r="V517" s="24">
        <v>149374</v>
      </c>
      <c r="W517" s="24">
        <v>113641</v>
      </c>
      <c r="X517" s="24">
        <v>129288</v>
      </c>
      <c r="Y517" s="24">
        <v>135627</v>
      </c>
      <c r="Z517" s="24">
        <v>207710</v>
      </c>
      <c r="AA517" s="24">
        <v>97079</v>
      </c>
      <c r="AB517" s="24">
        <v>140879</v>
      </c>
      <c r="AC517" s="24">
        <v>166423</v>
      </c>
      <c r="AD517" s="24">
        <v>131982.5</v>
      </c>
      <c r="AE517" s="24">
        <v>153022.75</v>
      </c>
      <c r="AF517" s="24">
        <v>131507.5</v>
      </c>
      <c r="AG517" s="24">
        <v>132457.5</v>
      </c>
      <c r="AH517" s="24">
        <v>152394.5</v>
      </c>
      <c r="AI517" s="24">
        <v>153651</v>
      </c>
      <c r="AJ517" s="32">
        <v>11.233194819565433</v>
      </c>
      <c r="AK517" s="32">
        <v>30.295413512822012</v>
      </c>
      <c r="AL517" s="32">
        <v>19.213388295069787</v>
      </c>
      <c r="AM517" s="32">
        <v>3.3839910053726858</v>
      </c>
      <c r="AN517" s="32">
        <v>51.33251548412111</v>
      </c>
      <c r="AO517" s="32">
        <v>11.755429914956084</v>
      </c>
      <c r="AP517" s="19">
        <v>1.1594169681586575</v>
      </c>
      <c r="AQ517" s="19">
        <v>1.1588274433017127</v>
      </c>
      <c r="AR517" s="19">
        <v>1.1600022648774135</v>
      </c>
      <c r="AS517" s="19">
        <v>0.2133995048351322</v>
      </c>
      <c r="AT517" s="19">
        <v>0.21266575596747717</v>
      </c>
      <c r="AU517" s="19">
        <v>0.21412762218407402</v>
      </c>
      <c r="AV517" s="19">
        <v>1.5709952149031647E-2</v>
      </c>
      <c r="AW517" s="19">
        <v>0.14484153898432744</v>
      </c>
      <c r="AX517" s="19">
        <v>-8.96232920517189E-2</v>
      </c>
      <c r="AY517" s="19">
        <v>1.1594169681586575</v>
      </c>
      <c r="AZ517" s="19">
        <v>1.1588274433017127</v>
      </c>
      <c r="BA517" s="19">
        <v>1.1600022648774135</v>
      </c>
      <c r="BB517" s="19">
        <v>1.0109488133553304</v>
      </c>
      <c r="BC517" s="19">
        <v>1.1056092100663357</v>
      </c>
      <c r="BD517" s="19">
        <v>-1.0640922967234434</v>
      </c>
      <c r="BE517" s="14" t="s">
        <v>4857</v>
      </c>
    </row>
    <row r="518" spans="1:105" ht="17.100000000000001" customHeight="1">
      <c r="A518" s="14">
        <v>507</v>
      </c>
      <c r="B518" s="14" t="s">
        <v>1906</v>
      </c>
      <c r="C518" s="32">
        <v>1.2781593916496035</v>
      </c>
      <c r="D518" s="32">
        <v>1.6339401732515553</v>
      </c>
      <c r="E518" s="32">
        <v>1.0724152432927248</v>
      </c>
      <c r="F518" s="24">
        <v>216160</v>
      </c>
      <c r="G518" s="52" t="s">
        <v>2</v>
      </c>
      <c r="H518" s="32">
        <v>34.228118085344256</v>
      </c>
      <c r="I518" s="32">
        <v>31.893071802163604</v>
      </c>
      <c r="J518" s="12" t="s">
        <v>1907</v>
      </c>
      <c r="K518" s="12" t="s">
        <v>1908</v>
      </c>
      <c r="L518" s="14" t="s">
        <v>5287</v>
      </c>
      <c r="M518" s="12" t="s">
        <v>1909</v>
      </c>
      <c r="N518" s="15" t="s">
        <v>1910</v>
      </c>
      <c r="O518" s="12" t="s">
        <v>1911</v>
      </c>
      <c r="P518" s="12" t="s">
        <v>1912</v>
      </c>
      <c r="Q518" s="14">
        <v>3</v>
      </c>
      <c r="R518" s="21">
        <v>552.98329999999999</v>
      </c>
      <c r="S518" s="14">
        <v>7</v>
      </c>
      <c r="T518" s="52" t="s">
        <v>2</v>
      </c>
      <c r="U518" s="53">
        <v>86.074950000000001</v>
      </c>
      <c r="V518" s="24">
        <v>115290</v>
      </c>
      <c r="W518" s="24">
        <v>72859</v>
      </c>
      <c r="X518" s="24">
        <v>171312</v>
      </c>
      <c r="Y518" s="24">
        <v>155279</v>
      </c>
      <c r="Z518" s="24">
        <v>191524</v>
      </c>
      <c r="AA518" s="24">
        <v>130698</v>
      </c>
      <c r="AB518" s="24">
        <v>231130</v>
      </c>
      <c r="AC518" s="24">
        <v>201190</v>
      </c>
      <c r="AD518" s="24">
        <v>128685</v>
      </c>
      <c r="AE518" s="24">
        <v>188635.5</v>
      </c>
      <c r="AF518" s="24">
        <v>94074.5</v>
      </c>
      <c r="AG518" s="24">
        <v>163295.5</v>
      </c>
      <c r="AH518" s="24">
        <v>161111</v>
      </c>
      <c r="AI518" s="24">
        <v>216160</v>
      </c>
      <c r="AJ518" s="32">
        <v>34.228118085344256</v>
      </c>
      <c r="AK518" s="32">
        <v>22.341804138104379</v>
      </c>
      <c r="AL518" s="32">
        <v>31.893071802163604</v>
      </c>
      <c r="AM518" s="32">
        <v>6.9426548942034021</v>
      </c>
      <c r="AN518" s="32">
        <v>26.696176594058095</v>
      </c>
      <c r="AO518" s="32">
        <v>9.7940308237996074</v>
      </c>
      <c r="AP518" s="19">
        <v>1.4658701480359015</v>
      </c>
      <c r="AQ518" s="19">
        <v>1.7125894902444339</v>
      </c>
      <c r="AR518" s="19">
        <v>1.3237351917229807</v>
      </c>
      <c r="AS518" s="19">
        <v>0.55175731010072404</v>
      </c>
      <c r="AT518" s="19">
        <v>0.77617937712927509</v>
      </c>
      <c r="AU518" s="19">
        <v>0.40461454525835577</v>
      </c>
      <c r="AV518" s="19">
        <v>0.35406775741462349</v>
      </c>
      <c r="AW518" s="19">
        <v>0.70835516014612543</v>
      </c>
      <c r="AX518" s="19">
        <v>0.10086363102256285</v>
      </c>
      <c r="AY518" s="19">
        <v>1.4658701480359015</v>
      </c>
      <c r="AZ518" s="19">
        <v>1.7125894902444339</v>
      </c>
      <c r="BA518" s="19">
        <v>1.3237351917229807</v>
      </c>
      <c r="BB518" s="19">
        <v>1.2781593916496035</v>
      </c>
      <c r="BC518" s="19">
        <v>1.6339401732515553</v>
      </c>
      <c r="BD518" s="19">
        <v>1.0724152432927248</v>
      </c>
      <c r="BE518" s="14" t="s">
        <v>4857</v>
      </c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s="30" customFormat="1" ht="17.100000000000001" customHeight="1">
      <c r="A519" s="14">
        <v>508</v>
      </c>
      <c r="B519" s="14" t="s">
        <v>1913</v>
      </c>
      <c r="C519" s="32">
        <v>1.0205497702890989</v>
      </c>
      <c r="D519" s="32">
        <v>1.0113625004886999</v>
      </c>
      <c r="E519" s="32">
        <v>1.0142316635549009</v>
      </c>
      <c r="F519" s="24">
        <v>54876.5</v>
      </c>
      <c r="G519" s="52" t="s">
        <v>2</v>
      </c>
      <c r="H519" s="32">
        <v>27.260323519289948</v>
      </c>
      <c r="I519" s="32">
        <v>15.591115078310903</v>
      </c>
      <c r="J519" s="12" t="s">
        <v>1914</v>
      </c>
      <c r="K519" s="12" t="s">
        <v>1915</v>
      </c>
      <c r="L519" s="14" t="s">
        <v>5268</v>
      </c>
      <c r="M519" s="12" t="s">
        <v>1916</v>
      </c>
      <c r="N519" s="15" t="s">
        <v>1917</v>
      </c>
      <c r="O519" s="12" t="s">
        <v>1918</v>
      </c>
      <c r="P519" s="12" t="s">
        <v>1919</v>
      </c>
      <c r="Q519" s="14">
        <v>2</v>
      </c>
      <c r="R519" s="21">
        <v>522.79549999999995</v>
      </c>
      <c r="S519" s="14">
        <v>1</v>
      </c>
      <c r="T519" s="52" t="s">
        <v>2</v>
      </c>
      <c r="U519" s="53">
        <v>27.1349625</v>
      </c>
      <c r="V519" s="24">
        <v>28792</v>
      </c>
      <c r="W519" s="24">
        <v>35927</v>
      </c>
      <c r="X519" s="24">
        <v>47702</v>
      </c>
      <c r="Y519" s="24">
        <v>39966</v>
      </c>
      <c r="Z519" s="24">
        <v>37427</v>
      </c>
      <c r="AA519" s="24">
        <v>31178</v>
      </c>
      <c r="AB519" s="24">
        <v>55343</v>
      </c>
      <c r="AC519" s="24">
        <v>54410</v>
      </c>
      <c r="AD519" s="24">
        <v>38096.75</v>
      </c>
      <c r="AE519" s="24">
        <v>44589.5</v>
      </c>
      <c r="AF519" s="24">
        <v>32359.5</v>
      </c>
      <c r="AG519" s="24">
        <v>43834</v>
      </c>
      <c r="AH519" s="24">
        <v>34302.5</v>
      </c>
      <c r="AI519" s="24">
        <v>54876.5</v>
      </c>
      <c r="AJ519" s="32">
        <v>20.726214149863786</v>
      </c>
      <c r="AK519" s="32">
        <v>27.260323519289948</v>
      </c>
      <c r="AL519" s="32">
        <v>15.591115078310903</v>
      </c>
      <c r="AM519" s="32">
        <v>12.479303872015175</v>
      </c>
      <c r="AN519" s="32">
        <v>12.881598354740136</v>
      </c>
      <c r="AO519" s="32">
        <v>1.2022097379516712</v>
      </c>
      <c r="AP519" s="19">
        <v>1.1704279236417805</v>
      </c>
      <c r="AQ519" s="19">
        <v>1.0600441910412708</v>
      </c>
      <c r="AR519" s="19">
        <v>1.2519163206643245</v>
      </c>
      <c r="AS519" s="19">
        <v>0.22703609429081503</v>
      </c>
      <c r="AT519" s="19">
        <v>8.4124409002799563E-2</v>
      </c>
      <c r="AU519" s="19">
        <v>0.32413813431752614</v>
      </c>
      <c r="AV519" s="19">
        <v>2.9346541604714477E-2</v>
      </c>
      <c r="AW519" s="19">
        <v>1.6300192019649856E-2</v>
      </c>
      <c r="AX519" s="19">
        <v>2.0387220081733215E-2</v>
      </c>
      <c r="AY519" s="19">
        <v>1.1704279236417805</v>
      </c>
      <c r="AZ519" s="19">
        <v>1.0600441910412708</v>
      </c>
      <c r="BA519" s="19">
        <v>1.2519163206643245</v>
      </c>
      <c r="BB519" s="19">
        <v>1.0205497702890989</v>
      </c>
      <c r="BC519" s="19">
        <v>1.0113625004886999</v>
      </c>
      <c r="BD519" s="19">
        <v>1.0142316635549009</v>
      </c>
      <c r="BE519" s="14" t="s">
        <v>4857</v>
      </c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28"/>
      <c r="BU519" s="28"/>
      <c r="BV519" s="28"/>
      <c r="BW519" s="28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</row>
    <row r="520" spans="1:105" s="30" customFormat="1" ht="17.100000000000001" customHeight="1">
      <c r="A520" s="14">
        <v>509</v>
      </c>
      <c r="B520" s="14" t="s">
        <v>1920</v>
      </c>
      <c r="C520" s="32">
        <v>1.1963277770838348</v>
      </c>
      <c r="D520" s="32">
        <v>1.2293468832334873</v>
      </c>
      <c r="E520" s="32">
        <v>1.1794610136114716</v>
      </c>
      <c r="F520" s="24">
        <v>70100</v>
      </c>
      <c r="G520" s="52" t="s">
        <v>2</v>
      </c>
      <c r="H520" s="32">
        <v>12.487005808295311</v>
      </c>
      <c r="I520" s="32">
        <v>16.542869060569728</v>
      </c>
      <c r="J520" s="12" t="s">
        <v>1914</v>
      </c>
      <c r="K520" s="12" t="s">
        <v>1915</v>
      </c>
      <c r="L520" s="14" t="s">
        <v>5073</v>
      </c>
      <c r="M520" s="12" t="s">
        <v>1916</v>
      </c>
      <c r="N520" s="15" t="s">
        <v>1917</v>
      </c>
      <c r="O520" s="12" t="s">
        <v>1918</v>
      </c>
      <c r="P520" s="12" t="s">
        <v>1921</v>
      </c>
      <c r="Q520" s="14">
        <v>2</v>
      </c>
      <c r="R520" s="21">
        <v>530.80550000000005</v>
      </c>
      <c r="S520" s="14">
        <v>1</v>
      </c>
      <c r="T520" s="52" t="s">
        <v>2</v>
      </c>
      <c r="U520" s="53">
        <v>47.8</v>
      </c>
      <c r="V520" s="24">
        <v>44200</v>
      </c>
      <c r="W520" s="24">
        <v>52500</v>
      </c>
      <c r="X520" s="24">
        <v>45000</v>
      </c>
      <c r="Y520" s="24">
        <v>51300</v>
      </c>
      <c r="Z520" s="24">
        <v>60100</v>
      </c>
      <c r="AA520" s="24">
        <v>64500</v>
      </c>
      <c r="AB520" s="24">
        <v>78300</v>
      </c>
      <c r="AC520" s="24">
        <v>61900</v>
      </c>
      <c r="AD520" s="24">
        <v>48250</v>
      </c>
      <c r="AE520" s="24">
        <v>66200</v>
      </c>
      <c r="AF520" s="24">
        <v>48350</v>
      </c>
      <c r="AG520" s="24">
        <v>48150</v>
      </c>
      <c r="AH520" s="24">
        <v>62300</v>
      </c>
      <c r="AI520" s="24">
        <v>70100</v>
      </c>
      <c r="AJ520" s="32">
        <v>8.8198643858873407</v>
      </c>
      <c r="AK520" s="32">
        <v>12.487005808295311</v>
      </c>
      <c r="AL520" s="32">
        <v>12.138544537431942</v>
      </c>
      <c r="AM520" s="32">
        <v>9.2518644267398731</v>
      </c>
      <c r="AN520" s="32">
        <v>4.9940125798086825</v>
      </c>
      <c r="AO520" s="32">
        <v>16.542869060569728</v>
      </c>
      <c r="AP520" s="19">
        <v>1.372020725388601</v>
      </c>
      <c r="AQ520" s="19">
        <v>1.2885211995863495</v>
      </c>
      <c r="AR520" s="19">
        <v>1.4558670820353063</v>
      </c>
      <c r="AS520" s="19">
        <v>0.45630227465177492</v>
      </c>
      <c r="AT520" s="19">
        <v>0.36571627354716058</v>
      </c>
      <c r="AU520" s="19">
        <v>0.54187864616716386</v>
      </c>
      <c r="AV520" s="19">
        <v>0.25861272196567436</v>
      </c>
      <c r="AW520" s="19">
        <v>0.29789205656401085</v>
      </c>
      <c r="AX520" s="19">
        <v>0.23812773193137093</v>
      </c>
      <c r="AY520" s="19">
        <v>1.372020725388601</v>
      </c>
      <c r="AZ520" s="19">
        <v>1.2885211995863495</v>
      </c>
      <c r="BA520" s="19">
        <v>1.4558670820353063</v>
      </c>
      <c r="BB520" s="19">
        <v>1.1963277770838348</v>
      </c>
      <c r="BC520" s="19">
        <v>1.2293468832334873</v>
      </c>
      <c r="BD520" s="19">
        <v>1.1794610136114716</v>
      </c>
      <c r="BE520" s="14" t="s">
        <v>4857</v>
      </c>
    </row>
    <row r="521" spans="1:105" ht="17.100000000000001" customHeight="1">
      <c r="A521" s="14">
        <v>510</v>
      </c>
      <c r="B521" s="14" t="s">
        <v>1922</v>
      </c>
      <c r="C521" s="32">
        <v>-1.0477627011730541</v>
      </c>
      <c r="D521" s="32">
        <v>1.0356404197569513</v>
      </c>
      <c r="E521" s="32">
        <v>-1.1171124787614604</v>
      </c>
      <c r="F521" s="24">
        <v>12138.5</v>
      </c>
      <c r="G521" s="52" t="s">
        <v>2</v>
      </c>
      <c r="H521" s="32">
        <v>14.21086860831263</v>
      </c>
      <c r="I521" s="32">
        <v>21.202385891774092</v>
      </c>
      <c r="J521" s="12" t="s">
        <v>1914</v>
      </c>
      <c r="K521" s="12" t="s">
        <v>1915</v>
      </c>
      <c r="L521" s="14" t="s">
        <v>2535</v>
      </c>
      <c r="M521" s="12" t="s">
        <v>1916</v>
      </c>
      <c r="N521" s="15" t="s">
        <v>1917</v>
      </c>
      <c r="O521" s="12" t="s">
        <v>1918</v>
      </c>
      <c r="P521" s="12" t="s">
        <v>1923</v>
      </c>
      <c r="Q521" s="14">
        <v>2</v>
      </c>
      <c r="R521" s="21">
        <v>752.34410000000003</v>
      </c>
      <c r="S521" s="14">
        <v>2</v>
      </c>
      <c r="T521" s="52" t="s">
        <v>2</v>
      </c>
      <c r="U521" s="53">
        <v>24.895487500000002</v>
      </c>
      <c r="V521" s="24">
        <v>10707</v>
      </c>
      <c r="W521" s="24">
        <v>11658</v>
      </c>
      <c r="X521" s="24">
        <v>11275</v>
      </c>
      <c r="Y521" s="24">
        <v>8335</v>
      </c>
      <c r="Z521" s="24">
        <v>12752</v>
      </c>
      <c r="AA521" s="24">
        <v>11525</v>
      </c>
      <c r="AB521" s="24">
        <v>11096</v>
      </c>
      <c r="AC521" s="24">
        <v>10572</v>
      </c>
      <c r="AD521" s="24">
        <v>10493.75</v>
      </c>
      <c r="AE521" s="24">
        <v>11486.25</v>
      </c>
      <c r="AF521" s="24">
        <v>11182.5</v>
      </c>
      <c r="AG521" s="24">
        <v>9805</v>
      </c>
      <c r="AH521" s="24">
        <v>12138.5</v>
      </c>
      <c r="AI521" s="24">
        <v>10834</v>
      </c>
      <c r="AJ521" s="32">
        <v>14.21086860831263</v>
      </c>
      <c r="AK521" s="32">
        <v>8.0920688230218154</v>
      </c>
      <c r="AL521" s="32">
        <v>6.0134902652216109</v>
      </c>
      <c r="AM521" s="32">
        <v>21.202385891774092</v>
      </c>
      <c r="AN521" s="32">
        <v>7.1476708037722432</v>
      </c>
      <c r="AO521" s="32">
        <v>3.4200106455764345</v>
      </c>
      <c r="AP521" s="19">
        <v>1.0945801072066705</v>
      </c>
      <c r="AQ521" s="19">
        <v>1.0854907221104404</v>
      </c>
      <c r="AR521" s="19">
        <v>1.1049464558898521</v>
      </c>
      <c r="AS521" s="19">
        <v>0.13037754249572125</v>
      </c>
      <c r="AT521" s="19">
        <v>0.11834739502495036</v>
      </c>
      <c r="AU521" s="19">
        <v>0.1439764603915413</v>
      </c>
      <c r="AV521" s="19">
        <v>-6.7312010190379301E-2</v>
      </c>
      <c r="AW521" s="19">
        <v>5.0523178041800648E-2</v>
      </c>
      <c r="AX521" s="19">
        <v>-0.15977445384425162</v>
      </c>
      <c r="AY521" s="19">
        <v>1.0945801072066705</v>
      </c>
      <c r="AZ521" s="19">
        <v>1.0854907221104404</v>
      </c>
      <c r="BA521" s="19">
        <v>1.1049464558898521</v>
      </c>
      <c r="BB521" s="19">
        <v>-1.0477627011730541</v>
      </c>
      <c r="BC521" s="19">
        <v>1.0356404197569513</v>
      </c>
      <c r="BD521" s="19">
        <v>-1.1171124787614604</v>
      </c>
      <c r="BE521" s="14" t="s">
        <v>4857</v>
      </c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s="30" customFormat="1" ht="17.100000000000001" customHeight="1">
      <c r="A522" s="14">
        <v>511</v>
      </c>
      <c r="B522" s="14" t="s">
        <v>1924</v>
      </c>
      <c r="C522" s="32">
        <v>1.1222268537365321</v>
      </c>
      <c r="D522" s="32">
        <v>1.0056510322623839</v>
      </c>
      <c r="E522" s="32">
        <v>1.2624336178861502</v>
      </c>
      <c r="F522" s="24">
        <v>115800</v>
      </c>
      <c r="G522" s="52" t="s">
        <v>2</v>
      </c>
      <c r="H522" s="32">
        <v>14.788468522813211</v>
      </c>
      <c r="I522" s="32">
        <v>7.5449148431269268</v>
      </c>
      <c r="J522" s="12" t="s">
        <v>1925</v>
      </c>
      <c r="K522" s="12" t="s">
        <v>1925</v>
      </c>
      <c r="L522" s="14" t="s">
        <v>2011</v>
      </c>
      <c r="M522" s="12" t="s">
        <v>1926</v>
      </c>
      <c r="N522" s="15" t="s">
        <v>1927</v>
      </c>
      <c r="O522" s="12" t="s">
        <v>1928</v>
      </c>
      <c r="P522" s="12" t="s">
        <v>1929</v>
      </c>
      <c r="Q522" s="14">
        <v>3</v>
      </c>
      <c r="R522" s="21">
        <v>665.35820000000001</v>
      </c>
      <c r="S522" s="14">
        <v>1</v>
      </c>
      <c r="T522" s="52" t="s">
        <v>2</v>
      </c>
      <c r="U522" s="53">
        <v>78.544812499999992</v>
      </c>
      <c r="V522" s="24">
        <v>83465</v>
      </c>
      <c r="W522" s="24">
        <v>89572</v>
      </c>
      <c r="X522" s="24">
        <v>75641</v>
      </c>
      <c r="Y522" s="24">
        <v>72984</v>
      </c>
      <c r="Z522" s="24">
        <v>94442</v>
      </c>
      <c r="AA522" s="24">
        <v>87949</v>
      </c>
      <c r="AB522" s="24">
        <v>121978</v>
      </c>
      <c r="AC522" s="24">
        <v>109622</v>
      </c>
      <c r="AD522" s="24">
        <v>80415.5</v>
      </c>
      <c r="AE522" s="24">
        <v>103497.75</v>
      </c>
      <c r="AF522" s="24">
        <v>86518.5</v>
      </c>
      <c r="AG522" s="24">
        <v>74312.5</v>
      </c>
      <c r="AH522" s="24">
        <v>91195.5</v>
      </c>
      <c r="AI522" s="24">
        <v>115800</v>
      </c>
      <c r="AJ522" s="32">
        <v>9.3930319715833743</v>
      </c>
      <c r="AK522" s="32">
        <v>14.788468522813211</v>
      </c>
      <c r="AL522" s="32">
        <v>4.9911881420808788</v>
      </c>
      <c r="AM522" s="32">
        <v>2.5282189639867543</v>
      </c>
      <c r="AN522" s="32">
        <v>5.0345075472410956</v>
      </c>
      <c r="AO522" s="32">
        <v>7.5449148431269268</v>
      </c>
      <c r="AP522" s="19">
        <v>1.2870373248938327</v>
      </c>
      <c r="AQ522" s="19">
        <v>1.0540578026664817</v>
      </c>
      <c r="AR522" s="19">
        <v>1.5582842724978974</v>
      </c>
      <c r="AS522" s="19">
        <v>0.36405389323103687</v>
      </c>
      <c r="AT522" s="19">
        <v>7.59539839900394E-2</v>
      </c>
      <c r="AU522" s="19">
        <v>0.63995844335621843</v>
      </c>
      <c r="AV522" s="19">
        <v>0.16636434054493632</v>
      </c>
      <c r="AW522" s="19">
        <v>8.1297670068896932E-3</v>
      </c>
      <c r="AX522" s="19">
        <v>0.33620752912042551</v>
      </c>
      <c r="AY522" s="19">
        <v>1.2870373248938327</v>
      </c>
      <c r="AZ522" s="19">
        <v>1.0540578026664817</v>
      </c>
      <c r="BA522" s="19">
        <v>1.5582842724978974</v>
      </c>
      <c r="BB522" s="19">
        <v>1.1222268537365321</v>
      </c>
      <c r="BC522" s="19">
        <v>1.0056510322623839</v>
      </c>
      <c r="BD522" s="19">
        <v>1.2624336178861502</v>
      </c>
      <c r="BE522" s="14" t="s">
        <v>4857</v>
      </c>
    </row>
    <row r="523" spans="1:105" s="30" customFormat="1" ht="17.100000000000001" customHeight="1">
      <c r="A523" s="14">
        <v>512</v>
      </c>
      <c r="B523" s="14" t="s">
        <v>1930</v>
      </c>
      <c r="C523" s="32">
        <v>-1.0067171840538927</v>
      </c>
      <c r="D523" s="32">
        <v>1.2540386709740021</v>
      </c>
      <c r="E523" s="32">
        <v>-1.2197306496691831</v>
      </c>
      <c r="F523" s="24">
        <v>332127.5</v>
      </c>
      <c r="G523" s="52" t="s">
        <v>2</v>
      </c>
      <c r="H523" s="32">
        <v>20.945295103736463</v>
      </c>
      <c r="I523" s="32">
        <v>18.721363280537055</v>
      </c>
      <c r="J523" s="12" t="s">
        <v>1931</v>
      </c>
      <c r="K523" s="12" t="s">
        <v>1932</v>
      </c>
      <c r="L523" s="14" t="s">
        <v>4046</v>
      </c>
      <c r="M523" s="12" t="s">
        <v>1933</v>
      </c>
      <c r="N523" s="15" t="s">
        <v>1934</v>
      </c>
      <c r="O523" s="12" t="s">
        <v>1935</v>
      </c>
      <c r="P523" s="12" t="s">
        <v>1936</v>
      </c>
      <c r="Q523" s="14">
        <v>2</v>
      </c>
      <c r="R523" s="21">
        <v>493.3057</v>
      </c>
      <c r="S523" s="14">
        <v>1</v>
      </c>
      <c r="T523" s="52" t="s">
        <v>2</v>
      </c>
      <c r="U523" s="53">
        <v>25.3</v>
      </c>
      <c r="V523" s="24">
        <v>269879</v>
      </c>
      <c r="W523" s="24">
        <v>206779</v>
      </c>
      <c r="X523" s="24">
        <v>312484</v>
      </c>
      <c r="Y523" s="24">
        <v>343904</v>
      </c>
      <c r="Z523" s="24">
        <v>323538</v>
      </c>
      <c r="AA523" s="24">
        <v>302982</v>
      </c>
      <c r="AB523" s="24">
        <v>346045</v>
      </c>
      <c r="AC523" s="24">
        <v>318210</v>
      </c>
      <c r="AD523" s="24">
        <v>283261.5</v>
      </c>
      <c r="AE523" s="24">
        <v>322693.75</v>
      </c>
      <c r="AF523" s="24">
        <v>238329</v>
      </c>
      <c r="AG523" s="24">
        <v>328194</v>
      </c>
      <c r="AH523" s="24">
        <v>313260</v>
      </c>
      <c r="AI523" s="24">
        <v>332127.5</v>
      </c>
      <c r="AJ523" s="32">
        <v>20.945295103736463</v>
      </c>
      <c r="AK523" s="32">
        <v>5.5280386994865562</v>
      </c>
      <c r="AL523" s="32">
        <v>18.721363280537055</v>
      </c>
      <c r="AM523" s="32">
        <v>6.7695616205297249</v>
      </c>
      <c r="AN523" s="32">
        <v>4.6400073402511239</v>
      </c>
      <c r="AO523" s="32">
        <v>5.9261329622893468</v>
      </c>
      <c r="AP523" s="19">
        <v>1.1392079403660575</v>
      </c>
      <c r="AQ523" s="19">
        <v>1.3144015205870876</v>
      </c>
      <c r="AR523" s="19">
        <v>1.0119852891887116</v>
      </c>
      <c r="AS523" s="19">
        <v>0.18803110714624177</v>
      </c>
      <c r="AT523" s="19">
        <v>0.39440605440715387</v>
      </c>
      <c r="AU523" s="19">
        <v>1.7188318323973002E-2</v>
      </c>
      <c r="AV523" s="19">
        <v>-9.6584455398587843E-3</v>
      </c>
      <c r="AW523" s="19">
        <v>0.32658183742400415</v>
      </c>
      <c r="AX523" s="19">
        <v>-0.28656259591181993</v>
      </c>
      <c r="AY523" s="19">
        <v>1.1392079403660575</v>
      </c>
      <c r="AZ523" s="19">
        <v>1.3144015205870876</v>
      </c>
      <c r="BA523" s="19">
        <v>1.0119852891887116</v>
      </c>
      <c r="BB523" s="19">
        <v>-1.0067171840538927</v>
      </c>
      <c r="BC523" s="19">
        <v>1.2540386709740021</v>
      </c>
      <c r="BD523" s="19">
        <v>-1.2197306496691831</v>
      </c>
      <c r="BE523" s="14" t="s">
        <v>4857</v>
      </c>
    </row>
    <row r="524" spans="1:105" s="30" customFormat="1" ht="17.100000000000001" customHeight="1">
      <c r="A524" s="14">
        <v>513</v>
      </c>
      <c r="B524" s="14" t="s">
        <v>1937</v>
      </c>
      <c r="C524" s="32">
        <v>-1.2823836153206549</v>
      </c>
      <c r="D524" s="32">
        <v>-1.5402661631657775</v>
      </c>
      <c r="E524" s="32">
        <v>-1.0223621351255585</v>
      </c>
      <c r="F524" s="24">
        <v>69885</v>
      </c>
      <c r="G524" s="52" t="s">
        <v>2</v>
      </c>
      <c r="H524" s="32">
        <v>27.65917844034924</v>
      </c>
      <c r="I524" s="32">
        <v>33.339336668160676</v>
      </c>
      <c r="J524" s="12" t="s">
        <v>1938</v>
      </c>
      <c r="K524" s="15" t="s">
        <v>1939</v>
      </c>
      <c r="L524" s="14" t="s">
        <v>4999</v>
      </c>
      <c r="M524" s="12" t="s">
        <v>1940</v>
      </c>
      <c r="N524" s="15" t="s">
        <v>1941</v>
      </c>
      <c r="O524" s="12" t="s">
        <v>1942</v>
      </c>
      <c r="P524" s="12" t="s">
        <v>1943</v>
      </c>
      <c r="Q524" s="14">
        <v>2</v>
      </c>
      <c r="R524" s="21">
        <v>655.36479999999995</v>
      </c>
      <c r="S524" s="14">
        <v>6</v>
      </c>
      <c r="T524" s="52" t="s">
        <v>2</v>
      </c>
      <c r="U524" s="53">
        <v>22.270499999999998</v>
      </c>
      <c r="V524" s="24">
        <v>79996</v>
      </c>
      <c r="W524" s="24">
        <v>59774</v>
      </c>
      <c r="X524" s="24">
        <v>40707</v>
      </c>
      <c r="Y524" s="24">
        <v>54769</v>
      </c>
      <c r="Z524" s="24">
        <v>49036</v>
      </c>
      <c r="AA524" s="24">
        <v>46076</v>
      </c>
      <c r="AB524" s="24">
        <v>71224</v>
      </c>
      <c r="AC524" s="24">
        <v>44049</v>
      </c>
      <c r="AD524" s="24">
        <v>58811.5</v>
      </c>
      <c r="AE524" s="24">
        <v>52596.25</v>
      </c>
      <c r="AF524" s="24">
        <v>69885</v>
      </c>
      <c r="AG524" s="24">
        <v>47738</v>
      </c>
      <c r="AH524" s="24">
        <v>47556</v>
      </c>
      <c r="AI524" s="24">
        <v>57636.5</v>
      </c>
      <c r="AJ524" s="32">
        <v>27.65917844034924</v>
      </c>
      <c r="AK524" s="32">
        <v>23.929850496072184</v>
      </c>
      <c r="AL524" s="32">
        <v>20.460919123065558</v>
      </c>
      <c r="AM524" s="32">
        <v>20.828973893010247</v>
      </c>
      <c r="AN524" s="32">
        <v>4.4012029445541696</v>
      </c>
      <c r="AO524" s="32">
        <v>33.339336668160676</v>
      </c>
      <c r="AP524" s="19">
        <v>0.89431913826377496</v>
      </c>
      <c r="AQ524" s="19">
        <v>0.68048937540244692</v>
      </c>
      <c r="AR524" s="19">
        <v>1.2073505383551888</v>
      </c>
      <c r="AS524" s="19">
        <v>-0.16113834510034084</v>
      </c>
      <c r="AT524" s="19">
        <v>-0.55535545802783581</v>
      </c>
      <c r="AU524" s="19">
        <v>0.27184460444835901</v>
      </c>
      <c r="AV524" s="19">
        <v>-0.35882789778644142</v>
      </c>
      <c r="AW524" s="19">
        <v>-0.62317967501098548</v>
      </c>
      <c r="AX524" s="19">
        <v>-3.1906309787433917E-2</v>
      </c>
      <c r="AY524" s="19">
        <v>-1.1181690709889012</v>
      </c>
      <c r="AZ524" s="19">
        <v>-1.4695306585919756</v>
      </c>
      <c r="BA524" s="19">
        <v>1.2073505383551888</v>
      </c>
      <c r="BB524" s="19">
        <v>-1.2823836153206549</v>
      </c>
      <c r="BC524" s="19">
        <v>-1.5402661631657775</v>
      </c>
      <c r="BD524" s="19">
        <v>-1.0223621351255585</v>
      </c>
      <c r="BE524" s="14" t="s">
        <v>4857</v>
      </c>
    </row>
    <row r="525" spans="1:105" s="30" customFormat="1" ht="17.100000000000001" customHeight="1">
      <c r="A525" s="14">
        <v>514</v>
      </c>
      <c r="B525" s="14" t="s">
        <v>1944</v>
      </c>
      <c r="C525" s="32">
        <v>-1.2108544323464927</v>
      </c>
      <c r="D525" s="32">
        <v>1.0088210045299471</v>
      </c>
      <c r="E525" s="32">
        <v>-1.4483514121047514</v>
      </c>
      <c r="F525" s="24">
        <v>57497</v>
      </c>
      <c r="G525" s="52" t="s">
        <v>2</v>
      </c>
      <c r="H525" s="32">
        <v>26.162773709160753</v>
      </c>
      <c r="I525" s="32">
        <v>41.012564695933889</v>
      </c>
      <c r="J525" s="12" t="s">
        <v>1938</v>
      </c>
      <c r="K525" s="15" t="s">
        <v>1939</v>
      </c>
      <c r="L525" s="14" t="s">
        <v>5020</v>
      </c>
      <c r="M525" s="12" t="s">
        <v>1940</v>
      </c>
      <c r="N525" s="15" t="s">
        <v>1941</v>
      </c>
      <c r="O525" s="12" t="s">
        <v>1942</v>
      </c>
      <c r="P525" s="12" t="s">
        <v>1945</v>
      </c>
      <c r="Q525" s="14">
        <v>2</v>
      </c>
      <c r="R525" s="21">
        <v>792.41039999999998</v>
      </c>
      <c r="S525" s="14">
        <v>11</v>
      </c>
      <c r="T525" s="52" t="s">
        <v>2</v>
      </c>
      <c r="U525" s="53">
        <v>25.623375000000003</v>
      </c>
      <c r="V525" s="24">
        <v>63859</v>
      </c>
      <c r="W525" s="24">
        <v>35147</v>
      </c>
      <c r="X525" s="24">
        <v>50025</v>
      </c>
      <c r="Y525" s="24">
        <v>64969</v>
      </c>
      <c r="Z525" s="24">
        <v>51099</v>
      </c>
      <c r="AA525" s="24">
        <v>53588</v>
      </c>
      <c r="AB525" s="24">
        <v>52600</v>
      </c>
      <c r="AC525" s="24">
        <v>45403</v>
      </c>
      <c r="AD525" s="24">
        <v>53500</v>
      </c>
      <c r="AE525" s="24">
        <v>50672.5</v>
      </c>
      <c r="AF525" s="24">
        <v>49503</v>
      </c>
      <c r="AG525" s="24">
        <v>57497</v>
      </c>
      <c r="AH525" s="24">
        <v>52343.5</v>
      </c>
      <c r="AI525" s="24">
        <v>49001.5</v>
      </c>
      <c r="AJ525" s="32">
        <v>26.162773709160753</v>
      </c>
      <c r="AK525" s="32">
        <v>7.2208869056776193</v>
      </c>
      <c r="AL525" s="32">
        <v>41.012564695933889</v>
      </c>
      <c r="AM525" s="32">
        <v>18.378356676090522</v>
      </c>
      <c r="AN525" s="32">
        <v>3.3623826805110792</v>
      </c>
      <c r="AO525" s="32">
        <v>10.385493309795786</v>
      </c>
      <c r="AP525" s="19">
        <v>0.94714953271028035</v>
      </c>
      <c r="AQ525" s="19">
        <v>1.0573803607862149</v>
      </c>
      <c r="AR525" s="19">
        <v>0.85224446492860495</v>
      </c>
      <c r="AS525" s="19">
        <v>-7.8335883481650451E-2</v>
      </c>
      <c r="AT525" s="19">
        <v>8.0494436239041511E-2</v>
      </c>
      <c r="AU525" s="19">
        <v>-0.23066077036195773</v>
      </c>
      <c r="AV525" s="19">
        <v>-0.27602543616775099</v>
      </c>
      <c r="AW525" s="19">
        <v>1.2670219255891804E-2</v>
      </c>
      <c r="AX525" s="19">
        <v>-0.53441168459775068</v>
      </c>
      <c r="AY525" s="19">
        <v>-1.0557994967684641</v>
      </c>
      <c r="AZ525" s="19">
        <v>1.0573803607862149</v>
      </c>
      <c r="BA525" s="19">
        <v>-1.1733722437068252</v>
      </c>
      <c r="BB525" s="19">
        <v>-1.2108544323464927</v>
      </c>
      <c r="BC525" s="19">
        <v>1.0088210045299471</v>
      </c>
      <c r="BD525" s="19">
        <v>-1.4483514121047514</v>
      </c>
      <c r="BE525" s="14" t="s">
        <v>4857</v>
      </c>
    </row>
    <row r="526" spans="1:105" s="30" customFormat="1" ht="17.100000000000001" customHeight="1">
      <c r="A526" s="14">
        <v>515</v>
      </c>
      <c r="B526" s="14" t="s">
        <v>1947</v>
      </c>
      <c r="C526" s="32">
        <v>1.0065257271016956</v>
      </c>
      <c r="D526" s="32">
        <v>1.2234270748070017</v>
      </c>
      <c r="E526" s="32">
        <v>-1.2165001492488252</v>
      </c>
      <c r="F526" s="24">
        <v>124000</v>
      </c>
      <c r="G526" s="52" t="s">
        <v>2</v>
      </c>
      <c r="H526" s="32">
        <v>27.526885988212697</v>
      </c>
      <c r="I526" s="32">
        <v>37.000623710485328</v>
      </c>
      <c r="J526" s="12" t="s">
        <v>1938</v>
      </c>
      <c r="K526" s="15" t="s">
        <v>1939</v>
      </c>
      <c r="L526" s="14" t="s">
        <v>5120</v>
      </c>
      <c r="M526" s="12" t="s">
        <v>1940</v>
      </c>
      <c r="N526" s="15" t="s">
        <v>1941</v>
      </c>
      <c r="O526" s="12" t="s">
        <v>1942</v>
      </c>
      <c r="P526" s="12" t="s">
        <v>1948</v>
      </c>
      <c r="Q526" s="14">
        <v>2</v>
      </c>
      <c r="R526" s="21">
        <v>540.78779999999995</v>
      </c>
      <c r="S526" s="14">
        <v>4</v>
      </c>
      <c r="T526" s="52" t="s">
        <v>2</v>
      </c>
      <c r="U526" s="53">
        <v>21.69</v>
      </c>
      <c r="V526" s="24">
        <v>122000</v>
      </c>
      <c r="W526" s="24">
        <v>71400</v>
      </c>
      <c r="X526" s="24">
        <v>71200</v>
      </c>
      <c r="Y526" s="24">
        <v>106000</v>
      </c>
      <c r="Z526" s="24">
        <v>112000</v>
      </c>
      <c r="AA526" s="24">
        <v>136000</v>
      </c>
      <c r="AB526" s="24">
        <v>83800</v>
      </c>
      <c r="AC526" s="24">
        <v>96000</v>
      </c>
      <c r="AD526" s="24">
        <v>92650</v>
      </c>
      <c r="AE526" s="24">
        <v>106950</v>
      </c>
      <c r="AF526" s="24">
        <v>96700</v>
      </c>
      <c r="AG526" s="24">
        <v>88600</v>
      </c>
      <c r="AH526" s="24">
        <v>124000</v>
      </c>
      <c r="AI526" s="24">
        <v>89900</v>
      </c>
      <c r="AJ526" s="32">
        <v>27.526885988212697</v>
      </c>
      <c r="AK526" s="32">
        <v>21.082701177126005</v>
      </c>
      <c r="AL526" s="32">
        <v>37.000623710485328</v>
      </c>
      <c r="AM526" s="32">
        <v>27.773494340058523</v>
      </c>
      <c r="AN526" s="32">
        <v>13.685937700384789</v>
      </c>
      <c r="AO526" s="32">
        <v>9.5958873531433593</v>
      </c>
      <c r="AP526" s="19">
        <v>1.1543443065299515</v>
      </c>
      <c r="AQ526" s="19">
        <v>1.2823164426059979</v>
      </c>
      <c r="AR526" s="19">
        <v>1.0146726862302482</v>
      </c>
      <c r="AS526" s="19">
        <v>0.20707360113777853</v>
      </c>
      <c r="AT526" s="19">
        <v>0.3587523257973963</v>
      </c>
      <c r="AU526" s="19">
        <v>2.1014416959428871E-2</v>
      </c>
      <c r="AV526" s="19">
        <v>9.3840484516779787E-3</v>
      </c>
      <c r="AW526" s="19">
        <v>0.29092810881424658</v>
      </c>
      <c r="AX526" s="19">
        <v>-0.28273649727636407</v>
      </c>
      <c r="AY526" s="19">
        <v>1.1543443065299515</v>
      </c>
      <c r="AZ526" s="19">
        <v>1.2823164426059979</v>
      </c>
      <c r="BA526" s="19">
        <v>1.0146726862302482</v>
      </c>
      <c r="BB526" s="19">
        <v>1.0065257271016956</v>
      </c>
      <c r="BC526" s="19">
        <v>1.2234270748070017</v>
      </c>
      <c r="BD526" s="19">
        <v>-1.2165001492488252</v>
      </c>
      <c r="BE526" s="14" t="s">
        <v>4857</v>
      </c>
    </row>
    <row r="527" spans="1:105" s="30" customFormat="1" ht="17.100000000000001" customHeight="1">
      <c r="A527" s="14">
        <v>516</v>
      </c>
      <c r="B527" s="14" t="s">
        <v>1951</v>
      </c>
      <c r="C527" s="32">
        <v>1.0152145881348238</v>
      </c>
      <c r="D527" s="32">
        <v>-1.0882102028993357</v>
      </c>
      <c r="E527" s="32">
        <v>1.1321087980816651</v>
      </c>
      <c r="F527" s="24">
        <v>1493155</v>
      </c>
      <c r="G527" s="52" t="s">
        <v>2</v>
      </c>
      <c r="H527" s="32">
        <v>22.930419186187709</v>
      </c>
      <c r="I527" s="32">
        <v>24.901497751494137</v>
      </c>
      <c r="J527" s="12" t="s">
        <v>1938</v>
      </c>
      <c r="K527" s="15" t="s">
        <v>1939</v>
      </c>
      <c r="L527" s="14" t="s">
        <v>5149</v>
      </c>
      <c r="M527" s="12" t="s">
        <v>1940</v>
      </c>
      <c r="N527" s="15" t="s">
        <v>1941</v>
      </c>
      <c r="O527" s="12" t="s">
        <v>1942</v>
      </c>
      <c r="P527" s="12" t="s">
        <v>1950</v>
      </c>
      <c r="Q527" s="14">
        <v>3</v>
      </c>
      <c r="R527" s="21">
        <v>598.005</v>
      </c>
      <c r="S527" s="14">
        <v>33</v>
      </c>
      <c r="T527" s="52" t="s">
        <v>2</v>
      </c>
      <c r="U527" s="53">
        <v>73.401487500000002</v>
      </c>
      <c r="V527" s="24">
        <v>1257860</v>
      </c>
      <c r="W527" s="24">
        <v>1218860</v>
      </c>
      <c r="X527" s="24">
        <v>1095920</v>
      </c>
      <c r="Y527" s="24">
        <v>1041100</v>
      </c>
      <c r="Z527" s="24">
        <v>1025420</v>
      </c>
      <c r="AA527" s="24">
        <v>1360090</v>
      </c>
      <c r="AB527" s="24">
        <v>1230240</v>
      </c>
      <c r="AC527" s="24">
        <v>1756070</v>
      </c>
      <c r="AD527" s="24">
        <v>1153435</v>
      </c>
      <c r="AE527" s="24">
        <v>1342955</v>
      </c>
      <c r="AF527" s="24">
        <v>1238360</v>
      </c>
      <c r="AG527" s="24">
        <v>1068510</v>
      </c>
      <c r="AH527" s="24">
        <v>1192755</v>
      </c>
      <c r="AI527" s="24">
        <v>1493155</v>
      </c>
      <c r="AJ527" s="32">
        <v>8.8289931566730129</v>
      </c>
      <c r="AK527" s="32">
        <v>22.930419186187709</v>
      </c>
      <c r="AL527" s="32">
        <v>2.2269101445682478</v>
      </c>
      <c r="AM527" s="32">
        <v>3.6278175912856718</v>
      </c>
      <c r="AN527" s="32">
        <v>19.840405318753795</v>
      </c>
      <c r="AO527" s="32">
        <v>24.901497751494137</v>
      </c>
      <c r="AP527" s="19">
        <v>1.1643092155171293</v>
      </c>
      <c r="AQ527" s="19">
        <v>0.96317306760554278</v>
      </c>
      <c r="AR527" s="19">
        <v>1.3974178996920945</v>
      </c>
      <c r="AS527" s="19">
        <v>0.2194742579455993</v>
      </c>
      <c r="AT527" s="19">
        <v>-5.4133043087874061E-2</v>
      </c>
      <c r="AU527" s="19">
        <v>0.48276352515330961</v>
      </c>
      <c r="AV527" s="19">
        <v>2.1784705259498743E-2</v>
      </c>
      <c r="AW527" s="19">
        <v>-0.12195726007102377</v>
      </c>
      <c r="AX527" s="19">
        <v>0.17901261091751669</v>
      </c>
      <c r="AY527" s="19">
        <v>1.1643092155171293</v>
      </c>
      <c r="AZ527" s="19">
        <v>-1.0382350105428191</v>
      </c>
      <c r="BA527" s="19">
        <v>1.3974178996920945</v>
      </c>
      <c r="BB527" s="19">
        <v>1.0152145881348238</v>
      </c>
      <c r="BC527" s="19">
        <v>-1.0882102028993357</v>
      </c>
      <c r="BD527" s="19">
        <v>1.1321087980816651</v>
      </c>
      <c r="BE527" s="14" t="s">
        <v>4857</v>
      </c>
    </row>
    <row r="528" spans="1:105" s="30" customFormat="1" ht="17.100000000000001" customHeight="1">
      <c r="A528" s="14">
        <v>517</v>
      </c>
      <c r="B528" s="14" t="s">
        <v>4565</v>
      </c>
      <c r="C528" s="32">
        <v>1.0981596892563164</v>
      </c>
      <c r="D528" s="32">
        <v>1.4500348540584018</v>
      </c>
      <c r="E528" s="32">
        <v>-1.118103997110625</v>
      </c>
      <c r="F528" s="24">
        <v>55009</v>
      </c>
      <c r="G528" s="52" t="s">
        <v>2</v>
      </c>
      <c r="H528" s="32">
        <v>33.12113753525918</v>
      </c>
      <c r="I528" s="32">
        <v>38.1273102406901</v>
      </c>
      <c r="J528" s="12" t="s">
        <v>1938</v>
      </c>
      <c r="K528" s="15" t="s">
        <v>1939</v>
      </c>
      <c r="L528" s="14" t="s">
        <v>5187</v>
      </c>
      <c r="M528" s="12" t="s">
        <v>1940</v>
      </c>
      <c r="N528" s="15" t="s">
        <v>1941</v>
      </c>
      <c r="O528" s="12" t="s">
        <v>1942</v>
      </c>
      <c r="P528" s="12" t="s">
        <v>1957</v>
      </c>
      <c r="Q528" s="14">
        <v>4</v>
      </c>
      <c r="R528" s="21">
        <v>654.55849999999998</v>
      </c>
      <c r="S528" s="14">
        <v>1</v>
      </c>
      <c r="T528" s="52" t="s">
        <v>2</v>
      </c>
      <c r="U528" s="53">
        <v>45.718762500000004</v>
      </c>
      <c r="V528" s="24">
        <v>36020</v>
      </c>
      <c r="W528" s="24">
        <v>23480</v>
      </c>
      <c r="X528" s="24">
        <v>54259</v>
      </c>
      <c r="Y528" s="24">
        <v>45398</v>
      </c>
      <c r="Z528" s="24">
        <v>33025</v>
      </c>
      <c r="AA528" s="24">
        <v>57405</v>
      </c>
      <c r="AB528" s="24">
        <v>51148</v>
      </c>
      <c r="AC528" s="24">
        <v>58870</v>
      </c>
      <c r="AD528" s="24">
        <v>39789.25</v>
      </c>
      <c r="AE528" s="24">
        <v>50112</v>
      </c>
      <c r="AF528" s="24">
        <v>29750</v>
      </c>
      <c r="AG528" s="24">
        <v>49828.5</v>
      </c>
      <c r="AH528" s="24">
        <v>45215</v>
      </c>
      <c r="AI528" s="24">
        <v>55009</v>
      </c>
      <c r="AJ528" s="32">
        <v>33.12113753525918</v>
      </c>
      <c r="AK528" s="32">
        <v>23.693625081965717</v>
      </c>
      <c r="AL528" s="32">
        <v>29.805442138081702</v>
      </c>
      <c r="AM528" s="32">
        <v>12.5744768317208</v>
      </c>
      <c r="AN528" s="32">
        <v>38.1273102406901</v>
      </c>
      <c r="AO528" s="32">
        <v>9.9261549279618233</v>
      </c>
      <c r="AP528" s="19">
        <v>1.2594356515893113</v>
      </c>
      <c r="AQ528" s="19">
        <v>1.5198319327731094</v>
      </c>
      <c r="AR528" s="19">
        <v>1.1039666054567165</v>
      </c>
      <c r="AS528" s="19">
        <v>0.3327774122630518</v>
      </c>
      <c r="AT528" s="19">
        <v>0.60391179527362027</v>
      </c>
      <c r="AU528" s="19">
        <v>0.14269653183468248</v>
      </c>
      <c r="AV528" s="19">
        <v>0.13508785957695124</v>
      </c>
      <c r="AW528" s="19">
        <v>0.5360875782904706</v>
      </c>
      <c r="AX528" s="19">
        <v>-0.16105438240111045</v>
      </c>
      <c r="AY528" s="19">
        <v>1.2594356515893113</v>
      </c>
      <c r="AZ528" s="19">
        <v>1.5198319327731094</v>
      </c>
      <c r="BA528" s="19">
        <v>1.1039666054567165</v>
      </c>
      <c r="BB528" s="19">
        <v>1.0981596892563164</v>
      </c>
      <c r="BC528" s="19">
        <v>1.4500348540584018</v>
      </c>
      <c r="BD528" s="19">
        <v>-1.118103997110625</v>
      </c>
      <c r="BE528" s="14" t="s">
        <v>4857</v>
      </c>
    </row>
    <row r="529" spans="1:105" s="30" customFormat="1" ht="17.100000000000001" customHeight="1">
      <c r="A529" s="14">
        <v>518</v>
      </c>
      <c r="B529" s="14" t="s">
        <v>1831</v>
      </c>
      <c r="C529" s="32">
        <v>1.1725200184779832</v>
      </c>
      <c r="D529" s="32">
        <v>-1.3061916428863676</v>
      </c>
      <c r="E529" s="32">
        <v>1.6064182408532164</v>
      </c>
      <c r="F529" s="24">
        <v>636095.5</v>
      </c>
      <c r="G529" s="52" t="s">
        <v>2</v>
      </c>
      <c r="H529" s="32">
        <v>52.391671221764426</v>
      </c>
      <c r="I529" s="32">
        <v>41.66690367377975</v>
      </c>
      <c r="J529" s="12" t="s">
        <v>1959</v>
      </c>
      <c r="K529" s="12" t="s">
        <v>1960</v>
      </c>
      <c r="L529" s="14" t="s">
        <v>5072</v>
      </c>
      <c r="M529" s="12" t="s">
        <v>1821</v>
      </c>
      <c r="N529" s="15" t="s">
        <v>1822</v>
      </c>
      <c r="O529" s="12" t="s">
        <v>1823</v>
      </c>
      <c r="P529" s="12" t="s">
        <v>1832</v>
      </c>
      <c r="Q529" s="14">
        <v>2</v>
      </c>
      <c r="R529" s="21">
        <v>833.93100000000004</v>
      </c>
      <c r="S529" s="14">
        <v>66</v>
      </c>
      <c r="T529" s="52" t="s">
        <v>2</v>
      </c>
      <c r="U529" s="53">
        <v>49.284174999999998</v>
      </c>
      <c r="V529" s="24">
        <v>390013</v>
      </c>
      <c r="W529" s="24">
        <v>365017</v>
      </c>
      <c r="X529" s="24">
        <v>328243</v>
      </c>
      <c r="Y529" s="24">
        <v>313344</v>
      </c>
      <c r="Z529" s="24">
        <v>314809</v>
      </c>
      <c r="AA529" s="24">
        <v>291054</v>
      </c>
      <c r="AB529" s="24">
        <v>823508</v>
      </c>
      <c r="AC529" s="24">
        <v>448683</v>
      </c>
      <c r="AD529" s="24">
        <v>349154.25</v>
      </c>
      <c r="AE529" s="24">
        <v>469513.5</v>
      </c>
      <c r="AF529" s="24">
        <v>377515</v>
      </c>
      <c r="AG529" s="24">
        <v>320793.5</v>
      </c>
      <c r="AH529" s="24">
        <v>302931.5</v>
      </c>
      <c r="AI529" s="24">
        <v>636095.5</v>
      </c>
      <c r="AJ529" s="32">
        <v>9.97735903047022</v>
      </c>
      <c r="AK529" s="32">
        <v>52.391671221764426</v>
      </c>
      <c r="AL529" s="32">
        <v>4.6818910778482827</v>
      </c>
      <c r="AM529" s="32">
        <v>3.2841014337567227</v>
      </c>
      <c r="AN529" s="32">
        <v>5.5449240462237954</v>
      </c>
      <c r="AO529" s="32">
        <v>41.66690367377975</v>
      </c>
      <c r="AP529" s="19">
        <v>1.3447165543595703</v>
      </c>
      <c r="AQ529" s="19">
        <v>0.80243566480802087</v>
      </c>
      <c r="AR529" s="19">
        <v>1.9828815110031843</v>
      </c>
      <c r="AS529" s="19">
        <v>0.42730210682323139</v>
      </c>
      <c r="AT529" s="19">
        <v>-0.31754236593352109</v>
      </c>
      <c r="AU529" s="19">
        <v>0.98759847050904492</v>
      </c>
      <c r="AV529" s="19">
        <v>0.22961255413713083</v>
      </c>
      <c r="AW529" s="19">
        <v>-0.38536658291667081</v>
      </c>
      <c r="AX529" s="19">
        <v>0.683847556273252</v>
      </c>
      <c r="AY529" s="19">
        <v>1.3447165543595703</v>
      </c>
      <c r="AZ529" s="19">
        <v>-1.2462058254093746</v>
      </c>
      <c r="BA529" s="19">
        <v>1.9828815110031843</v>
      </c>
      <c r="BB529" s="19">
        <v>1.1725200184779832</v>
      </c>
      <c r="BC529" s="19">
        <v>-1.3061916428863676</v>
      </c>
      <c r="BD529" s="19">
        <v>1.6064182408532164</v>
      </c>
      <c r="BE529" s="14" t="s">
        <v>4857</v>
      </c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28"/>
      <c r="BU529" s="28"/>
      <c r="BV529" s="28"/>
      <c r="BW529" s="28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</row>
    <row r="530" spans="1:105" s="30" customFormat="1" ht="17.100000000000001" customHeight="1">
      <c r="A530" s="14">
        <v>519</v>
      </c>
      <c r="B530" s="14" t="s">
        <v>1840</v>
      </c>
      <c r="C530" s="32">
        <v>1.2181304435157991</v>
      </c>
      <c r="D530" s="32">
        <v>1.5915179982374825</v>
      </c>
      <c r="E530" s="32">
        <v>-1.0137090800306017</v>
      </c>
      <c r="F530" s="24">
        <v>137734</v>
      </c>
      <c r="G530" s="52" t="s">
        <v>2</v>
      </c>
      <c r="H530" s="32">
        <v>34.047902858106369</v>
      </c>
      <c r="I530" s="32">
        <v>48.724608105011029</v>
      </c>
      <c r="J530" s="12" t="s">
        <v>1841</v>
      </c>
      <c r="K530" s="12" t="s">
        <v>1842</v>
      </c>
      <c r="L530" s="14" t="s">
        <v>4473</v>
      </c>
      <c r="M530" s="12" t="s">
        <v>1843</v>
      </c>
      <c r="N530" s="15" t="s">
        <v>1844</v>
      </c>
      <c r="O530" s="12" t="s">
        <v>1845</v>
      </c>
      <c r="P530" s="12" t="s">
        <v>1846</v>
      </c>
      <c r="Q530" s="14">
        <v>3</v>
      </c>
      <c r="R530" s="21">
        <v>637.60310000000004</v>
      </c>
      <c r="S530" s="14">
        <v>1</v>
      </c>
      <c r="T530" s="52" t="s">
        <v>2</v>
      </c>
      <c r="U530" s="53">
        <v>33.654412499999999</v>
      </c>
      <c r="V530" s="24">
        <v>100625</v>
      </c>
      <c r="W530" s="24">
        <v>49055</v>
      </c>
      <c r="X530" s="24">
        <v>124879</v>
      </c>
      <c r="Y530" s="24">
        <v>101349</v>
      </c>
      <c r="Z530" s="24">
        <v>130892</v>
      </c>
      <c r="AA530" s="24">
        <v>118793</v>
      </c>
      <c r="AB530" s="24">
        <v>154154</v>
      </c>
      <c r="AC530" s="24">
        <v>121314</v>
      </c>
      <c r="AD530" s="24">
        <v>93977</v>
      </c>
      <c r="AE530" s="24">
        <v>131288.25</v>
      </c>
      <c r="AF530" s="24">
        <v>74840</v>
      </c>
      <c r="AG530" s="24">
        <v>113114</v>
      </c>
      <c r="AH530" s="24">
        <v>124842.5</v>
      </c>
      <c r="AI530" s="24">
        <v>137734</v>
      </c>
      <c r="AJ530" s="32">
        <v>34.047902858106369</v>
      </c>
      <c r="AK530" s="32">
        <v>12.270868639548381</v>
      </c>
      <c r="AL530" s="32">
        <v>48.724608105011029</v>
      </c>
      <c r="AM530" s="32">
        <v>14.709251340523247</v>
      </c>
      <c r="AN530" s="32">
        <v>6.8528625632905769</v>
      </c>
      <c r="AO530" s="32">
        <v>16.859589276552065</v>
      </c>
      <c r="AP530" s="19">
        <v>1.3970253359864648</v>
      </c>
      <c r="AQ530" s="19">
        <v>1.6681253340459647</v>
      </c>
      <c r="AR530" s="19">
        <v>1.2176565235072581</v>
      </c>
      <c r="AS530" s="19">
        <v>0.48235818522166274</v>
      </c>
      <c r="AT530" s="19">
        <v>0.73822768927029669</v>
      </c>
      <c r="AU530" s="19">
        <v>0.2841072352836807</v>
      </c>
      <c r="AV530" s="19">
        <v>0.28466863253556218</v>
      </c>
      <c r="AW530" s="19">
        <v>0.67040347228714703</v>
      </c>
      <c r="AX530" s="19">
        <v>-1.964367895211222E-2</v>
      </c>
      <c r="AY530" s="19">
        <v>1.3970253359864648</v>
      </c>
      <c r="AZ530" s="19">
        <v>1.6681253340459647</v>
      </c>
      <c r="BA530" s="19">
        <v>1.2176565235072581</v>
      </c>
      <c r="BB530" s="19">
        <v>1.2181304435157991</v>
      </c>
      <c r="BC530" s="19">
        <v>1.5915179982374825</v>
      </c>
      <c r="BD530" s="19">
        <v>-1.0137090800306017</v>
      </c>
      <c r="BE530" s="14" t="s">
        <v>4857</v>
      </c>
    </row>
    <row r="531" spans="1:105" s="30" customFormat="1" ht="17.100000000000001" customHeight="1">
      <c r="A531" s="14">
        <v>520</v>
      </c>
      <c r="B531" s="14" t="s">
        <v>1847</v>
      </c>
      <c r="C531" s="32">
        <v>1.1867219269329918</v>
      </c>
      <c r="D531" s="32">
        <v>1.1280558629688595</v>
      </c>
      <c r="E531" s="32">
        <v>1.2467031891991316</v>
      </c>
      <c r="F531" s="24">
        <v>233023</v>
      </c>
      <c r="G531" s="52" t="s">
        <v>2</v>
      </c>
      <c r="H531" s="32">
        <v>27.686197600070138</v>
      </c>
      <c r="I531" s="32">
        <v>44.640194681845244</v>
      </c>
      <c r="J531" s="12" t="s">
        <v>1848</v>
      </c>
      <c r="K531" s="12" t="s">
        <v>1849</v>
      </c>
      <c r="L531" s="14" t="s">
        <v>1850</v>
      </c>
      <c r="M531" s="12" t="s">
        <v>1851</v>
      </c>
      <c r="N531" s="15" t="s">
        <v>1852</v>
      </c>
      <c r="O531" s="12" t="s">
        <v>1853</v>
      </c>
      <c r="P531" s="12" t="s">
        <v>1854</v>
      </c>
      <c r="Q531" s="14">
        <v>4</v>
      </c>
      <c r="R531" s="21">
        <v>617.81209999999999</v>
      </c>
      <c r="S531" s="14">
        <v>1</v>
      </c>
      <c r="T531" s="52" t="s">
        <v>2</v>
      </c>
      <c r="U531" s="53">
        <v>79.586349999999996</v>
      </c>
      <c r="V531" s="24">
        <v>103171</v>
      </c>
      <c r="W531" s="24">
        <v>198346</v>
      </c>
      <c r="X531" s="24">
        <v>144061</v>
      </c>
      <c r="Y531" s="24">
        <v>158789</v>
      </c>
      <c r="Z531" s="24">
        <v>190891</v>
      </c>
      <c r="AA531" s="24">
        <v>165609</v>
      </c>
      <c r="AB531" s="24">
        <v>289611</v>
      </c>
      <c r="AC531" s="24">
        <v>176435</v>
      </c>
      <c r="AD531" s="24">
        <v>151091.75</v>
      </c>
      <c r="AE531" s="24">
        <v>205636.5</v>
      </c>
      <c r="AF531" s="24">
        <v>150758.5</v>
      </c>
      <c r="AG531" s="24">
        <v>151425</v>
      </c>
      <c r="AH531" s="24">
        <v>178250</v>
      </c>
      <c r="AI531" s="24">
        <v>233023</v>
      </c>
      <c r="AJ531" s="32">
        <v>26.02351387571213</v>
      </c>
      <c r="AK531" s="32">
        <v>27.686197600070138</v>
      </c>
      <c r="AL531" s="32">
        <v>44.640194681845244</v>
      </c>
      <c r="AM531" s="32">
        <v>6.8775094425065024</v>
      </c>
      <c r="AN531" s="32">
        <v>10.02921382438053</v>
      </c>
      <c r="AO531" s="32">
        <v>34.343183749058547</v>
      </c>
      <c r="AP531" s="19">
        <v>1.3610041580695174</v>
      </c>
      <c r="AQ531" s="19">
        <v>1.1823545604393781</v>
      </c>
      <c r="AR531" s="19">
        <v>1.5388674261185404</v>
      </c>
      <c r="AS531" s="19">
        <v>0.44467147449591848</v>
      </c>
      <c r="AT531" s="19">
        <v>0.24166273084801482</v>
      </c>
      <c r="AU531" s="19">
        <v>0.62186894841738527</v>
      </c>
      <c r="AV531" s="19">
        <v>0.24698192180981793</v>
      </c>
      <c r="AW531" s="19">
        <v>0.1738385138648651</v>
      </c>
      <c r="AX531" s="19">
        <v>0.31811803418159235</v>
      </c>
      <c r="AY531" s="19">
        <v>1.3610041580695174</v>
      </c>
      <c r="AZ531" s="19">
        <v>1.1823545604393781</v>
      </c>
      <c r="BA531" s="19">
        <v>1.5388674261185404</v>
      </c>
      <c r="BB531" s="19">
        <v>1.1867219269329918</v>
      </c>
      <c r="BC531" s="19">
        <v>1.1280558629688595</v>
      </c>
      <c r="BD531" s="19">
        <v>1.2467031891991316</v>
      </c>
      <c r="BE531" s="14" t="s">
        <v>4857</v>
      </c>
    </row>
    <row r="532" spans="1:105" s="30" customFormat="1" ht="17.100000000000001" customHeight="1">
      <c r="A532" s="14">
        <v>521</v>
      </c>
      <c r="B532" s="14" t="s">
        <v>1855</v>
      </c>
      <c r="C532" s="32">
        <v>1.338757500780174</v>
      </c>
      <c r="D532" s="32">
        <v>1.3749798734679379</v>
      </c>
      <c r="E532" s="32">
        <v>1.3031930750519334</v>
      </c>
      <c r="F532" s="24">
        <v>111591.5</v>
      </c>
      <c r="G532" s="52" t="s">
        <v>2</v>
      </c>
      <c r="H532" s="32">
        <v>27.442120234460781</v>
      </c>
      <c r="I532" s="32">
        <v>30.984593113228204</v>
      </c>
      <c r="J532" s="12" t="s">
        <v>1856</v>
      </c>
      <c r="K532" s="12" t="s">
        <v>1857</v>
      </c>
      <c r="L532" s="14" t="s">
        <v>3866</v>
      </c>
      <c r="M532" s="12" t="s">
        <v>1858</v>
      </c>
      <c r="N532" s="15" t="s">
        <v>1859</v>
      </c>
      <c r="O532" s="12" t="s">
        <v>1860</v>
      </c>
      <c r="P532" s="12" t="s">
        <v>1861</v>
      </c>
      <c r="Q532" s="14">
        <v>3</v>
      </c>
      <c r="R532" s="21">
        <v>695.74040000000002</v>
      </c>
      <c r="S532" s="14">
        <v>1</v>
      </c>
      <c r="T532" s="52" t="s">
        <v>2</v>
      </c>
      <c r="U532" s="53">
        <v>98.694587499999997</v>
      </c>
      <c r="V532" s="24">
        <v>56371</v>
      </c>
      <c r="W532" s="24">
        <v>51480</v>
      </c>
      <c r="X532" s="24">
        <v>54173</v>
      </c>
      <c r="Y532" s="24">
        <v>84571</v>
      </c>
      <c r="Z532" s="24">
        <v>69515</v>
      </c>
      <c r="AA532" s="24">
        <v>85916</v>
      </c>
      <c r="AB532" s="24">
        <v>130853</v>
      </c>
      <c r="AC532" s="24">
        <v>92330</v>
      </c>
      <c r="AD532" s="24">
        <v>61648.75</v>
      </c>
      <c r="AE532" s="24">
        <v>94653.5</v>
      </c>
      <c r="AF532" s="24">
        <v>53925.5</v>
      </c>
      <c r="AG532" s="24">
        <v>69372</v>
      </c>
      <c r="AH532" s="24">
        <v>77715.5</v>
      </c>
      <c r="AI532" s="24">
        <v>111591.5</v>
      </c>
      <c r="AJ532" s="32">
        <v>24.999437518935338</v>
      </c>
      <c r="AK532" s="32">
        <v>27.442120234460781</v>
      </c>
      <c r="AL532" s="32">
        <v>6.4134023176111565</v>
      </c>
      <c r="AM532" s="32">
        <v>30.984593113228204</v>
      </c>
      <c r="AN532" s="32">
        <v>14.922709521576216</v>
      </c>
      <c r="AO532" s="32">
        <v>24.410348934864544</v>
      </c>
      <c r="AP532" s="19">
        <v>1.5353677081854864</v>
      </c>
      <c r="AQ532" s="19">
        <v>1.4411641987556907</v>
      </c>
      <c r="AR532" s="19">
        <v>1.6085956870207001</v>
      </c>
      <c r="AS532" s="19">
        <v>0.6185842108048959</v>
      </c>
      <c r="AT532" s="19">
        <v>0.52723471804916799</v>
      </c>
      <c r="AU532" s="19">
        <v>0.68580175699425983</v>
      </c>
      <c r="AV532" s="19">
        <v>0.42089465811879534</v>
      </c>
      <c r="AW532" s="19">
        <v>0.45941050106601827</v>
      </c>
      <c r="AX532" s="19">
        <v>0.3820508427584669</v>
      </c>
      <c r="AY532" s="19">
        <v>1.5353677081854864</v>
      </c>
      <c r="AZ532" s="19">
        <v>1.4411641987556907</v>
      </c>
      <c r="BA532" s="19">
        <v>1.6085956870207001</v>
      </c>
      <c r="BB532" s="19">
        <v>1.338757500780174</v>
      </c>
      <c r="BC532" s="19">
        <v>1.3749798734679379</v>
      </c>
      <c r="BD532" s="19">
        <v>1.3031930750519334</v>
      </c>
      <c r="BE532" s="14" t="s">
        <v>4857</v>
      </c>
    </row>
    <row r="533" spans="1:105" s="30" customFormat="1" ht="17.100000000000001" customHeight="1">
      <c r="A533" s="14">
        <v>522</v>
      </c>
      <c r="B533" s="14" t="s">
        <v>1862</v>
      </c>
      <c r="C533" s="32">
        <v>-1.0773876788214565</v>
      </c>
      <c r="D533" s="32">
        <v>-1.1729697830613548</v>
      </c>
      <c r="E533" s="32">
        <v>-1.0071644318117199</v>
      </c>
      <c r="F533" s="24">
        <v>46446</v>
      </c>
      <c r="G533" s="52" t="s">
        <v>2</v>
      </c>
      <c r="H533" s="32">
        <v>21.761375448823873</v>
      </c>
      <c r="I533" s="32">
        <v>13.174304312200544</v>
      </c>
      <c r="J533" s="12" t="s">
        <v>1863</v>
      </c>
      <c r="K533" s="12" t="s">
        <v>1864</v>
      </c>
      <c r="L533" s="14" t="s">
        <v>5146</v>
      </c>
      <c r="M533" s="12" t="s">
        <v>1865</v>
      </c>
      <c r="N533" s="15" t="s">
        <v>1866</v>
      </c>
      <c r="O533" s="12" t="s">
        <v>1867</v>
      </c>
      <c r="P533" s="12" t="s">
        <v>1868</v>
      </c>
      <c r="Q533" s="14">
        <v>2</v>
      </c>
      <c r="R533" s="21">
        <v>840.38099999999997</v>
      </c>
      <c r="S533" s="14">
        <v>6</v>
      </c>
      <c r="T533" s="52" t="s">
        <v>2</v>
      </c>
      <c r="U533" s="53">
        <v>37.634949999999996</v>
      </c>
      <c r="V533" s="24">
        <v>39047</v>
      </c>
      <c r="W533" s="24">
        <v>32392</v>
      </c>
      <c r="X533" s="24">
        <v>39492</v>
      </c>
      <c r="Y533" s="24">
        <v>36303</v>
      </c>
      <c r="Z533" s="24">
        <v>32126</v>
      </c>
      <c r="AA533" s="24">
        <v>31710</v>
      </c>
      <c r="AB533" s="24">
        <v>44581</v>
      </c>
      <c r="AC533" s="24">
        <v>48311</v>
      </c>
      <c r="AD533" s="24">
        <v>36808.5</v>
      </c>
      <c r="AE533" s="24">
        <v>39182</v>
      </c>
      <c r="AF533" s="24">
        <v>35719.5</v>
      </c>
      <c r="AG533" s="24">
        <v>37897.5</v>
      </c>
      <c r="AH533" s="24">
        <v>31918</v>
      </c>
      <c r="AI533" s="24">
        <v>46446</v>
      </c>
      <c r="AJ533" s="32">
        <v>8.8691772415770789</v>
      </c>
      <c r="AK533" s="32">
        <v>21.761375448823873</v>
      </c>
      <c r="AL533" s="32">
        <v>13.174304312200544</v>
      </c>
      <c r="AM533" s="32">
        <v>5.9501643253615679</v>
      </c>
      <c r="AN533" s="32">
        <v>0.92160041661007508</v>
      </c>
      <c r="AO533" s="32">
        <v>5.6786554145153998</v>
      </c>
      <c r="AP533" s="19">
        <v>1.0644823885787251</v>
      </c>
      <c r="AQ533" s="19">
        <v>0.89357353826341357</v>
      </c>
      <c r="AR533" s="19">
        <v>1.225568968929349</v>
      </c>
      <c r="AS533" s="19">
        <v>9.0152081194324524E-2</v>
      </c>
      <c r="AT533" s="19">
        <v>-0.16234163151622905</v>
      </c>
      <c r="AU533" s="19">
        <v>0.29345167419461798</v>
      </c>
      <c r="AV533" s="19">
        <v>-0.10753747149177603</v>
      </c>
      <c r="AW533" s="19">
        <v>-0.23016584849937877</v>
      </c>
      <c r="AX533" s="19">
        <v>-1.029924004117494E-2</v>
      </c>
      <c r="AY533" s="19">
        <v>1.0644823885787251</v>
      </c>
      <c r="AZ533" s="19">
        <v>-1.119102074064791</v>
      </c>
      <c r="BA533" s="19">
        <v>1.225568968929349</v>
      </c>
      <c r="BB533" s="19">
        <v>-1.0773876788214565</v>
      </c>
      <c r="BC533" s="19">
        <v>-1.1729697830613548</v>
      </c>
      <c r="BD533" s="19">
        <v>-1.0071644318117199</v>
      </c>
      <c r="BE533" s="14" t="s">
        <v>4857</v>
      </c>
    </row>
    <row r="534" spans="1:105" s="30" customFormat="1" ht="17.100000000000001" customHeight="1">
      <c r="A534" s="14">
        <v>523</v>
      </c>
      <c r="B534" s="14" t="s">
        <v>1876</v>
      </c>
      <c r="C534" s="32">
        <v>1.2049425824151863</v>
      </c>
      <c r="D534" s="32">
        <v>1.1893617336085398</v>
      </c>
      <c r="E534" s="32">
        <v>1.1881104011851034</v>
      </c>
      <c r="F534" s="24">
        <v>148379</v>
      </c>
      <c r="G534" s="52" t="s">
        <v>2</v>
      </c>
      <c r="H534" s="32">
        <v>36.438276239125472</v>
      </c>
      <c r="I534" s="32">
        <v>22.607380491259597</v>
      </c>
      <c r="J534" s="12" t="s">
        <v>1869</v>
      </c>
      <c r="K534" s="12" t="s">
        <v>1870</v>
      </c>
      <c r="L534" s="14" t="s">
        <v>5313</v>
      </c>
      <c r="M534" s="12" t="s">
        <v>1871</v>
      </c>
      <c r="N534" s="15" t="s">
        <v>1872</v>
      </c>
      <c r="O534" s="12" t="s">
        <v>1873</v>
      </c>
      <c r="P534" s="12" t="s">
        <v>1875</v>
      </c>
      <c r="Q534" s="14">
        <v>3</v>
      </c>
      <c r="R534" s="21">
        <v>693.63990000000001</v>
      </c>
      <c r="S534" s="14">
        <v>10</v>
      </c>
      <c r="T534" s="52" t="s">
        <v>2</v>
      </c>
      <c r="U534" s="53">
        <v>38.399175</v>
      </c>
      <c r="V534" s="24">
        <v>64679</v>
      </c>
      <c r="W534" s="24">
        <v>61921</v>
      </c>
      <c r="X534" s="24">
        <v>103629</v>
      </c>
      <c r="Y534" s="24">
        <v>98723</v>
      </c>
      <c r="Z534" s="24">
        <v>66296</v>
      </c>
      <c r="AA534" s="24">
        <v>91525</v>
      </c>
      <c r="AB534" s="24">
        <v>148758</v>
      </c>
      <c r="AC534" s="24">
        <v>148000</v>
      </c>
      <c r="AD534" s="24">
        <v>82238</v>
      </c>
      <c r="AE534" s="24">
        <v>113644.75</v>
      </c>
      <c r="AF534" s="24">
        <v>63300</v>
      </c>
      <c r="AG534" s="24">
        <v>101176</v>
      </c>
      <c r="AH534" s="24">
        <v>78910.5</v>
      </c>
      <c r="AI534" s="24">
        <v>148379</v>
      </c>
      <c r="AJ534" s="32">
        <v>26.737148082329782</v>
      </c>
      <c r="AK534" s="32">
        <v>36.438276239125472</v>
      </c>
      <c r="AL534" s="32">
        <v>3.0808854700039463</v>
      </c>
      <c r="AM534" s="32">
        <v>3.4287438409318436</v>
      </c>
      <c r="AN534" s="32">
        <v>22.607380491259597</v>
      </c>
      <c r="AO534" s="32">
        <v>0.36122830059469535</v>
      </c>
      <c r="AP534" s="19">
        <v>1.3819007028381041</v>
      </c>
      <c r="AQ534" s="19">
        <v>1.2466113744075829</v>
      </c>
      <c r="AR534" s="19">
        <v>1.4665434490392979</v>
      </c>
      <c r="AS534" s="19">
        <v>0.46665395388118835</v>
      </c>
      <c r="AT534" s="19">
        <v>0.31801178144762865</v>
      </c>
      <c r="AU534" s="19">
        <v>0.55241981421451225</v>
      </c>
      <c r="AV534" s="19">
        <v>0.2689644011950878</v>
      </c>
      <c r="AW534" s="19">
        <v>0.25018756446447893</v>
      </c>
      <c r="AX534" s="19">
        <v>0.24866889997871933</v>
      </c>
      <c r="AY534" s="19">
        <v>1.3819007028381041</v>
      </c>
      <c r="AZ534" s="19">
        <v>1.2466113744075829</v>
      </c>
      <c r="BA534" s="19">
        <v>1.4665434490392979</v>
      </c>
      <c r="BB534" s="19">
        <v>1.2049425824151863</v>
      </c>
      <c r="BC534" s="19">
        <v>1.1893617336085398</v>
      </c>
      <c r="BD534" s="19">
        <v>1.1881104011851034</v>
      </c>
      <c r="BE534" s="14" t="s">
        <v>4857</v>
      </c>
    </row>
    <row r="535" spans="1:105" s="30" customFormat="1" ht="17.100000000000001" customHeight="1">
      <c r="A535" s="14">
        <v>524</v>
      </c>
      <c r="B535" s="14" t="s">
        <v>1877</v>
      </c>
      <c r="C535" s="32">
        <v>1.0250703600090474</v>
      </c>
      <c r="D535" s="32">
        <v>-1.4790793440690833</v>
      </c>
      <c r="E535" s="32">
        <v>1.5933374648936001</v>
      </c>
      <c r="F535" s="24">
        <v>81236</v>
      </c>
      <c r="G535" s="52" t="s">
        <v>2</v>
      </c>
      <c r="H535" s="32">
        <v>35.977540772361515</v>
      </c>
      <c r="I535" s="32">
        <v>24.231419770572344</v>
      </c>
      <c r="J535" s="12" t="s">
        <v>1878</v>
      </c>
      <c r="K535" s="12" t="s">
        <v>1879</v>
      </c>
      <c r="L535" s="14" t="s">
        <v>3486</v>
      </c>
      <c r="M535" s="12" t="s">
        <v>1880</v>
      </c>
      <c r="N535" s="15" t="s">
        <v>1881</v>
      </c>
      <c r="O535" s="12" t="s">
        <v>1882</v>
      </c>
      <c r="P535" s="12" t="s">
        <v>1883</v>
      </c>
      <c r="Q535" s="14">
        <v>2</v>
      </c>
      <c r="R535" s="21">
        <v>870.39390000000003</v>
      </c>
      <c r="S535" s="14">
        <v>20</v>
      </c>
      <c r="T535" s="52" t="s">
        <v>2</v>
      </c>
      <c r="U535" s="53">
        <v>48.224662500000008</v>
      </c>
      <c r="V535" s="24">
        <v>81967</v>
      </c>
      <c r="W535" s="24">
        <v>57987</v>
      </c>
      <c r="X535" s="24">
        <v>48109</v>
      </c>
      <c r="Y535" s="24">
        <v>34501</v>
      </c>
      <c r="Z535" s="24">
        <v>55038</v>
      </c>
      <c r="AA535" s="24">
        <v>44139</v>
      </c>
      <c r="AB535" s="24">
        <v>86458</v>
      </c>
      <c r="AC535" s="24">
        <v>76014</v>
      </c>
      <c r="AD535" s="24">
        <v>55641</v>
      </c>
      <c r="AE535" s="24">
        <v>65412.25</v>
      </c>
      <c r="AF535" s="24">
        <v>69977</v>
      </c>
      <c r="AG535" s="24">
        <v>41305</v>
      </c>
      <c r="AH535" s="24">
        <v>49588.5</v>
      </c>
      <c r="AI535" s="24">
        <v>81236</v>
      </c>
      <c r="AJ535" s="32">
        <v>35.977540772361515</v>
      </c>
      <c r="AK535" s="32">
        <v>29.479117177368991</v>
      </c>
      <c r="AL535" s="32">
        <v>24.231419770572344</v>
      </c>
      <c r="AM535" s="32">
        <v>23.295748888479697</v>
      </c>
      <c r="AN535" s="32">
        <v>15.541419498779316</v>
      </c>
      <c r="AO535" s="32">
        <v>9.0908257702401674</v>
      </c>
      <c r="AP535" s="19">
        <v>1.1756124081163171</v>
      </c>
      <c r="AQ535" s="19">
        <v>0.70863998170827558</v>
      </c>
      <c r="AR535" s="19">
        <v>1.9667352620748093</v>
      </c>
      <c r="AS535" s="19">
        <v>0.23341249124836791</v>
      </c>
      <c r="AT535" s="19">
        <v>-0.49687522979096893</v>
      </c>
      <c r="AU535" s="19">
        <v>0.97580277266654758</v>
      </c>
      <c r="AV535" s="19">
        <v>3.5722938562267353E-2</v>
      </c>
      <c r="AW535" s="19">
        <v>-0.56469944677411865</v>
      </c>
      <c r="AX535" s="19">
        <v>0.67205185843075466</v>
      </c>
      <c r="AY535" s="19">
        <v>1.1756124081163171</v>
      </c>
      <c r="AZ535" s="19">
        <v>-1.4111537957389313</v>
      </c>
      <c r="BA535" s="19">
        <v>1.9667352620748093</v>
      </c>
      <c r="BB535" s="19">
        <v>1.0250703600090474</v>
      </c>
      <c r="BC535" s="19">
        <v>-1.4790793440690833</v>
      </c>
      <c r="BD535" s="19">
        <v>1.5933374648936001</v>
      </c>
      <c r="BE535" s="14" t="s">
        <v>4857</v>
      </c>
    </row>
    <row r="536" spans="1:105" s="30" customFormat="1" ht="17.100000000000001" customHeight="1">
      <c r="A536" s="14">
        <v>525</v>
      </c>
      <c r="B536" s="14" t="s">
        <v>1890</v>
      </c>
      <c r="C536" s="32">
        <v>1.0025512444182016</v>
      </c>
      <c r="D536" s="32">
        <v>-1.061820995995892</v>
      </c>
      <c r="E536" s="32">
        <v>1.0486373097245603</v>
      </c>
      <c r="F536" s="24">
        <v>269788</v>
      </c>
      <c r="G536" s="52" t="s">
        <v>2</v>
      </c>
      <c r="H536" s="32">
        <v>35.328636811526323</v>
      </c>
      <c r="I536" s="32">
        <v>39.872846317074696</v>
      </c>
      <c r="J536" s="12" t="s">
        <v>1891</v>
      </c>
      <c r="K536" s="12" t="s">
        <v>1892</v>
      </c>
      <c r="L536" s="14" t="s">
        <v>5226</v>
      </c>
      <c r="M536" s="12" t="s">
        <v>1758</v>
      </c>
      <c r="N536" s="15" t="s">
        <v>1759</v>
      </c>
      <c r="O536" s="12" t="s">
        <v>1760</v>
      </c>
      <c r="P536" s="12" t="s">
        <v>1762</v>
      </c>
      <c r="Q536" s="14">
        <v>2</v>
      </c>
      <c r="R536" s="21">
        <v>626.83789999999999</v>
      </c>
      <c r="S536" s="14">
        <v>7</v>
      </c>
      <c r="T536" s="52" t="s">
        <v>2</v>
      </c>
      <c r="U536" s="53">
        <v>63.856099999999998</v>
      </c>
      <c r="V536" s="24">
        <v>191734</v>
      </c>
      <c r="W536" s="24">
        <v>178803</v>
      </c>
      <c r="X536" s="24">
        <v>241683</v>
      </c>
      <c r="Y536" s="24">
        <v>175176</v>
      </c>
      <c r="Z536" s="24">
        <v>177565</v>
      </c>
      <c r="AA536" s="24">
        <v>188196</v>
      </c>
      <c r="AB536" s="24">
        <v>193723</v>
      </c>
      <c r="AC536" s="24">
        <v>345853</v>
      </c>
      <c r="AD536" s="24">
        <v>196849</v>
      </c>
      <c r="AE536" s="24">
        <v>226334.25</v>
      </c>
      <c r="AF536" s="24">
        <v>185268.5</v>
      </c>
      <c r="AG536" s="24">
        <v>208429.5</v>
      </c>
      <c r="AH536" s="24">
        <v>182880.5</v>
      </c>
      <c r="AI536" s="24">
        <v>269788</v>
      </c>
      <c r="AJ536" s="32">
        <v>15.607173037786096</v>
      </c>
      <c r="AK536" s="32">
        <v>35.328636811526323</v>
      </c>
      <c r="AL536" s="32">
        <v>4.9353224037131227</v>
      </c>
      <c r="AM536" s="32">
        <v>22.562809341467361</v>
      </c>
      <c r="AN536" s="32">
        <v>4.1104722432376253</v>
      </c>
      <c r="AO536" s="32">
        <v>39.872846317074696</v>
      </c>
      <c r="AP536" s="19">
        <v>1.1497861304858039</v>
      </c>
      <c r="AQ536" s="19">
        <v>0.98711059894153619</v>
      </c>
      <c r="AR536" s="19">
        <v>1.2943849119246555</v>
      </c>
      <c r="AS536" s="19">
        <v>0.2013655331852981</v>
      </c>
      <c r="AT536" s="19">
        <v>-1.8716357110128964E-2</v>
      </c>
      <c r="AU536" s="19">
        <v>0.37226669611728452</v>
      </c>
      <c r="AV536" s="19">
        <v>3.6759804991975398E-3</v>
      </c>
      <c r="AW536" s="19">
        <v>-8.6540574093278672E-2</v>
      </c>
      <c r="AX536" s="19">
        <v>6.85157818814916E-2</v>
      </c>
      <c r="AY536" s="19">
        <v>1.1497861304858039</v>
      </c>
      <c r="AZ536" s="19">
        <v>-1.0130577070819469</v>
      </c>
      <c r="BA536" s="19">
        <v>1.2943849119246555</v>
      </c>
      <c r="BB536" s="19">
        <v>1.0025512444182016</v>
      </c>
      <c r="BC536" s="19">
        <v>-1.061820995995892</v>
      </c>
      <c r="BD536" s="19">
        <v>1.0486373097245603</v>
      </c>
      <c r="BE536" s="14" t="s">
        <v>4857</v>
      </c>
    </row>
    <row r="537" spans="1:105" s="30" customFormat="1" ht="17.100000000000001" customHeight="1">
      <c r="A537" s="14">
        <v>526</v>
      </c>
      <c r="B537" s="14" t="s">
        <v>1763</v>
      </c>
      <c r="C537" s="32">
        <v>1.3116520087034087</v>
      </c>
      <c r="D537" s="32">
        <v>1.1423378770655885</v>
      </c>
      <c r="E537" s="32">
        <v>1.4505362862746007</v>
      </c>
      <c r="F537" s="24">
        <v>152573</v>
      </c>
      <c r="G537" s="52" t="s">
        <v>2</v>
      </c>
      <c r="H537" s="32">
        <v>33.107802647813763</v>
      </c>
      <c r="I537" s="32">
        <v>26.652354461455154</v>
      </c>
      <c r="J537" s="12" t="s">
        <v>1764</v>
      </c>
      <c r="K537" s="15" t="s">
        <v>1765</v>
      </c>
      <c r="L537" s="14" t="s">
        <v>5066</v>
      </c>
      <c r="M537" s="12" t="s">
        <v>1766</v>
      </c>
      <c r="N537" s="15" t="s">
        <v>1767</v>
      </c>
      <c r="O537" s="12" t="s">
        <v>1768</v>
      </c>
      <c r="P537" s="12" t="s">
        <v>1769</v>
      </c>
      <c r="Q537" s="14">
        <v>2</v>
      </c>
      <c r="R537" s="21">
        <v>532.29840000000002</v>
      </c>
      <c r="S537" s="14">
        <v>8</v>
      </c>
      <c r="T537" s="52" t="s">
        <v>2</v>
      </c>
      <c r="U537" s="53">
        <v>29.693737500000001</v>
      </c>
      <c r="V537" s="24">
        <v>87120</v>
      </c>
      <c r="W537" s="24">
        <v>71776</v>
      </c>
      <c r="X537" s="24">
        <v>75368</v>
      </c>
      <c r="Y537" s="24">
        <v>95060</v>
      </c>
      <c r="Z537" s="24">
        <v>101835</v>
      </c>
      <c r="AA537" s="24">
        <v>88415</v>
      </c>
      <c r="AB537" s="24">
        <v>123819</v>
      </c>
      <c r="AC537" s="24">
        <v>181327</v>
      </c>
      <c r="AD537" s="24">
        <v>82331</v>
      </c>
      <c r="AE537" s="24">
        <v>123849</v>
      </c>
      <c r="AF537" s="24">
        <v>79448</v>
      </c>
      <c r="AG537" s="24">
        <v>85214</v>
      </c>
      <c r="AH537" s="24">
        <v>95125</v>
      </c>
      <c r="AI537" s="24">
        <v>152573</v>
      </c>
      <c r="AJ537" s="32">
        <v>13.02246535157793</v>
      </c>
      <c r="AK537" s="32">
        <v>33.107802647813763</v>
      </c>
      <c r="AL537" s="32">
        <v>13.656538176576358</v>
      </c>
      <c r="AM537" s="32">
        <v>16.340444921169635</v>
      </c>
      <c r="AN537" s="32">
        <v>9.9756877829418844</v>
      </c>
      <c r="AO537" s="32">
        <v>26.652354461455154</v>
      </c>
      <c r="AP537" s="19">
        <v>1.5042814978562145</v>
      </c>
      <c r="AQ537" s="19">
        <v>1.1973240358473467</v>
      </c>
      <c r="AR537" s="19">
        <v>1.7904687023259089</v>
      </c>
      <c r="AS537" s="19">
        <v>0.58907456539346559</v>
      </c>
      <c r="AT537" s="19">
        <v>0.25981364655528288</v>
      </c>
      <c r="AU537" s="19">
        <v>0.84033730034297205</v>
      </c>
      <c r="AV537" s="19">
        <v>0.39138501270736503</v>
      </c>
      <c r="AW537" s="19">
        <v>0.19198942957213316</v>
      </c>
      <c r="AX537" s="19">
        <v>0.53658638610717913</v>
      </c>
      <c r="AY537" s="19">
        <v>1.5042814978562145</v>
      </c>
      <c r="AZ537" s="19">
        <v>1.1973240358473467</v>
      </c>
      <c r="BA537" s="19">
        <v>1.7904687023259089</v>
      </c>
      <c r="BB537" s="19">
        <v>1.3116520087034087</v>
      </c>
      <c r="BC537" s="19">
        <v>1.1423378770655885</v>
      </c>
      <c r="BD537" s="19">
        <v>1.4505362862746007</v>
      </c>
      <c r="BE537" s="14" t="s">
        <v>4857</v>
      </c>
    </row>
    <row r="538" spans="1:105" s="30" customFormat="1" ht="17.100000000000001" customHeight="1">
      <c r="A538" s="14">
        <v>527</v>
      </c>
      <c r="B538" s="14" t="s">
        <v>1770</v>
      </c>
      <c r="C538" s="32">
        <v>1.2923282856347795</v>
      </c>
      <c r="D538" s="32">
        <v>1.1905392901326688</v>
      </c>
      <c r="E538" s="32">
        <v>1.3628960292711869</v>
      </c>
      <c r="F538" s="24">
        <v>178440.5</v>
      </c>
      <c r="G538" s="52" t="s">
        <v>2</v>
      </c>
      <c r="H538" s="32">
        <v>27.768708085217682</v>
      </c>
      <c r="I538" s="32">
        <v>36.158642228300494</v>
      </c>
      <c r="J538" s="12" t="s">
        <v>1771</v>
      </c>
      <c r="K538" s="12" t="s">
        <v>1772</v>
      </c>
      <c r="L538" s="14" t="s">
        <v>5237</v>
      </c>
      <c r="M538" s="12" t="s">
        <v>1773</v>
      </c>
      <c r="N538" s="15" t="s">
        <v>1774</v>
      </c>
      <c r="O538" s="12" t="s">
        <v>1775</v>
      </c>
      <c r="P538" s="12" t="s">
        <v>1776</v>
      </c>
      <c r="Q538" s="14">
        <v>2</v>
      </c>
      <c r="R538" s="21">
        <v>470.74799999999999</v>
      </c>
      <c r="S538" s="14">
        <v>3</v>
      </c>
      <c r="T538" s="52" t="s">
        <v>2</v>
      </c>
      <c r="U538" s="53">
        <v>36.405237499999998</v>
      </c>
      <c r="V538" s="24">
        <v>84577</v>
      </c>
      <c r="W538" s="24">
        <v>96681</v>
      </c>
      <c r="X538" s="24">
        <v>78950</v>
      </c>
      <c r="Y538" s="24">
        <v>133190</v>
      </c>
      <c r="Z538" s="24">
        <v>96494</v>
      </c>
      <c r="AA538" s="24">
        <v>129688</v>
      </c>
      <c r="AB538" s="24">
        <v>185287</v>
      </c>
      <c r="AC538" s="24">
        <v>171594</v>
      </c>
      <c r="AD538" s="24">
        <v>98349.5</v>
      </c>
      <c r="AE538" s="24">
        <v>145765.75</v>
      </c>
      <c r="AF538" s="24">
        <v>90629</v>
      </c>
      <c r="AG538" s="24">
        <v>106070</v>
      </c>
      <c r="AH538" s="24">
        <v>113091</v>
      </c>
      <c r="AI538" s="24">
        <v>178440.5</v>
      </c>
      <c r="AJ538" s="32">
        <v>24.785762901088155</v>
      </c>
      <c r="AK538" s="32">
        <v>27.768708085217682</v>
      </c>
      <c r="AL538" s="32">
        <v>9.4437988717540424</v>
      </c>
      <c r="AM538" s="32">
        <v>36.158642228300494</v>
      </c>
      <c r="AN538" s="32">
        <v>20.754704171601858</v>
      </c>
      <c r="AO538" s="32">
        <v>5.4261298050540061</v>
      </c>
      <c r="AP538" s="19">
        <v>1.4821198887640508</v>
      </c>
      <c r="AQ538" s="19">
        <v>1.2478456123315937</v>
      </c>
      <c r="AR538" s="19">
        <v>1.6822899971716792</v>
      </c>
      <c r="AS538" s="19">
        <v>0.56766215204973547</v>
      </c>
      <c r="AT538" s="19">
        <v>0.31943945014428243</v>
      </c>
      <c r="AU538" s="19">
        <v>0.7504264222511583</v>
      </c>
      <c r="AV538" s="19">
        <v>0.36997259936363491</v>
      </c>
      <c r="AW538" s="19">
        <v>0.25161523316113271</v>
      </c>
      <c r="AX538" s="19">
        <v>0.44667550801536537</v>
      </c>
      <c r="AY538" s="19">
        <v>1.4821198887640508</v>
      </c>
      <c r="AZ538" s="19">
        <v>1.2478456123315937</v>
      </c>
      <c r="BA538" s="19">
        <v>1.6822899971716792</v>
      </c>
      <c r="BB538" s="19">
        <v>1.2923282856347795</v>
      </c>
      <c r="BC538" s="19">
        <v>1.1905392901326688</v>
      </c>
      <c r="BD538" s="19">
        <v>1.3628960292711869</v>
      </c>
      <c r="BE538" s="14" t="s">
        <v>4857</v>
      </c>
    </row>
    <row r="539" spans="1:105" s="30" customFormat="1" ht="17.100000000000001" customHeight="1">
      <c r="A539" s="14">
        <v>528</v>
      </c>
      <c r="B539" s="14" t="s">
        <v>1777</v>
      </c>
      <c r="C539" s="32">
        <v>-1.0395858704272485</v>
      </c>
      <c r="D539" s="32">
        <v>1.2294002682794176</v>
      </c>
      <c r="E539" s="32">
        <v>-1.3130884650897456</v>
      </c>
      <c r="F539" s="24">
        <v>321500</v>
      </c>
      <c r="G539" s="52" t="s">
        <v>2</v>
      </c>
      <c r="H539" s="32">
        <v>19.162674858507856</v>
      </c>
      <c r="I539" s="32">
        <v>20.894290579384766</v>
      </c>
      <c r="J539" s="12" t="s">
        <v>1778</v>
      </c>
      <c r="K539" s="12" t="s">
        <v>1779</v>
      </c>
      <c r="L539" s="14" t="s">
        <v>3592</v>
      </c>
      <c r="M539" s="12" t="s">
        <v>1780</v>
      </c>
      <c r="N539" s="15" t="s">
        <v>1781</v>
      </c>
      <c r="O539" s="12" t="s">
        <v>1782</v>
      </c>
      <c r="P539" s="12" t="s">
        <v>1783</v>
      </c>
      <c r="Q539" s="14">
        <v>4</v>
      </c>
      <c r="R539" s="21">
        <v>604.80799999999999</v>
      </c>
      <c r="S539" s="14">
        <v>1</v>
      </c>
      <c r="T539" s="52" t="s">
        <v>2</v>
      </c>
      <c r="U539" s="53">
        <v>71.5</v>
      </c>
      <c r="V539" s="24">
        <v>253000</v>
      </c>
      <c r="W539" s="24">
        <v>246000</v>
      </c>
      <c r="X539" s="24">
        <v>252000</v>
      </c>
      <c r="Y539" s="24">
        <v>315000</v>
      </c>
      <c r="Z539" s="24">
        <v>369000</v>
      </c>
      <c r="AA539" s="24">
        <v>274000</v>
      </c>
      <c r="AB539" s="24">
        <v>298000</v>
      </c>
      <c r="AC539" s="24">
        <v>235000</v>
      </c>
      <c r="AD539" s="24">
        <v>266500</v>
      </c>
      <c r="AE539" s="24">
        <v>294000</v>
      </c>
      <c r="AF539" s="24">
        <v>249500</v>
      </c>
      <c r="AG539" s="24">
        <v>283500</v>
      </c>
      <c r="AH539" s="24">
        <v>321500</v>
      </c>
      <c r="AI539" s="24">
        <v>266500</v>
      </c>
      <c r="AJ539" s="32">
        <v>12.187903766537872</v>
      </c>
      <c r="AK539" s="32">
        <v>19.162674858507856</v>
      </c>
      <c r="AL539" s="32">
        <v>1.9838667207638609</v>
      </c>
      <c r="AM539" s="32">
        <v>15.713484026367722</v>
      </c>
      <c r="AN539" s="32">
        <v>20.894290579384766</v>
      </c>
      <c r="AO539" s="32">
        <v>16.715845108725137</v>
      </c>
      <c r="AP539" s="19">
        <v>1.1031894934333959</v>
      </c>
      <c r="AQ539" s="19">
        <v>1.2885771543086173</v>
      </c>
      <c r="AR539" s="19">
        <v>0.94003527336860671</v>
      </c>
      <c r="AS539" s="19">
        <v>0.14168062207718859</v>
      </c>
      <c r="AT539" s="19">
        <v>0.36577892199068684</v>
      </c>
      <c r="AU539" s="19">
        <v>-8.9213202183052981E-2</v>
      </c>
      <c r="AV539" s="19">
        <v>-5.6008930608911961E-2</v>
      </c>
      <c r="AW539" s="19">
        <v>0.29795470500753712</v>
      </c>
      <c r="AX539" s="19">
        <v>-0.39296411641884588</v>
      </c>
      <c r="AY539" s="19">
        <v>1.1031894934333959</v>
      </c>
      <c r="AZ539" s="19">
        <v>1.2885771543086173</v>
      </c>
      <c r="BA539" s="19">
        <v>-1.0637898686679175</v>
      </c>
      <c r="BB539" s="19">
        <v>-1.0395858704272485</v>
      </c>
      <c r="BC539" s="19">
        <v>1.2294002682794176</v>
      </c>
      <c r="BD539" s="19">
        <v>-1.3130884650897456</v>
      </c>
      <c r="BE539" s="14" t="s">
        <v>4857</v>
      </c>
    </row>
    <row r="540" spans="1:105" s="30" customFormat="1" ht="17.100000000000001" customHeight="1">
      <c r="A540" s="14">
        <v>529</v>
      </c>
      <c r="B540" s="14" t="s">
        <v>1784</v>
      </c>
      <c r="C540" s="32">
        <v>-1.0528245928617921</v>
      </c>
      <c r="D540" s="32">
        <v>1.0031428406060656</v>
      </c>
      <c r="E540" s="32">
        <v>-1.0986484794338651</v>
      </c>
      <c r="F540" s="39">
        <v>530493.5</v>
      </c>
      <c r="G540" s="52" t="s">
        <v>2</v>
      </c>
      <c r="H540" s="32">
        <v>26.191400169961948</v>
      </c>
      <c r="I540" s="32">
        <v>41.880321515184875</v>
      </c>
      <c r="J540" s="12" t="s">
        <v>1785</v>
      </c>
      <c r="K540" s="12" t="s">
        <v>1786</v>
      </c>
      <c r="L540" s="14" t="s">
        <v>3409</v>
      </c>
      <c r="M540" s="12" t="s">
        <v>1787</v>
      </c>
      <c r="N540" s="15" t="s">
        <v>1788</v>
      </c>
      <c r="O540" s="12" t="s">
        <v>1789</v>
      </c>
      <c r="P540" s="12" t="s">
        <v>1790</v>
      </c>
      <c r="Q540" s="14">
        <v>3</v>
      </c>
      <c r="R540" s="21">
        <v>647.04939999999999</v>
      </c>
      <c r="S540" s="14">
        <v>1</v>
      </c>
      <c r="T540" s="52" t="s">
        <v>2</v>
      </c>
      <c r="U540" s="53">
        <v>80.53972499999999</v>
      </c>
      <c r="V540" s="39">
        <v>413861</v>
      </c>
      <c r="W540" s="39">
        <v>438520</v>
      </c>
      <c r="X540" s="39">
        <v>332344</v>
      </c>
      <c r="Y540" s="39">
        <v>612001</v>
      </c>
      <c r="Z540" s="39">
        <v>425514</v>
      </c>
      <c r="AA540" s="39">
        <v>470704</v>
      </c>
      <c r="AB540" s="39">
        <v>533362</v>
      </c>
      <c r="AC540" s="39">
        <v>527625</v>
      </c>
      <c r="AD540" s="39">
        <v>449181.5</v>
      </c>
      <c r="AE540" s="39">
        <v>489301.25</v>
      </c>
      <c r="AF540" s="39">
        <v>426190.5</v>
      </c>
      <c r="AG540" s="39">
        <v>472172.5</v>
      </c>
      <c r="AH540" s="39">
        <v>448109</v>
      </c>
      <c r="AI540" s="39">
        <v>530493.5</v>
      </c>
      <c r="AJ540" s="32">
        <v>26.191400169961948</v>
      </c>
      <c r="AK540" s="32">
        <v>10.437530100354898</v>
      </c>
      <c r="AL540" s="32">
        <v>4.0912564023081401</v>
      </c>
      <c r="AM540" s="32">
        <v>41.880321515184875</v>
      </c>
      <c r="AN540" s="32">
        <v>7.130889011785098</v>
      </c>
      <c r="AO540" s="32">
        <v>0.76469770198262998</v>
      </c>
      <c r="AP540" s="19">
        <v>1.0893174585329093</v>
      </c>
      <c r="AQ540" s="19">
        <v>1.0514288798084426</v>
      </c>
      <c r="AR540" s="19">
        <v>1.1235162996574346</v>
      </c>
      <c r="AS540" s="19">
        <v>0.12342445828625268</v>
      </c>
      <c r="AT540" s="19">
        <v>7.2351267361412189E-2</v>
      </c>
      <c r="AU540" s="19">
        <v>0.16802105488219102</v>
      </c>
      <c r="AV540" s="19">
        <v>-7.4265094399847881E-2</v>
      </c>
      <c r="AW540" s="19">
        <v>4.5270503782624816E-3</v>
      </c>
      <c r="AX540" s="19">
        <v>-0.13572985935360191</v>
      </c>
      <c r="AY540" s="19">
        <v>1.0893174585329093</v>
      </c>
      <c r="AZ540" s="19">
        <v>1.0514288798084426</v>
      </c>
      <c r="BA540" s="19">
        <v>1.1235162996574346</v>
      </c>
      <c r="BB540" s="19">
        <v>-1.0528245928617921</v>
      </c>
      <c r="BC540" s="19">
        <v>1.0031428406060656</v>
      </c>
      <c r="BD540" s="19">
        <v>-1.0986484794338651</v>
      </c>
      <c r="BE540" s="14" t="s">
        <v>4857</v>
      </c>
    </row>
    <row r="541" spans="1:105" s="30" customFormat="1" ht="17.100000000000001" customHeight="1">
      <c r="A541" s="14">
        <v>530</v>
      </c>
      <c r="B541" s="14" t="s">
        <v>1791</v>
      </c>
      <c r="C541" s="32">
        <v>-1.0528245928617921</v>
      </c>
      <c r="D541" s="32">
        <v>1.0031428406060656</v>
      </c>
      <c r="E541" s="32">
        <v>-1.0986484794338651</v>
      </c>
      <c r="F541" s="39">
        <v>530493.5</v>
      </c>
      <c r="G541" s="52" t="s">
        <v>2</v>
      </c>
      <c r="H541" s="32">
        <v>26.191400169961948</v>
      </c>
      <c r="I541" s="32">
        <v>41.880321515184875</v>
      </c>
      <c r="J541" s="12" t="s">
        <v>1785</v>
      </c>
      <c r="K541" s="12" t="s">
        <v>1786</v>
      </c>
      <c r="L541" s="14" t="s">
        <v>5197</v>
      </c>
      <c r="M541" s="12" t="s">
        <v>1787</v>
      </c>
      <c r="N541" s="15" t="s">
        <v>1788</v>
      </c>
      <c r="O541" s="12" t="s">
        <v>1789</v>
      </c>
      <c r="P541" s="12" t="s">
        <v>1792</v>
      </c>
      <c r="Q541" s="14">
        <v>3</v>
      </c>
      <c r="R541" s="21">
        <v>647.04939999999999</v>
      </c>
      <c r="S541" s="14">
        <v>7</v>
      </c>
      <c r="T541" s="52" t="s">
        <v>2</v>
      </c>
      <c r="U541" s="53">
        <v>80.53972499999999</v>
      </c>
      <c r="V541" s="39">
        <v>413861</v>
      </c>
      <c r="W541" s="39">
        <v>438520</v>
      </c>
      <c r="X541" s="39">
        <v>332344</v>
      </c>
      <c r="Y541" s="39">
        <v>612001</v>
      </c>
      <c r="Z541" s="39">
        <v>425514</v>
      </c>
      <c r="AA541" s="39">
        <v>470704</v>
      </c>
      <c r="AB541" s="39">
        <v>533362</v>
      </c>
      <c r="AC541" s="39">
        <v>527625</v>
      </c>
      <c r="AD541" s="39">
        <v>449181.5</v>
      </c>
      <c r="AE541" s="39">
        <v>489301.25</v>
      </c>
      <c r="AF541" s="39">
        <v>426190.5</v>
      </c>
      <c r="AG541" s="39">
        <v>472172.5</v>
      </c>
      <c r="AH541" s="39">
        <v>448109</v>
      </c>
      <c r="AI541" s="39">
        <v>530493.5</v>
      </c>
      <c r="AJ541" s="32">
        <v>26.191400169961948</v>
      </c>
      <c r="AK541" s="32">
        <v>10.437530100354898</v>
      </c>
      <c r="AL541" s="32">
        <v>4.0912564023081401</v>
      </c>
      <c r="AM541" s="32">
        <v>41.880321515184875</v>
      </c>
      <c r="AN541" s="32">
        <v>7.130889011785098</v>
      </c>
      <c r="AO541" s="32">
        <v>0.76469770198262998</v>
      </c>
      <c r="AP541" s="19">
        <v>1.0893174585329093</v>
      </c>
      <c r="AQ541" s="19">
        <v>1.0514288798084426</v>
      </c>
      <c r="AR541" s="19">
        <v>1.1235162996574346</v>
      </c>
      <c r="AS541" s="19">
        <v>0.12342445828625268</v>
      </c>
      <c r="AT541" s="19">
        <v>7.2351267361412189E-2</v>
      </c>
      <c r="AU541" s="19">
        <v>0.16802105488219102</v>
      </c>
      <c r="AV541" s="19">
        <v>-7.4265094399847881E-2</v>
      </c>
      <c r="AW541" s="19">
        <v>4.5270503782624816E-3</v>
      </c>
      <c r="AX541" s="19">
        <v>-0.13572985935360191</v>
      </c>
      <c r="AY541" s="19">
        <v>1.0893174585329093</v>
      </c>
      <c r="AZ541" s="19">
        <v>1.0514288798084426</v>
      </c>
      <c r="BA541" s="19">
        <v>1.1235162996574346</v>
      </c>
      <c r="BB541" s="19">
        <v>-1.0528245928617921</v>
      </c>
      <c r="BC541" s="19">
        <v>1.0031428406060656</v>
      </c>
      <c r="BD541" s="19">
        <v>-1.0986484794338651</v>
      </c>
      <c r="BE541" s="14" t="s">
        <v>4857</v>
      </c>
    </row>
    <row r="542" spans="1:105" s="30" customFormat="1" ht="17.100000000000001" customHeight="1">
      <c r="A542" s="14">
        <v>531</v>
      </c>
      <c r="B542" s="14" t="s">
        <v>1795</v>
      </c>
      <c r="C542" s="32">
        <v>-1.1061240769788181</v>
      </c>
      <c r="D542" s="32">
        <v>-1.0480643740137292</v>
      </c>
      <c r="E542" s="32">
        <v>-1.1581215664857285</v>
      </c>
      <c r="F542" s="24">
        <v>130798</v>
      </c>
      <c r="G542" s="52" t="s">
        <v>2</v>
      </c>
      <c r="H542" s="32">
        <v>21.084800487943987</v>
      </c>
      <c r="I542" s="32">
        <v>21.093936813327328</v>
      </c>
      <c r="J542" s="12" t="s">
        <v>1796</v>
      </c>
      <c r="K542" s="12" t="s">
        <v>1797</v>
      </c>
      <c r="L542" s="14" t="s">
        <v>5138</v>
      </c>
      <c r="M542" s="12" t="s">
        <v>1798</v>
      </c>
      <c r="N542" s="15" t="s">
        <v>1799</v>
      </c>
      <c r="O542" s="12" t="s">
        <v>1800</v>
      </c>
      <c r="P542" s="12" t="s">
        <v>1801</v>
      </c>
      <c r="Q542" s="14">
        <v>2</v>
      </c>
      <c r="R542" s="21">
        <v>604.82270000000005</v>
      </c>
      <c r="S542" s="14">
        <v>6</v>
      </c>
      <c r="T542" s="52" t="s">
        <v>2</v>
      </c>
      <c r="U542" s="53">
        <v>27.653500000000001</v>
      </c>
      <c r="V542" s="24">
        <v>111224</v>
      </c>
      <c r="W542" s="24">
        <v>82351</v>
      </c>
      <c r="X542" s="24">
        <v>138802</v>
      </c>
      <c r="Y542" s="24">
        <v>106639</v>
      </c>
      <c r="Z542" s="24">
        <v>103219</v>
      </c>
      <c r="AA542" s="24">
        <v>90369</v>
      </c>
      <c r="AB542" s="24">
        <v>116101</v>
      </c>
      <c r="AC542" s="24">
        <v>145495</v>
      </c>
      <c r="AD542" s="24">
        <v>109754</v>
      </c>
      <c r="AE542" s="24">
        <v>113796</v>
      </c>
      <c r="AF542" s="24">
        <v>96787.5</v>
      </c>
      <c r="AG542" s="24">
        <v>122720.5</v>
      </c>
      <c r="AH542" s="24">
        <v>96794</v>
      </c>
      <c r="AI542" s="24">
        <v>130798</v>
      </c>
      <c r="AJ542" s="32">
        <v>21.084800487943987</v>
      </c>
      <c r="AK542" s="32">
        <v>20.738598462608746</v>
      </c>
      <c r="AL542" s="32">
        <v>21.093936813327328</v>
      </c>
      <c r="AM542" s="32">
        <v>18.532091544039446</v>
      </c>
      <c r="AN542" s="32">
        <v>9.3872782799007535</v>
      </c>
      <c r="AO542" s="32">
        <v>15.890683898987277</v>
      </c>
      <c r="AP542" s="19">
        <v>1.0368278149315742</v>
      </c>
      <c r="AQ542" s="19">
        <v>1.0000671574325197</v>
      </c>
      <c r="AR542" s="19">
        <v>1.0658202989720544</v>
      </c>
      <c r="AS542" s="19">
        <v>5.2176326967098251E-2</v>
      </c>
      <c r="AT542" s="19">
        <v>9.6884441636281246E-5</v>
      </c>
      <c r="AU542" s="19">
        <v>9.196421517384451E-2</v>
      </c>
      <c r="AV542" s="19">
        <v>-0.1455132257190023</v>
      </c>
      <c r="AW542" s="19">
        <v>-6.7727332541513433E-2</v>
      </c>
      <c r="AX542" s="19">
        <v>-0.21178669906194841</v>
      </c>
      <c r="AY542" s="19">
        <v>1.0368278149315742</v>
      </c>
      <c r="AZ542" s="19">
        <v>1.0000671574325197</v>
      </c>
      <c r="BA542" s="19">
        <v>1.0658202989720544</v>
      </c>
      <c r="BB542" s="19">
        <v>-1.1061240769788181</v>
      </c>
      <c r="BC542" s="19">
        <v>-1.0480643740137292</v>
      </c>
      <c r="BD542" s="19">
        <v>-1.1581215664857285</v>
      </c>
      <c r="BE542" s="14" t="s">
        <v>4857</v>
      </c>
    </row>
    <row r="543" spans="1:105" s="30" customFormat="1" ht="17.100000000000001" customHeight="1">
      <c r="A543" s="31">
        <v>532</v>
      </c>
      <c r="B543" s="11" t="s">
        <v>1803</v>
      </c>
      <c r="C543" s="57"/>
      <c r="D543" s="57"/>
      <c r="E543" s="57"/>
      <c r="F543" s="27"/>
      <c r="G543" s="54"/>
      <c r="H543" s="57"/>
      <c r="I543" s="57"/>
      <c r="J543" s="13"/>
      <c r="K543" s="13"/>
      <c r="L543" s="13"/>
      <c r="M543" s="13"/>
      <c r="N543" s="13"/>
      <c r="O543" s="13"/>
      <c r="P543" s="13"/>
      <c r="Q543" s="13"/>
      <c r="R543" s="22"/>
      <c r="S543" s="18"/>
      <c r="T543" s="54"/>
      <c r="U543" s="5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57"/>
      <c r="AK543" s="57"/>
      <c r="AL543" s="57"/>
      <c r="AM543" s="57"/>
      <c r="AN543" s="57"/>
      <c r="AO543" s="5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13"/>
    </row>
    <row r="544" spans="1:105" s="30" customFormat="1" ht="17.100000000000001" customHeight="1">
      <c r="A544" s="14">
        <v>533</v>
      </c>
      <c r="B544" s="14" t="s">
        <v>2484</v>
      </c>
      <c r="C544" s="32">
        <v>-1.0421534102505912</v>
      </c>
      <c r="D544" s="32">
        <v>-1.0489752257727307</v>
      </c>
      <c r="E544" s="32">
        <v>-1.0510335896710443</v>
      </c>
      <c r="F544" s="42">
        <v>2227346.5</v>
      </c>
      <c r="G544" s="52" t="s">
        <v>4894</v>
      </c>
      <c r="H544" s="32">
        <v>27.688010649907891</v>
      </c>
      <c r="I544" s="32">
        <v>8.6130112791079547</v>
      </c>
      <c r="J544" s="12" t="s">
        <v>1804</v>
      </c>
      <c r="K544" s="12" t="s">
        <v>1804</v>
      </c>
      <c r="L544" s="14" t="s">
        <v>5234</v>
      </c>
      <c r="M544" s="12" t="s">
        <v>1805</v>
      </c>
      <c r="N544" s="15" t="s">
        <v>1806</v>
      </c>
      <c r="O544" s="12" t="s">
        <v>1807</v>
      </c>
      <c r="P544" s="12" t="s">
        <v>1808</v>
      </c>
      <c r="Q544" s="14">
        <v>2</v>
      </c>
      <c r="R544" s="21">
        <v>615.82950000000005</v>
      </c>
      <c r="S544" s="14">
        <v>2</v>
      </c>
      <c r="T544" s="52" t="s">
        <v>4894</v>
      </c>
      <c r="U544" s="53">
        <v>70.686742857142846</v>
      </c>
      <c r="V544" s="42">
        <v>1385777</v>
      </c>
      <c r="W544" s="42">
        <v>1383728</v>
      </c>
      <c r="X544" s="42">
        <v>1931275</v>
      </c>
      <c r="Y544" s="42">
        <v>1861842</v>
      </c>
      <c r="Z544" s="42">
        <v>1406859</v>
      </c>
      <c r="AA544" s="42">
        <v>1360427</v>
      </c>
      <c r="AB544" s="42">
        <v>2091694</v>
      </c>
      <c r="AC544" s="42">
        <v>2362999</v>
      </c>
      <c r="AD544" s="42">
        <v>1640655.5</v>
      </c>
      <c r="AE544" s="42">
        <v>1805494.75</v>
      </c>
      <c r="AF544" s="42">
        <v>1384752.5</v>
      </c>
      <c r="AG544" s="42">
        <v>1896558.5</v>
      </c>
      <c r="AH544" s="42">
        <v>1383643</v>
      </c>
      <c r="AI544" s="42">
        <v>2227346.5</v>
      </c>
      <c r="AJ544" s="32">
        <v>18.093315778302888</v>
      </c>
      <c r="AK544" s="32">
        <v>27.688010649907891</v>
      </c>
      <c r="AL544" s="32">
        <v>0.10462965726014113</v>
      </c>
      <c r="AM544" s="32">
        <v>2.588717676682557</v>
      </c>
      <c r="AN544" s="32">
        <v>2.3728940242572527</v>
      </c>
      <c r="AO544" s="32">
        <v>8.6130112791079547</v>
      </c>
      <c r="AP544" s="19">
        <v>1.1004715798045355</v>
      </c>
      <c r="AQ544" s="19">
        <v>0.99919877378809574</v>
      </c>
      <c r="AR544" s="19">
        <v>1.1744148677723361</v>
      </c>
      <c r="AS544" s="19">
        <v>0.13812188743347117</v>
      </c>
      <c r="AT544" s="19">
        <v>-1.1563884087847089E-3</v>
      </c>
      <c r="AU544" s="19">
        <v>0.2319421375356267</v>
      </c>
      <c r="AV544" s="19">
        <v>-5.9567665252629382E-2</v>
      </c>
      <c r="AW544" s="19">
        <v>-6.8980605391934416E-2</v>
      </c>
      <c r="AX544" s="19">
        <v>-7.1808776700166221E-2</v>
      </c>
      <c r="AY544" s="19">
        <v>1.1004715798045355</v>
      </c>
      <c r="AZ544" s="19">
        <v>-1.0008018686901172</v>
      </c>
      <c r="BA544" s="19">
        <v>1.1744148677723361</v>
      </c>
      <c r="BB544" s="19">
        <v>-1.0421534102505912</v>
      </c>
      <c r="BC544" s="19">
        <v>-1.0489752257727307</v>
      </c>
      <c r="BD544" s="19">
        <v>-1.0510335896710443</v>
      </c>
      <c r="BE544" s="14" t="s">
        <v>4857</v>
      </c>
    </row>
    <row r="545" spans="1:105" s="30" customFormat="1" ht="17.100000000000001" customHeight="1">
      <c r="A545" s="14">
        <v>534</v>
      </c>
      <c r="B545" s="14" t="s">
        <v>1809</v>
      </c>
      <c r="C545" s="32">
        <v>1.3226945003297235</v>
      </c>
      <c r="D545" s="32">
        <v>1.2687178077153083</v>
      </c>
      <c r="E545" s="32">
        <v>1.3397423354281173</v>
      </c>
      <c r="F545" s="24">
        <v>234000</v>
      </c>
      <c r="G545" s="52" t="s">
        <v>2</v>
      </c>
      <c r="H545" s="32">
        <v>43.064995359416564</v>
      </c>
      <c r="I545" s="32">
        <v>42.305533917143869</v>
      </c>
      <c r="J545" s="12" t="s">
        <v>1810</v>
      </c>
      <c r="K545" s="12" t="s">
        <v>1811</v>
      </c>
      <c r="L545" s="14" t="s">
        <v>1812</v>
      </c>
      <c r="M545" s="12" t="s">
        <v>1813</v>
      </c>
      <c r="N545" s="15" t="s">
        <v>1814</v>
      </c>
      <c r="O545" s="12" t="s">
        <v>1815</v>
      </c>
      <c r="P545" s="12" t="s">
        <v>1816</v>
      </c>
      <c r="Q545" s="14">
        <v>4</v>
      </c>
      <c r="R545" s="21">
        <v>913.24540000000002</v>
      </c>
      <c r="S545" s="14">
        <v>1</v>
      </c>
      <c r="T545" s="52" t="s">
        <v>2</v>
      </c>
      <c r="U545" s="53">
        <v>95</v>
      </c>
      <c r="V545" s="24">
        <v>108000</v>
      </c>
      <c r="W545" s="24">
        <v>98800</v>
      </c>
      <c r="X545" s="24">
        <v>122000</v>
      </c>
      <c r="Y545" s="24">
        <v>161000</v>
      </c>
      <c r="Z545" s="24">
        <v>131000</v>
      </c>
      <c r="AA545" s="24">
        <v>144000</v>
      </c>
      <c r="AB545" s="24">
        <v>164000</v>
      </c>
      <c r="AC545" s="24">
        <v>304000</v>
      </c>
      <c r="AD545" s="24">
        <v>122450</v>
      </c>
      <c r="AE545" s="24">
        <v>185750</v>
      </c>
      <c r="AF545" s="24">
        <v>103400</v>
      </c>
      <c r="AG545" s="24">
        <v>141500</v>
      </c>
      <c r="AH545" s="24">
        <v>137500</v>
      </c>
      <c r="AI545" s="24">
        <v>234000</v>
      </c>
      <c r="AJ545" s="32">
        <v>22.387157810842751</v>
      </c>
      <c r="AK545" s="32">
        <v>43.064995359416564</v>
      </c>
      <c r="AL545" s="32">
        <v>6.2914723277719897</v>
      </c>
      <c r="AM545" s="32">
        <v>19.48916216697905</v>
      </c>
      <c r="AN545" s="32">
        <v>6.6853732039455407</v>
      </c>
      <c r="AO545" s="32">
        <v>42.305533917143869</v>
      </c>
      <c r="AP545" s="19">
        <v>1.5169456921192324</v>
      </c>
      <c r="AQ545" s="19">
        <v>1.3297872340425532</v>
      </c>
      <c r="AR545" s="19">
        <v>1.6537102473498233</v>
      </c>
      <c r="AS545" s="19">
        <v>0.60116943686198043</v>
      </c>
      <c r="AT545" s="19">
        <v>0.4111954329844496</v>
      </c>
      <c r="AU545" s="19">
        <v>0.72570647675152211</v>
      </c>
      <c r="AV545" s="19">
        <v>0.40347988417587988</v>
      </c>
      <c r="AW545" s="19">
        <v>0.34337121600129988</v>
      </c>
      <c r="AX545" s="19">
        <v>0.42195556251572919</v>
      </c>
      <c r="AY545" s="19">
        <v>1.5169456921192324</v>
      </c>
      <c r="AZ545" s="19">
        <v>1.3297872340425532</v>
      </c>
      <c r="BA545" s="19">
        <v>1.6537102473498233</v>
      </c>
      <c r="BB545" s="19">
        <v>1.3226945003297235</v>
      </c>
      <c r="BC545" s="19">
        <v>1.2687178077153083</v>
      </c>
      <c r="BD545" s="19">
        <v>1.3397423354281173</v>
      </c>
      <c r="BE545" s="14" t="s">
        <v>4857</v>
      </c>
    </row>
    <row r="546" spans="1:105" s="30" customFormat="1" ht="17.100000000000001" customHeight="1">
      <c r="A546" s="14">
        <v>535</v>
      </c>
      <c r="B546" s="14" t="s">
        <v>1817</v>
      </c>
      <c r="C546" s="32">
        <v>1.3604939499793163</v>
      </c>
      <c r="D546" s="32">
        <v>1.8968466198340193</v>
      </c>
      <c r="E546" s="32">
        <v>-1.042592302002175</v>
      </c>
      <c r="F546" s="42">
        <v>682565</v>
      </c>
      <c r="G546" s="52" t="s">
        <v>4894</v>
      </c>
      <c r="H546" s="32">
        <v>24.006024487178067</v>
      </c>
      <c r="I546" s="32">
        <v>17.783358891000095</v>
      </c>
      <c r="J546" s="12" t="s">
        <v>1818</v>
      </c>
      <c r="K546" s="15" t="s">
        <v>1819</v>
      </c>
      <c r="L546" s="14" t="s">
        <v>3990</v>
      </c>
      <c r="M546" s="12" t="s">
        <v>1820</v>
      </c>
      <c r="N546" s="15" t="s">
        <v>1695</v>
      </c>
      <c r="O546" s="12" t="s">
        <v>1696</v>
      </c>
      <c r="P546" s="12" t="s">
        <v>1697</v>
      </c>
      <c r="Q546" s="14">
        <v>2</v>
      </c>
      <c r="R546" s="21">
        <v>415.73450000000003</v>
      </c>
      <c r="S546" s="14">
        <v>1</v>
      </c>
      <c r="T546" s="52" t="s">
        <v>4894</v>
      </c>
      <c r="U546" s="53">
        <v>24.6950875</v>
      </c>
      <c r="V546" s="42">
        <v>347647</v>
      </c>
      <c r="W546" s="42">
        <v>338986</v>
      </c>
      <c r="X546" s="42">
        <v>431869</v>
      </c>
      <c r="Y546" s="42">
        <v>348684</v>
      </c>
      <c r="Z546" s="42">
        <v>707585</v>
      </c>
      <c r="AA546" s="42">
        <v>657545</v>
      </c>
      <c r="AB546" s="42">
        <v>520160</v>
      </c>
      <c r="AC546" s="42">
        <v>403955</v>
      </c>
      <c r="AD546" s="42">
        <v>366796.5</v>
      </c>
      <c r="AE546" s="42">
        <v>572311.25</v>
      </c>
      <c r="AF546" s="42">
        <v>343316.5</v>
      </c>
      <c r="AG546" s="42">
        <v>390276.5</v>
      </c>
      <c r="AH546" s="42">
        <v>682565</v>
      </c>
      <c r="AI546" s="42">
        <v>462057.5</v>
      </c>
      <c r="AJ546" s="32">
        <v>11.88642933239813</v>
      </c>
      <c r="AK546" s="32">
        <v>24.006024487178067</v>
      </c>
      <c r="AL546" s="32">
        <v>1.7838501300859959</v>
      </c>
      <c r="AM546" s="32">
        <v>15.07153968865739</v>
      </c>
      <c r="AN546" s="32">
        <v>5.183919968145867</v>
      </c>
      <c r="AO546" s="32">
        <v>17.783358891000095</v>
      </c>
      <c r="AP546" s="19">
        <v>1.5602963768738252</v>
      </c>
      <c r="AQ546" s="19">
        <v>1.988150875358452</v>
      </c>
      <c r="AR546" s="19">
        <v>1.1839234491443886</v>
      </c>
      <c r="AS546" s="19">
        <v>0.64182009372481685</v>
      </c>
      <c r="AT546" s="19">
        <v>0.99142724325439391</v>
      </c>
      <c r="AU546" s="19">
        <v>0.24357580131304227</v>
      </c>
      <c r="AV546" s="19">
        <v>0.4441305410387163</v>
      </c>
      <c r="AW546" s="19">
        <v>0.92360302627124424</v>
      </c>
      <c r="AX546" s="19">
        <v>-6.0175112922750656E-2</v>
      </c>
      <c r="AY546" s="19">
        <v>1.5602963768738252</v>
      </c>
      <c r="AZ546" s="19">
        <v>1.988150875358452</v>
      </c>
      <c r="BA546" s="19">
        <v>1.1839234491443886</v>
      </c>
      <c r="BB546" s="19">
        <v>1.3604939499793163</v>
      </c>
      <c r="BC546" s="19">
        <v>1.8968466198340193</v>
      </c>
      <c r="BD546" s="19">
        <v>-1.042592302002175</v>
      </c>
      <c r="BE546" s="14" t="s">
        <v>4857</v>
      </c>
    </row>
    <row r="547" spans="1:105" s="30" customFormat="1" ht="17.100000000000001" customHeight="1">
      <c r="A547" s="14">
        <v>536</v>
      </c>
      <c r="B547" s="14" t="s">
        <v>1698</v>
      </c>
      <c r="C547" s="32">
        <v>1.0876897495715145</v>
      </c>
      <c r="D547" s="32">
        <v>1.1749773287218581</v>
      </c>
      <c r="E547" s="32">
        <v>1.021996599091034</v>
      </c>
      <c r="F547" s="24">
        <v>24844</v>
      </c>
      <c r="G547" s="52" t="s">
        <v>2</v>
      </c>
      <c r="H547" s="32">
        <v>19.735560778018783</v>
      </c>
      <c r="I547" s="32">
        <v>31.190996894974106</v>
      </c>
      <c r="J547" s="12" t="s">
        <v>1818</v>
      </c>
      <c r="K547" s="15" t="s">
        <v>1819</v>
      </c>
      <c r="L547" s="14" t="s">
        <v>5211</v>
      </c>
      <c r="M547" s="12" t="s">
        <v>1820</v>
      </c>
      <c r="N547" s="15" t="s">
        <v>1695</v>
      </c>
      <c r="O547" s="12" t="s">
        <v>1696</v>
      </c>
      <c r="P547" s="12" t="s">
        <v>1699</v>
      </c>
      <c r="Q547" s="14">
        <v>2</v>
      </c>
      <c r="R547" s="21">
        <v>636.279</v>
      </c>
      <c r="S547" s="14">
        <v>1</v>
      </c>
      <c r="T547" s="52" t="s">
        <v>2</v>
      </c>
      <c r="U547" s="53">
        <v>38.423187499999997</v>
      </c>
      <c r="V547" s="24">
        <v>17357</v>
      </c>
      <c r="W547" s="24">
        <v>17519</v>
      </c>
      <c r="X547" s="24">
        <v>17884</v>
      </c>
      <c r="Y547" s="24">
        <v>21504</v>
      </c>
      <c r="Z547" s="24">
        <v>26212</v>
      </c>
      <c r="AA547" s="24">
        <v>16739</v>
      </c>
      <c r="AB547" s="24">
        <v>26641</v>
      </c>
      <c r="AC547" s="24">
        <v>23047</v>
      </c>
      <c r="AD547" s="24">
        <v>18566</v>
      </c>
      <c r="AE547" s="24">
        <v>23159.75</v>
      </c>
      <c r="AF547" s="24">
        <v>17438</v>
      </c>
      <c r="AG547" s="24">
        <v>19694</v>
      </c>
      <c r="AH547" s="24">
        <v>21475.5</v>
      </c>
      <c r="AI547" s="24">
        <v>24844</v>
      </c>
      <c r="AJ547" s="32">
        <v>10.616332689920354</v>
      </c>
      <c r="AK547" s="32">
        <v>19.735560778018783</v>
      </c>
      <c r="AL547" s="32">
        <v>0.65690617359915526</v>
      </c>
      <c r="AM547" s="32">
        <v>12.9974944038555</v>
      </c>
      <c r="AN547" s="32">
        <v>31.190996894974106</v>
      </c>
      <c r="AO547" s="32">
        <v>10.22919727734846</v>
      </c>
      <c r="AP547" s="19">
        <v>1.2474280943660454</v>
      </c>
      <c r="AQ547" s="19">
        <v>1.2315345796536301</v>
      </c>
      <c r="AR547" s="19">
        <v>1.2615009647608408</v>
      </c>
      <c r="AS547" s="19">
        <v>0.31895665653139482</v>
      </c>
      <c r="AT547" s="19">
        <v>0.30045713712994132</v>
      </c>
      <c r="AU547" s="19">
        <v>0.33514130964766448</v>
      </c>
      <c r="AV547" s="19">
        <v>0.12126710384529427</v>
      </c>
      <c r="AW547" s="19">
        <v>0.2326329201467916</v>
      </c>
      <c r="AX547" s="19">
        <v>3.1390395411871552E-2</v>
      </c>
      <c r="AY547" s="19">
        <v>1.2474280943660454</v>
      </c>
      <c r="AZ547" s="19">
        <v>1.2315345796536301</v>
      </c>
      <c r="BA547" s="19">
        <v>1.2615009647608408</v>
      </c>
      <c r="BB547" s="19">
        <v>1.0876897495715145</v>
      </c>
      <c r="BC547" s="19">
        <v>1.1749773287218581</v>
      </c>
      <c r="BD547" s="19">
        <v>1.021996599091034</v>
      </c>
      <c r="BE547" s="14" t="s">
        <v>4857</v>
      </c>
    </row>
    <row r="548" spans="1:105" s="30" customFormat="1" ht="17.100000000000001" customHeight="1">
      <c r="A548" s="14">
        <v>537</v>
      </c>
      <c r="B548" s="14" t="s">
        <v>1700</v>
      </c>
      <c r="C548" s="32">
        <v>1.0310293879641583</v>
      </c>
      <c r="D548" s="32">
        <v>1.1417480559695525</v>
      </c>
      <c r="E548" s="32">
        <v>-1.0551715868060638</v>
      </c>
      <c r="F548" s="24">
        <v>106183</v>
      </c>
      <c r="G548" s="52" t="s">
        <v>2</v>
      </c>
      <c r="H548" s="32">
        <v>15.713480769179212</v>
      </c>
      <c r="I548" s="32">
        <v>23.7761340691277</v>
      </c>
      <c r="J548" s="12" t="s">
        <v>1701</v>
      </c>
      <c r="K548" s="12" t="s">
        <v>1702</v>
      </c>
      <c r="L548" s="14" t="s">
        <v>5230</v>
      </c>
      <c r="M548" s="12" t="s">
        <v>1703</v>
      </c>
      <c r="N548" s="15" t="s">
        <v>1704</v>
      </c>
      <c r="O548" s="12" t="s">
        <v>1705</v>
      </c>
      <c r="P548" s="12" t="s">
        <v>1706</v>
      </c>
      <c r="Q548" s="14">
        <v>2</v>
      </c>
      <c r="R548" s="21">
        <v>581.827</v>
      </c>
      <c r="S548" s="14">
        <v>5</v>
      </c>
      <c r="T548" s="52" t="s">
        <v>2</v>
      </c>
      <c r="U548" s="53">
        <v>42.797687499999995</v>
      </c>
      <c r="V548" s="24">
        <v>74429</v>
      </c>
      <c r="W548" s="24">
        <v>86461</v>
      </c>
      <c r="X548" s="24">
        <v>92969</v>
      </c>
      <c r="Y548" s="24">
        <v>88570</v>
      </c>
      <c r="Z548" s="24">
        <v>112454</v>
      </c>
      <c r="AA548" s="24">
        <v>80084</v>
      </c>
      <c r="AB548" s="24">
        <v>114454</v>
      </c>
      <c r="AC548" s="24">
        <v>97912</v>
      </c>
      <c r="AD548" s="24">
        <v>85607.25</v>
      </c>
      <c r="AE548" s="24">
        <v>101226</v>
      </c>
      <c r="AF548" s="24">
        <v>80445</v>
      </c>
      <c r="AG548" s="24">
        <v>90769.5</v>
      </c>
      <c r="AH548" s="24">
        <v>96269</v>
      </c>
      <c r="AI548" s="24">
        <v>106183</v>
      </c>
      <c r="AJ548" s="32">
        <v>9.2632516288275575</v>
      </c>
      <c r="AK548" s="32">
        <v>15.713480769179212</v>
      </c>
      <c r="AL548" s="32">
        <v>10.576056673797675</v>
      </c>
      <c r="AM548" s="32">
        <v>3.4268809792271884</v>
      </c>
      <c r="AN548" s="32">
        <v>23.7761340691277</v>
      </c>
      <c r="AO548" s="32">
        <v>11.015850347407653</v>
      </c>
      <c r="AP548" s="19">
        <v>1.1824465801669835</v>
      </c>
      <c r="AQ548" s="19">
        <v>1.1967058238548076</v>
      </c>
      <c r="AR548" s="19">
        <v>1.1698092420912312</v>
      </c>
      <c r="AS548" s="19">
        <v>0.24177500786147491</v>
      </c>
      <c r="AT548" s="19">
        <v>0.25906855025494696</v>
      </c>
      <c r="AU548" s="19">
        <v>0.22627329226482354</v>
      </c>
      <c r="AV548" s="19">
        <v>4.408545517537435E-2</v>
      </c>
      <c r="AW548" s="19">
        <v>0.19124433327179724</v>
      </c>
      <c r="AX548" s="19">
        <v>-7.7477621970969385E-2</v>
      </c>
      <c r="AY548" s="19">
        <v>1.1824465801669835</v>
      </c>
      <c r="AZ548" s="19">
        <v>1.1967058238548076</v>
      </c>
      <c r="BA548" s="19">
        <v>1.1698092420912312</v>
      </c>
      <c r="BB548" s="19">
        <v>1.0310293879641583</v>
      </c>
      <c r="BC548" s="19">
        <v>1.1417480559695525</v>
      </c>
      <c r="BD548" s="19">
        <v>-1.0551715868060638</v>
      </c>
      <c r="BE548" s="14" t="s">
        <v>4857</v>
      </c>
    </row>
    <row r="549" spans="1:105" s="30" customFormat="1" ht="17.100000000000001" customHeight="1">
      <c r="A549" s="14">
        <v>538</v>
      </c>
      <c r="B549" s="14" t="s">
        <v>4542</v>
      </c>
      <c r="C549" s="32">
        <v>-1.5420596482872575</v>
      </c>
      <c r="D549" s="32">
        <v>-1.3142943878462674</v>
      </c>
      <c r="E549" s="32">
        <v>-1.7395956214152875</v>
      </c>
      <c r="F549" s="24">
        <v>81292.5</v>
      </c>
      <c r="G549" s="52" t="s">
        <v>2</v>
      </c>
      <c r="H549" s="32">
        <v>48.018151527463687</v>
      </c>
      <c r="I549" s="32">
        <v>56.811225143324386</v>
      </c>
      <c r="J549" s="12" t="s">
        <v>1707</v>
      </c>
      <c r="K549" s="12" t="s">
        <v>1708</v>
      </c>
      <c r="L549" s="14" t="s">
        <v>4841</v>
      </c>
      <c r="M549" s="12" t="s">
        <v>1709</v>
      </c>
      <c r="N549" s="15" t="s">
        <v>1710</v>
      </c>
      <c r="O549" s="12" t="s">
        <v>1711</v>
      </c>
      <c r="P549" s="12" t="s">
        <v>1712</v>
      </c>
      <c r="Q549" s="14">
        <v>3</v>
      </c>
      <c r="R549" s="21">
        <v>564.93849999999998</v>
      </c>
      <c r="S549" s="14">
        <v>4</v>
      </c>
      <c r="T549" s="52" t="s">
        <v>2</v>
      </c>
      <c r="U549" s="53">
        <v>37.548412499999998</v>
      </c>
      <c r="V549" s="24">
        <v>56341</v>
      </c>
      <c r="W549" s="24">
        <v>46947</v>
      </c>
      <c r="X549" s="24">
        <v>113949</v>
      </c>
      <c r="Y549" s="24">
        <v>48636</v>
      </c>
      <c r="Z549" s="24">
        <v>41388</v>
      </c>
      <c r="AA549" s="24">
        <v>40983</v>
      </c>
      <c r="AB549" s="24">
        <v>58829</v>
      </c>
      <c r="AC549" s="24">
        <v>56535</v>
      </c>
      <c r="AD549" s="24">
        <v>66468.25</v>
      </c>
      <c r="AE549" s="24">
        <v>49433.75</v>
      </c>
      <c r="AF549" s="24">
        <v>51644</v>
      </c>
      <c r="AG549" s="24">
        <v>81292.5</v>
      </c>
      <c r="AH549" s="24">
        <v>41185.5</v>
      </c>
      <c r="AI549" s="24">
        <v>57682</v>
      </c>
      <c r="AJ549" s="32">
        <v>48.018151527463687</v>
      </c>
      <c r="AK549" s="32">
        <v>19.362521055106154</v>
      </c>
      <c r="AL549" s="32">
        <v>12.862212652905328</v>
      </c>
      <c r="AM549" s="32">
        <v>56.811225143324386</v>
      </c>
      <c r="AN549" s="32">
        <v>0.69533754933302194</v>
      </c>
      <c r="AO549" s="32">
        <v>2.8121475608368987</v>
      </c>
      <c r="AP549" s="19">
        <v>0.74371974589371614</v>
      </c>
      <c r="AQ549" s="19">
        <v>0.79748857563318098</v>
      </c>
      <c r="AR549" s="19">
        <v>0.70956115262785624</v>
      </c>
      <c r="AS549" s="19">
        <v>-0.42716901841890415</v>
      </c>
      <c r="AT549" s="19">
        <v>-0.32646424308873873</v>
      </c>
      <c r="AU549" s="19">
        <v>-0.49500106840129043</v>
      </c>
      <c r="AV549" s="19">
        <v>-0.62485857110500476</v>
      </c>
      <c r="AW549" s="19">
        <v>-0.39428846007188845</v>
      </c>
      <c r="AX549" s="19">
        <v>-0.79875198263708336</v>
      </c>
      <c r="AY549" s="19">
        <v>-1.3445925101777632</v>
      </c>
      <c r="AZ549" s="19">
        <v>-1.2539364582195189</v>
      </c>
      <c r="BA549" s="19">
        <v>-1.4093217988280573</v>
      </c>
      <c r="BB549" s="19">
        <v>-1.5420596482872575</v>
      </c>
      <c r="BC549" s="19">
        <v>-1.3142943878462674</v>
      </c>
      <c r="BD549" s="19">
        <v>-1.7395956214152875</v>
      </c>
      <c r="BE549" s="14" t="s">
        <v>4857</v>
      </c>
    </row>
    <row r="550" spans="1:105" s="30" customFormat="1" ht="17.100000000000001" customHeight="1">
      <c r="A550" s="14">
        <v>539</v>
      </c>
      <c r="B550" s="14" t="s">
        <v>1713</v>
      </c>
      <c r="C550" s="32">
        <v>-1.467923876342641</v>
      </c>
      <c r="D550" s="32">
        <v>-1.0281148248234577</v>
      </c>
      <c r="E550" s="32">
        <v>-2.1397503891473906</v>
      </c>
      <c r="F550" s="42">
        <v>231223.5</v>
      </c>
      <c r="G550" s="52" t="s">
        <v>4894</v>
      </c>
      <c r="H550" s="32">
        <v>24.52526601278155</v>
      </c>
      <c r="I550" s="32">
        <v>15.579340472638689</v>
      </c>
      <c r="J550" s="12" t="s">
        <v>1714</v>
      </c>
      <c r="K550" s="12" t="s">
        <v>1715</v>
      </c>
      <c r="L550" s="14" t="s">
        <v>4951</v>
      </c>
      <c r="M550" s="12" t="s">
        <v>1716</v>
      </c>
      <c r="N550" s="15" t="s">
        <v>1717</v>
      </c>
      <c r="O550" s="12" t="s">
        <v>1718</v>
      </c>
      <c r="P550" s="12" t="s">
        <v>1719</v>
      </c>
      <c r="Q550" s="14">
        <v>2</v>
      </c>
      <c r="R550" s="21">
        <v>548.25130000000001</v>
      </c>
      <c r="S550" s="14">
        <v>1</v>
      </c>
      <c r="T550" s="52" t="s">
        <v>4894</v>
      </c>
      <c r="U550" s="53">
        <v>24.225950000000001</v>
      </c>
      <c r="V550" s="42">
        <v>220294</v>
      </c>
      <c r="W550" s="42">
        <v>176574</v>
      </c>
      <c r="X550" s="42">
        <v>247381</v>
      </c>
      <c r="Y550" s="42">
        <v>215066</v>
      </c>
      <c r="Z550" s="42">
        <v>213958</v>
      </c>
      <c r="AA550" s="42">
        <v>190638</v>
      </c>
      <c r="AB550" s="42">
        <v>127799</v>
      </c>
      <c r="AC550" s="42">
        <v>138971</v>
      </c>
      <c r="AD550" s="42">
        <v>214828.75</v>
      </c>
      <c r="AE550" s="42">
        <v>167841.5</v>
      </c>
      <c r="AF550" s="42">
        <v>198434</v>
      </c>
      <c r="AG550" s="42">
        <v>231223.5</v>
      </c>
      <c r="AH550" s="42">
        <v>202298</v>
      </c>
      <c r="AI550" s="42">
        <v>133385</v>
      </c>
      <c r="AJ550" s="32">
        <v>13.579143849662707</v>
      </c>
      <c r="AK550" s="32">
        <v>24.52526601278155</v>
      </c>
      <c r="AL550" s="32">
        <v>15.579340472638689</v>
      </c>
      <c r="AM550" s="32">
        <v>9.8822808382553173</v>
      </c>
      <c r="AN550" s="32">
        <v>8.1512076922511785</v>
      </c>
      <c r="AO550" s="32">
        <v>5.9225527303790599</v>
      </c>
      <c r="AP550" s="19">
        <v>0.78128043848879636</v>
      </c>
      <c r="AQ550" s="19">
        <v>1.0194724694356814</v>
      </c>
      <c r="AR550" s="19">
        <v>0.57686610573752239</v>
      </c>
      <c r="AS550" s="19">
        <v>-0.35608760209548468</v>
      </c>
      <c r="AT550" s="19">
        <v>2.7822816310958717E-2</v>
      </c>
      <c r="AU550" s="19">
        <v>-0.79369159578189008</v>
      </c>
      <c r="AV550" s="19">
        <v>-0.55377715478158529</v>
      </c>
      <c r="AW550" s="19">
        <v>-4.000140067219099E-2</v>
      </c>
      <c r="AX550" s="19">
        <v>-1.097442510017683</v>
      </c>
      <c r="AY550" s="19">
        <v>-1.2799501315228949</v>
      </c>
      <c r="AZ550" s="19">
        <v>1.0194724694356814</v>
      </c>
      <c r="BA550" s="19">
        <v>-1.7335045169996626</v>
      </c>
      <c r="BB550" s="19">
        <v>-1.467923876342641</v>
      </c>
      <c r="BC550" s="19">
        <v>-1.0281148248234577</v>
      </c>
      <c r="BD550" s="19">
        <v>-2.1397503891473906</v>
      </c>
      <c r="BE550" s="14" t="s">
        <v>4857</v>
      </c>
    </row>
    <row r="551" spans="1:105" s="30" customFormat="1" ht="17.100000000000001" customHeight="1">
      <c r="A551" s="14">
        <v>540</v>
      </c>
      <c r="B551" s="14" t="s">
        <v>1720</v>
      </c>
      <c r="C551" s="32">
        <v>-1.6391805472744145</v>
      </c>
      <c r="D551" s="32">
        <v>-1.519844034653125</v>
      </c>
      <c r="E551" s="32">
        <v>-1.742638554531162</v>
      </c>
      <c r="F551" s="24">
        <v>214085.5</v>
      </c>
      <c r="G551" s="52" t="s">
        <v>2</v>
      </c>
      <c r="H551" s="32">
        <v>26.641702451198785</v>
      </c>
      <c r="I551" s="32">
        <v>37.691626784283869</v>
      </c>
      <c r="J551" s="12" t="s">
        <v>1714</v>
      </c>
      <c r="K551" s="12" t="s">
        <v>1715</v>
      </c>
      <c r="L551" s="14" t="s">
        <v>4971</v>
      </c>
      <c r="M551" s="12" t="s">
        <v>1716</v>
      </c>
      <c r="N551" s="15" t="s">
        <v>1717</v>
      </c>
      <c r="O551" s="12" t="s">
        <v>1718</v>
      </c>
      <c r="P551" s="12" t="s">
        <v>1721</v>
      </c>
      <c r="Q551" s="14">
        <v>2</v>
      </c>
      <c r="R551" s="21">
        <v>612.29880000000003</v>
      </c>
      <c r="S551" s="14">
        <v>10</v>
      </c>
      <c r="T551" s="52" t="s">
        <v>2</v>
      </c>
      <c r="U551" s="53">
        <v>22.050049999999999</v>
      </c>
      <c r="V551" s="24">
        <v>170858</v>
      </c>
      <c r="W551" s="24">
        <v>199465</v>
      </c>
      <c r="X551" s="24">
        <v>227281</v>
      </c>
      <c r="Y551" s="24">
        <v>200890</v>
      </c>
      <c r="Z551" s="24">
        <v>140211</v>
      </c>
      <c r="AA551" s="24">
        <v>115176</v>
      </c>
      <c r="AB551" s="24">
        <v>192057</v>
      </c>
      <c r="AC551" s="24">
        <v>111226</v>
      </c>
      <c r="AD551" s="24">
        <v>199623.5</v>
      </c>
      <c r="AE551" s="24">
        <v>139667.5</v>
      </c>
      <c r="AF551" s="24">
        <v>185161.5</v>
      </c>
      <c r="AG551" s="24">
        <v>214085.5</v>
      </c>
      <c r="AH551" s="24">
        <v>127693.5</v>
      </c>
      <c r="AI551" s="24">
        <v>151641.5</v>
      </c>
      <c r="AJ551" s="32">
        <v>11.54714581363328</v>
      </c>
      <c r="AK551" s="32">
        <v>26.641702451198785</v>
      </c>
      <c r="AL551" s="32">
        <v>10.92462725210347</v>
      </c>
      <c r="AM551" s="32">
        <v>8.7167300271593238</v>
      </c>
      <c r="AN551" s="32">
        <v>13.863210161053788</v>
      </c>
      <c r="AO551" s="32">
        <v>37.691626784283869</v>
      </c>
      <c r="AP551" s="19">
        <v>0.69965459978409361</v>
      </c>
      <c r="AQ551" s="19">
        <v>0.68963310407401102</v>
      </c>
      <c r="AR551" s="19">
        <v>0.70832214232164248</v>
      </c>
      <c r="AS551" s="19">
        <v>-0.51528521591353371</v>
      </c>
      <c r="AT551" s="19">
        <v>-0.53609906591117173</v>
      </c>
      <c r="AU551" s="19">
        <v>-0.49752245289850155</v>
      </c>
      <c r="AV551" s="19">
        <v>-0.71297476859963427</v>
      </c>
      <c r="AW551" s="19">
        <v>-0.6039232828943214</v>
      </c>
      <c r="AX551" s="19">
        <v>-0.80127336713429442</v>
      </c>
      <c r="AY551" s="19">
        <v>-1.4292766749601731</v>
      </c>
      <c r="AZ551" s="19">
        <v>-1.4500464001691551</v>
      </c>
      <c r="BA551" s="19">
        <v>-1.4117870108116841</v>
      </c>
      <c r="BB551" s="19">
        <v>-1.6391805472744145</v>
      </c>
      <c r="BC551" s="19">
        <v>-1.519844034653125</v>
      </c>
      <c r="BD551" s="19">
        <v>-1.742638554531162</v>
      </c>
      <c r="BE551" s="14" t="s">
        <v>4857</v>
      </c>
    </row>
    <row r="552" spans="1:105" s="30" customFormat="1" ht="17.100000000000001" customHeight="1">
      <c r="A552" s="14">
        <v>541</v>
      </c>
      <c r="B552" s="14" t="s">
        <v>1723</v>
      </c>
      <c r="C552" s="32">
        <v>-1.015153708738733</v>
      </c>
      <c r="D552" s="32">
        <v>-1.0566007291462485</v>
      </c>
      <c r="E552" s="32">
        <v>-1.0024117984077996</v>
      </c>
      <c r="F552" s="24">
        <v>73942.5</v>
      </c>
      <c r="G552" s="52" t="s">
        <v>2</v>
      </c>
      <c r="H552" s="32">
        <v>30.090010764045992</v>
      </c>
      <c r="I552" s="32">
        <v>14.994505701027558</v>
      </c>
      <c r="J552" s="12" t="s">
        <v>1714</v>
      </c>
      <c r="K552" s="12" t="s">
        <v>1715</v>
      </c>
      <c r="L552" s="14" t="s">
        <v>5229</v>
      </c>
      <c r="M552" s="12" t="s">
        <v>1716</v>
      </c>
      <c r="N552" s="15" t="s">
        <v>1717</v>
      </c>
      <c r="O552" s="12" t="s">
        <v>1718</v>
      </c>
      <c r="P552" s="12" t="s">
        <v>1724</v>
      </c>
      <c r="Q552" s="14">
        <v>2</v>
      </c>
      <c r="R552" s="21">
        <v>522.31399999999996</v>
      </c>
      <c r="S552" s="14">
        <v>2</v>
      </c>
      <c r="T552" s="52" t="s">
        <v>2</v>
      </c>
      <c r="U552" s="53">
        <v>44.217775000000003</v>
      </c>
      <c r="V552" s="24">
        <v>47310</v>
      </c>
      <c r="W552" s="24">
        <v>41302</v>
      </c>
      <c r="X552" s="24">
        <v>54287</v>
      </c>
      <c r="Y552" s="24">
        <v>65810</v>
      </c>
      <c r="Z552" s="24">
        <v>39291</v>
      </c>
      <c r="AA552" s="24">
        <v>48611</v>
      </c>
      <c r="AB552" s="24">
        <v>73275</v>
      </c>
      <c r="AC552" s="24">
        <v>74610</v>
      </c>
      <c r="AD552" s="24">
        <v>52177.25</v>
      </c>
      <c r="AE552" s="24">
        <v>58946.75</v>
      </c>
      <c r="AF552" s="24">
        <v>44306</v>
      </c>
      <c r="AG552" s="24">
        <v>60048.5</v>
      </c>
      <c r="AH552" s="24">
        <v>43951</v>
      </c>
      <c r="AI552" s="24">
        <v>73942.5</v>
      </c>
      <c r="AJ552" s="32">
        <v>20.169721353359289</v>
      </c>
      <c r="AK552" s="32">
        <v>30.090010764045992</v>
      </c>
      <c r="AL552" s="32">
        <v>9.5885377632121536</v>
      </c>
      <c r="AM552" s="32">
        <v>13.569017443587411</v>
      </c>
      <c r="AN552" s="32">
        <v>14.994505701027558</v>
      </c>
      <c r="AO552" s="32">
        <v>1.2766508474612583</v>
      </c>
      <c r="AP552" s="19">
        <v>1.1297404520169232</v>
      </c>
      <c r="AQ552" s="19">
        <v>0.99198754119080934</v>
      </c>
      <c r="AR552" s="19">
        <v>1.2313796347952073</v>
      </c>
      <c r="AS552" s="19">
        <v>0.17599136414673974</v>
      </c>
      <c r="AT552" s="19">
        <v>-1.1606093604957417E-2</v>
      </c>
      <c r="AU552" s="19">
        <v>0.30027561381269269</v>
      </c>
      <c r="AV552" s="19">
        <v>-2.1698188539360813E-2</v>
      </c>
      <c r="AW552" s="19">
        <v>-7.9430310588107123E-2</v>
      </c>
      <c r="AX552" s="19">
        <v>-3.475300423100236E-3</v>
      </c>
      <c r="AY552" s="19">
        <v>1.1297404520169232</v>
      </c>
      <c r="AZ552" s="19">
        <v>-1.0080771768560444</v>
      </c>
      <c r="BA552" s="19">
        <v>1.2313796347952073</v>
      </c>
      <c r="BB552" s="19">
        <v>-1.015153708738733</v>
      </c>
      <c r="BC552" s="19">
        <v>-1.0566007291462485</v>
      </c>
      <c r="BD552" s="19">
        <v>-1.0024117984077996</v>
      </c>
      <c r="BE552" s="14" t="s">
        <v>4857</v>
      </c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28"/>
      <c r="BU552" s="28"/>
      <c r="BV552" s="28"/>
      <c r="BW552" s="28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</row>
    <row r="553" spans="1:105" s="30" customFormat="1" ht="17.100000000000001" customHeight="1">
      <c r="A553" s="14">
        <v>542</v>
      </c>
      <c r="B553" s="14" t="s">
        <v>1725</v>
      </c>
      <c r="C553" s="32">
        <v>-1.533866695406382</v>
      </c>
      <c r="D553" s="32">
        <v>-1.5912397102488522</v>
      </c>
      <c r="E553" s="32">
        <v>-1.5207814529624077</v>
      </c>
      <c r="F553" s="24">
        <v>356473</v>
      </c>
      <c r="G553" s="52" t="s">
        <v>2</v>
      </c>
      <c r="H553" s="32">
        <v>53.029571590489731</v>
      </c>
      <c r="I553" s="32">
        <v>101.12372431902479</v>
      </c>
      <c r="J553" s="12" t="s">
        <v>1714</v>
      </c>
      <c r="K553" s="12" t="s">
        <v>1715</v>
      </c>
      <c r="L553" s="14" t="s">
        <v>4989</v>
      </c>
      <c r="M553" s="12" t="s">
        <v>1716</v>
      </c>
      <c r="N553" s="15" t="s">
        <v>1717</v>
      </c>
      <c r="O553" s="12" t="s">
        <v>1718</v>
      </c>
      <c r="P553" s="12" t="s">
        <v>1726</v>
      </c>
      <c r="Q553" s="14">
        <v>2</v>
      </c>
      <c r="R553" s="21">
        <v>596.31640000000004</v>
      </c>
      <c r="S553" s="14">
        <v>4</v>
      </c>
      <c r="T553" s="52" t="s">
        <v>2</v>
      </c>
      <c r="U553" s="53">
        <v>57.113462499999997</v>
      </c>
      <c r="V553" s="24">
        <v>257473</v>
      </c>
      <c r="W553" s="24">
        <v>254898</v>
      </c>
      <c r="X553" s="24">
        <v>429552</v>
      </c>
      <c r="Y553" s="24">
        <v>283394</v>
      </c>
      <c r="Z553" s="24">
        <v>289410</v>
      </c>
      <c r="AA553" s="24">
        <v>48084</v>
      </c>
      <c r="AB553" s="24">
        <v>306606</v>
      </c>
      <c r="AC553" s="24">
        <v>272060</v>
      </c>
      <c r="AD553" s="24">
        <v>306329.25</v>
      </c>
      <c r="AE553" s="24">
        <v>229040</v>
      </c>
      <c r="AF553" s="24">
        <v>256185.5</v>
      </c>
      <c r="AG553" s="24">
        <v>356473</v>
      </c>
      <c r="AH553" s="24">
        <v>168747</v>
      </c>
      <c r="AI553" s="24">
        <v>289333</v>
      </c>
      <c r="AJ553" s="32">
        <v>27.144134238129308</v>
      </c>
      <c r="AK553" s="32">
        <v>53.029571590489731</v>
      </c>
      <c r="AL553" s="32">
        <v>0.71073497975309285</v>
      </c>
      <c r="AM553" s="32">
        <v>28.992185361770296</v>
      </c>
      <c r="AN553" s="32">
        <v>101.12372431902479</v>
      </c>
      <c r="AO553" s="32">
        <v>8.4427669373595382</v>
      </c>
      <c r="AP553" s="19">
        <v>0.74769222984745987</v>
      </c>
      <c r="AQ553" s="19">
        <v>0.65869067531144421</v>
      </c>
      <c r="AR553" s="19">
        <v>0.8116547396296494</v>
      </c>
      <c r="AS553" s="19">
        <v>-0.41948355451404451</v>
      </c>
      <c r="AT553" s="19">
        <v>-0.60232696798656282</v>
      </c>
      <c r="AU553" s="19">
        <v>-0.30106192825368233</v>
      </c>
      <c r="AV553" s="19">
        <v>-0.61717310720014507</v>
      </c>
      <c r="AW553" s="19">
        <v>-0.67015118496971249</v>
      </c>
      <c r="AX553" s="19">
        <v>-0.6048128424894752</v>
      </c>
      <c r="AY553" s="19">
        <v>-1.3374486989172196</v>
      </c>
      <c r="AZ553" s="19">
        <v>-1.5181632858658229</v>
      </c>
      <c r="BA553" s="19">
        <v>-1.2320509585840536</v>
      </c>
      <c r="BB553" s="19">
        <v>-1.533866695406382</v>
      </c>
      <c r="BC553" s="19">
        <v>-1.5912397102488522</v>
      </c>
      <c r="BD553" s="19">
        <v>-1.5207814529624077</v>
      </c>
      <c r="BE553" s="14" t="s">
        <v>4857</v>
      </c>
    </row>
    <row r="554" spans="1:105" s="30" customFormat="1" ht="17.100000000000001" customHeight="1">
      <c r="A554" s="14">
        <v>543</v>
      </c>
      <c r="B554" s="14" t="s">
        <v>1727</v>
      </c>
      <c r="C554" s="32">
        <v>-1.4690114531951717</v>
      </c>
      <c r="D554" s="32">
        <v>-1.2209383908939277</v>
      </c>
      <c r="E554" s="32">
        <v>-1.7255876317872625</v>
      </c>
      <c r="F554" s="24">
        <v>411732.5</v>
      </c>
      <c r="G554" s="52" t="s">
        <v>2</v>
      </c>
      <c r="H554" s="32">
        <v>12.514394869870676</v>
      </c>
      <c r="I554" s="32">
        <v>11.647997846001552</v>
      </c>
      <c r="J554" s="12" t="s">
        <v>1714</v>
      </c>
      <c r="K554" s="12" t="s">
        <v>1715</v>
      </c>
      <c r="L554" s="14" t="s">
        <v>4973</v>
      </c>
      <c r="M554" s="12" t="s">
        <v>1716</v>
      </c>
      <c r="N554" s="15" t="s">
        <v>1717</v>
      </c>
      <c r="O554" s="12" t="s">
        <v>1718</v>
      </c>
      <c r="P554" s="12" t="s">
        <v>1728</v>
      </c>
      <c r="Q554" s="14">
        <v>2</v>
      </c>
      <c r="R554" s="21">
        <v>653.80970000000002</v>
      </c>
      <c r="S554" s="14">
        <v>8</v>
      </c>
      <c r="T554" s="52" t="s">
        <v>2</v>
      </c>
      <c r="U554" s="53">
        <v>24.138150000000003</v>
      </c>
      <c r="V554" s="24">
        <v>374677</v>
      </c>
      <c r="W554" s="24">
        <v>317654</v>
      </c>
      <c r="X554" s="24">
        <v>391459</v>
      </c>
      <c r="Y554" s="24">
        <v>432006</v>
      </c>
      <c r="Z554" s="24">
        <v>294800</v>
      </c>
      <c r="AA554" s="24">
        <v>299543</v>
      </c>
      <c r="AB554" s="24">
        <v>287005</v>
      </c>
      <c r="AC554" s="24">
        <v>302037</v>
      </c>
      <c r="AD554" s="24">
        <v>378949</v>
      </c>
      <c r="AE554" s="24">
        <v>295846.25</v>
      </c>
      <c r="AF554" s="24">
        <v>346165.5</v>
      </c>
      <c r="AG554" s="24">
        <v>411732.5</v>
      </c>
      <c r="AH554" s="24">
        <v>297171.5</v>
      </c>
      <c r="AI554" s="24">
        <v>294521</v>
      </c>
      <c r="AJ554" s="32">
        <v>12.514394869870676</v>
      </c>
      <c r="AK554" s="32">
        <v>2.2357799615094605</v>
      </c>
      <c r="AL554" s="32">
        <v>11.647997846001552</v>
      </c>
      <c r="AM554" s="32">
        <v>6.9635160345056413</v>
      </c>
      <c r="AN554" s="32">
        <v>1.1285764156952449</v>
      </c>
      <c r="AO554" s="32">
        <v>3.6089885389483878</v>
      </c>
      <c r="AP554" s="19">
        <v>0.78070202058852245</v>
      </c>
      <c r="AQ554" s="19">
        <v>0.85846654273750567</v>
      </c>
      <c r="AR554" s="19">
        <v>0.71532123405366344</v>
      </c>
      <c r="AS554" s="19">
        <v>-0.3571560912703548</v>
      </c>
      <c r="AT554" s="19">
        <v>-0.22016618613143057</v>
      </c>
      <c r="AU554" s="19">
        <v>-0.48333682684256918</v>
      </c>
      <c r="AV554" s="19">
        <v>-0.5548456439564553</v>
      </c>
      <c r="AW554" s="19">
        <v>-0.2879904031145803</v>
      </c>
      <c r="AX554" s="19">
        <v>-0.7870877410783621</v>
      </c>
      <c r="AY554" s="19">
        <v>-1.2808984396455929</v>
      </c>
      <c r="AZ554" s="19">
        <v>-1.1648677615451011</v>
      </c>
      <c r="BA554" s="19">
        <v>-1.397973319389789</v>
      </c>
      <c r="BB554" s="19">
        <v>-1.4690114531951717</v>
      </c>
      <c r="BC554" s="19">
        <v>-1.2209383908939277</v>
      </c>
      <c r="BD554" s="19">
        <v>-1.7255876317872625</v>
      </c>
      <c r="BE554" s="14" t="s">
        <v>4857</v>
      </c>
    </row>
    <row r="555" spans="1:105" s="30" customFormat="1" ht="17.100000000000001" customHeight="1">
      <c r="A555" s="14">
        <v>544</v>
      </c>
      <c r="B555" s="14" t="s">
        <v>1729</v>
      </c>
      <c r="C555" s="32">
        <v>-1.304869103511288</v>
      </c>
      <c r="D555" s="32">
        <v>-1.4005993198535633</v>
      </c>
      <c r="E555" s="32">
        <v>-1.2452365705956128</v>
      </c>
      <c r="F555" s="24">
        <v>124900</v>
      </c>
      <c r="G555" s="52" t="s">
        <v>2</v>
      </c>
      <c r="H555" s="32">
        <v>29.084568283741476</v>
      </c>
      <c r="I555" s="32">
        <v>20.018271760287579</v>
      </c>
      <c r="J555" s="12" t="s">
        <v>1714</v>
      </c>
      <c r="K555" s="12" t="s">
        <v>1715</v>
      </c>
      <c r="L555" s="14" t="s">
        <v>5037</v>
      </c>
      <c r="M555" s="12" t="s">
        <v>1716</v>
      </c>
      <c r="N555" s="15" t="s">
        <v>1717</v>
      </c>
      <c r="O555" s="12" t="s">
        <v>1718</v>
      </c>
      <c r="P555" s="12" t="s">
        <v>1730</v>
      </c>
      <c r="Q555" s="14">
        <v>2</v>
      </c>
      <c r="R555" s="21">
        <v>580.81150000000002</v>
      </c>
      <c r="S555" s="14">
        <v>3</v>
      </c>
      <c r="T555" s="52" t="s">
        <v>2</v>
      </c>
      <c r="U555" s="53">
        <v>29.669512499999996</v>
      </c>
      <c r="V555" s="24">
        <v>92264</v>
      </c>
      <c r="W555" s="24">
        <v>122691</v>
      </c>
      <c r="X555" s="24">
        <v>124757</v>
      </c>
      <c r="Y555" s="24">
        <v>125043</v>
      </c>
      <c r="Z555" s="24">
        <v>90451</v>
      </c>
      <c r="AA555" s="24">
        <v>70410</v>
      </c>
      <c r="AB555" s="24">
        <v>107015</v>
      </c>
      <c r="AC555" s="24">
        <v>140601</v>
      </c>
      <c r="AD555" s="24">
        <v>116188.75</v>
      </c>
      <c r="AE555" s="24">
        <v>102119.25</v>
      </c>
      <c r="AF555" s="24">
        <v>107477.5</v>
      </c>
      <c r="AG555" s="24">
        <v>124900</v>
      </c>
      <c r="AH555" s="24">
        <v>80430.5</v>
      </c>
      <c r="AI555" s="24">
        <v>123808</v>
      </c>
      <c r="AJ555" s="32">
        <v>13.757112362340612</v>
      </c>
      <c r="AK555" s="32">
        <v>29.084568283741476</v>
      </c>
      <c r="AL555" s="32">
        <v>20.018271760287579</v>
      </c>
      <c r="AM555" s="32">
        <v>0.16191556398667142</v>
      </c>
      <c r="AN555" s="32">
        <v>17.619095991893126</v>
      </c>
      <c r="AO555" s="32">
        <v>19.182030525435664</v>
      </c>
      <c r="AP555" s="19">
        <v>0.87890824197695561</v>
      </c>
      <c r="AQ555" s="19">
        <v>0.74834732851061847</v>
      </c>
      <c r="AR555" s="19">
        <v>0.9912570056044836</v>
      </c>
      <c r="AS555" s="19">
        <v>-0.18621553902351048</v>
      </c>
      <c r="AT555" s="19">
        <v>-0.41822007501878811</v>
      </c>
      <c r="AU555" s="19">
        <v>-1.2668937939465627E-2</v>
      </c>
      <c r="AV555" s="19">
        <v>-0.38390509170961107</v>
      </c>
      <c r="AW555" s="19">
        <v>-0.48604429200193783</v>
      </c>
      <c r="AX555" s="19">
        <v>-0.31641985217525853</v>
      </c>
      <c r="AY555" s="19">
        <v>-1.137775199093217</v>
      </c>
      <c r="AZ555" s="19">
        <v>-1.336277904526268</v>
      </c>
      <c r="BA555" s="19">
        <v>-1.0088201085551822</v>
      </c>
      <c r="BB555" s="19">
        <v>-1.304869103511288</v>
      </c>
      <c r="BC555" s="19">
        <v>-1.4005993198535633</v>
      </c>
      <c r="BD555" s="19">
        <v>-1.2452365705956128</v>
      </c>
      <c r="BE555" s="14" t="s">
        <v>4857</v>
      </c>
    </row>
    <row r="556" spans="1:105" s="30" customFormat="1" ht="17.100000000000001" customHeight="1">
      <c r="A556" s="14">
        <v>545</v>
      </c>
      <c r="B556" s="14" t="s">
        <v>4557</v>
      </c>
      <c r="C556" s="32">
        <v>1.2899428346325419</v>
      </c>
      <c r="D556" s="32">
        <v>1.0107622429751779</v>
      </c>
      <c r="E556" s="32">
        <v>1.5437251554107361</v>
      </c>
      <c r="F556" s="24">
        <v>104213.5</v>
      </c>
      <c r="G556" s="52" t="s">
        <v>2</v>
      </c>
      <c r="H556" s="32">
        <v>32.338080703012828</v>
      </c>
      <c r="I556" s="32">
        <v>23.461912842094595</v>
      </c>
      <c r="J556" s="12" t="s">
        <v>1731</v>
      </c>
      <c r="K556" s="12" t="s">
        <v>1732</v>
      </c>
      <c r="L556" s="14" t="s">
        <v>5023</v>
      </c>
      <c r="M556" s="12" t="s">
        <v>1733</v>
      </c>
      <c r="N556" s="15" t="s">
        <v>1734</v>
      </c>
      <c r="O556" s="12" t="s">
        <v>1735</v>
      </c>
      <c r="P556" s="12" t="s">
        <v>1736</v>
      </c>
      <c r="Q556" s="14">
        <v>2</v>
      </c>
      <c r="R556" s="21">
        <v>511.77620000000002</v>
      </c>
      <c r="S556" s="14">
        <v>4</v>
      </c>
      <c r="T556" s="52" t="s">
        <v>2</v>
      </c>
      <c r="U556" s="53">
        <v>34.995012500000001</v>
      </c>
      <c r="V556" s="24">
        <v>46285</v>
      </c>
      <c r="W556" s="24">
        <v>64697</v>
      </c>
      <c r="X556" s="24">
        <v>57790</v>
      </c>
      <c r="Y556" s="24">
        <v>51592</v>
      </c>
      <c r="Z556" s="24">
        <v>57800</v>
      </c>
      <c r="AA556" s="24">
        <v>59776</v>
      </c>
      <c r="AB556" s="24">
        <v>107251</v>
      </c>
      <c r="AC556" s="24">
        <v>101176</v>
      </c>
      <c r="AD556" s="24">
        <v>55091</v>
      </c>
      <c r="AE556" s="24">
        <v>81500.75</v>
      </c>
      <c r="AF556" s="24">
        <v>55491</v>
      </c>
      <c r="AG556" s="24">
        <v>54691</v>
      </c>
      <c r="AH556" s="24">
        <v>58788</v>
      </c>
      <c r="AI556" s="24">
        <v>104213.5</v>
      </c>
      <c r="AJ556" s="32">
        <v>14.420808897380121</v>
      </c>
      <c r="AK556" s="32">
        <v>32.338080703012828</v>
      </c>
      <c r="AL556" s="32">
        <v>23.461912842094595</v>
      </c>
      <c r="AM556" s="32">
        <v>8.0134717408608758</v>
      </c>
      <c r="AN556" s="32">
        <v>2.3767486555498025</v>
      </c>
      <c r="AO556" s="32">
        <v>4.1219934996025236</v>
      </c>
      <c r="AP556" s="19">
        <v>1.4793841099272114</v>
      </c>
      <c r="AQ556" s="19">
        <v>1.0594150402768017</v>
      </c>
      <c r="AR556" s="19">
        <v>1.905496333948913</v>
      </c>
      <c r="AS556" s="19">
        <v>0.5649966849861473</v>
      </c>
      <c r="AT556" s="19">
        <v>8.3267895509999745E-2</v>
      </c>
      <c r="AU556" s="19">
        <v>0.93016683250126952</v>
      </c>
      <c r="AV556" s="19">
        <v>0.36730713230004675</v>
      </c>
      <c r="AW556" s="19">
        <v>1.5443678526850038E-2</v>
      </c>
      <c r="AX556" s="19">
        <v>0.6264159182654766</v>
      </c>
      <c r="AY556" s="19">
        <v>1.4793841099272114</v>
      </c>
      <c r="AZ556" s="19">
        <v>1.0594150402768017</v>
      </c>
      <c r="BA556" s="19">
        <v>1.905496333948913</v>
      </c>
      <c r="BB556" s="19">
        <v>1.2899428346325419</v>
      </c>
      <c r="BC556" s="19">
        <v>1.0107622429751779</v>
      </c>
      <c r="BD556" s="19">
        <v>1.5437251554107361</v>
      </c>
      <c r="BE556" s="14" t="s">
        <v>4857</v>
      </c>
    </row>
    <row r="557" spans="1:105" s="30" customFormat="1" ht="17.100000000000001" customHeight="1">
      <c r="A557" s="14">
        <v>546</v>
      </c>
      <c r="B557" s="14" t="s">
        <v>1737</v>
      </c>
      <c r="C557" s="32">
        <v>-1.0845275567530235</v>
      </c>
      <c r="D557" s="32">
        <v>1.1468100513218371</v>
      </c>
      <c r="E557" s="32">
        <v>-1.3120511026389219</v>
      </c>
      <c r="F557" s="24">
        <v>62376</v>
      </c>
      <c r="G557" s="52" t="s">
        <v>2</v>
      </c>
      <c r="H557" s="32">
        <v>38.343873069776443</v>
      </c>
      <c r="I557" s="32">
        <v>58.541939807425855</v>
      </c>
      <c r="J557" s="12" t="s">
        <v>1738</v>
      </c>
      <c r="K557" s="12" t="s">
        <v>1739</v>
      </c>
      <c r="L557" s="14" t="s">
        <v>4999</v>
      </c>
      <c r="M557" s="12" t="s">
        <v>1740</v>
      </c>
      <c r="N557" s="15" t="s">
        <v>1741</v>
      </c>
      <c r="O557" s="12" t="s">
        <v>1742</v>
      </c>
      <c r="P557" s="12" t="s">
        <v>1743</v>
      </c>
      <c r="Q557" s="14">
        <v>3</v>
      </c>
      <c r="R557" s="21">
        <v>757.73019999999997</v>
      </c>
      <c r="S557" s="14">
        <v>2</v>
      </c>
      <c r="T557" s="52" t="s">
        <v>2</v>
      </c>
      <c r="U557" s="53">
        <v>53.029312500000003</v>
      </c>
      <c r="V557" s="24">
        <v>32297</v>
      </c>
      <c r="W557" s="24">
        <v>68425</v>
      </c>
      <c r="X557" s="24">
        <v>67223</v>
      </c>
      <c r="Y557" s="24">
        <v>57529</v>
      </c>
      <c r="Z557" s="24">
        <v>35476</v>
      </c>
      <c r="AA557" s="24">
        <v>85593</v>
      </c>
      <c r="AB557" s="24">
        <v>71090</v>
      </c>
      <c r="AC557" s="24">
        <v>46274</v>
      </c>
      <c r="AD557" s="24">
        <v>56368.5</v>
      </c>
      <c r="AE557" s="24">
        <v>59608.25</v>
      </c>
      <c r="AF557" s="24">
        <v>50361</v>
      </c>
      <c r="AG557" s="24">
        <v>62376</v>
      </c>
      <c r="AH557" s="24">
        <v>60534.5</v>
      </c>
      <c r="AI557" s="24">
        <v>58682</v>
      </c>
      <c r="AJ557" s="32">
        <v>29.755322287879878</v>
      </c>
      <c r="AK557" s="32">
        <v>38.343873069776443</v>
      </c>
      <c r="AL557" s="32">
        <v>50.726462522006287</v>
      </c>
      <c r="AM557" s="32">
        <v>10.989311813553918</v>
      </c>
      <c r="AN557" s="32">
        <v>58.541939807425855</v>
      </c>
      <c r="AO557" s="32">
        <v>29.902801339295465</v>
      </c>
      <c r="AP557" s="19">
        <v>1.0574744759927974</v>
      </c>
      <c r="AQ557" s="19">
        <v>1.2020114771350847</v>
      </c>
      <c r="AR557" s="19">
        <v>0.94077850455303325</v>
      </c>
      <c r="AS557" s="19">
        <v>8.0622841782095528E-2</v>
      </c>
      <c r="AT557" s="19">
        <v>0.26545067136259248</v>
      </c>
      <c r="AU557" s="19">
        <v>-8.8072997860428492E-2</v>
      </c>
      <c r="AV557" s="19">
        <v>-0.11706671090400503</v>
      </c>
      <c r="AW557" s="19">
        <v>0.19762645437944276</v>
      </c>
      <c r="AX557" s="19">
        <v>-0.39182391209622142</v>
      </c>
      <c r="AY557" s="19">
        <v>1.0574744759927974</v>
      </c>
      <c r="AZ557" s="19">
        <v>1.2020114771350847</v>
      </c>
      <c r="BA557" s="19">
        <v>-1.0629494563920794</v>
      </c>
      <c r="BB557" s="19">
        <v>-1.0845275567530235</v>
      </c>
      <c r="BC557" s="19">
        <v>1.1468100513218371</v>
      </c>
      <c r="BD557" s="19">
        <v>-1.3120511026389219</v>
      </c>
      <c r="BE557" s="14" t="s">
        <v>4857</v>
      </c>
    </row>
    <row r="558" spans="1:105" s="30" customFormat="1" ht="17.100000000000001" customHeight="1">
      <c r="A558" s="14">
        <v>547</v>
      </c>
      <c r="B558" s="14" t="s">
        <v>1744</v>
      </c>
      <c r="C558" s="32">
        <v>-1.1021047806607087</v>
      </c>
      <c r="D558" s="32">
        <v>-1.1449240535043066</v>
      </c>
      <c r="E558" s="32">
        <v>-1.060795700251598</v>
      </c>
      <c r="F558" s="24">
        <v>241982</v>
      </c>
      <c r="G558" s="52" t="s">
        <v>2</v>
      </c>
      <c r="H558" s="32">
        <v>19.802579788159758</v>
      </c>
      <c r="I558" s="32">
        <v>26.172204046867932</v>
      </c>
      <c r="J558" s="12" t="s">
        <v>1738</v>
      </c>
      <c r="K558" s="12" t="s">
        <v>1739</v>
      </c>
      <c r="L558" s="14" t="s">
        <v>5166</v>
      </c>
      <c r="M558" s="12" t="s">
        <v>1740</v>
      </c>
      <c r="N558" s="15" t="s">
        <v>1741</v>
      </c>
      <c r="O558" s="12" t="s">
        <v>1742</v>
      </c>
      <c r="P558" s="12" t="s">
        <v>1745</v>
      </c>
      <c r="Q558" s="14">
        <v>2</v>
      </c>
      <c r="R558" s="21">
        <v>542.31709999999998</v>
      </c>
      <c r="S558" s="14">
        <v>2</v>
      </c>
      <c r="T558" s="52" t="s">
        <v>2</v>
      </c>
      <c r="U558" s="53">
        <v>29.492487499999999</v>
      </c>
      <c r="V558" s="24">
        <v>229811</v>
      </c>
      <c r="W558" s="24">
        <v>178965</v>
      </c>
      <c r="X558" s="24">
        <v>195766</v>
      </c>
      <c r="Y558" s="24">
        <v>220151</v>
      </c>
      <c r="Z558" s="24">
        <v>221737</v>
      </c>
      <c r="AA558" s="24">
        <v>152482</v>
      </c>
      <c r="AB558" s="24">
        <v>240256</v>
      </c>
      <c r="AC558" s="24">
        <v>243708</v>
      </c>
      <c r="AD558" s="24">
        <v>206173.25</v>
      </c>
      <c r="AE558" s="24">
        <v>214545.75</v>
      </c>
      <c r="AF558" s="24">
        <v>204388</v>
      </c>
      <c r="AG558" s="24">
        <v>207958.5</v>
      </c>
      <c r="AH558" s="24">
        <v>187109.5</v>
      </c>
      <c r="AI558" s="24">
        <v>241982</v>
      </c>
      <c r="AJ558" s="32">
        <v>11.210782930980869</v>
      </c>
      <c r="AK558" s="32">
        <v>19.802579788159758</v>
      </c>
      <c r="AL558" s="32">
        <v>17.590832825905238</v>
      </c>
      <c r="AM558" s="32">
        <v>8.2914614498729122</v>
      </c>
      <c r="AN558" s="32">
        <v>26.172204046867932</v>
      </c>
      <c r="AO558" s="32">
        <v>1.0087248674099569</v>
      </c>
      <c r="AP558" s="19">
        <v>1.0406090508831771</v>
      </c>
      <c r="AQ558" s="19">
        <v>0.91546225805820303</v>
      </c>
      <c r="AR558" s="19">
        <v>1.163607162005881</v>
      </c>
      <c r="AS558" s="19">
        <v>5.7428160579741087E-2</v>
      </c>
      <c r="AT558" s="19">
        <v>-0.1274276859097104</v>
      </c>
      <c r="AU558" s="19">
        <v>0.21860408137087137</v>
      </c>
      <c r="AV558" s="19">
        <v>-0.14026139210635946</v>
      </c>
      <c r="AW558" s="19">
        <v>-0.1952519028928601</v>
      </c>
      <c r="AX558" s="19">
        <v>-8.5146832864921557E-2</v>
      </c>
      <c r="AY558" s="19">
        <v>1.0406090508831771</v>
      </c>
      <c r="AZ558" s="19">
        <v>-1.0923443224422063</v>
      </c>
      <c r="BA558" s="19">
        <v>1.163607162005881</v>
      </c>
      <c r="BB558" s="19">
        <v>-1.1021047806607087</v>
      </c>
      <c r="BC558" s="19">
        <v>-1.1449240535043066</v>
      </c>
      <c r="BD558" s="19">
        <v>-1.060795700251598</v>
      </c>
      <c r="BE558" s="14" t="s">
        <v>4857</v>
      </c>
    </row>
    <row r="559" spans="1:105" s="30" customFormat="1" ht="17.100000000000001" customHeight="1">
      <c r="A559" s="14">
        <v>548</v>
      </c>
      <c r="B559" s="14" t="s">
        <v>1746</v>
      </c>
      <c r="C559" s="32">
        <v>1.3662298392942289</v>
      </c>
      <c r="D559" s="32">
        <v>-1.013636405589593</v>
      </c>
      <c r="E559" s="32">
        <v>1.7790636391314683</v>
      </c>
      <c r="F559" s="24">
        <v>95308</v>
      </c>
      <c r="G559" s="52" t="s">
        <v>2</v>
      </c>
      <c r="H559" s="32">
        <v>41.423172617402734</v>
      </c>
      <c r="I559" s="32">
        <v>44.374001272774379</v>
      </c>
      <c r="J559" s="12" t="s">
        <v>1738</v>
      </c>
      <c r="K559" s="12" t="s">
        <v>1739</v>
      </c>
      <c r="L559" s="14" t="s">
        <v>5256</v>
      </c>
      <c r="M559" s="12" t="s">
        <v>1740</v>
      </c>
      <c r="N559" s="15" t="s">
        <v>1741</v>
      </c>
      <c r="O559" s="12" t="s">
        <v>1742</v>
      </c>
      <c r="P559" s="12" t="s">
        <v>1747</v>
      </c>
      <c r="Q559" s="14">
        <v>4</v>
      </c>
      <c r="R559" s="21">
        <v>559.29010000000005</v>
      </c>
      <c r="S559" s="14">
        <v>1</v>
      </c>
      <c r="T559" s="52" t="s">
        <v>2</v>
      </c>
      <c r="U559" s="53">
        <v>58.914662499999999</v>
      </c>
      <c r="V559" s="24">
        <v>60002</v>
      </c>
      <c r="W559" s="24">
        <v>42483</v>
      </c>
      <c r="X559" s="24">
        <v>29783</v>
      </c>
      <c r="Y559" s="24">
        <v>57019</v>
      </c>
      <c r="Z559" s="24">
        <v>55245</v>
      </c>
      <c r="AA559" s="24">
        <v>50728</v>
      </c>
      <c r="AB559" s="24">
        <v>72628</v>
      </c>
      <c r="AC559" s="24">
        <v>117988</v>
      </c>
      <c r="AD559" s="24">
        <v>47321.75</v>
      </c>
      <c r="AE559" s="24">
        <v>74147.25</v>
      </c>
      <c r="AF559" s="24">
        <v>51242.5</v>
      </c>
      <c r="AG559" s="24">
        <v>43401</v>
      </c>
      <c r="AH559" s="24">
        <v>52986.5</v>
      </c>
      <c r="AI559" s="24">
        <v>95308</v>
      </c>
      <c r="AJ559" s="32">
        <v>29.530483079867725</v>
      </c>
      <c r="AK559" s="32">
        <v>41.423172617402734</v>
      </c>
      <c r="AL559" s="32">
        <v>24.174862076610481</v>
      </c>
      <c r="AM559" s="32">
        <v>44.374001272774379</v>
      </c>
      <c r="AN559" s="32">
        <v>6.0279530269401356</v>
      </c>
      <c r="AO559" s="32">
        <v>33.653380193291014</v>
      </c>
      <c r="AP559" s="19">
        <v>1.5668746400967843</v>
      </c>
      <c r="AQ559" s="19">
        <v>1.0340342489144754</v>
      </c>
      <c r="AR559" s="19">
        <v>2.1959862675975206</v>
      </c>
      <c r="AS559" s="19">
        <v>0.64788975967946572</v>
      </c>
      <c r="AT559" s="19">
        <v>4.8283970876037099E-2</v>
      </c>
      <c r="AU559" s="19">
        <v>1.1348690326077284</v>
      </c>
      <c r="AV559" s="19">
        <v>0.45020020699336516</v>
      </c>
      <c r="AW559" s="19">
        <v>-1.9540246107112608E-2</v>
      </c>
      <c r="AX559" s="19">
        <v>0.8311181183719355</v>
      </c>
      <c r="AY559" s="19">
        <v>1.5668746400967843</v>
      </c>
      <c r="AZ559" s="19">
        <v>1.0340342489144754</v>
      </c>
      <c r="BA559" s="19">
        <v>2.1959862675975206</v>
      </c>
      <c r="BB559" s="19">
        <v>1.3662298392942289</v>
      </c>
      <c r="BC559" s="19">
        <v>-1.013636405589593</v>
      </c>
      <c r="BD559" s="19">
        <v>1.7790636391314683</v>
      </c>
      <c r="BE559" s="14" t="s">
        <v>4857</v>
      </c>
    </row>
    <row r="560" spans="1:105" s="30" customFormat="1" ht="17.100000000000001" customHeight="1">
      <c r="A560" s="14">
        <v>549</v>
      </c>
      <c r="B560" s="14" t="s">
        <v>1748</v>
      </c>
      <c r="C560" s="32">
        <v>-1.1450333439774552</v>
      </c>
      <c r="D560" s="32">
        <v>-1.197584524230551</v>
      </c>
      <c r="E560" s="32">
        <v>-1.1041314098160575</v>
      </c>
      <c r="F560" s="24">
        <v>106900.5</v>
      </c>
      <c r="G560" s="52" t="s">
        <v>2</v>
      </c>
      <c r="H560" s="32">
        <v>19.962125025477214</v>
      </c>
      <c r="I560" s="32">
        <v>13.937908774710658</v>
      </c>
      <c r="J560" s="12" t="s">
        <v>1738</v>
      </c>
      <c r="K560" s="12" t="s">
        <v>1739</v>
      </c>
      <c r="L560" s="14" t="s">
        <v>5135</v>
      </c>
      <c r="M560" s="12" t="s">
        <v>1740</v>
      </c>
      <c r="N560" s="15" t="s">
        <v>1741</v>
      </c>
      <c r="O560" s="12" t="s">
        <v>1742</v>
      </c>
      <c r="P560" s="12" t="s">
        <v>1749</v>
      </c>
      <c r="Q560" s="14">
        <v>2</v>
      </c>
      <c r="R560" s="21">
        <v>751.9067</v>
      </c>
      <c r="S560" s="14">
        <v>6</v>
      </c>
      <c r="T560" s="52" t="s">
        <v>2</v>
      </c>
      <c r="U560" s="53">
        <v>50.647962499999998</v>
      </c>
      <c r="V560" s="24">
        <v>96674</v>
      </c>
      <c r="W560" s="24">
        <v>79370</v>
      </c>
      <c r="X560" s="24">
        <v>91425</v>
      </c>
      <c r="Y560" s="24">
        <v>99821</v>
      </c>
      <c r="Z560" s="24">
        <v>84630</v>
      </c>
      <c r="AA560" s="24">
        <v>69445</v>
      </c>
      <c r="AB560" s="24">
        <v>108326</v>
      </c>
      <c r="AC560" s="24">
        <v>105475</v>
      </c>
      <c r="AD560" s="24">
        <v>91822.5</v>
      </c>
      <c r="AE560" s="24">
        <v>91969</v>
      </c>
      <c r="AF560" s="24">
        <v>88022</v>
      </c>
      <c r="AG560" s="24">
        <v>95623</v>
      </c>
      <c r="AH560" s="24">
        <v>77037.5</v>
      </c>
      <c r="AI560" s="24">
        <v>106900.5</v>
      </c>
      <c r="AJ560" s="32">
        <v>9.7961898138376213</v>
      </c>
      <c r="AK560" s="32">
        <v>19.962125025477214</v>
      </c>
      <c r="AL560" s="32">
        <v>13.900815411660741</v>
      </c>
      <c r="AM560" s="32">
        <v>6.2086198245633932</v>
      </c>
      <c r="AN560" s="32">
        <v>13.937908774710658</v>
      </c>
      <c r="AO560" s="32">
        <v>1.8858297511824988</v>
      </c>
      <c r="AP560" s="19">
        <v>1.0015954695199978</v>
      </c>
      <c r="AQ560" s="19">
        <v>0.87520733453000388</v>
      </c>
      <c r="AR560" s="19">
        <v>1.1179371071813267</v>
      </c>
      <c r="AS560" s="19">
        <v>2.2999417084342429E-3</v>
      </c>
      <c r="AT560" s="19">
        <v>-0.1923032664395648</v>
      </c>
      <c r="AU560" s="19">
        <v>0.16083902743884421</v>
      </c>
      <c r="AV560" s="19">
        <v>-0.1953896109776663</v>
      </c>
      <c r="AW560" s="19">
        <v>-0.26012748342271452</v>
      </c>
      <c r="AX560" s="19">
        <v>-0.14291188679694872</v>
      </c>
      <c r="AY560" s="19">
        <v>1.0015954695199978</v>
      </c>
      <c r="AZ560" s="19">
        <v>-1.1425864027259451</v>
      </c>
      <c r="BA560" s="19">
        <v>1.1179371071813267</v>
      </c>
      <c r="BB560" s="19">
        <v>-1.1450333439774552</v>
      </c>
      <c r="BC560" s="19">
        <v>-1.197584524230551</v>
      </c>
      <c r="BD560" s="19">
        <v>-1.1041314098160575</v>
      </c>
      <c r="BE560" s="14" t="s">
        <v>4857</v>
      </c>
    </row>
    <row r="561" spans="1:105" s="30" customFormat="1" ht="17.100000000000001" customHeight="1">
      <c r="A561" s="14">
        <v>550</v>
      </c>
      <c r="B561" s="14" t="s">
        <v>1750</v>
      </c>
      <c r="C561" s="32">
        <v>-1.0844983370876287</v>
      </c>
      <c r="D561" s="32">
        <v>1.0094416442472851</v>
      </c>
      <c r="E561" s="32">
        <v>-1.1677004563272644</v>
      </c>
      <c r="F561" s="24">
        <v>439446</v>
      </c>
      <c r="G561" s="52" t="s">
        <v>2</v>
      </c>
      <c r="H561" s="32">
        <v>15.154341674257516</v>
      </c>
      <c r="I561" s="32">
        <v>16.294887832312597</v>
      </c>
      <c r="J561" s="12" t="s">
        <v>1738</v>
      </c>
      <c r="K561" s="12" t="s">
        <v>1739</v>
      </c>
      <c r="L561" s="14" t="s">
        <v>5063</v>
      </c>
      <c r="M561" s="12" t="s">
        <v>1740</v>
      </c>
      <c r="N561" s="15" t="s">
        <v>1741</v>
      </c>
      <c r="O561" s="12" t="s">
        <v>1742</v>
      </c>
      <c r="P561" s="12" t="s">
        <v>1751</v>
      </c>
      <c r="Q561" s="14">
        <v>2</v>
      </c>
      <c r="R561" s="21">
        <v>622.84960000000001</v>
      </c>
      <c r="S561" s="14">
        <v>8</v>
      </c>
      <c r="T561" s="52" t="s">
        <v>2</v>
      </c>
      <c r="U561" s="53">
        <v>67.702924999999993</v>
      </c>
      <c r="V561" s="24">
        <v>373958</v>
      </c>
      <c r="W561" s="24">
        <v>296685</v>
      </c>
      <c r="X561" s="24">
        <v>404180</v>
      </c>
      <c r="Y561" s="24">
        <v>427256</v>
      </c>
      <c r="Z561" s="24">
        <v>362045</v>
      </c>
      <c r="AA561" s="24">
        <v>347516</v>
      </c>
      <c r="AB561" s="24">
        <v>403254</v>
      </c>
      <c r="AC561" s="24">
        <v>475638</v>
      </c>
      <c r="AD561" s="24">
        <v>375519.75</v>
      </c>
      <c r="AE561" s="24">
        <v>397113.25</v>
      </c>
      <c r="AF561" s="24">
        <v>335321.5</v>
      </c>
      <c r="AG561" s="24">
        <v>415718</v>
      </c>
      <c r="AH561" s="24">
        <v>354780.5</v>
      </c>
      <c r="AI561" s="24">
        <v>439446</v>
      </c>
      <c r="AJ561" s="32">
        <v>15.154341674257516</v>
      </c>
      <c r="AK561" s="32">
        <v>14.461065489811611</v>
      </c>
      <c r="AL561" s="32">
        <v>16.294887832312597</v>
      </c>
      <c r="AM561" s="32">
        <v>3.9250636447449403</v>
      </c>
      <c r="AN561" s="32">
        <v>2.8957494630791007</v>
      </c>
      <c r="AO561" s="32">
        <v>11.647214276476985</v>
      </c>
      <c r="AP561" s="19">
        <v>1.0575029675536374</v>
      </c>
      <c r="AQ561" s="19">
        <v>1.0580308748469751</v>
      </c>
      <c r="AR561" s="19">
        <v>1.0570771532625483</v>
      </c>
      <c r="AS561" s="19">
        <v>8.066171182646302E-2</v>
      </c>
      <c r="AT561" s="19">
        <v>8.1381727961105974E-2</v>
      </c>
      <c r="AU561" s="19">
        <v>8.0080679054661139E-2</v>
      </c>
      <c r="AV561" s="19">
        <v>-0.11702784085963754</v>
      </c>
      <c r="AW561" s="19">
        <v>1.3557510977956266E-2</v>
      </c>
      <c r="AX561" s="19">
        <v>-0.22367023518113177</v>
      </c>
      <c r="AY561" s="19">
        <v>1.0575029675536374</v>
      </c>
      <c r="AZ561" s="19">
        <v>1.0580308748469751</v>
      </c>
      <c r="BA561" s="19">
        <v>1.0570771532625483</v>
      </c>
      <c r="BB561" s="19">
        <v>-1.0844983370876287</v>
      </c>
      <c r="BC561" s="19">
        <v>1.0094416442472851</v>
      </c>
      <c r="BD561" s="19">
        <v>-1.1677004563272644</v>
      </c>
      <c r="BE561" s="14" t="s">
        <v>4857</v>
      </c>
    </row>
    <row r="562" spans="1:105" s="30" customFormat="1" ht="17.100000000000001" customHeight="1">
      <c r="A562" s="14">
        <v>551</v>
      </c>
      <c r="B562" s="14" t="s">
        <v>1752</v>
      </c>
      <c r="C562" s="32">
        <v>-1.0259718815623491</v>
      </c>
      <c r="D562" s="32">
        <v>-1.2986046799895121</v>
      </c>
      <c r="E562" s="32">
        <v>1.200255699324682</v>
      </c>
      <c r="F562" s="24">
        <v>594760</v>
      </c>
      <c r="G562" s="52" t="s">
        <v>2</v>
      </c>
      <c r="H562" s="32">
        <v>28.073146552685795</v>
      </c>
      <c r="I562" s="32">
        <v>24.977414379823607</v>
      </c>
      <c r="J562" s="12" t="s">
        <v>1753</v>
      </c>
      <c r="K562" s="12" t="s">
        <v>1754</v>
      </c>
      <c r="L562" s="14" t="s">
        <v>5078</v>
      </c>
      <c r="M562" s="12" t="s">
        <v>1755</v>
      </c>
      <c r="N562" s="15" t="s">
        <v>1756</v>
      </c>
      <c r="O562" s="12" t="s">
        <v>1757</v>
      </c>
      <c r="P562" s="12" t="s">
        <v>1626</v>
      </c>
      <c r="Q562" s="14">
        <v>2</v>
      </c>
      <c r="R562" s="21">
        <v>675.351</v>
      </c>
      <c r="S562" s="14">
        <v>9</v>
      </c>
      <c r="T562" s="52" t="s">
        <v>2</v>
      </c>
      <c r="U562" s="53">
        <v>39.5533</v>
      </c>
      <c r="V562" s="24">
        <v>469348</v>
      </c>
      <c r="W562" s="24">
        <v>470514</v>
      </c>
      <c r="X562" s="24">
        <v>401706</v>
      </c>
      <c r="Y562" s="24">
        <v>401191</v>
      </c>
      <c r="Z562" s="24">
        <v>446282</v>
      </c>
      <c r="AA562" s="24">
        <v>312303</v>
      </c>
      <c r="AB562" s="24">
        <v>576340</v>
      </c>
      <c r="AC562" s="24">
        <v>613180</v>
      </c>
      <c r="AD562" s="24">
        <v>435689.75</v>
      </c>
      <c r="AE562" s="24">
        <v>487026.25</v>
      </c>
      <c r="AF562" s="24">
        <v>469931</v>
      </c>
      <c r="AG562" s="24">
        <v>401448.5</v>
      </c>
      <c r="AH562" s="24">
        <v>379292.5</v>
      </c>
      <c r="AI562" s="24">
        <v>594760</v>
      </c>
      <c r="AJ562" s="32">
        <v>9.0756815236708004</v>
      </c>
      <c r="AK562" s="32">
        <v>28.073146552685795</v>
      </c>
      <c r="AL562" s="32">
        <v>0.17544841835578295</v>
      </c>
      <c r="AM562" s="32">
        <v>9.0711509025708639E-2</v>
      </c>
      <c r="AN562" s="32">
        <v>24.977414379823607</v>
      </c>
      <c r="AO562" s="32">
        <v>4.3798866465317801</v>
      </c>
      <c r="AP562" s="19">
        <v>1.1178281104845822</v>
      </c>
      <c r="AQ562" s="19">
        <v>0.80712381179364634</v>
      </c>
      <c r="AR562" s="19">
        <v>1.4815349914123481</v>
      </c>
      <c r="AS562" s="19">
        <v>0.16069836061681067</v>
      </c>
      <c r="AT562" s="19">
        <v>-0.3091380967749523</v>
      </c>
      <c r="AU562" s="19">
        <v>0.56709270077838103</v>
      </c>
      <c r="AV562" s="19">
        <v>-3.6991192069289885E-2</v>
      </c>
      <c r="AW562" s="19">
        <v>-0.37696231375810202</v>
      </c>
      <c r="AX562" s="19">
        <v>0.26334178654258811</v>
      </c>
      <c r="AY562" s="19">
        <v>1.1178281104845822</v>
      </c>
      <c r="AZ562" s="19">
        <v>-1.2389672877792204</v>
      </c>
      <c r="BA562" s="19">
        <v>1.4815349914123481</v>
      </c>
      <c r="BB562" s="19">
        <v>-1.0259718815623491</v>
      </c>
      <c r="BC562" s="19">
        <v>-1.2986046799895121</v>
      </c>
      <c r="BD562" s="19">
        <v>1.200255699324682</v>
      </c>
      <c r="BE562" s="14" t="s">
        <v>4857</v>
      </c>
    </row>
    <row r="563" spans="1:105" s="30" customFormat="1" ht="17.100000000000001" customHeight="1">
      <c r="A563" s="14">
        <v>552</v>
      </c>
      <c r="B563" s="14" t="s">
        <v>1628</v>
      </c>
      <c r="C563" s="32">
        <v>-1.2582569309523066</v>
      </c>
      <c r="D563" s="32">
        <v>-1.2373189781856566</v>
      </c>
      <c r="E563" s="32">
        <v>-1.2712887568830786</v>
      </c>
      <c r="F563" s="24">
        <v>300741</v>
      </c>
      <c r="G563" s="52" t="s">
        <v>2</v>
      </c>
      <c r="H563" s="32">
        <v>16.916307030321217</v>
      </c>
      <c r="I563" s="32">
        <v>14.616885957894606</v>
      </c>
      <c r="J563" s="12" t="s">
        <v>1753</v>
      </c>
      <c r="K563" s="12" t="s">
        <v>1754</v>
      </c>
      <c r="L563" s="14" t="s">
        <v>5088</v>
      </c>
      <c r="M563" s="12" t="s">
        <v>1755</v>
      </c>
      <c r="N563" s="15" t="s">
        <v>1756</v>
      </c>
      <c r="O563" s="12" t="s">
        <v>1757</v>
      </c>
      <c r="P563" s="12" t="s">
        <v>1629</v>
      </c>
      <c r="Q563" s="14">
        <v>2</v>
      </c>
      <c r="R563" s="21">
        <v>863.93299999999999</v>
      </c>
      <c r="S563" s="14">
        <v>7</v>
      </c>
      <c r="T563" s="52" t="s">
        <v>2</v>
      </c>
      <c r="U563" s="53">
        <v>73.140775000000005</v>
      </c>
      <c r="V563" s="24">
        <v>275543</v>
      </c>
      <c r="W563" s="24">
        <v>280244</v>
      </c>
      <c r="X563" s="24">
        <v>312089</v>
      </c>
      <c r="Y563" s="24">
        <v>289393</v>
      </c>
      <c r="Z563" s="24">
        <v>213670</v>
      </c>
      <c r="AA563" s="24">
        <v>257138</v>
      </c>
      <c r="AB563" s="24">
        <v>261822</v>
      </c>
      <c r="AC563" s="24">
        <v>322183</v>
      </c>
      <c r="AD563" s="24">
        <v>289317.25</v>
      </c>
      <c r="AE563" s="24">
        <v>263703.25</v>
      </c>
      <c r="AF563" s="24">
        <v>277893.5</v>
      </c>
      <c r="AG563" s="24">
        <v>300741</v>
      </c>
      <c r="AH563" s="24">
        <v>235404</v>
      </c>
      <c r="AI563" s="24">
        <v>292002.5</v>
      </c>
      <c r="AJ563" s="32">
        <v>5.6110842595243957</v>
      </c>
      <c r="AK563" s="32">
        <v>16.916307030321217</v>
      </c>
      <c r="AL563" s="32">
        <v>1.1961809032445738</v>
      </c>
      <c r="AM563" s="32">
        <v>5.3363177969780917</v>
      </c>
      <c r="AN563" s="32">
        <v>13.056922382209668</v>
      </c>
      <c r="AO563" s="32">
        <v>14.616885957894606</v>
      </c>
      <c r="AP563" s="19">
        <v>0.91146742892102006</v>
      </c>
      <c r="AQ563" s="19">
        <v>0.84710149751613473</v>
      </c>
      <c r="AR563" s="19">
        <v>0.97094343637881098</v>
      </c>
      <c r="AS563" s="19">
        <v>-0.1337369920773703</v>
      </c>
      <c r="AT563" s="19">
        <v>-0.23939325497521366</v>
      </c>
      <c r="AU563" s="19">
        <v>-4.2540842942910453E-2</v>
      </c>
      <c r="AV563" s="19">
        <v>-0.33142654476347089</v>
      </c>
      <c r="AW563" s="19">
        <v>-0.30721747195836335</v>
      </c>
      <c r="AX563" s="19">
        <v>-0.34629175717870336</v>
      </c>
      <c r="AY563" s="19">
        <v>-1.0971319086890283</v>
      </c>
      <c r="AZ563" s="19">
        <v>-1.1804960833290854</v>
      </c>
      <c r="BA563" s="19">
        <v>-1.0299261136462874</v>
      </c>
      <c r="BB563" s="19">
        <v>-1.2582569309523066</v>
      </c>
      <c r="BC563" s="19">
        <v>-1.2373189781856566</v>
      </c>
      <c r="BD563" s="19">
        <v>-1.2712887568830786</v>
      </c>
      <c r="BE563" s="14" t="s">
        <v>4857</v>
      </c>
    </row>
    <row r="564" spans="1:105" s="30" customFormat="1" ht="17.100000000000001" customHeight="1">
      <c r="A564" s="14">
        <v>553</v>
      </c>
      <c r="B564" s="14" t="s">
        <v>1630</v>
      </c>
      <c r="C564" s="32">
        <v>-1.2361928828022459</v>
      </c>
      <c r="D564" s="32">
        <v>-1.1652517744076094</v>
      </c>
      <c r="E564" s="32">
        <v>-1.2992166764757089</v>
      </c>
      <c r="F564" s="24">
        <v>68338.5</v>
      </c>
      <c r="G564" s="52" t="s">
        <v>2</v>
      </c>
      <c r="H564" s="32">
        <v>27.112111867846423</v>
      </c>
      <c r="I564" s="32">
        <v>35.58892533332061</v>
      </c>
      <c r="J564" s="12" t="s">
        <v>1753</v>
      </c>
      <c r="K564" s="12" t="s">
        <v>1754</v>
      </c>
      <c r="L564" s="14" t="s">
        <v>5077</v>
      </c>
      <c r="M564" s="12" t="s">
        <v>1755</v>
      </c>
      <c r="N564" s="15" t="s">
        <v>1756</v>
      </c>
      <c r="O564" s="12" t="s">
        <v>1757</v>
      </c>
      <c r="P564" s="12" t="s">
        <v>1631</v>
      </c>
      <c r="Q564" s="14">
        <v>2</v>
      </c>
      <c r="R564" s="21">
        <v>836.94889999999998</v>
      </c>
      <c r="S564" s="14">
        <v>1</v>
      </c>
      <c r="T564" s="52" t="s">
        <v>2</v>
      </c>
      <c r="U564" s="53">
        <v>49.383150000000001</v>
      </c>
      <c r="V564" s="24">
        <v>50177</v>
      </c>
      <c r="W564" s="24">
        <v>57914</v>
      </c>
      <c r="X564" s="24">
        <v>51141</v>
      </c>
      <c r="Y564" s="24">
        <v>85536</v>
      </c>
      <c r="Z564" s="24">
        <v>55901</v>
      </c>
      <c r="AA564" s="24">
        <v>41326</v>
      </c>
      <c r="AB564" s="24">
        <v>55191</v>
      </c>
      <c r="AC564" s="24">
        <v>74662</v>
      </c>
      <c r="AD564" s="24">
        <v>61192</v>
      </c>
      <c r="AE564" s="24">
        <v>56770</v>
      </c>
      <c r="AF564" s="24">
        <v>54045.5</v>
      </c>
      <c r="AG564" s="24">
        <v>68338.5</v>
      </c>
      <c r="AH564" s="24">
        <v>48613.5</v>
      </c>
      <c r="AI564" s="24">
        <v>64926.5</v>
      </c>
      <c r="AJ564" s="32">
        <v>27.112111867846423</v>
      </c>
      <c r="AK564" s="32">
        <v>24.107147299356111</v>
      </c>
      <c r="AL564" s="32">
        <v>10.122739480697408</v>
      </c>
      <c r="AM564" s="32">
        <v>35.58892533332061</v>
      </c>
      <c r="AN564" s="32">
        <v>21.200039774535735</v>
      </c>
      <c r="AO564" s="32">
        <v>21.205634273344888</v>
      </c>
      <c r="AP564" s="19">
        <v>0.92773565171917893</v>
      </c>
      <c r="AQ564" s="19">
        <v>0.89949209462397428</v>
      </c>
      <c r="AR564" s="19">
        <v>0.95007206772170882</v>
      </c>
      <c r="AS564" s="19">
        <v>-0.10821431139103244</v>
      </c>
      <c r="AT564" s="19">
        <v>-0.15281749278459744</v>
      </c>
      <c r="AU564" s="19">
        <v>-7.3891141653009321E-2</v>
      </c>
      <c r="AV564" s="19">
        <v>-0.30590386407713299</v>
      </c>
      <c r="AW564" s="19">
        <v>-0.22064170976774716</v>
      </c>
      <c r="AX564" s="19">
        <v>-0.37764205588880223</v>
      </c>
      <c r="AY564" s="19">
        <v>-1.0778932534789503</v>
      </c>
      <c r="AZ564" s="19">
        <v>-1.1117385088504221</v>
      </c>
      <c r="BA564" s="19">
        <v>-1.0525517315733945</v>
      </c>
      <c r="BB564" s="19">
        <v>-1.2361928828022459</v>
      </c>
      <c r="BC564" s="19">
        <v>-1.1652517744076094</v>
      </c>
      <c r="BD564" s="19">
        <v>-1.2992166764757089</v>
      </c>
      <c r="BE564" s="14" t="s">
        <v>4857</v>
      </c>
    </row>
    <row r="565" spans="1:105" s="30" customFormat="1" ht="17.100000000000001" customHeight="1">
      <c r="A565" s="14">
        <v>554</v>
      </c>
      <c r="B565" s="14" t="s">
        <v>1632</v>
      </c>
      <c r="C565" s="32">
        <v>-1.0853835583992568</v>
      </c>
      <c r="D565" s="32">
        <v>1.0639990923549978</v>
      </c>
      <c r="E565" s="32">
        <v>-1.2078258747118449</v>
      </c>
      <c r="F565" s="24">
        <v>439433</v>
      </c>
      <c r="G565" s="52" t="s">
        <v>2</v>
      </c>
      <c r="H565" s="32">
        <v>38.228179933263554</v>
      </c>
      <c r="I565" s="32">
        <v>29.896312991317984</v>
      </c>
      <c r="J565" s="12" t="s">
        <v>1753</v>
      </c>
      <c r="K565" s="12" t="s">
        <v>1754</v>
      </c>
      <c r="L565" s="14" t="s">
        <v>5129</v>
      </c>
      <c r="M565" s="12" t="s">
        <v>1755</v>
      </c>
      <c r="N565" s="15" t="s">
        <v>1756</v>
      </c>
      <c r="O565" s="12" t="s">
        <v>1757</v>
      </c>
      <c r="P565" s="12" t="s">
        <v>1633</v>
      </c>
      <c r="Q565" s="14">
        <v>3</v>
      </c>
      <c r="R565" s="21">
        <v>829.75490000000002</v>
      </c>
      <c r="S565" s="14">
        <v>8</v>
      </c>
      <c r="T565" s="52" t="s">
        <v>2</v>
      </c>
      <c r="U565" s="53">
        <v>68.142912499999994</v>
      </c>
      <c r="V565" s="24">
        <v>209448</v>
      </c>
      <c r="W565" s="24">
        <v>299733</v>
      </c>
      <c r="X565" s="24">
        <v>339091</v>
      </c>
      <c r="Y565" s="24">
        <v>520890</v>
      </c>
      <c r="Z565" s="24">
        <v>285985</v>
      </c>
      <c r="AA565" s="24">
        <v>281861</v>
      </c>
      <c r="AB565" s="24">
        <v>499905</v>
      </c>
      <c r="AC565" s="24">
        <v>378961</v>
      </c>
      <c r="AD565" s="24">
        <v>342290.5</v>
      </c>
      <c r="AE565" s="24">
        <v>361678</v>
      </c>
      <c r="AF565" s="24">
        <v>254590.5</v>
      </c>
      <c r="AG565" s="24">
        <v>429990.5</v>
      </c>
      <c r="AH565" s="24">
        <v>283923</v>
      </c>
      <c r="AI565" s="24">
        <v>439433</v>
      </c>
      <c r="AJ565" s="32">
        <v>38.228179933263554</v>
      </c>
      <c r="AK565" s="32">
        <v>28.334208424224016</v>
      </c>
      <c r="AL565" s="32">
        <v>25.076008625391538</v>
      </c>
      <c r="AM565" s="32">
        <v>29.896312991317984</v>
      </c>
      <c r="AN565" s="32">
        <v>1.0270771883973195</v>
      </c>
      <c r="AO565" s="32">
        <v>19.461515758676708</v>
      </c>
      <c r="AP565" s="19">
        <v>1.0566404852018971</v>
      </c>
      <c r="AQ565" s="19">
        <v>1.1152144325888045</v>
      </c>
      <c r="AR565" s="19">
        <v>1.021959787483677</v>
      </c>
      <c r="AS565" s="19">
        <v>7.9484592952038816E-2</v>
      </c>
      <c r="AT565" s="19">
        <v>0.15732113713099097</v>
      </c>
      <c r="AU565" s="19">
        <v>3.1338429603074688E-2</v>
      </c>
      <c r="AV565" s="19">
        <v>-0.11820495973406174</v>
      </c>
      <c r="AW565" s="19">
        <v>8.9496920147841261E-2</v>
      </c>
      <c r="AX565" s="19">
        <v>-0.27241248463271822</v>
      </c>
      <c r="AY565" s="19">
        <v>1.0566404852018971</v>
      </c>
      <c r="AZ565" s="19">
        <v>1.1152144325888045</v>
      </c>
      <c r="BA565" s="19">
        <v>1.021959787483677</v>
      </c>
      <c r="BB565" s="19">
        <v>-1.0853835583992568</v>
      </c>
      <c r="BC565" s="19">
        <v>1.0639990923549978</v>
      </c>
      <c r="BD565" s="19">
        <v>-1.2078258747118449</v>
      </c>
      <c r="BE565" s="14" t="s">
        <v>4857</v>
      </c>
    </row>
    <row r="566" spans="1:105" s="30" customFormat="1" ht="17.100000000000001" customHeight="1">
      <c r="A566" s="14">
        <v>555</v>
      </c>
      <c r="B566" s="14" t="s">
        <v>1636</v>
      </c>
      <c r="C566" s="32">
        <v>-1.3033063626570358</v>
      </c>
      <c r="D566" s="32">
        <v>-1.4091744505649604</v>
      </c>
      <c r="E566" s="32">
        <v>-1.2196179053743568</v>
      </c>
      <c r="F566" s="42">
        <v>1050803</v>
      </c>
      <c r="G566" s="52" t="s">
        <v>4894</v>
      </c>
      <c r="H566" s="32">
        <v>27.175563308634459</v>
      </c>
      <c r="I566" s="32">
        <v>34.484412436996877</v>
      </c>
      <c r="J566" s="12" t="s">
        <v>1753</v>
      </c>
      <c r="K566" s="12" t="s">
        <v>1754</v>
      </c>
      <c r="L566" s="14" t="s">
        <v>5034</v>
      </c>
      <c r="M566" s="12" t="s">
        <v>1755</v>
      </c>
      <c r="N566" s="15" t="s">
        <v>1756</v>
      </c>
      <c r="O566" s="12" t="s">
        <v>1757</v>
      </c>
      <c r="P566" s="12" t="s">
        <v>1637</v>
      </c>
      <c r="Q566" s="14">
        <v>4</v>
      </c>
      <c r="R566" s="21">
        <v>769.89859999999999</v>
      </c>
      <c r="S566" s="14">
        <v>2</v>
      </c>
      <c r="T566" s="52" t="s">
        <v>4894</v>
      </c>
      <c r="U566" s="53">
        <v>73.8</v>
      </c>
      <c r="V566" s="42">
        <v>1253005</v>
      </c>
      <c r="W566" s="42">
        <v>761729</v>
      </c>
      <c r="X566" s="42">
        <v>1196692</v>
      </c>
      <c r="Y566" s="42">
        <v>879832</v>
      </c>
      <c r="Z566" s="42">
        <v>648620</v>
      </c>
      <c r="AA566" s="42">
        <v>849926</v>
      </c>
      <c r="AB566" s="42">
        <v>1235588</v>
      </c>
      <c r="AC566" s="42">
        <v>866018</v>
      </c>
      <c r="AD566" s="42">
        <v>1022814.5</v>
      </c>
      <c r="AE566" s="42">
        <v>900038</v>
      </c>
      <c r="AF566" s="42">
        <v>1007367</v>
      </c>
      <c r="AG566" s="42">
        <v>1038262</v>
      </c>
      <c r="AH566" s="42">
        <v>749273</v>
      </c>
      <c r="AI566" s="42">
        <v>1050803</v>
      </c>
      <c r="AJ566" s="32">
        <v>23.398760761013857</v>
      </c>
      <c r="AK566" s="32">
        <v>27.175563308634459</v>
      </c>
      <c r="AL566" s="32">
        <v>34.484412436996877</v>
      </c>
      <c r="AM566" s="32">
        <v>21.579702877189906</v>
      </c>
      <c r="AN566" s="32">
        <v>18.997726822338336</v>
      </c>
      <c r="AO566" s="32">
        <v>24.869119437526575</v>
      </c>
      <c r="AP566" s="19">
        <v>0.87996210456539281</v>
      </c>
      <c r="AQ566" s="19">
        <v>0.74379347348086644</v>
      </c>
      <c r="AR566" s="19">
        <v>1.0120788394451496</v>
      </c>
      <c r="AS566" s="19">
        <v>-0.18448669924285283</v>
      </c>
      <c r="AT566" s="19">
        <v>-0.42702600600992496</v>
      </c>
      <c r="AU566" s="19">
        <v>1.7321678220256844E-2</v>
      </c>
      <c r="AV566" s="19">
        <v>-0.38217625192895338</v>
      </c>
      <c r="AW566" s="19">
        <v>-0.49485022299307468</v>
      </c>
      <c r="AX566" s="19">
        <v>-0.2864292360155361</v>
      </c>
      <c r="AY566" s="19">
        <v>-1.1364125736913331</v>
      </c>
      <c r="AZ566" s="19">
        <v>-1.344459229146119</v>
      </c>
      <c r="BA566" s="19">
        <v>1.0120788394451496</v>
      </c>
      <c r="BB566" s="19">
        <v>-1.3033063626570358</v>
      </c>
      <c r="BC566" s="19">
        <v>-1.4091744505649604</v>
      </c>
      <c r="BD566" s="19">
        <v>-1.2196179053743568</v>
      </c>
      <c r="BE566" s="14" t="s">
        <v>4857</v>
      </c>
    </row>
    <row r="567" spans="1:105" s="30" customFormat="1" ht="17.100000000000001" customHeight="1">
      <c r="A567" s="14">
        <v>556</v>
      </c>
      <c r="B567" s="14" t="s">
        <v>1638</v>
      </c>
      <c r="C567" s="32">
        <v>1.0459650406530996</v>
      </c>
      <c r="D567" s="32">
        <v>1.0779818102779029</v>
      </c>
      <c r="E567" s="32">
        <v>1.0206574883797548</v>
      </c>
      <c r="F567" s="24">
        <v>250948.5</v>
      </c>
      <c r="G567" s="52" t="s">
        <v>2</v>
      </c>
      <c r="H567" s="32">
        <v>17.142082606570803</v>
      </c>
      <c r="I567" s="32">
        <v>15.979886168558375</v>
      </c>
      <c r="J567" s="12" t="s">
        <v>1639</v>
      </c>
      <c r="K567" s="12" t="s">
        <v>1640</v>
      </c>
      <c r="L567" s="14" t="s">
        <v>5251</v>
      </c>
      <c r="M567" s="12" t="s">
        <v>1641</v>
      </c>
      <c r="N567" s="15" t="s">
        <v>1642</v>
      </c>
      <c r="O567" s="12" t="s">
        <v>1643</v>
      </c>
      <c r="P567" s="12" t="s">
        <v>1644</v>
      </c>
      <c r="Q567" s="14">
        <v>2</v>
      </c>
      <c r="R567" s="21">
        <v>556.80089999999996</v>
      </c>
      <c r="S567" s="14">
        <v>2</v>
      </c>
      <c r="T567" s="52" t="s">
        <v>2</v>
      </c>
      <c r="U567" s="53">
        <v>34.160337499999997</v>
      </c>
      <c r="V567" s="24">
        <v>191695</v>
      </c>
      <c r="W567" s="24">
        <v>152772</v>
      </c>
      <c r="X567" s="24">
        <v>201174</v>
      </c>
      <c r="Y567" s="24">
        <v>197205</v>
      </c>
      <c r="Z567" s="24">
        <v>192779</v>
      </c>
      <c r="AA567" s="24">
        <v>196424</v>
      </c>
      <c r="AB567" s="24">
        <v>226521</v>
      </c>
      <c r="AC567" s="24">
        <v>275376</v>
      </c>
      <c r="AD567" s="24">
        <v>185711.5</v>
      </c>
      <c r="AE567" s="24">
        <v>222775</v>
      </c>
      <c r="AF567" s="24">
        <v>172233.5</v>
      </c>
      <c r="AG567" s="24">
        <v>199189.5</v>
      </c>
      <c r="AH567" s="24">
        <v>194601.5</v>
      </c>
      <c r="AI567" s="24">
        <v>250948.5</v>
      </c>
      <c r="AJ567" s="32">
        <v>12.008405172900622</v>
      </c>
      <c r="AK567" s="32">
        <v>17.142082606570803</v>
      </c>
      <c r="AL567" s="32">
        <v>15.979886168558375</v>
      </c>
      <c r="AM567" s="32">
        <v>1.4089632307573476</v>
      </c>
      <c r="AN567" s="32">
        <v>1.3244523898453844</v>
      </c>
      <c r="AO567" s="32">
        <v>13.766052315462646</v>
      </c>
      <c r="AP567" s="19">
        <v>1.1995756859429814</v>
      </c>
      <c r="AQ567" s="19">
        <v>1.1298702052736547</v>
      </c>
      <c r="AR567" s="19">
        <v>1.2598480341584271</v>
      </c>
      <c r="AS567" s="19">
        <v>0.26252418580130499</v>
      </c>
      <c r="AT567" s="19">
        <v>0.17615705143417348</v>
      </c>
      <c r="AU567" s="19">
        <v>0.33324972294095745</v>
      </c>
      <c r="AV567" s="19">
        <v>6.4834633115204432E-2</v>
      </c>
      <c r="AW567" s="19">
        <v>0.10833283445102378</v>
      </c>
      <c r="AX567" s="19">
        <v>2.9498808705164525E-2</v>
      </c>
      <c r="AY567" s="19">
        <v>1.1995756859429814</v>
      </c>
      <c r="AZ567" s="19">
        <v>1.1298702052736547</v>
      </c>
      <c r="BA567" s="19">
        <v>1.2598480341584271</v>
      </c>
      <c r="BB567" s="19">
        <v>1.0459650406530996</v>
      </c>
      <c r="BC567" s="19">
        <v>1.0779818102779029</v>
      </c>
      <c r="BD567" s="19">
        <v>1.0206574883797548</v>
      </c>
      <c r="BE567" s="14" t="s">
        <v>4857</v>
      </c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28"/>
      <c r="BU567" s="28"/>
      <c r="BV567" s="28"/>
      <c r="BW567" s="28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</row>
    <row r="568" spans="1:105" s="30" customFormat="1" ht="17.100000000000001" customHeight="1">
      <c r="A568" s="14">
        <v>557</v>
      </c>
      <c r="B568" s="14" t="s">
        <v>1645</v>
      </c>
      <c r="C568" s="32">
        <v>-1.3155892694022053</v>
      </c>
      <c r="D568" s="32">
        <v>-1.2278910049542222</v>
      </c>
      <c r="E568" s="32">
        <v>-1.3930722363616768</v>
      </c>
      <c r="F568" s="24">
        <v>445412</v>
      </c>
      <c r="G568" s="52" t="s">
        <v>2</v>
      </c>
      <c r="H568" s="32">
        <v>16.629323501867642</v>
      </c>
      <c r="I568" s="32">
        <v>18.424328570743015</v>
      </c>
      <c r="J568" s="12" t="s">
        <v>1639</v>
      </c>
      <c r="K568" s="12" t="s">
        <v>1640</v>
      </c>
      <c r="L568" s="14" t="s">
        <v>5039</v>
      </c>
      <c r="M568" s="12" t="s">
        <v>1641</v>
      </c>
      <c r="N568" s="15" t="s">
        <v>1642</v>
      </c>
      <c r="O568" s="12" t="s">
        <v>1643</v>
      </c>
      <c r="P568" s="12" t="s">
        <v>1646</v>
      </c>
      <c r="Q568" s="14">
        <v>2</v>
      </c>
      <c r="R568" s="21">
        <v>853.91719999999998</v>
      </c>
      <c r="S568" s="14">
        <v>12</v>
      </c>
      <c r="T568" s="52" t="s">
        <v>2</v>
      </c>
      <c r="U568" s="53">
        <v>64.90773750000001</v>
      </c>
      <c r="V568" s="24">
        <v>397308</v>
      </c>
      <c r="W568" s="24">
        <v>305718</v>
      </c>
      <c r="X568" s="24">
        <v>454368</v>
      </c>
      <c r="Y568" s="24">
        <v>436456</v>
      </c>
      <c r="Z568" s="24">
        <v>295778</v>
      </c>
      <c r="AA568" s="24">
        <v>304329</v>
      </c>
      <c r="AB568" s="24">
        <v>389937</v>
      </c>
      <c r="AC568" s="24">
        <v>399389</v>
      </c>
      <c r="AD568" s="24">
        <v>398462.5</v>
      </c>
      <c r="AE568" s="24">
        <v>347358.25</v>
      </c>
      <c r="AF568" s="24">
        <v>351513</v>
      </c>
      <c r="AG568" s="24">
        <v>445412</v>
      </c>
      <c r="AH568" s="24">
        <v>300053.5</v>
      </c>
      <c r="AI568" s="24">
        <v>394663</v>
      </c>
      <c r="AJ568" s="32">
        <v>16.629323501867642</v>
      </c>
      <c r="AK568" s="32">
        <v>15.796403743209753</v>
      </c>
      <c r="AL568" s="32">
        <v>18.424328570743015</v>
      </c>
      <c r="AM568" s="32">
        <v>2.8435912513837613</v>
      </c>
      <c r="AN568" s="32">
        <v>2.015130663673701</v>
      </c>
      <c r="AO568" s="32">
        <v>1.6934886968819594</v>
      </c>
      <c r="AP568" s="19">
        <v>0.87174640022586813</v>
      </c>
      <c r="AQ568" s="19">
        <v>0.85360569879350123</v>
      </c>
      <c r="AR568" s="19">
        <v>0.88606279130333265</v>
      </c>
      <c r="AS568" s="19">
        <v>-0.19801959331240984</v>
      </c>
      <c r="AT568" s="19">
        <v>-0.228358287054829</v>
      </c>
      <c r="AU568" s="19">
        <v>-0.17451915514539237</v>
      </c>
      <c r="AV568" s="19">
        <v>-0.39570914599851037</v>
      </c>
      <c r="AW568" s="19">
        <v>-0.29618250403797869</v>
      </c>
      <c r="AX568" s="19">
        <v>-0.47827006938118533</v>
      </c>
      <c r="AY568" s="19">
        <v>-1.1471226032489512</v>
      </c>
      <c r="AZ568" s="19">
        <v>-1.1715010823069887</v>
      </c>
      <c r="BA568" s="19">
        <v>-1.1285881878970159</v>
      </c>
      <c r="BB568" s="19">
        <v>-1.3155892694022053</v>
      </c>
      <c r="BC568" s="19">
        <v>-1.2278910049542222</v>
      </c>
      <c r="BD568" s="19">
        <v>-1.3930722363616768</v>
      </c>
      <c r="BE568" s="14" t="s">
        <v>4857</v>
      </c>
    </row>
    <row r="569" spans="1:105" s="30" customFormat="1" ht="17.100000000000001" customHeight="1">
      <c r="A569" s="14">
        <v>558</v>
      </c>
      <c r="B569" s="14" t="s">
        <v>1652</v>
      </c>
      <c r="C569" s="32">
        <v>1.0448845202001029</v>
      </c>
      <c r="D569" s="32">
        <v>1.2269577931254496</v>
      </c>
      <c r="E569" s="32">
        <v>-1.081410429086002</v>
      </c>
      <c r="F569" s="24">
        <v>80470.5</v>
      </c>
      <c r="G569" s="52" t="s">
        <v>2</v>
      </c>
      <c r="H569" s="32">
        <v>36.762073370703988</v>
      </c>
      <c r="I569" s="32">
        <v>38.195802044178869</v>
      </c>
      <c r="J569" s="12" t="s">
        <v>1653</v>
      </c>
      <c r="K569" s="12" t="s">
        <v>1654</v>
      </c>
      <c r="L569" s="14" t="s">
        <v>4692</v>
      </c>
      <c r="M569" s="12" t="s">
        <v>1655</v>
      </c>
      <c r="N569" s="15" t="s">
        <v>1656</v>
      </c>
      <c r="O569" s="12" t="s">
        <v>1657</v>
      </c>
      <c r="P569" s="12" t="s">
        <v>1658</v>
      </c>
      <c r="Q569" s="14">
        <v>2</v>
      </c>
      <c r="R569" s="21">
        <v>484.7636</v>
      </c>
      <c r="S569" s="14">
        <v>4</v>
      </c>
      <c r="T569" s="52" t="s">
        <v>2</v>
      </c>
      <c r="U569" s="53">
        <v>40.553812499999999</v>
      </c>
      <c r="V569" s="24">
        <v>49808</v>
      </c>
      <c r="W569" s="24">
        <v>41711</v>
      </c>
      <c r="X569" s="24">
        <v>89541</v>
      </c>
      <c r="Y569" s="24">
        <v>51459</v>
      </c>
      <c r="Z569" s="24">
        <v>50448</v>
      </c>
      <c r="AA569" s="24">
        <v>67247</v>
      </c>
      <c r="AB569" s="24">
        <v>74219</v>
      </c>
      <c r="AC569" s="24">
        <v>86722</v>
      </c>
      <c r="AD569" s="24">
        <v>58129.75</v>
      </c>
      <c r="AE569" s="24">
        <v>69659</v>
      </c>
      <c r="AF569" s="24">
        <v>45759.5</v>
      </c>
      <c r="AG569" s="24">
        <v>70500</v>
      </c>
      <c r="AH569" s="24">
        <v>58847.5</v>
      </c>
      <c r="AI569" s="24">
        <v>80470.5</v>
      </c>
      <c r="AJ569" s="32">
        <v>36.762073370703988</v>
      </c>
      <c r="AK569" s="32">
        <v>21.721186833350366</v>
      </c>
      <c r="AL569" s="32">
        <v>12.512032708546805</v>
      </c>
      <c r="AM569" s="32">
        <v>38.195802044178869</v>
      </c>
      <c r="AN569" s="32">
        <v>20.185541980802601</v>
      </c>
      <c r="AO569" s="32">
        <v>10.986580281190502</v>
      </c>
      <c r="AP569" s="19">
        <v>1.198336480029589</v>
      </c>
      <c r="AQ569" s="19">
        <v>1.2860171112009529</v>
      </c>
      <c r="AR569" s="19">
        <v>1.1414255319148936</v>
      </c>
      <c r="AS569" s="19">
        <v>0.26103305830262935</v>
      </c>
      <c r="AT569" s="19">
        <v>0.36290983868493126</v>
      </c>
      <c r="AU569" s="19">
        <v>0.19083673933344047</v>
      </c>
      <c r="AV569" s="19">
        <v>6.3343505616528795E-2</v>
      </c>
      <c r="AW569" s="19">
        <v>0.29508562170178154</v>
      </c>
      <c r="AX569" s="19">
        <v>-0.11291417490235245</v>
      </c>
      <c r="AY569" s="19">
        <v>1.198336480029589</v>
      </c>
      <c r="AZ569" s="19">
        <v>1.2860171112009529</v>
      </c>
      <c r="BA569" s="19">
        <v>1.1414255319148936</v>
      </c>
      <c r="BB569" s="19">
        <v>1.0448845202001029</v>
      </c>
      <c r="BC569" s="19">
        <v>1.2269577931254496</v>
      </c>
      <c r="BD569" s="19">
        <v>-1.081410429086002</v>
      </c>
      <c r="BE569" s="14" t="s">
        <v>4857</v>
      </c>
    </row>
    <row r="570" spans="1:105" s="30" customFormat="1" ht="17.100000000000001" customHeight="1">
      <c r="A570" s="14">
        <v>559</v>
      </c>
      <c r="B570" s="14" t="s">
        <v>1666</v>
      </c>
      <c r="C570" s="32">
        <v>1.0721503074207439</v>
      </c>
      <c r="D570" s="32">
        <v>1.0851579990722446</v>
      </c>
      <c r="E570" s="32">
        <v>1.0527780985111466</v>
      </c>
      <c r="F570" s="24">
        <v>467156.5</v>
      </c>
      <c r="G570" s="52" t="s">
        <v>2</v>
      </c>
      <c r="H570" s="32">
        <v>30.067709004670245</v>
      </c>
      <c r="I570" s="32">
        <v>26.340515259632301</v>
      </c>
      <c r="J570" s="12" t="s">
        <v>1660</v>
      </c>
      <c r="K570" s="12" t="s">
        <v>1661</v>
      </c>
      <c r="L570" s="14" t="s">
        <v>5280</v>
      </c>
      <c r="M570" s="12" t="s">
        <v>1662</v>
      </c>
      <c r="N570" s="15" t="s">
        <v>1663</v>
      </c>
      <c r="O570" s="12" t="s">
        <v>1664</v>
      </c>
      <c r="P570" s="12" t="s">
        <v>1665</v>
      </c>
      <c r="Q570" s="14">
        <v>3</v>
      </c>
      <c r="R570" s="21">
        <v>557.99419999999998</v>
      </c>
      <c r="S570" s="14">
        <v>9</v>
      </c>
      <c r="T570" s="52" t="s">
        <v>2</v>
      </c>
      <c r="U570" s="53">
        <v>87.315887499999988</v>
      </c>
      <c r="V570" s="24">
        <v>284941</v>
      </c>
      <c r="W570" s="24">
        <v>259975</v>
      </c>
      <c r="X570" s="24">
        <v>339375</v>
      </c>
      <c r="Y570" s="24">
        <v>379606</v>
      </c>
      <c r="Z570" s="24">
        <v>332989</v>
      </c>
      <c r="AA570" s="24">
        <v>286794</v>
      </c>
      <c r="AB570" s="24">
        <v>554167</v>
      </c>
      <c r="AC570" s="24">
        <v>380146</v>
      </c>
      <c r="AD570" s="24">
        <v>315974.25</v>
      </c>
      <c r="AE570" s="24">
        <v>388524</v>
      </c>
      <c r="AF570" s="24">
        <v>272458</v>
      </c>
      <c r="AG570" s="24">
        <v>359490.5</v>
      </c>
      <c r="AH570" s="24">
        <v>309891.5</v>
      </c>
      <c r="AI570" s="24">
        <v>467156.5</v>
      </c>
      <c r="AJ570" s="32">
        <v>17.038713148705142</v>
      </c>
      <c r="AK570" s="32">
        <v>30.067709004670245</v>
      </c>
      <c r="AL570" s="32">
        <v>6.4793942182293591</v>
      </c>
      <c r="AM570" s="32">
        <v>7.9133142360969186</v>
      </c>
      <c r="AN570" s="32">
        <v>10.540720786763289</v>
      </c>
      <c r="AO570" s="32">
        <v>26.340515259632301</v>
      </c>
      <c r="AP570" s="19">
        <v>1.2296065264811926</v>
      </c>
      <c r="AQ570" s="19">
        <v>1.1373918181884914</v>
      </c>
      <c r="AR570" s="19">
        <v>1.2994960923863079</v>
      </c>
      <c r="AS570" s="19">
        <v>0.29819672766983746</v>
      </c>
      <c r="AT570" s="19">
        <v>0.18572933143430684</v>
      </c>
      <c r="AU570" s="19">
        <v>0.37795229560051652</v>
      </c>
      <c r="AV570" s="19">
        <v>0.1005071749837369</v>
      </c>
      <c r="AW570" s="19">
        <v>0.11790511445115713</v>
      </c>
      <c r="AX570" s="19">
        <v>7.4201381364723595E-2</v>
      </c>
      <c r="AY570" s="19">
        <v>1.2296065264811926</v>
      </c>
      <c r="AZ570" s="19">
        <v>1.1373918181884914</v>
      </c>
      <c r="BA570" s="19">
        <v>1.2994960923863079</v>
      </c>
      <c r="BB570" s="19">
        <v>1.0721503074207439</v>
      </c>
      <c r="BC570" s="19">
        <v>1.0851579990722446</v>
      </c>
      <c r="BD570" s="19">
        <v>1.0527780985111466</v>
      </c>
      <c r="BE570" s="14" t="s">
        <v>4857</v>
      </c>
    </row>
    <row r="571" spans="1:105" s="30" customFormat="1" ht="17.100000000000001" customHeight="1">
      <c r="A571" s="14">
        <v>560</v>
      </c>
      <c r="B571" s="14" t="s">
        <v>1667</v>
      </c>
      <c r="C571" s="32">
        <v>1.0548035259336721</v>
      </c>
      <c r="D571" s="32">
        <v>-1.1689229164225499</v>
      </c>
      <c r="E571" s="32">
        <v>1.2432434775619736</v>
      </c>
      <c r="F571" s="24">
        <v>396968</v>
      </c>
      <c r="G571" s="52" t="s">
        <v>2</v>
      </c>
      <c r="H571" s="32">
        <v>28.432682870884534</v>
      </c>
      <c r="I571" s="32">
        <v>34.493456984647416</v>
      </c>
      <c r="J571" s="12" t="s">
        <v>1660</v>
      </c>
      <c r="K571" s="12" t="s">
        <v>1661</v>
      </c>
      <c r="L571" s="14" t="s">
        <v>5148</v>
      </c>
      <c r="M571" s="12" t="s">
        <v>1662</v>
      </c>
      <c r="N571" s="15" t="s">
        <v>1663</v>
      </c>
      <c r="O571" s="12" t="s">
        <v>1664</v>
      </c>
      <c r="P571" s="12" t="s">
        <v>1668</v>
      </c>
      <c r="Q571" s="14">
        <v>2</v>
      </c>
      <c r="R571" s="21">
        <v>641.82100000000003</v>
      </c>
      <c r="S571" s="14">
        <v>8</v>
      </c>
      <c r="T571" s="52" t="s">
        <v>2</v>
      </c>
      <c r="U571" s="53">
        <v>46.124212499999992</v>
      </c>
      <c r="V571" s="24">
        <v>333942</v>
      </c>
      <c r="W571" s="24">
        <v>202983</v>
      </c>
      <c r="X571" s="24">
        <v>242750</v>
      </c>
      <c r="Y571" s="24">
        <v>274608</v>
      </c>
      <c r="Z571" s="24">
        <v>248127</v>
      </c>
      <c r="AA571" s="24">
        <v>233316</v>
      </c>
      <c r="AB571" s="24">
        <v>388815</v>
      </c>
      <c r="AC571" s="24">
        <v>405121</v>
      </c>
      <c r="AD571" s="24">
        <v>263570.75</v>
      </c>
      <c r="AE571" s="24">
        <v>318844.75</v>
      </c>
      <c r="AF571" s="24">
        <v>268462.5</v>
      </c>
      <c r="AG571" s="24">
        <v>258679</v>
      </c>
      <c r="AH571" s="24">
        <v>240721.5</v>
      </c>
      <c r="AI571" s="24">
        <v>396968</v>
      </c>
      <c r="AJ571" s="32">
        <v>20.985706149342278</v>
      </c>
      <c r="AK571" s="32">
        <v>28.432682870884534</v>
      </c>
      <c r="AL571" s="32">
        <v>34.493456984647416</v>
      </c>
      <c r="AM571" s="32">
        <v>8.7084795576915912</v>
      </c>
      <c r="AN571" s="32">
        <v>4.3506535710993637</v>
      </c>
      <c r="AO571" s="32">
        <v>2.9045371853720816</v>
      </c>
      <c r="AP571" s="19">
        <v>1.2097121930259711</v>
      </c>
      <c r="AQ571" s="19">
        <v>0.89666713228104489</v>
      </c>
      <c r="AR571" s="19">
        <v>1.5345969328782003</v>
      </c>
      <c r="AS571" s="19">
        <v>0.27466385156332862</v>
      </c>
      <c r="AT571" s="19">
        <v>-0.15735557878753181</v>
      </c>
      <c r="AU571" s="19">
        <v>0.61785977657399138</v>
      </c>
      <c r="AV571" s="19">
        <v>7.6974298877228065E-2</v>
      </c>
      <c r="AW571" s="19">
        <v>-0.22517979577068153</v>
      </c>
      <c r="AX571" s="19">
        <v>0.31410886233819846</v>
      </c>
      <c r="AY571" s="19">
        <v>1.2097121930259711</v>
      </c>
      <c r="AZ571" s="19">
        <v>-1.1152410565736752</v>
      </c>
      <c r="BA571" s="19">
        <v>1.5345969328782003</v>
      </c>
      <c r="BB571" s="19">
        <v>1.0548035259336721</v>
      </c>
      <c r="BC571" s="19">
        <v>-1.1689229164225499</v>
      </c>
      <c r="BD571" s="19">
        <v>1.2432434775619736</v>
      </c>
      <c r="BE571" s="14" t="s">
        <v>4857</v>
      </c>
    </row>
    <row r="572" spans="1:105" s="30" customFormat="1" ht="17.100000000000001" customHeight="1">
      <c r="A572" s="14">
        <v>561</v>
      </c>
      <c r="B572" s="14" t="s">
        <v>1671</v>
      </c>
      <c r="C572" s="32">
        <v>1.0636995543530996</v>
      </c>
      <c r="D572" s="32">
        <v>1.0734834955806141</v>
      </c>
      <c r="E572" s="32">
        <v>1.0391351841929486</v>
      </c>
      <c r="F572" s="24">
        <v>224438.5</v>
      </c>
      <c r="G572" s="52" t="s">
        <v>2</v>
      </c>
      <c r="H572" s="32">
        <v>33.266506349199815</v>
      </c>
      <c r="I572" s="32">
        <v>31.260008216072183</v>
      </c>
      <c r="J572" s="12" t="s">
        <v>1660</v>
      </c>
      <c r="K572" s="12" t="s">
        <v>1661</v>
      </c>
      <c r="L572" s="14" t="s">
        <v>4666</v>
      </c>
      <c r="M572" s="12" t="s">
        <v>1662</v>
      </c>
      <c r="N572" s="15" t="s">
        <v>1663</v>
      </c>
      <c r="O572" s="12" t="s">
        <v>1664</v>
      </c>
      <c r="P572" s="12" t="s">
        <v>1672</v>
      </c>
      <c r="Q572" s="14">
        <v>3</v>
      </c>
      <c r="R572" s="21">
        <v>657.71069999999997</v>
      </c>
      <c r="S572" s="14">
        <v>1</v>
      </c>
      <c r="T572" s="52" t="s">
        <v>2</v>
      </c>
      <c r="U572" s="53">
        <v>65.871825000000001</v>
      </c>
      <c r="V572" s="24">
        <v>141465</v>
      </c>
      <c r="W572" s="24">
        <v>90247</v>
      </c>
      <c r="X572" s="24">
        <v>144352</v>
      </c>
      <c r="Y572" s="24">
        <v>205607</v>
      </c>
      <c r="Z572" s="24">
        <v>142635</v>
      </c>
      <c r="AA572" s="24">
        <v>118077</v>
      </c>
      <c r="AB572" s="24">
        <v>249883</v>
      </c>
      <c r="AC572" s="24">
        <v>198994</v>
      </c>
      <c r="AD572" s="24">
        <v>145417.75</v>
      </c>
      <c r="AE572" s="24">
        <v>177397.25</v>
      </c>
      <c r="AF572" s="24">
        <v>115856</v>
      </c>
      <c r="AG572" s="24">
        <v>174979.5</v>
      </c>
      <c r="AH572" s="24">
        <v>130356</v>
      </c>
      <c r="AI572" s="24">
        <v>224438.5</v>
      </c>
      <c r="AJ572" s="32">
        <v>32.457719258253221</v>
      </c>
      <c r="AK572" s="32">
        <v>33.266506349199815</v>
      </c>
      <c r="AL572" s="32">
        <v>31.260008216072183</v>
      </c>
      <c r="AM572" s="32">
        <v>24.753657360766248</v>
      </c>
      <c r="AN572" s="32">
        <v>13.321311126744634</v>
      </c>
      <c r="AO572" s="32">
        <v>16.032880716901161</v>
      </c>
      <c r="AP572" s="19">
        <v>1.2199146940452592</v>
      </c>
      <c r="AQ572" s="19">
        <v>1.1251553652810384</v>
      </c>
      <c r="AR572" s="19">
        <v>1.2826559682705689</v>
      </c>
      <c r="AS572" s="19">
        <v>0.28678026682030372</v>
      </c>
      <c r="AT572" s="19">
        <v>0.17012422743736597</v>
      </c>
      <c r="AU572" s="19">
        <v>0.35913426518459207</v>
      </c>
      <c r="AV572" s="19">
        <v>8.9090714134203164E-2</v>
      </c>
      <c r="AW572" s="19">
        <v>0.10230001045421626</v>
      </c>
      <c r="AX572" s="19">
        <v>5.5383350948799148E-2</v>
      </c>
      <c r="AY572" s="19">
        <v>1.2199146940452592</v>
      </c>
      <c r="AZ572" s="19">
        <v>1.1251553652810384</v>
      </c>
      <c r="BA572" s="19">
        <v>1.2826559682705689</v>
      </c>
      <c r="BB572" s="19">
        <v>1.0636995543530996</v>
      </c>
      <c r="BC572" s="19">
        <v>1.0734834955806141</v>
      </c>
      <c r="BD572" s="19">
        <v>1.0391351841929486</v>
      </c>
      <c r="BE572" s="14" t="s">
        <v>4857</v>
      </c>
    </row>
    <row r="573" spans="1:105" s="30" customFormat="1" ht="17.100000000000001" customHeight="1">
      <c r="A573" s="14">
        <v>562</v>
      </c>
      <c r="B573" s="14" t="s">
        <v>1673</v>
      </c>
      <c r="C573" s="32">
        <v>1.1829791624619141</v>
      </c>
      <c r="D573" s="32">
        <v>1.4134958658013386</v>
      </c>
      <c r="E573" s="32">
        <v>1.0212050732732734</v>
      </c>
      <c r="F573" s="24">
        <v>3393425</v>
      </c>
      <c r="G573" s="52" t="s">
        <v>2</v>
      </c>
      <c r="H573" s="32">
        <v>30.857500133007509</v>
      </c>
      <c r="I573" s="32">
        <v>40.424000345975074</v>
      </c>
      <c r="J573" s="12" t="s">
        <v>1674</v>
      </c>
      <c r="K573" s="12" t="s">
        <v>1675</v>
      </c>
      <c r="L573" s="14" t="s">
        <v>1676</v>
      </c>
      <c r="M573" s="12" t="s">
        <v>1677</v>
      </c>
      <c r="N573" s="15" t="s">
        <v>1678</v>
      </c>
      <c r="O573" s="12" t="s">
        <v>1679</v>
      </c>
      <c r="P573" s="12" t="s">
        <v>1680</v>
      </c>
      <c r="Q573" s="14">
        <v>3</v>
      </c>
      <c r="R573" s="21">
        <v>492.61450000000002</v>
      </c>
      <c r="S573" s="14">
        <v>1</v>
      </c>
      <c r="T573" s="52" t="s">
        <v>2</v>
      </c>
      <c r="U573" s="53">
        <v>65.601050000000015</v>
      </c>
      <c r="V573" s="24">
        <v>1905870</v>
      </c>
      <c r="W573" s="24">
        <v>2243140</v>
      </c>
      <c r="X573" s="24">
        <v>1922570</v>
      </c>
      <c r="Y573" s="24">
        <v>3461580</v>
      </c>
      <c r="Z573" s="24">
        <v>3259320</v>
      </c>
      <c r="AA573" s="24">
        <v>2887580</v>
      </c>
      <c r="AB573" s="24">
        <v>3593950</v>
      </c>
      <c r="AC573" s="24">
        <v>3192900</v>
      </c>
      <c r="AD573" s="24">
        <v>2383290</v>
      </c>
      <c r="AE573" s="24">
        <v>3233437.5</v>
      </c>
      <c r="AF573" s="24">
        <v>2074505</v>
      </c>
      <c r="AG573" s="24">
        <v>2692075</v>
      </c>
      <c r="AH573" s="24">
        <v>3073450</v>
      </c>
      <c r="AI573" s="24">
        <v>3393425</v>
      </c>
      <c r="AJ573" s="32">
        <v>30.857500133007509</v>
      </c>
      <c r="AK573" s="32">
        <v>8.9616683945465567</v>
      </c>
      <c r="AL573" s="32">
        <v>11.496039011271936</v>
      </c>
      <c r="AM573" s="32">
        <v>40.424000345975074</v>
      </c>
      <c r="AN573" s="32">
        <v>8.5525996791321539</v>
      </c>
      <c r="AO573" s="32">
        <v>8.3569012014370401</v>
      </c>
      <c r="AP573" s="19">
        <v>1.3567117304230707</v>
      </c>
      <c r="AQ573" s="19">
        <v>1.4815341491102696</v>
      </c>
      <c r="AR573" s="19">
        <v>1.2605239452838424</v>
      </c>
      <c r="AS573" s="19">
        <v>0.44011421429480435</v>
      </c>
      <c r="AT573" s="19">
        <v>0.56709188055787718</v>
      </c>
      <c r="AU573" s="19">
        <v>0.33402352431634919</v>
      </c>
      <c r="AV573" s="19">
        <v>0.2424246616087038</v>
      </c>
      <c r="AW573" s="19">
        <v>0.49926766357472746</v>
      </c>
      <c r="AX573" s="19">
        <v>3.0272610080556261E-2</v>
      </c>
      <c r="AY573" s="19">
        <v>1.3567117304230707</v>
      </c>
      <c r="AZ573" s="19">
        <v>1.4815341491102696</v>
      </c>
      <c r="BA573" s="19">
        <v>1.2605239452838424</v>
      </c>
      <c r="BB573" s="19">
        <v>1.1829791624619141</v>
      </c>
      <c r="BC573" s="19">
        <v>1.4134958658013386</v>
      </c>
      <c r="BD573" s="19">
        <v>1.0212050732732734</v>
      </c>
      <c r="BE573" s="14" t="s">
        <v>4857</v>
      </c>
    </row>
    <row r="574" spans="1:105" s="30" customFormat="1" ht="17.100000000000001" customHeight="1">
      <c r="A574" s="14">
        <v>563</v>
      </c>
      <c r="B574" s="14" t="s">
        <v>1681</v>
      </c>
      <c r="C574" s="32">
        <v>1.3930327944447343</v>
      </c>
      <c r="D574" s="32">
        <v>1.1123432844460903</v>
      </c>
      <c r="E574" s="32">
        <v>1.7745996868745659</v>
      </c>
      <c r="F574" s="24">
        <v>85100</v>
      </c>
      <c r="G574" s="52" t="s">
        <v>2</v>
      </c>
      <c r="H574" s="32">
        <v>39.690586612969042</v>
      </c>
      <c r="I574" s="32">
        <v>53.012235769332236</v>
      </c>
      <c r="J574" s="12" t="s">
        <v>1682</v>
      </c>
      <c r="K574" s="12" t="s">
        <v>1683</v>
      </c>
      <c r="L574" s="14" t="s">
        <v>1684</v>
      </c>
      <c r="M574" s="12" t="s">
        <v>1685</v>
      </c>
      <c r="N574" s="15" t="s">
        <v>1686</v>
      </c>
      <c r="O574" s="12" t="s">
        <v>1687</v>
      </c>
      <c r="P574" s="12" t="s">
        <v>1688</v>
      </c>
      <c r="Q574" s="14">
        <v>3</v>
      </c>
      <c r="R574" s="21">
        <v>550.64549999999997</v>
      </c>
      <c r="S574" s="14">
        <v>1</v>
      </c>
      <c r="T574" s="52" t="s">
        <v>2</v>
      </c>
      <c r="U574" s="53">
        <v>23.2</v>
      </c>
      <c r="V574" s="24">
        <v>56600</v>
      </c>
      <c r="W574" s="24">
        <v>50100</v>
      </c>
      <c r="X574" s="24">
        <v>45900</v>
      </c>
      <c r="Y574" s="24">
        <v>31800</v>
      </c>
      <c r="Z574" s="24">
        <v>63600</v>
      </c>
      <c r="AA574" s="24">
        <v>60800</v>
      </c>
      <c r="AB574" s="24">
        <v>53200</v>
      </c>
      <c r="AC574" s="24">
        <v>117000</v>
      </c>
      <c r="AD574" s="24">
        <v>46100</v>
      </c>
      <c r="AE574" s="24">
        <v>73650</v>
      </c>
      <c r="AF574" s="24">
        <v>53350</v>
      </c>
      <c r="AG574" s="24">
        <v>38850</v>
      </c>
      <c r="AH574" s="24">
        <v>62200</v>
      </c>
      <c r="AI574" s="24">
        <v>85100</v>
      </c>
      <c r="AJ574" s="32">
        <v>22.777605595832341</v>
      </c>
      <c r="AK574" s="32">
        <v>39.690586612969042</v>
      </c>
      <c r="AL574" s="32">
        <v>8.6151716545689947</v>
      </c>
      <c r="AM574" s="32">
        <v>25.663334915650758</v>
      </c>
      <c r="AN574" s="32">
        <v>3.1831173429619506</v>
      </c>
      <c r="AO574" s="32">
        <v>53.012235769332236</v>
      </c>
      <c r="AP574" s="19">
        <v>1.5976138828633406</v>
      </c>
      <c r="AQ574" s="19">
        <v>1.1658856607310215</v>
      </c>
      <c r="AR574" s="19">
        <v>2.1904761904761907</v>
      </c>
      <c r="AS574" s="19">
        <v>0.6759187746065114</v>
      </c>
      <c r="AT574" s="19">
        <v>0.22142630930617754</v>
      </c>
      <c r="AU574" s="19">
        <v>1.1312445332782528</v>
      </c>
      <c r="AV574" s="19">
        <v>0.47822922192041084</v>
      </c>
      <c r="AW574" s="19">
        <v>0.15360209232302785</v>
      </c>
      <c r="AX574" s="19">
        <v>0.82749361904245988</v>
      </c>
      <c r="AY574" s="19">
        <v>1.5976138828633406</v>
      </c>
      <c r="AZ574" s="19">
        <v>1.1658856607310215</v>
      </c>
      <c r="BA574" s="19">
        <v>2.1904761904761907</v>
      </c>
      <c r="BB574" s="19">
        <v>1.3930327944447343</v>
      </c>
      <c r="BC574" s="19">
        <v>1.1123432844460903</v>
      </c>
      <c r="BD574" s="19">
        <v>1.7745996868745659</v>
      </c>
      <c r="BE574" s="14" t="s">
        <v>4857</v>
      </c>
    </row>
    <row r="575" spans="1:105" s="30" customFormat="1" ht="17.100000000000001" customHeight="1">
      <c r="A575" s="14">
        <v>564</v>
      </c>
      <c r="B575" s="14" t="s">
        <v>1689</v>
      </c>
      <c r="C575" s="32">
        <v>1.1720171987326755</v>
      </c>
      <c r="D575" s="32">
        <v>1.188424143199253</v>
      </c>
      <c r="E575" s="32">
        <v>1.1422458860028306</v>
      </c>
      <c r="F575" s="24">
        <v>83611</v>
      </c>
      <c r="G575" s="52" t="s">
        <v>2</v>
      </c>
      <c r="H575" s="32">
        <v>32.601781663791989</v>
      </c>
      <c r="I575" s="32">
        <v>30.15335804149678</v>
      </c>
      <c r="J575" s="12" t="s">
        <v>1690</v>
      </c>
      <c r="K575" s="15" t="s">
        <v>1691</v>
      </c>
      <c r="L575" s="14" t="s">
        <v>5061</v>
      </c>
      <c r="M575" s="12" t="s">
        <v>1692</v>
      </c>
      <c r="N575" s="15" t="s">
        <v>1693</v>
      </c>
      <c r="O575" s="12" t="s">
        <v>1694</v>
      </c>
      <c r="P575" s="12" t="s">
        <v>1553</v>
      </c>
      <c r="Q575" s="14">
        <v>4</v>
      </c>
      <c r="R575" s="21">
        <v>578.53300000000002</v>
      </c>
      <c r="S575" s="14">
        <v>1</v>
      </c>
      <c r="T575" s="52" t="s">
        <v>2</v>
      </c>
      <c r="U575" s="53">
        <v>48.539587499999996</v>
      </c>
      <c r="V575" s="24">
        <v>42282</v>
      </c>
      <c r="W575" s="24">
        <v>36927</v>
      </c>
      <c r="X575" s="24">
        <v>58120</v>
      </c>
      <c r="Y575" s="24">
        <v>60483</v>
      </c>
      <c r="Z575" s="24">
        <v>38814</v>
      </c>
      <c r="AA575" s="24">
        <v>59851</v>
      </c>
      <c r="AB575" s="24">
        <v>81101</v>
      </c>
      <c r="AC575" s="24">
        <v>86121</v>
      </c>
      <c r="AD575" s="24">
        <v>49453</v>
      </c>
      <c r="AE575" s="24">
        <v>66471.75</v>
      </c>
      <c r="AF575" s="24">
        <v>39604.5</v>
      </c>
      <c r="AG575" s="24">
        <v>59301.5</v>
      </c>
      <c r="AH575" s="24">
        <v>49332.5</v>
      </c>
      <c r="AI575" s="24">
        <v>83611</v>
      </c>
      <c r="AJ575" s="32">
        <v>23.497884570874568</v>
      </c>
      <c r="AK575" s="32">
        <v>32.601781663791989</v>
      </c>
      <c r="AL575" s="32">
        <v>9.5609256858537837</v>
      </c>
      <c r="AM575" s="32">
        <v>2.8176240465145259</v>
      </c>
      <c r="AN575" s="32">
        <v>30.15335804149678</v>
      </c>
      <c r="AO575" s="32">
        <v>4.2454653592906055</v>
      </c>
      <c r="AP575" s="19">
        <v>1.3441398904009867</v>
      </c>
      <c r="AQ575" s="19">
        <v>1.2456286533095986</v>
      </c>
      <c r="AR575" s="19">
        <v>1.4099306088378878</v>
      </c>
      <c r="AS575" s="19">
        <v>0.42668329338848354</v>
      </c>
      <c r="AT575" s="19">
        <v>0.31687403635698691</v>
      </c>
      <c r="AU575" s="19">
        <v>0.49562416067446963</v>
      </c>
      <c r="AV575" s="19">
        <v>0.22899374070238299</v>
      </c>
      <c r="AW575" s="19">
        <v>0.24904981937383719</v>
      </c>
      <c r="AX575" s="19">
        <v>0.1918732464386767</v>
      </c>
      <c r="AY575" s="19">
        <v>1.3441398904009867</v>
      </c>
      <c r="AZ575" s="19">
        <v>1.2456286533095986</v>
      </c>
      <c r="BA575" s="19">
        <v>1.4099306088378878</v>
      </c>
      <c r="BB575" s="19">
        <v>1.1720171987326755</v>
      </c>
      <c r="BC575" s="19">
        <v>1.188424143199253</v>
      </c>
      <c r="BD575" s="19">
        <v>1.1422458860028306</v>
      </c>
      <c r="BE575" s="14" t="s">
        <v>4857</v>
      </c>
    </row>
    <row r="576" spans="1:105" s="30" customFormat="1" ht="17.100000000000001" customHeight="1">
      <c r="A576" s="14">
        <v>565</v>
      </c>
      <c r="B576" s="14" t="s">
        <v>1554</v>
      </c>
      <c r="C576" s="32">
        <v>1.0083586056001492</v>
      </c>
      <c r="D576" s="32">
        <v>1.1060839798620701</v>
      </c>
      <c r="E576" s="32">
        <v>-1.06975996777813</v>
      </c>
      <c r="F576" s="24">
        <v>605796</v>
      </c>
      <c r="G576" s="52" t="s">
        <v>2</v>
      </c>
      <c r="H576" s="32">
        <v>17.665752890936478</v>
      </c>
      <c r="I576" s="32">
        <v>29.98665227305839</v>
      </c>
      <c r="J576" s="12" t="s">
        <v>1555</v>
      </c>
      <c r="K576" s="12" t="s">
        <v>1556</v>
      </c>
      <c r="L576" s="14" t="s">
        <v>5217</v>
      </c>
      <c r="M576" s="12" t="s">
        <v>1557</v>
      </c>
      <c r="N576" s="15" t="s">
        <v>1558</v>
      </c>
      <c r="O576" s="12" t="s">
        <v>1559</v>
      </c>
      <c r="P576" s="12" t="s">
        <v>1560</v>
      </c>
      <c r="Q576" s="14">
        <v>2</v>
      </c>
      <c r="R576" s="21">
        <v>682.34130000000005</v>
      </c>
      <c r="S576" s="14">
        <v>5</v>
      </c>
      <c r="T576" s="52" t="s">
        <v>2</v>
      </c>
      <c r="U576" s="53">
        <v>56.63635</v>
      </c>
      <c r="V576" s="24">
        <v>457855</v>
      </c>
      <c r="W576" s="24">
        <v>486830</v>
      </c>
      <c r="X576" s="24">
        <v>456899</v>
      </c>
      <c r="Y576" s="24">
        <v>593138</v>
      </c>
      <c r="Z576" s="24">
        <v>663710</v>
      </c>
      <c r="AA576" s="24">
        <v>431487</v>
      </c>
      <c r="AB576" s="24">
        <v>625628</v>
      </c>
      <c r="AC576" s="24">
        <v>585964</v>
      </c>
      <c r="AD576" s="24">
        <v>498680.5</v>
      </c>
      <c r="AE576" s="24">
        <v>576697.25</v>
      </c>
      <c r="AF576" s="24">
        <v>472342.5</v>
      </c>
      <c r="AG576" s="24">
        <v>525018.5</v>
      </c>
      <c r="AH576" s="24">
        <v>547598.5</v>
      </c>
      <c r="AI576" s="24">
        <v>605796</v>
      </c>
      <c r="AJ576" s="32">
        <v>12.931189078441918</v>
      </c>
      <c r="AK576" s="32">
        <v>17.665752890936478</v>
      </c>
      <c r="AL576" s="32">
        <v>4.3376192032011129</v>
      </c>
      <c r="AM576" s="32">
        <v>18.348976419321232</v>
      </c>
      <c r="AN576" s="32">
        <v>29.98665227305839</v>
      </c>
      <c r="AO576" s="32">
        <v>4.6297240934214186</v>
      </c>
      <c r="AP576" s="19">
        <v>1.1564463619491838</v>
      </c>
      <c r="AQ576" s="19">
        <v>1.1593250660273</v>
      </c>
      <c r="AR576" s="19">
        <v>1.1538564831524984</v>
      </c>
      <c r="AS576" s="19">
        <v>0.20969835274930723</v>
      </c>
      <c r="AT576" s="19">
        <v>0.21328514390384168</v>
      </c>
      <c r="AU576" s="19">
        <v>0.20646379251011893</v>
      </c>
      <c r="AV576" s="19">
        <v>1.2008800063206676E-2</v>
      </c>
      <c r="AW576" s="19">
        <v>0.14546092692069196</v>
      </c>
      <c r="AX576" s="19">
        <v>-9.7287121725673997E-2</v>
      </c>
      <c r="AY576" s="19">
        <v>1.1564463619491838</v>
      </c>
      <c r="AZ576" s="19">
        <v>1.1593250660273</v>
      </c>
      <c r="BA576" s="19">
        <v>1.1538564831524984</v>
      </c>
      <c r="BB576" s="19">
        <v>1.0083586056001492</v>
      </c>
      <c r="BC576" s="19">
        <v>1.1060839798620701</v>
      </c>
      <c r="BD576" s="19">
        <v>-1.06975996777813</v>
      </c>
      <c r="BE576" s="14" t="s">
        <v>4857</v>
      </c>
    </row>
    <row r="577" spans="1:57" s="30" customFormat="1" ht="17.100000000000001" customHeight="1">
      <c r="A577" s="14">
        <v>566</v>
      </c>
      <c r="B577" s="14" t="s">
        <v>1561</v>
      </c>
      <c r="C577" s="32">
        <v>-1.0628597988522339</v>
      </c>
      <c r="D577" s="32">
        <v>-1.5963300054740253</v>
      </c>
      <c r="E577" s="32">
        <v>1.3050315102834651</v>
      </c>
      <c r="F577" s="40">
        <v>234136</v>
      </c>
      <c r="G577" s="52" t="s">
        <v>4894</v>
      </c>
      <c r="H577" s="32">
        <v>37.20875382576267</v>
      </c>
      <c r="I577" s="32">
        <v>14.530070458804317</v>
      </c>
      <c r="J577" s="12" t="s">
        <v>1562</v>
      </c>
      <c r="K577" s="15" t="s">
        <v>1563</v>
      </c>
      <c r="L577" s="14" t="s">
        <v>4384</v>
      </c>
      <c r="M577" s="12" t="s">
        <v>1564</v>
      </c>
      <c r="N577" s="15" t="s">
        <v>1565</v>
      </c>
      <c r="O577" s="12" t="s">
        <v>1566</v>
      </c>
      <c r="P577" s="12" t="s">
        <v>1567</v>
      </c>
      <c r="Q577" s="14">
        <v>3</v>
      </c>
      <c r="R577" s="21">
        <v>715.32569999999998</v>
      </c>
      <c r="S577" s="14">
        <v>4</v>
      </c>
      <c r="T577" s="52" t="s">
        <v>4894</v>
      </c>
      <c r="U577" s="53">
        <v>24.657162499999998</v>
      </c>
      <c r="V577" s="40">
        <v>201786</v>
      </c>
      <c r="W577" s="40">
        <v>164185</v>
      </c>
      <c r="X577" s="40">
        <v>134172</v>
      </c>
      <c r="Y577" s="40">
        <v>156524</v>
      </c>
      <c r="Z577" s="40">
        <v>115700</v>
      </c>
      <c r="AA577" s="40">
        <v>124593</v>
      </c>
      <c r="AB577" s="40">
        <v>233983</v>
      </c>
      <c r="AC577" s="40">
        <v>234289</v>
      </c>
      <c r="AD577" s="40">
        <v>164166.75</v>
      </c>
      <c r="AE577" s="40">
        <v>177141.25</v>
      </c>
      <c r="AF577" s="40">
        <v>182985.5</v>
      </c>
      <c r="AG577" s="40">
        <v>145348</v>
      </c>
      <c r="AH577" s="40">
        <v>120146.5</v>
      </c>
      <c r="AI577" s="40">
        <v>234136</v>
      </c>
      <c r="AJ577" s="32">
        <v>17.132902578387455</v>
      </c>
      <c r="AK577" s="32">
        <v>37.20875382576267</v>
      </c>
      <c r="AL577" s="32">
        <v>14.530070458804317</v>
      </c>
      <c r="AM577" s="32">
        <v>10.874075166553176</v>
      </c>
      <c r="AN577" s="32">
        <v>5.2338608324769904</v>
      </c>
      <c r="AO577" s="32">
        <v>9.2414099089026702E-2</v>
      </c>
      <c r="AP577" s="19">
        <v>1.0790324471916513</v>
      </c>
      <c r="AQ577" s="19">
        <v>0.65659027627872157</v>
      </c>
      <c r="AR577" s="19">
        <v>1.6108649585821615</v>
      </c>
      <c r="AS577" s="19">
        <v>0.10973824823524839</v>
      </c>
      <c r="AT577" s="19">
        <v>-0.60693471029529733</v>
      </c>
      <c r="AU577" s="19">
        <v>0.68783555565230903</v>
      </c>
      <c r="AV577" s="19">
        <v>-8.7951304450852169E-2</v>
      </c>
      <c r="AW577" s="19">
        <v>-0.674758927278447</v>
      </c>
      <c r="AX577" s="19">
        <v>0.3840846414165161</v>
      </c>
      <c r="AY577" s="19">
        <v>1.0790324471916513</v>
      </c>
      <c r="AZ577" s="19">
        <v>-1.5230198133112491</v>
      </c>
      <c r="BA577" s="19">
        <v>1.6108649585821615</v>
      </c>
      <c r="BB577" s="19">
        <v>-1.0628597988522339</v>
      </c>
      <c r="BC577" s="19">
        <v>-1.5963300054740253</v>
      </c>
      <c r="BD577" s="19">
        <v>1.3050315102834651</v>
      </c>
      <c r="BE577" s="14" t="s">
        <v>4857</v>
      </c>
    </row>
    <row r="578" spans="1:57" s="30" customFormat="1" ht="17.100000000000001" customHeight="1">
      <c r="A578" s="14">
        <v>567</v>
      </c>
      <c r="B578" s="14" t="s">
        <v>1568</v>
      </c>
      <c r="C578" s="32">
        <v>-1.0628597988522339</v>
      </c>
      <c r="D578" s="32">
        <v>-1.5963300054740253</v>
      </c>
      <c r="E578" s="32">
        <v>1.3050315102834651</v>
      </c>
      <c r="F578" s="40">
        <v>234136</v>
      </c>
      <c r="G578" s="52" t="s">
        <v>4894</v>
      </c>
      <c r="H578" s="32">
        <v>37.20875382576267</v>
      </c>
      <c r="I578" s="32">
        <v>14.530070458804317</v>
      </c>
      <c r="J578" s="12" t="s">
        <v>1562</v>
      </c>
      <c r="K578" s="15" t="s">
        <v>1563</v>
      </c>
      <c r="L578" s="14" t="s">
        <v>4386</v>
      </c>
      <c r="M578" s="12" t="s">
        <v>1564</v>
      </c>
      <c r="N578" s="15" t="s">
        <v>1565</v>
      </c>
      <c r="O578" s="12" t="s">
        <v>1566</v>
      </c>
      <c r="P578" s="12" t="s">
        <v>1569</v>
      </c>
      <c r="Q578" s="14">
        <v>3</v>
      </c>
      <c r="R578" s="21">
        <v>715.32569999999998</v>
      </c>
      <c r="S578" s="14">
        <v>2</v>
      </c>
      <c r="T578" s="52" t="s">
        <v>4894</v>
      </c>
      <c r="U578" s="53">
        <v>24.657162499999998</v>
      </c>
      <c r="V578" s="40">
        <v>201786</v>
      </c>
      <c r="W578" s="40">
        <v>164185</v>
      </c>
      <c r="X578" s="40">
        <v>134172</v>
      </c>
      <c r="Y578" s="40">
        <v>156524</v>
      </c>
      <c r="Z578" s="40">
        <v>115700</v>
      </c>
      <c r="AA578" s="40">
        <v>124593</v>
      </c>
      <c r="AB578" s="40">
        <v>233983</v>
      </c>
      <c r="AC578" s="40">
        <v>234289</v>
      </c>
      <c r="AD578" s="40">
        <v>164166.75</v>
      </c>
      <c r="AE578" s="40">
        <v>177141.25</v>
      </c>
      <c r="AF578" s="40">
        <v>182985.5</v>
      </c>
      <c r="AG578" s="40">
        <v>145348</v>
      </c>
      <c r="AH578" s="40">
        <v>120146.5</v>
      </c>
      <c r="AI578" s="40">
        <v>234136</v>
      </c>
      <c r="AJ578" s="32">
        <v>17.132902578387455</v>
      </c>
      <c r="AK578" s="32">
        <v>37.20875382576267</v>
      </c>
      <c r="AL578" s="32">
        <v>14.530070458804317</v>
      </c>
      <c r="AM578" s="32">
        <v>10.874075166553176</v>
      </c>
      <c r="AN578" s="32">
        <v>5.2338608324769904</v>
      </c>
      <c r="AO578" s="32">
        <v>9.2414099089026702E-2</v>
      </c>
      <c r="AP578" s="19">
        <v>1.0790324471916513</v>
      </c>
      <c r="AQ578" s="19">
        <v>0.65659027627872157</v>
      </c>
      <c r="AR578" s="19">
        <v>1.6108649585821615</v>
      </c>
      <c r="AS578" s="19">
        <v>0.10973824823524839</v>
      </c>
      <c r="AT578" s="19">
        <v>-0.60693471029529733</v>
      </c>
      <c r="AU578" s="19">
        <v>0.68783555565230903</v>
      </c>
      <c r="AV578" s="19">
        <v>-8.7951304450852169E-2</v>
      </c>
      <c r="AW578" s="19">
        <v>-0.674758927278447</v>
      </c>
      <c r="AX578" s="19">
        <v>0.3840846414165161</v>
      </c>
      <c r="AY578" s="19">
        <v>1.0790324471916513</v>
      </c>
      <c r="AZ578" s="19">
        <v>-1.5230198133112491</v>
      </c>
      <c r="BA578" s="19">
        <v>1.6108649585821615</v>
      </c>
      <c r="BB578" s="19">
        <v>-1.0628597988522339</v>
      </c>
      <c r="BC578" s="19">
        <v>-1.5963300054740253</v>
      </c>
      <c r="BD578" s="19">
        <v>1.3050315102834651</v>
      </c>
      <c r="BE578" s="14" t="s">
        <v>4857</v>
      </c>
    </row>
    <row r="579" spans="1:57" s="30" customFormat="1" ht="17.100000000000001" customHeight="1">
      <c r="A579" s="14">
        <v>568</v>
      </c>
      <c r="B579" s="14" t="s">
        <v>1570</v>
      </c>
      <c r="C579" s="32">
        <v>1.4106153160697623</v>
      </c>
      <c r="D579" s="32">
        <v>1.2406161101553907</v>
      </c>
      <c r="E579" s="32">
        <v>1.5467643458533351</v>
      </c>
      <c r="F579" s="24">
        <v>19365.5</v>
      </c>
      <c r="G579" s="52" t="s">
        <v>2</v>
      </c>
      <c r="H579" s="32">
        <v>38.873046340020302</v>
      </c>
      <c r="I579" s="32">
        <v>37.74350316754618</v>
      </c>
      <c r="J579" s="12" t="s">
        <v>1562</v>
      </c>
      <c r="K579" s="15" t="s">
        <v>1563</v>
      </c>
      <c r="L579" s="14" t="s">
        <v>4279</v>
      </c>
      <c r="M579" s="12" t="s">
        <v>1564</v>
      </c>
      <c r="N579" s="15" t="s">
        <v>1565</v>
      </c>
      <c r="O579" s="12" t="s">
        <v>1566</v>
      </c>
      <c r="P579" s="12" t="s">
        <v>1571</v>
      </c>
      <c r="Q579" s="14">
        <v>3</v>
      </c>
      <c r="R579" s="21">
        <v>734.34500000000003</v>
      </c>
      <c r="S579" s="14">
        <v>1</v>
      </c>
      <c r="T579" s="52" t="s">
        <v>2</v>
      </c>
      <c r="U579" s="53">
        <v>27.275925000000001</v>
      </c>
      <c r="V579" s="24">
        <v>9949</v>
      </c>
      <c r="W579" s="24">
        <v>8677</v>
      </c>
      <c r="X579" s="24">
        <v>10295</v>
      </c>
      <c r="Y579" s="24">
        <v>9991</v>
      </c>
      <c r="Z579" s="24">
        <v>8878</v>
      </c>
      <c r="AA579" s="24">
        <v>15342</v>
      </c>
      <c r="AB579" s="24">
        <v>14964</v>
      </c>
      <c r="AC579" s="24">
        <v>23767</v>
      </c>
      <c r="AD579" s="24">
        <v>9728</v>
      </c>
      <c r="AE579" s="24">
        <v>15737.75</v>
      </c>
      <c r="AF579" s="24">
        <v>9313</v>
      </c>
      <c r="AG579" s="24">
        <v>10143</v>
      </c>
      <c r="AH579" s="24">
        <v>12110</v>
      </c>
      <c r="AI579" s="24">
        <v>19365.5</v>
      </c>
      <c r="AJ579" s="32">
        <v>7.3748556164413825</v>
      </c>
      <c r="AK579" s="32">
        <v>38.873046340020302</v>
      </c>
      <c r="AL579" s="32">
        <v>9.6578956906398403</v>
      </c>
      <c r="AM579" s="32">
        <v>2.1192986441951143</v>
      </c>
      <c r="AN579" s="32">
        <v>37.74350316754618</v>
      </c>
      <c r="AO579" s="32">
        <v>32.143043013530132</v>
      </c>
      <c r="AP579" s="19">
        <v>1.6177785773026316</v>
      </c>
      <c r="AQ579" s="19">
        <v>1.300332868033931</v>
      </c>
      <c r="AR579" s="19">
        <v>1.909247757073844</v>
      </c>
      <c r="AS579" s="19">
        <v>0.69401416197838384</v>
      </c>
      <c r="AT579" s="19">
        <v>0.37888098140041115</v>
      </c>
      <c r="AU579" s="19">
        <v>0.93300432888589502</v>
      </c>
      <c r="AV579" s="19">
        <v>0.49632460929228328</v>
      </c>
      <c r="AW579" s="19">
        <v>0.31105676441726143</v>
      </c>
      <c r="AX579" s="19">
        <v>0.62925341465010209</v>
      </c>
      <c r="AY579" s="19">
        <v>1.6177785773026316</v>
      </c>
      <c r="AZ579" s="19">
        <v>1.300332868033931</v>
      </c>
      <c r="BA579" s="19">
        <v>1.909247757073844</v>
      </c>
      <c r="BB579" s="19">
        <v>1.4106153160697623</v>
      </c>
      <c r="BC579" s="19">
        <v>1.2406161101553907</v>
      </c>
      <c r="BD579" s="19">
        <v>1.5467643458533351</v>
      </c>
      <c r="BE579" s="14" t="s">
        <v>4857</v>
      </c>
    </row>
    <row r="580" spans="1:57" s="30" customFormat="1" ht="17.100000000000001" customHeight="1">
      <c r="A580" s="14">
        <v>569</v>
      </c>
      <c r="B580" s="14" t="s">
        <v>1572</v>
      </c>
      <c r="C580" s="32">
        <v>-1.1418380908883219</v>
      </c>
      <c r="D580" s="32">
        <v>-1.2603192607251379</v>
      </c>
      <c r="E580" s="32">
        <v>-1.0310160438190652</v>
      </c>
      <c r="F580" s="33">
        <v>383065</v>
      </c>
      <c r="G580" s="52" t="s">
        <v>2</v>
      </c>
      <c r="H580" s="32">
        <v>29.620897229504024</v>
      </c>
      <c r="I580" s="32">
        <v>45.410044033905642</v>
      </c>
      <c r="J580" s="12" t="s">
        <v>1562</v>
      </c>
      <c r="K580" s="15" t="s">
        <v>1563</v>
      </c>
      <c r="L580" s="14" t="s">
        <v>4750</v>
      </c>
      <c r="M580" s="12" t="s">
        <v>1564</v>
      </c>
      <c r="N580" s="15" t="s">
        <v>1565</v>
      </c>
      <c r="O580" s="12" t="s">
        <v>1566</v>
      </c>
      <c r="P580" s="12" t="s">
        <v>1573</v>
      </c>
      <c r="Q580" s="14">
        <v>3</v>
      </c>
      <c r="R580" s="21">
        <v>966.78769999999997</v>
      </c>
      <c r="S580" s="14">
        <v>15</v>
      </c>
      <c r="T580" s="52" t="s">
        <v>2</v>
      </c>
      <c r="U580" s="53">
        <v>45.679187499999998</v>
      </c>
      <c r="V580" s="33">
        <v>471791</v>
      </c>
      <c r="W580" s="33">
        <v>242450</v>
      </c>
      <c r="X580" s="33">
        <v>355236</v>
      </c>
      <c r="Y580" s="33">
        <v>284690</v>
      </c>
      <c r="Z580" s="33">
        <v>206812</v>
      </c>
      <c r="AA580" s="33">
        <v>387181</v>
      </c>
      <c r="AB580" s="33">
        <v>381480</v>
      </c>
      <c r="AC580" s="33">
        <v>384650</v>
      </c>
      <c r="AD580" s="33">
        <v>338541.75</v>
      </c>
      <c r="AE580" s="33">
        <v>340030.75</v>
      </c>
      <c r="AF580" s="33">
        <v>357120.5</v>
      </c>
      <c r="AG580" s="33">
        <v>319963</v>
      </c>
      <c r="AH580" s="33">
        <v>296996.5</v>
      </c>
      <c r="AI580" s="33">
        <v>383065</v>
      </c>
      <c r="AJ580" s="32">
        <v>29.620897229504024</v>
      </c>
      <c r="AK580" s="32">
        <v>26.12796598637992</v>
      </c>
      <c r="AL580" s="32">
        <v>45.410044033905642</v>
      </c>
      <c r="AM580" s="32">
        <v>15.59041357456524</v>
      </c>
      <c r="AN580" s="32">
        <v>42.943315162244808</v>
      </c>
      <c r="AO580" s="32">
        <v>0.58515617358969263</v>
      </c>
      <c r="AP580" s="19">
        <v>1.0043982758404244</v>
      </c>
      <c r="AQ580" s="19">
        <v>0.83164226080552639</v>
      </c>
      <c r="AR580" s="19">
        <v>1.1972165531639596</v>
      </c>
      <c r="AS580" s="19">
        <v>6.3314571802301619E-3</v>
      </c>
      <c r="AT580" s="19">
        <v>-0.26596502271150269</v>
      </c>
      <c r="AU580" s="19">
        <v>0.25968413132791962</v>
      </c>
      <c r="AV580" s="19">
        <v>-0.19135809550587041</v>
      </c>
      <c r="AW580" s="19">
        <v>-0.33378923969465241</v>
      </c>
      <c r="AX580" s="19">
        <v>-4.4066782907873303E-2</v>
      </c>
      <c r="AY580" s="19">
        <v>1.0043982758404244</v>
      </c>
      <c r="AZ580" s="19">
        <v>-1.2024400960954087</v>
      </c>
      <c r="BA580" s="19">
        <v>1.1972165531639596</v>
      </c>
      <c r="BB580" s="19">
        <v>-1.1418380908883219</v>
      </c>
      <c r="BC580" s="19">
        <v>-1.2603192607251379</v>
      </c>
      <c r="BD580" s="19">
        <v>-1.0310160438190652</v>
      </c>
      <c r="BE580" s="14" t="s">
        <v>4857</v>
      </c>
    </row>
    <row r="581" spans="1:57" s="30" customFormat="1" ht="17.100000000000001" customHeight="1">
      <c r="A581" s="14">
        <v>570</v>
      </c>
      <c r="B581" s="14" t="s">
        <v>1577</v>
      </c>
      <c r="C581" s="32">
        <v>-1.1418380908883219</v>
      </c>
      <c r="D581" s="32">
        <v>-1.2603192607251379</v>
      </c>
      <c r="E581" s="32">
        <v>-1.0310160438190652</v>
      </c>
      <c r="F581" s="33">
        <v>383065</v>
      </c>
      <c r="G581" s="52" t="s">
        <v>2</v>
      </c>
      <c r="H581" s="32">
        <v>29.620897229504024</v>
      </c>
      <c r="I581" s="32">
        <v>45.410044033905642</v>
      </c>
      <c r="J581" s="12" t="s">
        <v>1562</v>
      </c>
      <c r="K581" s="15" t="s">
        <v>1563</v>
      </c>
      <c r="L581" s="14" t="s">
        <v>3986</v>
      </c>
      <c r="M581" s="12" t="s">
        <v>1564</v>
      </c>
      <c r="N581" s="15" t="s">
        <v>1565</v>
      </c>
      <c r="O581" s="12" t="s">
        <v>1566</v>
      </c>
      <c r="P581" s="12" t="s">
        <v>1578</v>
      </c>
      <c r="Q581" s="14">
        <v>3</v>
      </c>
      <c r="R581" s="21">
        <v>966.78769999999997</v>
      </c>
      <c r="S581" s="14">
        <v>6</v>
      </c>
      <c r="T581" s="52" t="s">
        <v>2</v>
      </c>
      <c r="U581" s="53">
        <v>45.679187499999998</v>
      </c>
      <c r="V581" s="33">
        <v>471791</v>
      </c>
      <c r="W581" s="33">
        <v>242450</v>
      </c>
      <c r="X581" s="33">
        <v>355236</v>
      </c>
      <c r="Y581" s="33">
        <v>284690</v>
      </c>
      <c r="Z581" s="33">
        <v>206812</v>
      </c>
      <c r="AA581" s="33">
        <v>387181</v>
      </c>
      <c r="AB581" s="33">
        <v>381480</v>
      </c>
      <c r="AC581" s="33">
        <v>384650</v>
      </c>
      <c r="AD581" s="33">
        <v>338541.75</v>
      </c>
      <c r="AE581" s="33">
        <v>340030.75</v>
      </c>
      <c r="AF581" s="33">
        <v>357120.5</v>
      </c>
      <c r="AG581" s="33">
        <v>319963</v>
      </c>
      <c r="AH581" s="33">
        <v>296996.5</v>
      </c>
      <c r="AI581" s="33">
        <v>383065</v>
      </c>
      <c r="AJ581" s="32">
        <v>29.620897229504024</v>
      </c>
      <c r="AK581" s="32">
        <v>26.12796598637992</v>
      </c>
      <c r="AL581" s="32">
        <v>45.410044033905642</v>
      </c>
      <c r="AM581" s="32">
        <v>15.59041357456524</v>
      </c>
      <c r="AN581" s="32">
        <v>42.943315162244808</v>
      </c>
      <c r="AO581" s="32">
        <v>0.58515617358969263</v>
      </c>
      <c r="AP581" s="19">
        <v>1.0043982758404244</v>
      </c>
      <c r="AQ581" s="19">
        <v>0.83164226080552639</v>
      </c>
      <c r="AR581" s="19">
        <v>1.1972165531639596</v>
      </c>
      <c r="AS581" s="19">
        <v>6.3314571802301619E-3</v>
      </c>
      <c r="AT581" s="19">
        <v>-0.26596502271150269</v>
      </c>
      <c r="AU581" s="19">
        <v>0.25968413132791962</v>
      </c>
      <c r="AV581" s="19">
        <v>-0.19135809550587041</v>
      </c>
      <c r="AW581" s="19">
        <v>-0.33378923969465241</v>
      </c>
      <c r="AX581" s="19">
        <v>-4.4066782907873303E-2</v>
      </c>
      <c r="AY581" s="19">
        <v>1.0043982758404244</v>
      </c>
      <c r="AZ581" s="19">
        <v>-1.2024400960954087</v>
      </c>
      <c r="BA581" s="19">
        <v>1.1972165531639596</v>
      </c>
      <c r="BB581" s="19">
        <v>-1.1418380908883219</v>
      </c>
      <c r="BC581" s="19">
        <v>-1.2603192607251379</v>
      </c>
      <c r="BD581" s="19">
        <v>-1.0310160438190652</v>
      </c>
      <c r="BE581" s="14" t="s">
        <v>4857</v>
      </c>
    </row>
    <row r="582" spans="1:57" s="30" customFormat="1" ht="17.100000000000001" customHeight="1">
      <c r="A582" s="14">
        <v>571</v>
      </c>
      <c r="B582" s="14" t="s">
        <v>1580</v>
      </c>
      <c r="C582" s="32">
        <v>-1.0119865255201117</v>
      </c>
      <c r="D582" s="32">
        <v>-1.2047581647690255</v>
      </c>
      <c r="E582" s="32">
        <v>1.2197086477604515</v>
      </c>
      <c r="F582" s="24">
        <v>51639.5</v>
      </c>
      <c r="G582" s="52" t="s">
        <v>2</v>
      </c>
      <c r="H582" s="32">
        <v>24.67071025521826</v>
      </c>
      <c r="I582" s="32">
        <v>19.937785146471271</v>
      </c>
      <c r="J582" s="12" t="s">
        <v>1562</v>
      </c>
      <c r="K582" s="15" t="s">
        <v>1563</v>
      </c>
      <c r="L582" s="14" t="s">
        <v>3892</v>
      </c>
      <c r="M582" s="12" t="s">
        <v>1564</v>
      </c>
      <c r="N582" s="15" t="s">
        <v>1565</v>
      </c>
      <c r="O582" s="12" t="s">
        <v>1566</v>
      </c>
      <c r="P582" s="12" t="s">
        <v>1581</v>
      </c>
      <c r="Q582" s="14">
        <v>3</v>
      </c>
      <c r="R582" s="21">
        <v>728.30880000000002</v>
      </c>
      <c r="S582" s="14">
        <v>13</v>
      </c>
      <c r="T582" s="52" t="s">
        <v>2</v>
      </c>
      <c r="U582" s="53">
        <v>26.2080625</v>
      </c>
      <c r="V582" s="24">
        <v>54533</v>
      </c>
      <c r="W582" s="24">
        <v>42464</v>
      </c>
      <c r="X582" s="24">
        <v>29912</v>
      </c>
      <c r="Y582" s="24">
        <v>38687</v>
      </c>
      <c r="Z582" s="24">
        <v>48142</v>
      </c>
      <c r="AA582" s="24">
        <v>36245</v>
      </c>
      <c r="AB582" s="24">
        <v>44954</v>
      </c>
      <c r="AC582" s="24">
        <v>58325</v>
      </c>
      <c r="AD582" s="24">
        <v>41399</v>
      </c>
      <c r="AE582" s="24">
        <v>46916.5</v>
      </c>
      <c r="AF582" s="24">
        <v>48498.5</v>
      </c>
      <c r="AG582" s="24">
        <v>34299.5</v>
      </c>
      <c r="AH582" s="24">
        <v>42193.5</v>
      </c>
      <c r="AI582" s="24">
        <v>51639.5</v>
      </c>
      <c r="AJ582" s="32">
        <v>24.67071025521826</v>
      </c>
      <c r="AK582" s="32">
        <v>19.433524782245755</v>
      </c>
      <c r="AL582" s="32">
        <v>17.596568434364862</v>
      </c>
      <c r="AM582" s="32">
        <v>18.090240396833639</v>
      </c>
      <c r="AN582" s="32">
        <v>19.937785146471271</v>
      </c>
      <c r="AO582" s="32">
        <v>18.309094339111194</v>
      </c>
      <c r="AP582" s="19">
        <v>1.1332761660909685</v>
      </c>
      <c r="AQ582" s="19">
        <v>0.86999597925709038</v>
      </c>
      <c r="AR582" s="19">
        <v>1.5055467280864152</v>
      </c>
      <c r="AS582" s="19">
        <v>0.18049947183839379</v>
      </c>
      <c r="AT582" s="19">
        <v>-0.20091936141939931</v>
      </c>
      <c r="AU582" s="19">
        <v>0.59028748609802784</v>
      </c>
      <c r="AV582" s="19">
        <v>-1.7190080847706762E-2</v>
      </c>
      <c r="AW582" s="19">
        <v>-0.26874357840254903</v>
      </c>
      <c r="AX582" s="19">
        <v>0.28653657186223491</v>
      </c>
      <c r="AY582" s="19">
        <v>1.1332761660909685</v>
      </c>
      <c r="AZ582" s="19">
        <v>-1.149430599499923</v>
      </c>
      <c r="BA582" s="19">
        <v>1.5055467280864152</v>
      </c>
      <c r="BB582" s="19">
        <v>-1.0119865255201117</v>
      </c>
      <c r="BC582" s="19">
        <v>-1.2047581647690255</v>
      </c>
      <c r="BD582" s="19">
        <v>1.2197086477604515</v>
      </c>
      <c r="BE582" s="14" t="s">
        <v>4857</v>
      </c>
    </row>
    <row r="583" spans="1:57" s="30" customFormat="1" ht="17.100000000000001" customHeight="1">
      <c r="A583" s="14">
        <v>572</v>
      </c>
      <c r="B583" s="14" t="s">
        <v>1584</v>
      </c>
      <c r="C583" s="32">
        <v>1.0030364364047124</v>
      </c>
      <c r="D583" s="32">
        <v>-1.1126369056021672</v>
      </c>
      <c r="E583" s="32">
        <v>1.1132569188342931</v>
      </c>
      <c r="F583" s="24">
        <v>56657.5</v>
      </c>
      <c r="G583" s="52" t="s">
        <v>2</v>
      </c>
      <c r="H583" s="32">
        <v>26.157537742150179</v>
      </c>
      <c r="I583" s="32">
        <v>25.858394595860705</v>
      </c>
      <c r="J583" s="12" t="s">
        <v>1562</v>
      </c>
      <c r="K583" s="15" t="s">
        <v>1563</v>
      </c>
      <c r="L583" s="14" t="s">
        <v>4666</v>
      </c>
      <c r="M583" s="12" t="s">
        <v>1564</v>
      </c>
      <c r="N583" s="15" t="s">
        <v>1565</v>
      </c>
      <c r="O583" s="12" t="s">
        <v>1566</v>
      </c>
      <c r="P583" s="12" t="s">
        <v>1585</v>
      </c>
      <c r="Q583" s="14">
        <v>2</v>
      </c>
      <c r="R583" s="21">
        <v>650.32500000000005</v>
      </c>
      <c r="S583" s="14">
        <v>18</v>
      </c>
      <c r="T583" s="52" t="s">
        <v>2</v>
      </c>
      <c r="U583" s="53">
        <v>27.8795875</v>
      </c>
      <c r="V583" s="24">
        <v>38156</v>
      </c>
      <c r="W583" s="24">
        <v>50438</v>
      </c>
      <c r="X583" s="24">
        <v>41655</v>
      </c>
      <c r="Y583" s="24">
        <v>40807</v>
      </c>
      <c r="Z583" s="24">
        <v>49359</v>
      </c>
      <c r="AA583" s="24">
        <v>34099</v>
      </c>
      <c r="AB583" s="24">
        <v>47785</v>
      </c>
      <c r="AC583" s="24">
        <v>65530</v>
      </c>
      <c r="AD583" s="24">
        <v>42764</v>
      </c>
      <c r="AE583" s="24">
        <v>49193.25</v>
      </c>
      <c r="AF583" s="24">
        <v>44297</v>
      </c>
      <c r="AG583" s="24">
        <v>41231</v>
      </c>
      <c r="AH583" s="24">
        <v>41729</v>
      </c>
      <c r="AI583" s="24">
        <v>56657.5</v>
      </c>
      <c r="AJ583" s="32">
        <v>12.460607758082244</v>
      </c>
      <c r="AK583" s="32">
        <v>26.157537742150179</v>
      </c>
      <c r="AL583" s="32">
        <v>19.605583869185672</v>
      </c>
      <c r="AM583" s="32">
        <v>1.4543099862874833</v>
      </c>
      <c r="AN583" s="32">
        <v>25.858394595860705</v>
      </c>
      <c r="AO583" s="32">
        <v>22.146423389940054</v>
      </c>
      <c r="AP583" s="19">
        <v>1.1503425778692358</v>
      </c>
      <c r="AQ583" s="19">
        <v>0.94202767681784316</v>
      </c>
      <c r="AR583" s="19">
        <v>1.3741480924547065</v>
      </c>
      <c r="AS583" s="19">
        <v>0.20206356707647802</v>
      </c>
      <c r="AT583" s="19">
        <v>-8.6158647977877992E-2</v>
      </c>
      <c r="AU583" s="19">
        <v>0.45853749231969065</v>
      </c>
      <c r="AV583" s="19">
        <v>4.374014390377462E-3</v>
      </c>
      <c r="AW583" s="19">
        <v>-0.1539828649610277</v>
      </c>
      <c r="AX583" s="19">
        <v>0.15478657808389773</v>
      </c>
      <c r="AY583" s="19">
        <v>1.1503425778692358</v>
      </c>
      <c r="AZ583" s="19">
        <v>-1.0615399362553619</v>
      </c>
      <c r="BA583" s="19">
        <v>1.3741480924547065</v>
      </c>
      <c r="BB583" s="19">
        <v>1.0030364364047124</v>
      </c>
      <c r="BC583" s="19">
        <v>-1.1126369056021672</v>
      </c>
      <c r="BD583" s="19">
        <v>1.1132569188342931</v>
      </c>
      <c r="BE583" s="14" t="s">
        <v>4857</v>
      </c>
    </row>
    <row r="584" spans="1:57" s="30" customFormat="1" ht="17.100000000000001" customHeight="1">
      <c r="A584" s="14">
        <v>573</v>
      </c>
      <c r="B584" s="14" t="s">
        <v>1591</v>
      </c>
      <c r="C584" s="32">
        <v>1.4307742443893341</v>
      </c>
      <c r="D584" s="32">
        <v>1.2235724525348912</v>
      </c>
      <c r="E584" s="32">
        <v>1.711157860541844</v>
      </c>
      <c r="F584" s="24">
        <v>81141</v>
      </c>
      <c r="G584" s="52" t="s">
        <v>2</v>
      </c>
      <c r="H584" s="32">
        <v>19.748076688451064</v>
      </c>
      <c r="I584" s="32">
        <v>17.824922087178589</v>
      </c>
      <c r="J584" s="12" t="s">
        <v>1592</v>
      </c>
      <c r="K584" s="12" t="s">
        <v>1593</v>
      </c>
      <c r="L584" s="14" t="s">
        <v>3608</v>
      </c>
      <c r="M584" s="12" t="s">
        <v>1594</v>
      </c>
      <c r="N584" s="15" t="s">
        <v>1595</v>
      </c>
      <c r="O584" s="12" t="s">
        <v>1596</v>
      </c>
      <c r="P584" s="12" t="s">
        <v>1597</v>
      </c>
      <c r="Q584" s="14">
        <v>3</v>
      </c>
      <c r="R584" s="21">
        <v>399.54340000000002</v>
      </c>
      <c r="S584" s="14">
        <v>1</v>
      </c>
      <c r="T584" s="52" t="s">
        <v>2</v>
      </c>
      <c r="U584" s="53">
        <v>24.689800000000002</v>
      </c>
      <c r="V584" s="24">
        <v>46143</v>
      </c>
      <c r="W584" s="24">
        <v>54877</v>
      </c>
      <c r="X584" s="24">
        <v>33574</v>
      </c>
      <c r="Y584" s="24">
        <v>43258</v>
      </c>
      <c r="Z584" s="24">
        <v>68711</v>
      </c>
      <c r="AA584" s="24">
        <v>60844</v>
      </c>
      <c r="AB584" s="24">
        <v>81052</v>
      </c>
      <c r="AC584" s="24">
        <v>81230</v>
      </c>
      <c r="AD584" s="24">
        <v>44463</v>
      </c>
      <c r="AE584" s="24">
        <v>72959.25</v>
      </c>
      <c r="AF584" s="24">
        <v>50510</v>
      </c>
      <c r="AG584" s="24">
        <v>38416</v>
      </c>
      <c r="AH584" s="24">
        <v>64777.5</v>
      </c>
      <c r="AI584" s="24">
        <v>81141</v>
      </c>
      <c r="AJ584" s="32">
        <v>19.748076688451064</v>
      </c>
      <c r="AK584" s="32">
        <v>13.677120236974835</v>
      </c>
      <c r="AL584" s="32">
        <v>12.227025592720858</v>
      </c>
      <c r="AM584" s="32">
        <v>17.824922087178589</v>
      </c>
      <c r="AN584" s="32">
        <v>8.5875636565081539</v>
      </c>
      <c r="AO584" s="32">
        <v>0.1551188758472356</v>
      </c>
      <c r="AP584" s="19">
        <v>1.6408980500640982</v>
      </c>
      <c r="AQ584" s="19">
        <v>1.2824688180558306</v>
      </c>
      <c r="AR584" s="19">
        <v>2.1121668054977092</v>
      </c>
      <c r="AS584" s="19">
        <v>0.71448560616666834</v>
      </c>
      <c r="AT584" s="19">
        <v>0.35892374857454434</v>
      </c>
      <c r="AU584" s="19">
        <v>1.0787237740721269</v>
      </c>
      <c r="AV584" s="19">
        <v>0.51679605348056779</v>
      </c>
      <c r="AW584" s="19">
        <v>0.29109953159139462</v>
      </c>
      <c r="AX584" s="19">
        <v>0.77497285983633402</v>
      </c>
      <c r="AY584" s="19">
        <v>1.6408980500640982</v>
      </c>
      <c r="AZ584" s="19">
        <v>1.2824688180558306</v>
      </c>
      <c r="BA584" s="19">
        <v>2.1121668054977092</v>
      </c>
      <c r="BB584" s="19">
        <v>1.4307742443893341</v>
      </c>
      <c r="BC584" s="19">
        <v>1.2235724525348912</v>
      </c>
      <c r="BD584" s="19">
        <v>1.711157860541844</v>
      </c>
      <c r="BE584" s="14" t="s">
        <v>4857</v>
      </c>
    </row>
    <row r="585" spans="1:57" s="30" customFormat="1" ht="17.100000000000001" customHeight="1">
      <c r="A585" s="14">
        <v>574</v>
      </c>
      <c r="B585" s="14" t="s">
        <v>1598</v>
      </c>
      <c r="C585" s="32">
        <v>-1.031473594853815</v>
      </c>
      <c r="D585" s="32">
        <v>-1.0531432786882164</v>
      </c>
      <c r="E585" s="32">
        <v>-1.0194877851281834</v>
      </c>
      <c r="F585" s="24">
        <v>145465.5</v>
      </c>
      <c r="G585" s="52" t="s">
        <v>2</v>
      </c>
      <c r="H585" s="32">
        <v>20.690417434715208</v>
      </c>
      <c r="I585" s="32">
        <v>15.138009833207624</v>
      </c>
      <c r="J585" s="12" t="s">
        <v>1599</v>
      </c>
      <c r="K585" s="12" t="s">
        <v>1600</v>
      </c>
      <c r="L585" s="14" t="s">
        <v>3866</v>
      </c>
      <c r="M585" s="12" t="s">
        <v>1601</v>
      </c>
      <c r="N585" s="15" t="s">
        <v>1602</v>
      </c>
      <c r="O585" s="12" t="s">
        <v>1603</v>
      </c>
      <c r="P585" s="12" t="s">
        <v>1604</v>
      </c>
      <c r="Q585" s="14">
        <v>2</v>
      </c>
      <c r="R585" s="21">
        <v>556.76829999999995</v>
      </c>
      <c r="S585" s="14">
        <v>2</v>
      </c>
      <c r="T585" s="52" t="s">
        <v>2</v>
      </c>
      <c r="U585" s="53">
        <v>31.841274999999996</v>
      </c>
      <c r="V585" s="24">
        <v>90971</v>
      </c>
      <c r="W585" s="24">
        <v>112781</v>
      </c>
      <c r="X585" s="24">
        <v>115703</v>
      </c>
      <c r="Y585" s="24">
        <v>124586</v>
      </c>
      <c r="Z585" s="24">
        <v>98975</v>
      </c>
      <c r="AA585" s="24">
        <v>103808</v>
      </c>
      <c r="AB585" s="24">
        <v>146550</v>
      </c>
      <c r="AC585" s="24">
        <v>144381</v>
      </c>
      <c r="AD585" s="24">
        <v>111010.25</v>
      </c>
      <c r="AE585" s="24">
        <v>123428.5</v>
      </c>
      <c r="AF585" s="24">
        <v>101876</v>
      </c>
      <c r="AG585" s="24">
        <v>120144.5</v>
      </c>
      <c r="AH585" s="24">
        <v>101391.5</v>
      </c>
      <c r="AI585" s="24">
        <v>145465.5</v>
      </c>
      <c r="AJ585" s="32">
        <v>12.856050034188637</v>
      </c>
      <c r="AK585" s="32">
        <v>20.690417434715208</v>
      </c>
      <c r="AL585" s="32">
        <v>15.138009833207624</v>
      </c>
      <c r="AM585" s="32">
        <v>5.2280624891527303</v>
      </c>
      <c r="AN585" s="32">
        <v>3.3705459269017459</v>
      </c>
      <c r="AO585" s="32">
        <v>1.0543493875823624</v>
      </c>
      <c r="AP585" s="19">
        <v>1.1118657961764793</v>
      </c>
      <c r="AQ585" s="19">
        <v>0.99524421846165922</v>
      </c>
      <c r="AR585" s="19">
        <v>1.2107545497297005</v>
      </c>
      <c r="AS585" s="19">
        <v>0.15298266317382189</v>
      </c>
      <c r="AT585" s="19">
        <v>-6.8775094005993648E-3</v>
      </c>
      <c r="AU585" s="19">
        <v>0.27590642425702117</v>
      </c>
      <c r="AV585" s="19">
        <v>-4.4706889512278664E-2</v>
      </c>
      <c r="AW585" s="19">
        <v>-7.470172638374907E-2</v>
      </c>
      <c r="AX585" s="19">
        <v>-2.7844489978771758E-2</v>
      </c>
      <c r="AY585" s="19">
        <v>1.1118657961764793</v>
      </c>
      <c r="AZ585" s="19">
        <v>-1.0047785070740645</v>
      </c>
      <c r="BA585" s="19">
        <v>1.2107545497297005</v>
      </c>
      <c r="BB585" s="19">
        <v>-1.031473594853815</v>
      </c>
      <c r="BC585" s="19">
        <v>-1.0531432786882164</v>
      </c>
      <c r="BD585" s="19">
        <v>-1.0194877851281834</v>
      </c>
      <c r="BE585" s="14" t="s">
        <v>4857</v>
      </c>
    </row>
    <row r="586" spans="1:57" s="30" customFormat="1" ht="17.100000000000001" customHeight="1">
      <c r="A586" s="14">
        <v>575</v>
      </c>
      <c r="B586" s="14" t="s">
        <v>1605</v>
      </c>
      <c r="C586" s="32">
        <v>1.1928834392983358</v>
      </c>
      <c r="D586" s="32">
        <v>1.3199990555997587</v>
      </c>
      <c r="E586" s="32">
        <v>1.0976852050501837</v>
      </c>
      <c r="F586" s="24">
        <v>541362.5</v>
      </c>
      <c r="G586" s="52" t="s">
        <v>2</v>
      </c>
      <c r="H586" s="32">
        <v>16.42789650171796</v>
      </c>
      <c r="I586" s="32">
        <v>26.416284391299001</v>
      </c>
      <c r="J586" s="12" t="s">
        <v>1606</v>
      </c>
      <c r="K586" s="12" t="s">
        <v>1607</v>
      </c>
      <c r="L586" s="14" t="s">
        <v>1608</v>
      </c>
      <c r="M586" s="12" t="s">
        <v>1609</v>
      </c>
      <c r="N586" s="15" t="s">
        <v>1610</v>
      </c>
      <c r="O586" s="12" t="s">
        <v>1611</v>
      </c>
      <c r="P586" s="12" t="s">
        <v>1612</v>
      </c>
      <c r="Q586" s="14">
        <v>4</v>
      </c>
      <c r="R586" s="21">
        <v>662.84360000000004</v>
      </c>
      <c r="S586" s="14">
        <v>1</v>
      </c>
      <c r="T586" s="52" t="s">
        <v>2</v>
      </c>
      <c r="U586" s="53">
        <v>94.416399999999996</v>
      </c>
      <c r="V586" s="24">
        <v>328416</v>
      </c>
      <c r="W586" s="24">
        <v>350666</v>
      </c>
      <c r="X586" s="24">
        <v>422380</v>
      </c>
      <c r="Y586" s="24">
        <v>376722</v>
      </c>
      <c r="Z586" s="24">
        <v>557516</v>
      </c>
      <c r="AA586" s="24">
        <v>382019</v>
      </c>
      <c r="AB586" s="24">
        <v>532189</v>
      </c>
      <c r="AC586" s="24">
        <v>550536</v>
      </c>
      <c r="AD586" s="24">
        <v>369546</v>
      </c>
      <c r="AE586" s="24">
        <v>505565</v>
      </c>
      <c r="AF586" s="24">
        <v>339541</v>
      </c>
      <c r="AG586" s="24">
        <v>399551</v>
      </c>
      <c r="AH586" s="24">
        <v>469767.5</v>
      </c>
      <c r="AI586" s="24">
        <v>541362.5</v>
      </c>
      <c r="AJ586" s="32">
        <v>10.926278494193804</v>
      </c>
      <c r="AK586" s="32">
        <v>16.42789650171796</v>
      </c>
      <c r="AL586" s="32">
        <v>4.6336453863894738</v>
      </c>
      <c r="AM586" s="32">
        <v>8.0803405361056271</v>
      </c>
      <c r="AN586" s="32">
        <v>26.416284391299001</v>
      </c>
      <c r="AO586" s="32">
        <v>2.3964142537448727</v>
      </c>
      <c r="AP586" s="19">
        <v>1.3680705514333804</v>
      </c>
      <c r="AQ586" s="19">
        <v>1.3835368924518689</v>
      </c>
      <c r="AR586" s="19">
        <v>1.3549271557323095</v>
      </c>
      <c r="AS586" s="19">
        <v>0.45214263196249022</v>
      </c>
      <c r="AT586" s="19">
        <v>0.4683611143835209</v>
      </c>
      <c r="AU586" s="19">
        <v>0.43821529077567117</v>
      </c>
      <c r="AV586" s="19">
        <v>0.25445307927638966</v>
      </c>
      <c r="AW586" s="19">
        <v>0.40053689740037118</v>
      </c>
      <c r="AX586" s="19">
        <v>0.13446437653987825</v>
      </c>
      <c r="AY586" s="19">
        <v>1.3680705514333804</v>
      </c>
      <c r="AZ586" s="19">
        <v>1.3835368924518689</v>
      </c>
      <c r="BA586" s="19">
        <v>1.3549271557323095</v>
      </c>
      <c r="BB586" s="19">
        <v>1.1928834392983358</v>
      </c>
      <c r="BC586" s="19">
        <v>1.3199990555997587</v>
      </c>
      <c r="BD586" s="19">
        <v>1.0976852050501837</v>
      </c>
      <c r="BE586" s="14" t="s">
        <v>4857</v>
      </c>
    </row>
    <row r="587" spans="1:57" s="30" customFormat="1" ht="17.100000000000001" customHeight="1">
      <c r="A587" s="14">
        <v>576</v>
      </c>
      <c r="B587" s="14" t="s">
        <v>1613</v>
      </c>
      <c r="C587" s="32">
        <v>1.2312515593058613</v>
      </c>
      <c r="D587" s="32">
        <v>1.0801787581721842</v>
      </c>
      <c r="E587" s="32">
        <v>1.3426164373302945</v>
      </c>
      <c r="F587" s="24">
        <v>351721.5</v>
      </c>
      <c r="G587" s="52" t="s">
        <v>2</v>
      </c>
      <c r="H587" s="32">
        <v>30.064653401181694</v>
      </c>
      <c r="I587" s="32">
        <v>26.78150566379891</v>
      </c>
      <c r="J587" s="12" t="s">
        <v>1614</v>
      </c>
      <c r="K587" s="12" t="s">
        <v>1615</v>
      </c>
      <c r="L587" s="14" t="s">
        <v>5289</v>
      </c>
      <c r="M587" s="12" t="s">
        <v>1616</v>
      </c>
      <c r="N587" s="15" t="s">
        <v>1617</v>
      </c>
      <c r="O587" s="12" t="s">
        <v>1618</v>
      </c>
      <c r="P587" s="12" t="s">
        <v>1620</v>
      </c>
      <c r="Q587" s="14">
        <v>3</v>
      </c>
      <c r="R587" s="21">
        <v>695.67650000000003</v>
      </c>
      <c r="S587" s="14">
        <v>5</v>
      </c>
      <c r="T587" s="52" t="s">
        <v>2</v>
      </c>
      <c r="U587" s="53">
        <v>58.576562500000009</v>
      </c>
      <c r="V587" s="24">
        <v>200119</v>
      </c>
      <c r="W587" s="24">
        <v>171697</v>
      </c>
      <c r="X587" s="24">
        <v>252422</v>
      </c>
      <c r="Y587" s="24">
        <v>172040</v>
      </c>
      <c r="Z587" s="24">
        <v>184932</v>
      </c>
      <c r="AA587" s="24">
        <v>236028</v>
      </c>
      <c r="AB587" s="24">
        <v>342441</v>
      </c>
      <c r="AC587" s="24">
        <v>361002</v>
      </c>
      <c r="AD587" s="24">
        <v>199069.5</v>
      </c>
      <c r="AE587" s="24">
        <v>281100.75</v>
      </c>
      <c r="AF587" s="24">
        <v>185908</v>
      </c>
      <c r="AG587" s="24">
        <v>212231</v>
      </c>
      <c r="AH587" s="24">
        <v>210480</v>
      </c>
      <c r="AI587" s="24">
        <v>351721.5</v>
      </c>
      <c r="AJ587" s="32">
        <v>19.078757629277636</v>
      </c>
      <c r="AK587" s="32">
        <v>30.064653401181694</v>
      </c>
      <c r="AL587" s="32">
        <v>10.810394891496898</v>
      </c>
      <c r="AM587" s="32">
        <v>26.78150566379891</v>
      </c>
      <c r="AN587" s="32">
        <v>17.165682293570807</v>
      </c>
      <c r="AO587" s="32">
        <v>3.731534457121191</v>
      </c>
      <c r="AP587" s="19">
        <v>1.4120734215939659</v>
      </c>
      <c r="AQ587" s="19">
        <v>1.1321729027260796</v>
      </c>
      <c r="AR587" s="19">
        <v>1.6572578935216815</v>
      </c>
      <c r="AS587" s="19">
        <v>0.49781510434255305</v>
      </c>
      <c r="AT587" s="19">
        <v>0.1790942999163605</v>
      </c>
      <c r="AU587" s="19">
        <v>0.72879812443877889</v>
      </c>
      <c r="AV587" s="19">
        <v>0.30012555165645249</v>
      </c>
      <c r="AW587" s="19">
        <v>0.11127008293321079</v>
      </c>
      <c r="AX587" s="19">
        <v>0.42504721020298597</v>
      </c>
      <c r="AY587" s="19">
        <v>1.4120734215939659</v>
      </c>
      <c r="AZ587" s="19">
        <v>1.1321729027260796</v>
      </c>
      <c r="BA587" s="19">
        <v>1.6572578935216815</v>
      </c>
      <c r="BB587" s="19">
        <v>1.2312515593058613</v>
      </c>
      <c r="BC587" s="19">
        <v>1.0801787581721842</v>
      </c>
      <c r="BD587" s="19">
        <v>1.3426164373302945</v>
      </c>
      <c r="BE587" s="14" t="s">
        <v>4857</v>
      </c>
    </row>
    <row r="588" spans="1:57" s="30" customFormat="1" ht="17.100000000000001" customHeight="1">
      <c r="A588" s="14">
        <v>577</v>
      </c>
      <c r="B588" s="14" t="s">
        <v>1488</v>
      </c>
      <c r="C588" s="32">
        <v>-1.0307193786450672</v>
      </c>
      <c r="D588" s="32">
        <v>-1.162804864870669</v>
      </c>
      <c r="E588" s="32">
        <v>1.1356812530158094</v>
      </c>
      <c r="F588" s="24">
        <v>5813470</v>
      </c>
      <c r="G588" s="52" t="s">
        <v>2</v>
      </c>
      <c r="H588" s="32">
        <v>22.858573772990926</v>
      </c>
      <c r="I588" s="32">
        <v>34.905366603469183</v>
      </c>
      <c r="J588" s="12" t="s">
        <v>1622</v>
      </c>
      <c r="K588" s="12" t="s">
        <v>1623</v>
      </c>
      <c r="L588" s="14" t="s">
        <v>5152</v>
      </c>
      <c r="M588" s="12" t="s">
        <v>1624</v>
      </c>
      <c r="N588" s="15" t="s">
        <v>1625</v>
      </c>
      <c r="O588" s="12" t="s">
        <v>1485</v>
      </c>
      <c r="P588" s="12" t="s">
        <v>1489</v>
      </c>
      <c r="Q588" s="14">
        <v>2</v>
      </c>
      <c r="R588" s="21">
        <v>739.90940000000001</v>
      </c>
      <c r="S588" s="14">
        <v>31</v>
      </c>
      <c r="T588" s="52" t="s">
        <v>2</v>
      </c>
      <c r="U588" s="53">
        <v>55.144937499999997</v>
      </c>
      <c r="V588" s="24">
        <v>4890210</v>
      </c>
      <c r="W588" s="24">
        <v>6459980</v>
      </c>
      <c r="X588" s="24">
        <v>4473980</v>
      </c>
      <c r="Y588" s="24">
        <v>3820150</v>
      </c>
      <c r="Z588" s="24">
        <v>6378030</v>
      </c>
      <c r="AA588" s="24">
        <v>3852860</v>
      </c>
      <c r="AB588" s="24">
        <v>5255600</v>
      </c>
      <c r="AC588" s="24">
        <v>6371340</v>
      </c>
      <c r="AD588" s="24">
        <v>4911080</v>
      </c>
      <c r="AE588" s="24">
        <v>5464457.5</v>
      </c>
      <c r="AF588" s="24">
        <v>5675095</v>
      </c>
      <c r="AG588" s="24">
        <v>4147065</v>
      </c>
      <c r="AH588" s="24">
        <v>5115445</v>
      </c>
      <c r="AI588" s="24">
        <v>5813470</v>
      </c>
      <c r="AJ588" s="32">
        <v>22.858573772990926</v>
      </c>
      <c r="AK588" s="32">
        <v>21.903898077971476</v>
      </c>
      <c r="AL588" s="32">
        <v>19.559056049338501</v>
      </c>
      <c r="AM588" s="32">
        <v>11.148309147389789</v>
      </c>
      <c r="AN588" s="32">
        <v>34.905366603469183</v>
      </c>
      <c r="AO588" s="32">
        <v>13.571022470935231</v>
      </c>
      <c r="AP588" s="19">
        <v>1.1126793902766805</v>
      </c>
      <c r="AQ588" s="19">
        <v>0.90138491073717708</v>
      </c>
      <c r="AR588" s="19">
        <v>1.4018275575617938</v>
      </c>
      <c r="AS588" s="19">
        <v>0.15403795144860269</v>
      </c>
      <c r="AT588" s="19">
        <v>-0.1497847954740433</v>
      </c>
      <c r="AU588" s="19">
        <v>0.48730889060997601</v>
      </c>
      <c r="AV588" s="19">
        <v>-4.3651601237497867E-2</v>
      </c>
      <c r="AW588" s="19">
        <v>-0.217609012457193</v>
      </c>
      <c r="AX588" s="19">
        <v>0.18355797637418308</v>
      </c>
      <c r="AY588" s="19">
        <v>1.1126793902766805</v>
      </c>
      <c r="AZ588" s="19">
        <v>-1.1094039716974771</v>
      </c>
      <c r="BA588" s="19">
        <v>1.4018275575617938</v>
      </c>
      <c r="BB588" s="19">
        <v>-1.0307193786450672</v>
      </c>
      <c r="BC588" s="19">
        <v>-1.162804864870669</v>
      </c>
      <c r="BD588" s="19">
        <v>1.1356812530158094</v>
      </c>
      <c r="BE588" s="14" t="s">
        <v>4857</v>
      </c>
    </row>
    <row r="589" spans="1:57" s="30" customFormat="1" ht="17.100000000000001" customHeight="1">
      <c r="A589" s="14">
        <v>578</v>
      </c>
      <c r="B589" s="14" t="s">
        <v>1493</v>
      </c>
      <c r="C589" s="32">
        <v>1.1176130761982803</v>
      </c>
      <c r="D589" s="32">
        <v>-1.127247974980994</v>
      </c>
      <c r="E589" s="32">
        <v>1.4188336197129348</v>
      </c>
      <c r="F589" s="24">
        <v>7359300</v>
      </c>
      <c r="G589" s="52" t="s">
        <v>2</v>
      </c>
      <c r="H589" s="32">
        <v>22.004872326502188</v>
      </c>
      <c r="I589" s="32">
        <v>15.316419792046505</v>
      </c>
      <c r="J589" s="12" t="s">
        <v>1494</v>
      </c>
      <c r="K589" s="12" t="s">
        <v>1495</v>
      </c>
      <c r="L589" s="14" t="s">
        <v>4986</v>
      </c>
      <c r="M589" s="12" t="s">
        <v>1496</v>
      </c>
      <c r="N589" s="15" t="s">
        <v>1497</v>
      </c>
      <c r="O589" s="12" t="s">
        <v>1498</v>
      </c>
      <c r="P589" s="12" t="s">
        <v>1499</v>
      </c>
      <c r="Q589" s="14">
        <v>3</v>
      </c>
      <c r="R589" s="21">
        <v>786.39</v>
      </c>
      <c r="S589" s="14">
        <v>14</v>
      </c>
      <c r="T589" s="52" t="s">
        <v>2</v>
      </c>
      <c r="U589" s="53">
        <v>85.641737499999991</v>
      </c>
      <c r="V589" s="24">
        <v>5350890</v>
      </c>
      <c r="W589" s="24">
        <v>5863140</v>
      </c>
      <c r="X589" s="24">
        <v>3878080</v>
      </c>
      <c r="Y589" s="24">
        <v>4526130</v>
      </c>
      <c r="Z589" s="24">
        <v>5778140</v>
      </c>
      <c r="AA589" s="24">
        <v>4648860</v>
      </c>
      <c r="AB589" s="24">
        <v>7858590</v>
      </c>
      <c r="AC589" s="24">
        <v>6860010</v>
      </c>
      <c r="AD589" s="24">
        <v>4904560</v>
      </c>
      <c r="AE589" s="24">
        <v>6286400</v>
      </c>
      <c r="AF589" s="24">
        <v>5607015</v>
      </c>
      <c r="AG589" s="24">
        <v>4202105</v>
      </c>
      <c r="AH589" s="24">
        <v>5213500</v>
      </c>
      <c r="AI589" s="24">
        <v>7359300</v>
      </c>
      <c r="AJ589" s="32">
        <v>17.910625037176828</v>
      </c>
      <c r="AK589" s="32">
        <v>22.004872326502188</v>
      </c>
      <c r="AL589" s="32">
        <v>6.4600406573338747</v>
      </c>
      <c r="AM589" s="32">
        <v>10.90502378088939</v>
      </c>
      <c r="AN589" s="32">
        <v>15.316419792046505</v>
      </c>
      <c r="AO589" s="32">
        <v>9.5946990822124736</v>
      </c>
      <c r="AP589" s="19">
        <v>1.2817459670184481</v>
      </c>
      <c r="AQ589" s="19">
        <v>0.92981738054918706</v>
      </c>
      <c r="AR589" s="19">
        <v>1.7513365325235803</v>
      </c>
      <c r="AS589" s="19">
        <v>0.35811035833857224</v>
      </c>
      <c r="AT589" s="19">
        <v>-0.10498070129789341</v>
      </c>
      <c r="AU589" s="19">
        <v>0.80845633514343507</v>
      </c>
      <c r="AV589" s="19">
        <v>0.16042080565247169</v>
      </c>
      <c r="AW589" s="19">
        <v>-0.17280491828104311</v>
      </c>
      <c r="AX589" s="19">
        <v>0.50470542090764214</v>
      </c>
      <c r="AY589" s="19">
        <v>1.2817459670184481</v>
      </c>
      <c r="AZ589" s="19">
        <v>-1.0754800038361945</v>
      </c>
      <c r="BA589" s="19">
        <v>1.7513365325235803</v>
      </c>
      <c r="BB589" s="19">
        <v>1.1176130761982803</v>
      </c>
      <c r="BC589" s="19">
        <v>-1.127247974980994</v>
      </c>
      <c r="BD589" s="19">
        <v>1.4188336197129348</v>
      </c>
      <c r="BE589" s="14" t="s">
        <v>4857</v>
      </c>
    </row>
    <row r="590" spans="1:57" s="30" customFormat="1" ht="17.100000000000001" customHeight="1">
      <c r="A590" s="14">
        <v>579</v>
      </c>
      <c r="B590" s="14" t="s">
        <v>1501</v>
      </c>
      <c r="C590" s="32">
        <v>1.4038062746221971</v>
      </c>
      <c r="D590" s="32">
        <v>1.143760379290903</v>
      </c>
      <c r="E590" s="32">
        <v>1.7605459315623511</v>
      </c>
      <c r="F590" s="40">
        <v>12050</v>
      </c>
      <c r="G590" s="52" t="s">
        <v>2</v>
      </c>
      <c r="H590" s="32">
        <v>23.255167785161678</v>
      </c>
      <c r="I590" s="32">
        <v>20.538371237783537</v>
      </c>
      <c r="J590" s="12" t="s">
        <v>1502</v>
      </c>
      <c r="K590" s="12" t="s">
        <v>1503</v>
      </c>
      <c r="L590" s="14" t="s">
        <v>1504</v>
      </c>
      <c r="M590" s="12" t="s">
        <v>1505</v>
      </c>
      <c r="N590" s="15" t="s">
        <v>1506</v>
      </c>
      <c r="O590" s="12" t="s">
        <v>1507</v>
      </c>
      <c r="P590" s="12" t="s">
        <v>1508</v>
      </c>
      <c r="Q590" s="14">
        <v>2</v>
      </c>
      <c r="R590" s="21">
        <v>472.26960000000003</v>
      </c>
      <c r="S590" s="14">
        <v>1</v>
      </c>
      <c r="T590" s="52" t="s">
        <v>2</v>
      </c>
      <c r="U590" s="53">
        <v>13</v>
      </c>
      <c r="V590" s="40">
        <v>7760</v>
      </c>
      <c r="W590" s="40">
        <v>7430</v>
      </c>
      <c r="X590" s="40">
        <v>5140</v>
      </c>
      <c r="Y590" s="40">
        <v>5950</v>
      </c>
      <c r="Z590" s="40">
        <v>10400</v>
      </c>
      <c r="AA590" s="40">
        <v>7810</v>
      </c>
      <c r="AB590" s="40">
        <v>10300</v>
      </c>
      <c r="AC590" s="40">
        <v>13800</v>
      </c>
      <c r="AD590" s="40">
        <v>6570</v>
      </c>
      <c r="AE590" s="40">
        <v>10577.5</v>
      </c>
      <c r="AF590" s="40">
        <v>7595</v>
      </c>
      <c r="AG590" s="40">
        <v>5545</v>
      </c>
      <c r="AH590" s="40">
        <v>9105</v>
      </c>
      <c r="AI590" s="40">
        <v>12050</v>
      </c>
      <c r="AJ590" s="32">
        <v>18.816709193965192</v>
      </c>
      <c r="AK590" s="32">
        <v>23.255167785161678</v>
      </c>
      <c r="AL590" s="32">
        <v>3.0723533613108716</v>
      </c>
      <c r="AM590" s="32">
        <v>10.329242430317466</v>
      </c>
      <c r="AN590" s="32">
        <v>20.114295038694763</v>
      </c>
      <c r="AO590" s="32">
        <v>20.538371237783537</v>
      </c>
      <c r="AP590" s="19">
        <v>1.6099695585996956</v>
      </c>
      <c r="AQ590" s="19">
        <v>1.1988150098749177</v>
      </c>
      <c r="AR590" s="19">
        <v>2.1731289449954914</v>
      </c>
      <c r="AS590" s="19">
        <v>0.68703341003402074</v>
      </c>
      <c r="AT590" s="19">
        <v>0.26160905247475486</v>
      </c>
      <c r="AU590" s="19">
        <v>1.1197737809556141</v>
      </c>
      <c r="AV590" s="19">
        <v>0.48934385734792019</v>
      </c>
      <c r="AW590" s="19">
        <v>0.19378483549160513</v>
      </c>
      <c r="AX590" s="19">
        <v>0.81602286671982116</v>
      </c>
      <c r="AY590" s="19">
        <v>1.6099695585996956</v>
      </c>
      <c r="AZ590" s="19">
        <v>1.1988150098749177</v>
      </c>
      <c r="BA590" s="19">
        <v>2.1731289449954914</v>
      </c>
      <c r="BB590" s="19">
        <v>1.4038062746221971</v>
      </c>
      <c r="BC590" s="19">
        <v>1.143760379290903</v>
      </c>
      <c r="BD590" s="19">
        <v>1.7605459315623511</v>
      </c>
      <c r="BE590" s="14" t="s">
        <v>4857</v>
      </c>
    </row>
    <row r="591" spans="1:57" s="30" customFormat="1" ht="17.100000000000001" customHeight="1">
      <c r="A591" s="14">
        <v>580</v>
      </c>
      <c r="B591" s="14" t="s">
        <v>1509</v>
      </c>
      <c r="C591" s="32">
        <v>-1.221153771144442</v>
      </c>
      <c r="D591" s="32">
        <v>-1.03189812019827</v>
      </c>
      <c r="E591" s="32">
        <v>-1.4084474350165386</v>
      </c>
      <c r="F591" s="24">
        <v>45858</v>
      </c>
      <c r="G591" s="52" t="s">
        <v>2</v>
      </c>
      <c r="H591" s="32">
        <v>25.987297941819023</v>
      </c>
      <c r="I591" s="32">
        <v>42.284420737397326</v>
      </c>
      <c r="J591" s="12" t="s">
        <v>1510</v>
      </c>
      <c r="K591" s="12" t="s">
        <v>1511</v>
      </c>
      <c r="L591" s="14" t="s">
        <v>3834</v>
      </c>
      <c r="M591" s="12" t="s">
        <v>1512</v>
      </c>
      <c r="N591" s="15" t="s">
        <v>1513</v>
      </c>
      <c r="O591" s="12" t="s">
        <v>1514</v>
      </c>
      <c r="P591" s="12" t="s">
        <v>1515</v>
      </c>
      <c r="Q591" s="14">
        <v>2</v>
      </c>
      <c r="R591" s="21">
        <v>573.28790000000004</v>
      </c>
      <c r="S591" s="14">
        <v>3</v>
      </c>
      <c r="T591" s="52" t="s">
        <v>2</v>
      </c>
      <c r="U591" s="53">
        <v>40.585549999999998</v>
      </c>
      <c r="V591" s="24">
        <v>36331</v>
      </c>
      <c r="W591" s="24">
        <v>38853</v>
      </c>
      <c r="X591" s="24">
        <v>48142</v>
      </c>
      <c r="Y591" s="24">
        <v>43574</v>
      </c>
      <c r="Z591" s="24">
        <v>35159</v>
      </c>
      <c r="AA591" s="24">
        <v>41208</v>
      </c>
      <c r="AB591" s="24">
        <v>52206</v>
      </c>
      <c r="AC591" s="24">
        <v>28173</v>
      </c>
      <c r="AD591" s="24">
        <v>41725</v>
      </c>
      <c r="AE591" s="24">
        <v>39186.5</v>
      </c>
      <c r="AF591" s="24">
        <v>37592</v>
      </c>
      <c r="AG591" s="24">
        <v>45858</v>
      </c>
      <c r="AH591" s="24">
        <v>38183.5</v>
      </c>
      <c r="AI591" s="24">
        <v>40189.5</v>
      </c>
      <c r="AJ591" s="32">
        <v>12.525406478153798</v>
      </c>
      <c r="AK591" s="32">
        <v>25.987297941819023</v>
      </c>
      <c r="AL591" s="32">
        <v>4.7438904611419268</v>
      </c>
      <c r="AM591" s="32">
        <v>7.0436211270882927</v>
      </c>
      <c r="AN591" s="32">
        <v>11.201929941983909</v>
      </c>
      <c r="AO591" s="32">
        <v>42.284420737397326</v>
      </c>
      <c r="AP591" s="19">
        <v>0.93916117435590174</v>
      </c>
      <c r="AQ591" s="19">
        <v>1.0157347307937858</v>
      </c>
      <c r="AR591" s="19">
        <v>0.8763901609315714</v>
      </c>
      <c r="AS591" s="19">
        <v>-9.0555327327393173E-2</v>
      </c>
      <c r="AT591" s="19">
        <v>2.2523677171847535E-2</v>
      </c>
      <c r="AU591" s="19">
        <v>-0.19035480733570989</v>
      </c>
      <c r="AV591" s="19">
        <v>-0.28824488001349374</v>
      </c>
      <c r="AW591" s="19">
        <v>-4.5300539811302172E-2</v>
      </c>
      <c r="AX591" s="19">
        <v>-0.49410572157150279</v>
      </c>
      <c r="AY591" s="19">
        <v>-1.0647799624870811</v>
      </c>
      <c r="AZ591" s="19">
        <v>1.0157347307937858</v>
      </c>
      <c r="BA591" s="19">
        <v>-1.141044302616355</v>
      </c>
      <c r="BB591" s="19">
        <v>-1.221153771144442</v>
      </c>
      <c r="BC591" s="19">
        <v>-1.03189812019827</v>
      </c>
      <c r="BD591" s="19">
        <v>-1.4084474350165386</v>
      </c>
      <c r="BE591" s="14" t="s">
        <v>4857</v>
      </c>
    </row>
    <row r="592" spans="1:57" s="30" customFormat="1" ht="17.100000000000001" customHeight="1">
      <c r="A592" s="14">
        <v>581</v>
      </c>
      <c r="B592" s="14" t="s">
        <v>1516</v>
      </c>
      <c r="C592" s="32">
        <v>-1.0199769987463927</v>
      </c>
      <c r="D592" s="32">
        <v>-1.2587220176731653</v>
      </c>
      <c r="E592" s="32">
        <v>1.1571717976475662</v>
      </c>
      <c r="F592" s="24">
        <v>726776</v>
      </c>
      <c r="G592" s="52" t="s">
        <v>2</v>
      </c>
      <c r="H592" s="32">
        <v>31.264926914319453</v>
      </c>
      <c r="I592" s="32">
        <v>18.651384218386895</v>
      </c>
      <c r="J592" s="12" t="s">
        <v>1510</v>
      </c>
      <c r="K592" s="12" t="s">
        <v>1511</v>
      </c>
      <c r="L592" s="14" t="s">
        <v>5097</v>
      </c>
      <c r="M592" s="12" t="s">
        <v>1512</v>
      </c>
      <c r="N592" s="15" t="s">
        <v>1513</v>
      </c>
      <c r="O592" s="12" t="s">
        <v>1514</v>
      </c>
      <c r="P592" s="12" t="s">
        <v>1517</v>
      </c>
      <c r="Q592" s="14">
        <v>2</v>
      </c>
      <c r="R592" s="21">
        <v>853.41430000000003</v>
      </c>
      <c r="S592" s="14">
        <v>18</v>
      </c>
      <c r="T592" s="52" t="s">
        <v>2</v>
      </c>
      <c r="U592" s="53">
        <v>54.765637500000004</v>
      </c>
      <c r="V592" s="24">
        <v>499425</v>
      </c>
      <c r="W592" s="24">
        <v>560972</v>
      </c>
      <c r="X592" s="24">
        <v>520980</v>
      </c>
      <c r="Y592" s="24">
        <v>496661</v>
      </c>
      <c r="Z592" s="24">
        <v>429236</v>
      </c>
      <c r="AA592" s="24">
        <v>453754</v>
      </c>
      <c r="AB592" s="24">
        <v>630925</v>
      </c>
      <c r="AC592" s="24">
        <v>822627</v>
      </c>
      <c r="AD592" s="24">
        <v>519509.5</v>
      </c>
      <c r="AE592" s="24">
        <v>584135.5</v>
      </c>
      <c r="AF592" s="24">
        <v>530198.5</v>
      </c>
      <c r="AG592" s="24">
        <v>508820.5</v>
      </c>
      <c r="AH592" s="24">
        <v>441495</v>
      </c>
      <c r="AI592" s="24">
        <v>726776</v>
      </c>
      <c r="AJ592" s="32">
        <v>5.7174412906288508</v>
      </c>
      <c r="AK592" s="32">
        <v>31.264926914319453</v>
      </c>
      <c r="AL592" s="32">
        <v>8.2083033169064876</v>
      </c>
      <c r="AM592" s="32">
        <v>3.3796063271184331</v>
      </c>
      <c r="AN592" s="32">
        <v>3.9268494685402486</v>
      </c>
      <c r="AO592" s="32">
        <v>18.651384218386895</v>
      </c>
      <c r="AP592" s="19">
        <v>1.1243981101404306</v>
      </c>
      <c r="AQ592" s="19">
        <v>0.8326975651572005</v>
      </c>
      <c r="AR592" s="19">
        <v>1.4283544000290869</v>
      </c>
      <c r="AS592" s="19">
        <v>0.16915293398802622</v>
      </c>
      <c r="AT592" s="19">
        <v>-0.26413548942139808</v>
      </c>
      <c r="AU592" s="19">
        <v>0.51435398197836446</v>
      </c>
      <c r="AV592" s="19">
        <v>-2.8536618698074334E-2</v>
      </c>
      <c r="AW592" s="19">
        <v>-0.33195970640454781</v>
      </c>
      <c r="AX592" s="19">
        <v>0.21060306774257154</v>
      </c>
      <c r="AY592" s="19">
        <v>1.1243981101404306</v>
      </c>
      <c r="AZ592" s="19">
        <v>-1.2009162051665365</v>
      </c>
      <c r="BA592" s="19">
        <v>1.4283544000290869</v>
      </c>
      <c r="BB592" s="19">
        <v>-1.0199769987463927</v>
      </c>
      <c r="BC592" s="19">
        <v>-1.2587220176731653</v>
      </c>
      <c r="BD592" s="19">
        <v>1.1571717976475662</v>
      </c>
      <c r="BE592" s="14" t="s">
        <v>4857</v>
      </c>
    </row>
    <row r="593" spans="1:105" s="30" customFormat="1" ht="17.100000000000001" customHeight="1">
      <c r="A593" s="14">
        <v>582</v>
      </c>
      <c r="B593" s="14" t="s">
        <v>1521</v>
      </c>
      <c r="C593" s="32">
        <v>1.2510740902581716</v>
      </c>
      <c r="D593" s="32">
        <v>1.4649488070316217</v>
      </c>
      <c r="E593" s="32">
        <v>1.1229243701814891</v>
      </c>
      <c r="F593" s="24">
        <v>131847.5</v>
      </c>
      <c r="G593" s="52" t="s">
        <v>2</v>
      </c>
      <c r="H593" s="32">
        <v>42.951609777252933</v>
      </c>
      <c r="I593" s="32">
        <v>29.772022274911897</v>
      </c>
      <c r="J593" s="12" t="s">
        <v>1522</v>
      </c>
      <c r="K593" s="12" t="s">
        <v>1523</v>
      </c>
      <c r="L593" s="14" t="s">
        <v>5300</v>
      </c>
      <c r="M593" s="12" t="s">
        <v>1524</v>
      </c>
      <c r="N593" s="15" t="s">
        <v>1525</v>
      </c>
      <c r="O593" s="12" t="s">
        <v>1526</v>
      </c>
      <c r="P593" s="12" t="s">
        <v>1527</v>
      </c>
      <c r="Q593" s="14">
        <v>3</v>
      </c>
      <c r="R593" s="21">
        <v>694.68370000000004</v>
      </c>
      <c r="S593" s="14">
        <v>4</v>
      </c>
      <c r="T593" s="52" t="s">
        <v>2</v>
      </c>
      <c r="U593" s="53">
        <v>67.180774999999997</v>
      </c>
      <c r="V593" s="24">
        <v>46687</v>
      </c>
      <c r="W593" s="24">
        <v>45407</v>
      </c>
      <c r="X593" s="24">
        <v>108317</v>
      </c>
      <c r="Y593" s="24">
        <v>81928</v>
      </c>
      <c r="Z593" s="24">
        <v>55819</v>
      </c>
      <c r="AA593" s="24">
        <v>85588</v>
      </c>
      <c r="AB593" s="24">
        <v>142376</v>
      </c>
      <c r="AC593" s="24">
        <v>121319</v>
      </c>
      <c r="AD593" s="24">
        <v>70584.75</v>
      </c>
      <c r="AE593" s="24">
        <v>101275.5</v>
      </c>
      <c r="AF593" s="24">
        <v>46047</v>
      </c>
      <c r="AG593" s="24">
        <v>95122.5</v>
      </c>
      <c r="AH593" s="24">
        <v>70703.5</v>
      </c>
      <c r="AI593" s="24">
        <v>131847.5</v>
      </c>
      <c r="AJ593" s="32">
        <v>42.951609777252933</v>
      </c>
      <c r="AK593" s="32">
        <v>37.829295957859621</v>
      </c>
      <c r="AL593" s="32">
        <v>1.9655931546436922</v>
      </c>
      <c r="AM593" s="32">
        <v>19.616642591113358</v>
      </c>
      <c r="AN593" s="32">
        <v>29.772022274911897</v>
      </c>
      <c r="AO593" s="32">
        <v>11.293007066076438</v>
      </c>
      <c r="AP593" s="19">
        <v>1.4348070936002466</v>
      </c>
      <c r="AQ593" s="19">
        <v>1.5354637652832974</v>
      </c>
      <c r="AR593" s="19">
        <v>1.3860811059423375</v>
      </c>
      <c r="AS593" s="19">
        <v>0.52085678302349192</v>
      </c>
      <c r="AT593" s="19">
        <v>0.61867446720606711</v>
      </c>
      <c r="AU593" s="19">
        <v>0.47101167862758103</v>
      </c>
      <c r="AV593" s="19">
        <v>0.32316723033739136</v>
      </c>
      <c r="AW593" s="19">
        <v>0.55085025022291745</v>
      </c>
      <c r="AX593" s="19">
        <v>0.16726076439178811</v>
      </c>
      <c r="AY593" s="19">
        <v>1.4348070936002466</v>
      </c>
      <c r="AZ593" s="19">
        <v>1.5354637652832974</v>
      </c>
      <c r="BA593" s="19">
        <v>1.3860811059423375</v>
      </c>
      <c r="BB593" s="19">
        <v>1.2510740902581716</v>
      </c>
      <c r="BC593" s="19">
        <v>1.4649488070316217</v>
      </c>
      <c r="BD593" s="19">
        <v>1.1229243701814891</v>
      </c>
      <c r="BE593" s="14" t="s">
        <v>4857</v>
      </c>
    </row>
    <row r="594" spans="1:105" s="30" customFormat="1" ht="17.100000000000001" customHeight="1">
      <c r="A594" s="14">
        <v>583</v>
      </c>
      <c r="B594" s="14" t="s">
        <v>1528</v>
      </c>
      <c r="C594" s="32">
        <v>1.3767779970166034</v>
      </c>
      <c r="D594" s="32">
        <v>1.3821377496644007</v>
      </c>
      <c r="E594" s="32">
        <v>1.3902845870273424</v>
      </c>
      <c r="F594" s="42">
        <v>5317672.5</v>
      </c>
      <c r="G594" s="52" t="s">
        <v>2</v>
      </c>
      <c r="H594" s="32">
        <v>21.996229620761284</v>
      </c>
      <c r="I594" s="32">
        <v>29.835930089080868</v>
      </c>
      <c r="J594" s="12" t="s">
        <v>1529</v>
      </c>
      <c r="K594" s="12" t="s">
        <v>1530</v>
      </c>
      <c r="L594" s="14" t="s">
        <v>2558</v>
      </c>
      <c r="M594" s="12" t="s">
        <v>1531</v>
      </c>
      <c r="N594" s="15" t="s">
        <v>1532</v>
      </c>
      <c r="O594" s="12" t="s">
        <v>1533</v>
      </c>
      <c r="P594" s="12" t="s">
        <v>1534</v>
      </c>
      <c r="Q594" s="14">
        <v>3</v>
      </c>
      <c r="R594" s="21">
        <v>629.99519999999995</v>
      </c>
      <c r="S594" s="14">
        <v>1</v>
      </c>
      <c r="T594" s="52" t="s">
        <v>2</v>
      </c>
      <c r="U594" s="53">
        <v>83</v>
      </c>
      <c r="V594" s="42">
        <v>2572926</v>
      </c>
      <c r="W594" s="42">
        <v>3948834</v>
      </c>
      <c r="X594" s="42">
        <v>2601328</v>
      </c>
      <c r="Y594" s="42">
        <v>3596075</v>
      </c>
      <c r="Z594" s="42">
        <v>4743322</v>
      </c>
      <c r="AA594" s="42">
        <v>4704534</v>
      </c>
      <c r="AB594" s="42">
        <v>4942394</v>
      </c>
      <c r="AC594" s="42">
        <v>5692951</v>
      </c>
      <c r="AD594" s="42">
        <v>3179790.75</v>
      </c>
      <c r="AE594" s="42">
        <v>5020800.25</v>
      </c>
      <c r="AF594" s="42">
        <v>3260880</v>
      </c>
      <c r="AG594" s="42">
        <v>3098701.5</v>
      </c>
      <c r="AH594" s="42">
        <v>4723928</v>
      </c>
      <c r="AI594" s="42">
        <v>5317672.5</v>
      </c>
      <c r="AJ594" s="32">
        <v>21.996229620761284</v>
      </c>
      <c r="AK594" s="32">
        <v>9.1629879012828894</v>
      </c>
      <c r="AL594" s="32">
        <v>29.835930089080868</v>
      </c>
      <c r="AM594" s="32">
        <v>22.699583979449926</v>
      </c>
      <c r="AN594" s="32">
        <v>0.5806027913351729</v>
      </c>
      <c r="AO594" s="32">
        <v>9.980380408290122</v>
      </c>
      <c r="AP594" s="19">
        <v>1.5789719024750293</v>
      </c>
      <c r="AQ594" s="19">
        <v>1.448666617600157</v>
      </c>
      <c r="AR594" s="19">
        <v>1.7160970490381213</v>
      </c>
      <c r="AS594" s="19">
        <v>0.65898549892417824</v>
      </c>
      <c r="AT594" s="19">
        <v>0.53472562493378883</v>
      </c>
      <c r="AU594" s="19">
        <v>0.77913114270164807</v>
      </c>
      <c r="AV594" s="19">
        <v>0.46129594623807768</v>
      </c>
      <c r="AW594" s="19">
        <v>0.46690140795063911</v>
      </c>
      <c r="AX594" s="19">
        <v>0.47538022846585515</v>
      </c>
      <c r="AY594" s="19">
        <v>1.5789719024750293</v>
      </c>
      <c r="AZ594" s="19">
        <v>1.448666617600157</v>
      </c>
      <c r="BA594" s="19">
        <v>1.7160970490381213</v>
      </c>
      <c r="BB594" s="19">
        <v>1.3767779970166034</v>
      </c>
      <c r="BC594" s="19">
        <v>1.3821377496644007</v>
      </c>
      <c r="BD594" s="19">
        <v>1.3902845870273424</v>
      </c>
      <c r="BE594" s="14" t="s">
        <v>4857</v>
      </c>
    </row>
    <row r="595" spans="1:105" s="30" customFormat="1" ht="17.100000000000001" customHeight="1">
      <c r="A595" s="14">
        <v>584</v>
      </c>
      <c r="B595" s="14" t="s">
        <v>3887</v>
      </c>
      <c r="C595" s="32">
        <v>1.072556579504256</v>
      </c>
      <c r="D595" s="32">
        <v>1.2525903028221421</v>
      </c>
      <c r="E595" s="32">
        <v>-1.0602303444919678</v>
      </c>
      <c r="F595" s="24">
        <v>3580000</v>
      </c>
      <c r="G595" s="52" t="s">
        <v>2</v>
      </c>
      <c r="H595" s="32">
        <v>13.417216705553486</v>
      </c>
      <c r="I595" s="32">
        <v>9.6924293994417727</v>
      </c>
      <c r="J595" s="12" t="s">
        <v>1535</v>
      </c>
      <c r="K595" s="12" t="s">
        <v>1536</v>
      </c>
      <c r="L595" s="14" t="s">
        <v>3389</v>
      </c>
      <c r="M595" s="12" t="s">
        <v>1537</v>
      </c>
      <c r="N595" s="15" t="s">
        <v>1538</v>
      </c>
      <c r="O595" s="12" t="s">
        <v>1539</v>
      </c>
      <c r="P595" s="12" t="s">
        <v>1540</v>
      </c>
      <c r="Q595" s="14">
        <v>5</v>
      </c>
      <c r="R595" s="21">
        <v>596.09969999999998</v>
      </c>
      <c r="S595" s="14">
        <v>1</v>
      </c>
      <c r="T595" s="52" t="s">
        <v>2</v>
      </c>
      <c r="U595" s="53">
        <v>78</v>
      </c>
      <c r="V595" s="24">
        <v>2500000</v>
      </c>
      <c r="W595" s="24">
        <v>2390000</v>
      </c>
      <c r="X595" s="24">
        <v>3010000</v>
      </c>
      <c r="Y595" s="24">
        <v>3140000</v>
      </c>
      <c r="Z595" s="24">
        <v>2990000</v>
      </c>
      <c r="AA595" s="24">
        <v>3430000</v>
      </c>
      <c r="AB595" s="24">
        <v>3560000</v>
      </c>
      <c r="AC595" s="24">
        <v>3600000</v>
      </c>
      <c r="AD595" s="24">
        <v>2760000</v>
      </c>
      <c r="AE595" s="24">
        <v>3395000</v>
      </c>
      <c r="AF595" s="24">
        <v>2445000</v>
      </c>
      <c r="AG595" s="24">
        <v>3075000</v>
      </c>
      <c r="AH595" s="24">
        <v>3210000</v>
      </c>
      <c r="AI595" s="24">
        <v>3580000</v>
      </c>
      <c r="AJ595" s="32">
        <v>13.417216705553486</v>
      </c>
      <c r="AK595" s="32">
        <v>8.2351405847214458</v>
      </c>
      <c r="AL595" s="32">
        <v>3.1812575022707659</v>
      </c>
      <c r="AM595" s="32">
        <v>2.9893945220894689</v>
      </c>
      <c r="AN595" s="32">
        <v>9.6924293994417727</v>
      </c>
      <c r="AO595" s="32">
        <v>0.7900634426665335</v>
      </c>
      <c r="AP595" s="19">
        <v>1.230072463768116</v>
      </c>
      <c r="AQ595" s="19">
        <v>1.3128834355828221</v>
      </c>
      <c r="AR595" s="19">
        <v>1.1642276422764228</v>
      </c>
      <c r="AS595" s="19">
        <v>0.2987433074665628</v>
      </c>
      <c r="AT595" s="19">
        <v>0.39273883217006939</v>
      </c>
      <c r="AU595" s="19">
        <v>0.21937317703765433</v>
      </c>
      <c r="AV595" s="19">
        <v>0.10105375478046225</v>
      </c>
      <c r="AW595" s="19">
        <v>0.32491461518691966</v>
      </c>
      <c r="AX595" s="19">
        <v>-8.4377737198138597E-2</v>
      </c>
      <c r="AY595" s="19">
        <v>1.230072463768116</v>
      </c>
      <c r="AZ595" s="19">
        <v>1.3128834355828221</v>
      </c>
      <c r="BA595" s="19">
        <v>1.1642276422764228</v>
      </c>
      <c r="BB595" s="19">
        <v>1.072556579504256</v>
      </c>
      <c r="BC595" s="19">
        <v>1.2525903028221421</v>
      </c>
      <c r="BD595" s="19">
        <v>-1.0602303444919678</v>
      </c>
      <c r="BE595" s="14" t="s">
        <v>4857</v>
      </c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28"/>
      <c r="BU595" s="28"/>
      <c r="BV595" s="28"/>
      <c r="BW595" s="28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</row>
    <row r="596" spans="1:105" s="30" customFormat="1" ht="17.100000000000001" customHeight="1">
      <c r="A596" s="14">
        <v>585</v>
      </c>
      <c r="B596" s="14" t="s">
        <v>1541</v>
      </c>
      <c r="C596" s="32">
        <v>-1.1191289545477527</v>
      </c>
      <c r="D596" s="32">
        <v>-1.2796433085100383</v>
      </c>
      <c r="E596" s="32">
        <v>-1.0101282803492178</v>
      </c>
      <c r="F596" s="24">
        <v>169696</v>
      </c>
      <c r="G596" s="52" t="s">
        <v>2</v>
      </c>
      <c r="H596" s="32">
        <v>27.081716688203038</v>
      </c>
      <c r="I596" s="32">
        <v>20.533947758313737</v>
      </c>
      <c r="J596" s="12" t="s">
        <v>1542</v>
      </c>
      <c r="K596" s="12" t="s">
        <v>1543</v>
      </c>
      <c r="L596" s="14" t="s">
        <v>3278</v>
      </c>
      <c r="M596" s="12" t="s">
        <v>1544</v>
      </c>
      <c r="N596" s="15" t="s">
        <v>1545</v>
      </c>
      <c r="O596" s="12" t="s">
        <v>1546</v>
      </c>
      <c r="P596" s="12" t="s">
        <v>1547</v>
      </c>
      <c r="Q596" s="14">
        <v>3</v>
      </c>
      <c r="R596" s="21">
        <v>627.32429999999999</v>
      </c>
      <c r="S596" s="14">
        <v>1</v>
      </c>
      <c r="T596" s="52" t="s">
        <v>2</v>
      </c>
      <c r="U596" s="53">
        <v>75.571975000000009</v>
      </c>
      <c r="V596" s="24">
        <v>137679</v>
      </c>
      <c r="W596" s="24">
        <v>128582</v>
      </c>
      <c r="X596" s="24">
        <v>131794</v>
      </c>
      <c r="Y596" s="24">
        <v>145947</v>
      </c>
      <c r="Z596" s="24">
        <v>124878</v>
      </c>
      <c r="AA596" s="24">
        <v>93212</v>
      </c>
      <c r="AB596" s="24">
        <v>162844</v>
      </c>
      <c r="AC596" s="24">
        <v>176548</v>
      </c>
      <c r="AD596" s="24">
        <v>136000.5</v>
      </c>
      <c r="AE596" s="24">
        <v>139370.5</v>
      </c>
      <c r="AF596" s="24">
        <v>133130.5</v>
      </c>
      <c r="AG596" s="24">
        <v>138870.5</v>
      </c>
      <c r="AH596" s="24">
        <v>109045</v>
      </c>
      <c r="AI596" s="24">
        <v>169696</v>
      </c>
      <c r="AJ596" s="32">
        <v>5.6075152138046827</v>
      </c>
      <c r="AK596" s="32">
        <v>27.081716688203038</v>
      </c>
      <c r="AL596" s="32">
        <v>4.8317631109730845</v>
      </c>
      <c r="AM596" s="32">
        <v>7.206485376039697</v>
      </c>
      <c r="AN596" s="32">
        <v>20.533947758313737</v>
      </c>
      <c r="AO596" s="32">
        <v>5.7103239495217606</v>
      </c>
      <c r="AP596" s="19">
        <v>1.0247793206642624</v>
      </c>
      <c r="AQ596" s="19">
        <v>0.81908353082126184</v>
      </c>
      <c r="AR596" s="19">
        <v>1.2219729892237732</v>
      </c>
      <c r="AS596" s="19">
        <v>3.5313268500891552E-2</v>
      </c>
      <c r="AT596" s="19">
        <v>-0.28791750827558732</v>
      </c>
      <c r="AU596" s="19">
        <v>0.28921239584110064</v>
      </c>
      <c r="AV596" s="19">
        <v>-0.162376284185209</v>
      </c>
      <c r="AW596" s="19">
        <v>-0.35574172525873704</v>
      </c>
      <c r="AX596" s="19">
        <v>-1.4538518394692279E-2</v>
      </c>
      <c r="AY596" s="19">
        <v>1.0247793206642624</v>
      </c>
      <c r="AZ596" s="19">
        <v>-1.2208767022788758</v>
      </c>
      <c r="BA596" s="19">
        <v>1.2219729892237732</v>
      </c>
      <c r="BB596" s="19">
        <v>-1.1191289545477527</v>
      </c>
      <c r="BC596" s="19">
        <v>-1.2796433085100383</v>
      </c>
      <c r="BD596" s="19">
        <v>-1.0101282803492178</v>
      </c>
      <c r="BE596" s="14" t="s">
        <v>4857</v>
      </c>
    </row>
    <row r="597" spans="1:105" s="30" customFormat="1" ht="17.100000000000001" customHeight="1">
      <c r="A597" s="14">
        <v>586</v>
      </c>
      <c r="B597" s="14" t="s">
        <v>1548</v>
      </c>
      <c r="C597" s="32">
        <v>1.4923334278528888</v>
      </c>
      <c r="D597" s="32">
        <v>1.8726691662942576</v>
      </c>
      <c r="E597" s="32">
        <v>1.2555367745181987</v>
      </c>
      <c r="F597" s="40">
        <v>6415660.5</v>
      </c>
      <c r="G597" s="52" t="s">
        <v>4894</v>
      </c>
      <c r="H597" s="32">
        <v>25.101392360379432</v>
      </c>
      <c r="I597" s="32">
        <v>6.6547934255575685</v>
      </c>
      <c r="J597" s="12" t="s">
        <v>1549</v>
      </c>
      <c r="K597" s="12" t="s">
        <v>1550</v>
      </c>
      <c r="L597" s="14" t="s">
        <v>3418</v>
      </c>
      <c r="M597" s="12" t="s">
        <v>1551</v>
      </c>
      <c r="N597" s="15" t="s">
        <v>1552</v>
      </c>
      <c r="O597" s="12" t="s">
        <v>1420</v>
      </c>
      <c r="P597" s="12" t="s">
        <v>1421</v>
      </c>
      <c r="Q597" s="14">
        <v>2</v>
      </c>
      <c r="R597" s="21">
        <v>430.26600000000002</v>
      </c>
      <c r="S597" s="14">
        <v>1</v>
      </c>
      <c r="T597" s="52" t="s">
        <v>4894</v>
      </c>
      <c r="U597" s="53">
        <v>33.799999999999997</v>
      </c>
      <c r="V597" s="40">
        <v>2730505</v>
      </c>
      <c r="W597" s="40">
        <v>2597597</v>
      </c>
      <c r="X597" s="40">
        <v>4162635</v>
      </c>
      <c r="Y597" s="40">
        <v>4116859</v>
      </c>
      <c r="Z597" s="40">
        <v>5247176</v>
      </c>
      <c r="AA597" s="40">
        <v>5210874</v>
      </c>
      <c r="AB597" s="40">
        <v>6717559</v>
      </c>
      <c r="AC597" s="40">
        <v>6113762</v>
      </c>
      <c r="AD597" s="40">
        <v>3401899</v>
      </c>
      <c r="AE597" s="40">
        <v>5822342.75</v>
      </c>
      <c r="AF597" s="40">
        <v>2664051</v>
      </c>
      <c r="AG597" s="40">
        <v>4139747</v>
      </c>
      <c r="AH597" s="40">
        <v>5229025</v>
      </c>
      <c r="AI597" s="40">
        <v>6415660.5</v>
      </c>
      <c r="AJ597" s="32">
        <v>25.101392360379432</v>
      </c>
      <c r="AK597" s="32">
        <v>12.507867278425319</v>
      </c>
      <c r="AL597" s="32">
        <v>3.5277158010091272</v>
      </c>
      <c r="AM597" s="32">
        <v>0.78189609209440591</v>
      </c>
      <c r="AN597" s="32">
        <v>0.49090203949367328</v>
      </c>
      <c r="AO597" s="32">
        <v>6.6547934255575685</v>
      </c>
      <c r="AP597" s="19">
        <v>1.7114978281248208</v>
      </c>
      <c r="AQ597" s="19">
        <v>1.9628096459114335</v>
      </c>
      <c r="AR597" s="19">
        <v>1.549771157512766</v>
      </c>
      <c r="AS597" s="19">
        <v>0.77525946158202574</v>
      </c>
      <c r="AT597" s="19">
        <v>0.97292026642829277</v>
      </c>
      <c r="AU597" s="19">
        <v>0.63205519982493519</v>
      </c>
      <c r="AV597" s="19">
        <v>0.57756990889592519</v>
      </c>
      <c r="AW597" s="19">
        <v>0.9050960494451431</v>
      </c>
      <c r="AX597" s="19">
        <v>0.32830428558914226</v>
      </c>
      <c r="AY597" s="19">
        <v>1.7114978281248208</v>
      </c>
      <c r="AZ597" s="19">
        <v>1.9628096459114335</v>
      </c>
      <c r="BA597" s="19">
        <v>1.549771157512766</v>
      </c>
      <c r="BB597" s="19">
        <v>1.4923334278528888</v>
      </c>
      <c r="BC597" s="19">
        <v>1.8726691662942576</v>
      </c>
      <c r="BD597" s="19">
        <v>1.2555367745181987</v>
      </c>
      <c r="BE597" s="14" t="s">
        <v>4857</v>
      </c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28"/>
      <c r="BU597" s="28"/>
      <c r="BV597" s="28"/>
      <c r="BW597" s="28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</row>
    <row r="598" spans="1:105" s="30" customFormat="1" ht="17.100000000000001" customHeight="1">
      <c r="A598" s="14">
        <v>587</v>
      </c>
      <c r="B598" s="14" t="s">
        <v>1422</v>
      </c>
      <c r="C598" s="32">
        <v>1.1902752867715372</v>
      </c>
      <c r="D598" s="32">
        <v>1.1087748870484613</v>
      </c>
      <c r="E598" s="32">
        <v>1.3410131029745176</v>
      </c>
      <c r="F598" s="42">
        <v>7540</v>
      </c>
      <c r="G598" s="52" t="s">
        <v>2</v>
      </c>
      <c r="H598" s="32">
        <v>80.37260132143696</v>
      </c>
      <c r="I598" s="32">
        <v>105.26569658675899</v>
      </c>
      <c r="J598" s="12" t="s">
        <v>1423</v>
      </c>
      <c r="K598" s="12" t="s">
        <v>1424</v>
      </c>
      <c r="L598" s="14" t="s">
        <v>2366</v>
      </c>
      <c r="M598" s="12" t="s">
        <v>1425</v>
      </c>
      <c r="N598" s="15" t="s">
        <v>1426</v>
      </c>
      <c r="O598" s="12" t="s">
        <v>1427</v>
      </c>
      <c r="P598" s="12" t="s">
        <v>1428</v>
      </c>
      <c r="Q598" s="14">
        <v>2</v>
      </c>
      <c r="R598" s="21">
        <v>803.81039999999996</v>
      </c>
      <c r="S598" s="14">
        <v>1</v>
      </c>
      <c r="T598" s="52" t="s">
        <v>2</v>
      </c>
      <c r="U598" s="53">
        <v>108.83628571428572</v>
      </c>
      <c r="V598" s="42">
        <v>7418</v>
      </c>
      <c r="W598" s="42">
        <v>5558</v>
      </c>
      <c r="X598" s="42">
        <v>4612</v>
      </c>
      <c r="Y598" s="42">
        <v>4462</v>
      </c>
      <c r="Z598" s="42">
        <v>12400</v>
      </c>
      <c r="AA598" s="42">
        <v>2680</v>
      </c>
      <c r="AB598" s="42">
        <v>13100</v>
      </c>
      <c r="AC598" s="42">
        <v>1920</v>
      </c>
      <c r="AD598" s="42">
        <v>5512.5</v>
      </c>
      <c r="AE598" s="42">
        <v>7525</v>
      </c>
      <c r="AF598" s="42">
        <v>6488</v>
      </c>
      <c r="AG598" s="42">
        <v>4537</v>
      </c>
      <c r="AH598" s="42">
        <v>7540</v>
      </c>
      <c r="AI598" s="42">
        <v>7510</v>
      </c>
      <c r="AJ598" s="32">
        <v>24.668202654393504</v>
      </c>
      <c r="AK598" s="32">
        <v>80.37260132143696</v>
      </c>
      <c r="AL598" s="32">
        <v>20.271556920576113</v>
      </c>
      <c r="AM598" s="32">
        <v>2.3378006871937873</v>
      </c>
      <c r="AN598" s="32">
        <v>91.15487948452575</v>
      </c>
      <c r="AO598" s="32">
        <v>105.26569658675899</v>
      </c>
      <c r="AP598" s="19">
        <v>1.3650793650793651</v>
      </c>
      <c r="AQ598" s="19">
        <v>1.1621454993834772</v>
      </c>
      <c r="AR598" s="19">
        <v>1.6552788186026008</v>
      </c>
      <c r="AS598" s="19">
        <v>0.44898483120218158</v>
      </c>
      <c r="AT598" s="19">
        <v>0.21679070393875369</v>
      </c>
      <c r="AU598" s="19">
        <v>0.72707424805088983</v>
      </c>
      <c r="AV598" s="19">
        <v>0.25129527851608102</v>
      </c>
      <c r="AW598" s="19">
        <v>0.14896648695560399</v>
      </c>
      <c r="AX598" s="19">
        <v>0.4233233338150969</v>
      </c>
      <c r="AY598" s="19">
        <v>1.3650793650793651</v>
      </c>
      <c r="AZ598" s="19">
        <v>1.1621454993834772</v>
      </c>
      <c r="BA598" s="19">
        <v>1.6552788186026008</v>
      </c>
      <c r="BB598" s="19">
        <v>1.1902752867715372</v>
      </c>
      <c r="BC598" s="19">
        <v>1.1087748870484613</v>
      </c>
      <c r="BD598" s="19">
        <v>1.3410131029745176</v>
      </c>
      <c r="BE598" s="14" t="s">
        <v>4857</v>
      </c>
    </row>
    <row r="599" spans="1:105" s="30" customFormat="1" ht="17.100000000000001" customHeight="1">
      <c r="A599" s="14">
        <v>588</v>
      </c>
      <c r="B599" s="14" t="s">
        <v>1429</v>
      </c>
      <c r="C599" s="32">
        <v>-1.0018217745373281</v>
      </c>
      <c r="D599" s="32">
        <v>-1.0034275894971236</v>
      </c>
      <c r="E599" s="32">
        <v>1.0036441133562253</v>
      </c>
      <c r="F599" s="42">
        <v>66650</v>
      </c>
      <c r="G599" s="52" t="s">
        <v>2</v>
      </c>
      <c r="H599" s="32">
        <v>29.674081795586787</v>
      </c>
      <c r="I599" s="32">
        <v>51.527781282504847</v>
      </c>
      <c r="J599" s="12" t="s">
        <v>1430</v>
      </c>
      <c r="K599" s="12" t="s">
        <v>1430</v>
      </c>
      <c r="L599" s="14" t="s">
        <v>4252</v>
      </c>
      <c r="M599" s="12" t="s">
        <v>1431</v>
      </c>
      <c r="N599" s="15" t="s">
        <v>1432</v>
      </c>
      <c r="O599" s="12" t="s">
        <v>1433</v>
      </c>
      <c r="P599" s="12" t="s">
        <v>1434</v>
      </c>
      <c r="Q599" s="14">
        <v>5</v>
      </c>
      <c r="R599" s="21">
        <v>742.59079999999994</v>
      </c>
      <c r="S599" s="14">
        <v>1</v>
      </c>
      <c r="T599" s="52" t="s">
        <v>2</v>
      </c>
      <c r="U599" s="53">
        <v>104.2</v>
      </c>
      <c r="V599" s="42">
        <v>68900</v>
      </c>
      <c r="W599" s="42">
        <v>32100</v>
      </c>
      <c r="X599" s="42">
        <v>57700</v>
      </c>
      <c r="Y599" s="42">
        <v>49900</v>
      </c>
      <c r="Z599" s="42">
        <v>62300</v>
      </c>
      <c r="AA599" s="42">
        <v>43200</v>
      </c>
      <c r="AB599" s="42">
        <v>74800</v>
      </c>
      <c r="AC599" s="42">
        <v>58500</v>
      </c>
      <c r="AD599" s="42">
        <v>52150</v>
      </c>
      <c r="AE599" s="42">
        <v>59700</v>
      </c>
      <c r="AF599" s="42">
        <v>50500</v>
      </c>
      <c r="AG599" s="42">
        <v>53800</v>
      </c>
      <c r="AH599" s="42">
        <v>52750</v>
      </c>
      <c r="AI599" s="42">
        <v>66650</v>
      </c>
      <c r="AJ599" s="32">
        <v>29.674081795586787</v>
      </c>
      <c r="AK599" s="32">
        <v>21.806875197050751</v>
      </c>
      <c r="AL599" s="32">
        <v>51.527781282504847</v>
      </c>
      <c r="AM599" s="32">
        <v>10.251734002332844</v>
      </c>
      <c r="AN599" s="32">
        <v>25.603297669503426</v>
      </c>
      <c r="AO599" s="32">
        <v>17.293084071028844</v>
      </c>
      <c r="AP599" s="19">
        <v>1.1447746883988494</v>
      </c>
      <c r="AQ599" s="19">
        <v>1.0445544554455446</v>
      </c>
      <c r="AR599" s="19">
        <v>1.2388475836431228</v>
      </c>
      <c r="AS599" s="19">
        <v>0.19506367874503933</v>
      </c>
      <c r="AT599" s="19">
        <v>6.2887705955390449E-2</v>
      </c>
      <c r="AU599" s="19">
        <v>0.30899870253234907</v>
      </c>
      <c r="AV599" s="19">
        <v>-2.6258739410612297E-3</v>
      </c>
      <c r="AW599" s="19">
        <v>-4.9365110277592578E-3</v>
      </c>
      <c r="AX599" s="19">
        <v>5.247788296556144E-3</v>
      </c>
      <c r="AY599" s="19">
        <v>1.1447746883988494</v>
      </c>
      <c r="AZ599" s="19">
        <v>1.0445544554455446</v>
      </c>
      <c r="BA599" s="19">
        <v>1.2388475836431228</v>
      </c>
      <c r="BB599" s="19">
        <v>-1.0018217745373281</v>
      </c>
      <c r="BC599" s="19">
        <v>-1.0034275894971236</v>
      </c>
      <c r="BD599" s="19">
        <v>1.0036441133562253</v>
      </c>
      <c r="BE599" s="14" t="s">
        <v>4857</v>
      </c>
    </row>
    <row r="600" spans="1:105" s="30" customFormat="1" ht="17.100000000000001" customHeight="1">
      <c r="A600" s="14">
        <v>589</v>
      </c>
      <c r="B600" s="14" t="s">
        <v>1435</v>
      </c>
      <c r="C600" s="32">
        <v>1.4762535856306693</v>
      </c>
      <c r="D600" s="32">
        <v>1.4078355034727712</v>
      </c>
      <c r="E600" s="32">
        <v>1.5513196798065807</v>
      </c>
      <c r="F600" s="42">
        <v>2380436</v>
      </c>
      <c r="G600" s="52" t="s">
        <v>4894</v>
      </c>
      <c r="H600" s="32">
        <v>17.981908587560202</v>
      </c>
      <c r="I600" s="32">
        <v>17.756773750835766</v>
      </c>
      <c r="J600" s="12" t="s">
        <v>1436</v>
      </c>
      <c r="K600" s="12" t="s">
        <v>1437</v>
      </c>
      <c r="L600" s="14" t="s">
        <v>4845</v>
      </c>
      <c r="M600" s="12" t="s">
        <v>1438</v>
      </c>
      <c r="N600" s="15" t="s">
        <v>1439</v>
      </c>
      <c r="O600" s="12" t="s">
        <v>1440</v>
      </c>
      <c r="P600" s="12" t="s">
        <v>1441</v>
      </c>
      <c r="Q600" s="14">
        <v>4</v>
      </c>
      <c r="R600" s="21">
        <v>494.5059</v>
      </c>
      <c r="S600" s="14">
        <v>1</v>
      </c>
      <c r="T600" s="52" t="s">
        <v>4894</v>
      </c>
      <c r="U600" s="53">
        <v>24</v>
      </c>
      <c r="V600" s="42">
        <v>1411775</v>
      </c>
      <c r="W600" s="42">
        <v>1124326</v>
      </c>
      <c r="X600" s="42">
        <v>1238380</v>
      </c>
      <c r="Y600" s="42">
        <v>1247883</v>
      </c>
      <c r="Z600" s="42">
        <v>1858686</v>
      </c>
      <c r="AA600" s="42">
        <v>1883588</v>
      </c>
      <c r="AB600" s="42">
        <v>2679322</v>
      </c>
      <c r="AC600" s="42">
        <v>2081550</v>
      </c>
      <c r="AD600" s="42">
        <v>1255591</v>
      </c>
      <c r="AE600" s="42">
        <v>2125786.5</v>
      </c>
      <c r="AF600" s="42">
        <v>1268050.5</v>
      </c>
      <c r="AG600" s="42">
        <v>1243131.5</v>
      </c>
      <c r="AH600" s="42">
        <v>1871137</v>
      </c>
      <c r="AI600" s="42">
        <v>2380436</v>
      </c>
      <c r="AJ600" s="32">
        <v>9.4212860801131058</v>
      </c>
      <c r="AK600" s="32">
        <v>17.981908587560202</v>
      </c>
      <c r="AL600" s="32">
        <v>16.029104293976612</v>
      </c>
      <c r="AM600" s="32">
        <v>0.54054102414875338</v>
      </c>
      <c r="AN600" s="32">
        <v>0.94105204830578459</v>
      </c>
      <c r="AO600" s="32">
        <v>17.756773750835766</v>
      </c>
      <c r="AP600" s="19">
        <v>1.6930564969006627</v>
      </c>
      <c r="AQ600" s="19">
        <v>1.4756013266033174</v>
      </c>
      <c r="AR600" s="19">
        <v>1.91487063114401</v>
      </c>
      <c r="AS600" s="19">
        <v>0.75963011643405587</v>
      </c>
      <c r="AT600" s="19">
        <v>0.56130299116567772</v>
      </c>
      <c r="AU600" s="19">
        <v>0.93724692681783428</v>
      </c>
      <c r="AV600" s="19">
        <v>0.56194056374795531</v>
      </c>
      <c r="AW600" s="19">
        <v>0.493478774182528</v>
      </c>
      <c r="AX600" s="19">
        <v>0.63349601258204136</v>
      </c>
      <c r="AY600" s="19">
        <v>1.6930564969006627</v>
      </c>
      <c r="AZ600" s="19">
        <v>1.4756013266033174</v>
      </c>
      <c r="BA600" s="19">
        <v>1.91487063114401</v>
      </c>
      <c r="BB600" s="19">
        <v>1.4762535856306693</v>
      </c>
      <c r="BC600" s="19">
        <v>1.4078355034727712</v>
      </c>
      <c r="BD600" s="19">
        <v>1.5513196798065807</v>
      </c>
      <c r="BE600" s="14" t="s">
        <v>4857</v>
      </c>
    </row>
    <row r="601" spans="1:105" s="30" customFormat="1" ht="17.100000000000001" customHeight="1">
      <c r="A601" s="14">
        <v>590</v>
      </c>
      <c r="B601" s="14" t="s">
        <v>1442</v>
      </c>
      <c r="C601" s="32">
        <v>-1.0363448687213495</v>
      </c>
      <c r="D601" s="32">
        <v>1.0750918212987708</v>
      </c>
      <c r="E601" s="32">
        <v>-1.1322254673338692</v>
      </c>
      <c r="F601" s="24">
        <v>1967545</v>
      </c>
      <c r="G601" s="52" t="s">
        <v>2</v>
      </c>
      <c r="H601" s="32">
        <v>16.612228974153936</v>
      </c>
      <c r="I601" s="32">
        <v>14.62703992916617</v>
      </c>
      <c r="J601" s="12" t="s">
        <v>1443</v>
      </c>
      <c r="K601" s="12" t="s">
        <v>1444</v>
      </c>
      <c r="L601" s="14" t="s">
        <v>5177</v>
      </c>
      <c r="M601" s="12" t="s">
        <v>1445</v>
      </c>
      <c r="N601" s="15" t="s">
        <v>1446</v>
      </c>
      <c r="O601" s="12" t="s">
        <v>1447</v>
      </c>
      <c r="P601" s="12" t="s">
        <v>1448</v>
      </c>
      <c r="Q601" s="14">
        <v>3</v>
      </c>
      <c r="R601" s="21">
        <v>984.46640000000002</v>
      </c>
      <c r="S601" s="14">
        <v>30</v>
      </c>
      <c r="T601" s="52" t="s">
        <v>2</v>
      </c>
      <c r="U601" s="53">
        <v>68.766850000000005</v>
      </c>
      <c r="V601" s="24">
        <v>1620810</v>
      </c>
      <c r="W601" s="24">
        <v>1316960</v>
      </c>
      <c r="X601" s="24">
        <v>1982010</v>
      </c>
      <c r="Y601" s="24">
        <v>1627510</v>
      </c>
      <c r="Z601" s="24">
        <v>1655190</v>
      </c>
      <c r="AA601" s="24">
        <v>1655210</v>
      </c>
      <c r="AB601" s="24">
        <v>2101100</v>
      </c>
      <c r="AC601" s="24">
        <v>1833990</v>
      </c>
      <c r="AD601" s="24">
        <v>1636822.5</v>
      </c>
      <c r="AE601" s="24">
        <v>1811372.5</v>
      </c>
      <c r="AF601" s="24">
        <v>1468885</v>
      </c>
      <c r="AG601" s="24">
        <v>1804760</v>
      </c>
      <c r="AH601" s="24">
        <v>1655200</v>
      </c>
      <c r="AI601" s="24">
        <v>1967545</v>
      </c>
      <c r="AJ601" s="32">
        <v>16.612228974153936</v>
      </c>
      <c r="AK601" s="32">
        <v>11.634238291200758</v>
      </c>
      <c r="AL601" s="32">
        <v>14.62703992916617</v>
      </c>
      <c r="AM601" s="32">
        <v>13.889345615518467</v>
      </c>
      <c r="AN601" s="32">
        <v>8.5440645382618111E-4</v>
      </c>
      <c r="AO601" s="32">
        <v>9.599541170480915</v>
      </c>
      <c r="AP601" s="19">
        <v>1.1066395409398393</v>
      </c>
      <c r="AQ601" s="19">
        <v>1.1268411073705566</v>
      </c>
      <c r="AR601" s="19">
        <v>1.090197588599038</v>
      </c>
      <c r="AS601" s="19">
        <v>0.14618537823249447</v>
      </c>
      <c r="AT601" s="19">
        <v>0.17228409956553897</v>
      </c>
      <c r="AU601" s="19">
        <v>0.12458963432156565</v>
      </c>
      <c r="AV601" s="19">
        <v>-5.1504174453606083E-2</v>
      </c>
      <c r="AW601" s="19">
        <v>0.10445988258238927</v>
      </c>
      <c r="AX601" s="19">
        <v>-0.17916127991422726</v>
      </c>
      <c r="AY601" s="19">
        <v>1.1066395409398393</v>
      </c>
      <c r="AZ601" s="19">
        <v>1.1268411073705566</v>
      </c>
      <c r="BA601" s="19">
        <v>1.090197588599038</v>
      </c>
      <c r="BB601" s="19">
        <v>-1.0363448687213495</v>
      </c>
      <c r="BC601" s="19">
        <v>1.0750918212987708</v>
      </c>
      <c r="BD601" s="19">
        <v>-1.1322254673338692</v>
      </c>
      <c r="BE601" s="14" t="s">
        <v>4857</v>
      </c>
    </row>
    <row r="602" spans="1:105" s="30" customFormat="1" ht="17.100000000000001" customHeight="1">
      <c r="A602" s="14">
        <v>591</v>
      </c>
      <c r="B602" s="14" t="s">
        <v>1456</v>
      </c>
      <c r="C602" s="32">
        <v>-1.1561800670123616</v>
      </c>
      <c r="D602" s="32">
        <v>-1.1720251649787776</v>
      </c>
      <c r="E602" s="32">
        <v>-1.1412095218529015</v>
      </c>
      <c r="F602" s="24">
        <v>62950</v>
      </c>
      <c r="G602" s="52" t="s">
        <v>2</v>
      </c>
      <c r="H602" s="32">
        <v>15.923338672956183</v>
      </c>
      <c r="I602" s="32">
        <v>15.065505303630911</v>
      </c>
      <c r="J602" s="12" t="s">
        <v>1457</v>
      </c>
      <c r="K602" s="12" t="s">
        <v>1458</v>
      </c>
      <c r="L602" s="14" t="s">
        <v>4036</v>
      </c>
      <c r="M602" s="12" t="s">
        <v>1459</v>
      </c>
      <c r="N602" s="15" t="s">
        <v>1460</v>
      </c>
      <c r="O602" s="12" t="s">
        <v>1461</v>
      </c>
      <c r="P602" s="12" t="s">
        <v>1462</v>
      </c>
      <c r="Q602" s="14">
        <v>2</v>
      </c>
      <c r="R602" s="21">
        <v>536.25890000000004</v>
      </c>
      <c r="S602" s="14">
        <v>1</v>
      </c>
      <c r="T602" s="52" t="s">
        <v>2</v>
      </c>
      <c r="U602" s="53">
        <v>36.5</v>
      </c>
      <c r="V602" s="24">
        <v>48800</v>
      </c>
      <c r="W602" s="24">
        <v>58100</v>
      </c>
      <c r="X602" s="24">
        <v>64400</v>
      </c>
      <c r="Y602" s="24">
        <v>52000</v>
      </c>
      <c r="Z602" s="24">
        <v>49000</v>
      </c>
      <c r="AA602" s="24">
        <v>46600</v>
      </c>
      <c r="AB602" s="24">
        <v>62300</v>
      </c>
      <c r="AC602" s="24">
        <v>63600</v>
      </c>
      <c r="AD602" s="24">
        <v>55825</v>
      </c>
      <c r="AE602" s="24">
        <v>55375</v>
      </c>
      <c r="AF602" s="24">
        <v>53450</v>
      </c>
      <c r="AG602" s="24">
        <v>58200</v>
      </c>
      <c r="AH602" s="24">
        <v>47800</v>
      </c>
      <c r="AI602" s="24">
        <v>62950</v>
      </c>
      <c r="AJ602" s="32">
        <v>12.353886452426083</v>
      </c>
      <c r="AK602" s="32">
        <v>15.923338672956183</v>
      </c>
      <c r="AL602" s="32">
        <v>12.303261113255177</v>
      </c>
      <c r="AM602" s="32">
        <v>15.065505303630911</v>
      </c>
      <c r="AN602" s="32">
        <v>3.5503269348278534</v>
      </c>
      <c r="AO602" s="32">
        <v>1.4602681740151102</v>
      </c>
      <c r="AP602" s="19">
        <v>0.99193909538737124</v>
      </c>
      <c r="AQ602" s="19">
        <v>0.89429373246024324</v>
      </c>
      <c r="AR602" s="19">
        <v>1.081615120274914</v>
      </c>
      <c r="AS602" s="19">
        <v>-1.1676552380092844E-2</v>
      </c>
      <c r="AT602" s="19">
        <v>-0.16117932973974203</v>
      </c>
      <c r="AU602" s="19">
        <v>0.11318722481073258</v>
      </c>
      <c r="AV602" s="19">
        <v>-0.20936610506619341</v>
      </c>
      <c r="AW602" s="19">
        <v>-0.22900354672289175</v>
      </c>
      <c r="AX602" s="19">
        <v>-0.19056368942506036</v>
      </c>
      <c r="AY602" s="19">
        <v>-1.0081264108352144</v>
      </c>
      <c r="AZ602" s="19">
        <v>-1.1182008368200838</v>
      </c>
      <c r="BA602" s="19">
        <v>1.081615120274914</v>
      </c>
      <c r="BB602" s="19">
        <v>-1.1561800670123616</v>
      </c>
      <c r="BC602" s="19">
        <v>-1.1720251649787776</v>
      </c>
      <c r="BD602" s="19">
        <v>-1.1412095218529015</v>
      </c>
      <c r="BE602" s="14" t="s">
        <v>4857</v>
      </c>
    </row>
    <row r="603" spans="1:105" s="30" customFormat="1" ht="17.100000000000001" customHeight="1">
      <c r="A603" s="14">
        <v>592</v>
      </c>
      <c r="B603" s="14" t="s">
        <v>1463</v>
      </c>
      <c r="C603" s="32">
        <v>1.1237939371980559</v>
      </c>
      <c r="D603" s="32">
        <v>1.6891378119597034</v>
      </c>
      <c r="E603" s="32">
        <v>-1.3113221525273342</v>
      </c>
      <c r="F603" s="42">
        <v>6328169</v>
      </c>
      <c r="G603" s="52" t="s">
        <v>4894</v>
      </c>
      <c r="H603" s="32">
        <v>33.280366687764115</v>
      </c>
      <c r="I603" s="32">
        <v>56.917868287718896</v>
      </c>
      <c r="J603" s="12" t="s">
        <v>1464</v>
      </c>
      <c r="K603" s="12" t="s">
        <v>1465</v>
      </c>
      <c r="L603" s="14" t="s">
        <v>1466</v>
      </c>
      <c r="M603" s="12" t="s">
        <v>1467</v>
      </c>
      <c r="N603" s="15" t="s">
        <v>1468</v>
      </c>
      <c r="O603" s="12" t="s">
        <v>1469</v>
      </c>
      <c r="P603" s="12" t="s">
        <v>1470</v>
      </c>
      <c r="Q603" s="14">
        <v>4</v>
      </c>
      <c r="R603" s="21">
        <v>803.39970000000005</v>
      </c>
      <c r="S603" s="14">
        <v>1</v>
      </c>
      <c r="T603" s="52" t="s">
        <v>4894</v>
      </c>
      <c r="U603" s="53">
        <v>85.112162499999997</v>
      </c>
      <c r="V603" s="42">
        <v>2135775</v>
      </c>
      <c r="W603" s="42">
        <v>5012905</v>
      </c>
      <c r="X603" s="42">
        <v>4966319</v>
      </c>
      <c r="Y603" s="42">
        <v>4940284</v>
      </c>
      <c r="Z603" s="42">
        <v>5558100</v>
      </c>
      <c r="AA603" s="42">
        <v>7098238</v>
      </c>
      <c r="AB603" s="42">
        <v>3727710</v>
      </c>
      <c r="AC603" s="42">
        <v>5597390</v>
      </c>
      <c r="AD603" s="42">
        <v>4263820.75</v>
      </c>
      <c r="AE603" s="42">
        <v>5495359.5</v>
      </c>
      <c r="AF603" s="42">
        <v>3574340</v>
      </c>
      <c r="AG603" s="42">
        <v>4953301.5</v>
      </c>
      <c r="AH603" s="42">
        <v>6328169</v>
      </c>
      <c r="AI603" s="42">
        <v>4662550</v>
      </c>
      <c r="AJ603" s="32">
        <v>33.280366687764115</v>
      </c>
      <c r="AK603" s="32">
        <v>25.100997715211648</v>
      </c>
      <c r="AL603" s="32">
        <v>56.917868287718896</v>
      </c>
      <c r="AM603" s="32">
        <v>0.37166170983518293</v>
      </c>
      <c r="AN603" s="32">
        <v>17.209433309431006</v>
      </c>
      <c r="AO603" s="32">
        <v>28.354943253131104</v>
      </c>
      <c r="AP603" s="19">
        <v>1.2888345505612542</v>
      </c>
      <c r="AQ603" s="19">
        <v>1.7704440540071733</v>
      </c>
      <c r="AR603" s="19">
        <v>0.94130147337084169</v>
      </c>
      <c r="AS603" s="19">
        <v>0.36606707486727658</v>
      </c>
      <c r="AT603" s="19">
        <v>0.82411125531783802</v>
      </c>
      <c r="AU603" s="19">
        <v>-8.7271241773269989E-2</v>
      </c>
      <c r="AV603" s="19">
        <v>0.16837752218117602</v>
      </c>
      <c r="AW603" s="19">
        <v>0.75628703833468836</v>
      </c>
      <c r="AX603" s="19">
        <v>-0.39102215600906293</v>
      </c>
      <c r="AY603" s="19">
        <v>1.2888345505612542</v>
      </c>
      <c r="AZ603" s="19">
        <v>1.7704440540071733</v>
      </c>
      <c r="BA603" s="19">
        <v>-1.0623589023174014</v>
      </c>
      <c r="BB603" s="19">
        <v>1.1237939371980559</v>
      </c>
      <c r="BC603" s="19">
        <v>1.6891378119597034</v>
      </c>
      <c r="BD603" s="19">
        <v>-1.3113221525273342</v>
      </c>
      <c r="BE603" s="14" t="s">
        <v>4857</v>
      </c>
    </row>
    <row r="604" spans="1:105" s="30" customFormat="1" ht="17.100000000000001" customHeight="1">
      <c r="A604" s="14">
        <v>593</v>
      </c>
      <c r="B604" s="14" t="s">
        <v>1471</v>
      </c>
      <c r="C604" s="32">
        <v>1.1532553911573862</v>
      </c>
      <c r="D604" s="32">
        <v>1.1517802732781999</v>
      </c>
      <c r="E604" s="32">
        <v>1.1405379098149515</v>
      </c>
      <c r="F604" s="24">
        <v>127601.5</v>
      </c>
      <c r="G604" s="52" t="s">
        <v>2</v>
      </c>
      <c r="H604" s="32">
        <v>30.212003253884408</v>
      </c>
      <c r="I604" s="32">
        <v>30.370387405666648</v>
      </c>
      <c r="J604" s="12" t="s">
        <v>1472</v>
      </c>
      <c r="K604" s="12" t="s">
        <v>1473</v>
      </c>
      <c r="L604" s="14" t="s">
        <v>5307</v>
      </c>
      <c r="M604" s="12" t="s">
        <v>1474</v>
      </c>
      <c r="N604" s="15" t="s">
        <v>1475</v>
      </c>
      <c r="O604" s="12" t="s">
        <v>1476</v>
      </c>
      <c r="P604" s="12" t="s">
        <v>1477</v>
      </c>
      <c r="Q604" s="14">
        <v>4</v>
      </c>
      <c r="R604" s="21">
        <v>577.33900000000006</v>
      </c>
      <c r="S604" s="14">
        <v>1</v>
      </c>
      <c r="T604" s="52" t="s">
        <v>2</v>
      </c>
      <c r="U604" s="53">
        <v>52.589412499999995</v>
      </c>
      <c r="V604" s="24">
        <v>73010</v>
      </c>
      <c r="W604" s="24">
        <v>60823</v>
      </c>
      <c r="X604" s="24">
        <v>110102</v>
      </c>
      <c r="Y604" s="24">
        <v>71173</v>
      </c>
      <c r="Z604" s="24">
        <v>83206</v>
      </c>
      <c r="AA604" s="24">
        <v>78360</v>
      </c>
      <c r="AB604" s="24">
        <v>147210</v>
      </c>
      <c r="AC604" s="24">
        <v>107993</v>
      </c>
      <c r="AD604" s="24">
        <v>78777</v>
      </c>
      <c r="AE604" s="24">
        <v>104192.25</v>
      </c>
      <c r="AF604" s="24">
        <v>66916.5</v>
      </c>
      <c r="AG604" s="24">
        <v>90637.5</v>
      </c>
      <c r="AH604" s="24">
        <v>80783</v>
      </c>
      <c r="AI604" s="24">
        <v>127601.5</v>
      </c>
      <c r="AJ604" s="32">
        <v>27.370161057607994</v>
      </c>
      <c r="AK604" s="32">
        <v>30.212003253884408</v>
      </c>
      <c r="AL604" s="32">
        <v>12.878005189034775</v>
      </c>
      <c r="AM604" s="32">
        <v>30.370387405666648</v>
      </c>
      <c r="AN604" s="32">
        <v>4.2417828771276245</v>
      </c>
      <c r="AO604" s="32">
        <v>21.732194870587598</v>
      </c>
      <c r="AP604" s="19">
        <v>1.3226227198293918</v>
      </c>
      <c r="AQ604" s="19">
        <v>1.2072209395291147</v>
      </c>
      <c r="AR604" s="19">
        <v>1.4078223693283685</v>
      </c>
      <c r="AS604" s="19">
        <v>0.40340158931498588</v>
      </c>
      <c r="AT604" s="19">
        <v>0.27168973507665128</v>
      </c>
      <c r="AU604" s="19">
        <v>0.49346531475964894</v>
      </c>
      <c r="AV604" s="19">
        <v>0.20571203662888532</v>
      </c>
      <c r="AW604" s="19">
        <v>0.20386551809350156</v>
      </c>
      <c r="AX604" s="19">
        <v>0.18971440052385602</v>
      </c>
      <c r="AY604" s="19">
        <v>1.3226227198293918</v>
      </c>
      <c r="AZ604" s="19">
        <v>1.2072209395291147</v>
      </c>
      <c r="BA604" s="19">
        <v>1.4078223693283685</v>
      </c>
      <c r="BB604" s="19">
        <v>1.1532553911573862</v>
      </c>
      <c r="BC604" s="19">
        <v>1.1517802732781999</v>
      </c>
      <c r="BD604" s="19">
        <v>1.1405379098149515</v>
      </c>
      <c r="BE604" s="14" t="s">
        <v>4857</v>
      </c>
    </row>
    <row r="605" spans="1:105" ht="17.100000000000001" customHeight="1">
      <c r="A605" s="14">
        <v>594</v>
      </c>
      <c r="B605" s="14" t="s">
        <v>1478</v>
      </c>
      <c r="C605" s="32">
        <v>1.1828771405648413</v>
      </c>
      <c r="D605" s="32">
        <v>1.3924741095209359</v>
      </c>
      <c r="E605" s="32">
        <v>1.0426674427185887</v>
      </c>
      <c r="F605" s="24">
        <v>68291</v>
      </c>
      <c r="G605" s="52" t="s">
        <v>2</v>
      </c>
      <c r="H605" s="32">
        <v>22.402828947416527</v>
      </c>
      <c r="I605" s="32">
        <v>2.6320678241293929</v>
      </c>
      <c r="J605" s="12" t="s">
        <v>1479</v>
      </c>
      <c r="K605" s="12" t="s">
        <v>1480</v>
      </c>
      <c r="L605" s="14" t="s">
        <v>4970</v>
      </c>
      <c r="M605" s="12" t="s">
        <v>1481</v>
      </c>
      <c r="N605" s="15" t="s">
        <v>1482</v>
      </c>
      <c r="O605" s="12" t="s">
        <v>1483</v>
      </c>
      <c r="P605" s="12" t="s">
        <v>1484</v>
      </c>
      <c r="Q605" s="14">
        <v>3</v>
      </c>
      <c r="R605" s="21">
        <v>612.97569999999996</v>
      </c>
      <c r="S605" s="14">
        <v>1</v>
      </c>
      <c r="T605" s="52" t="s">
        <v>2</v>
      </c>
      <c r="U605" s="53">
        <v>44.708950000000009</v>
      </c>
      <c r="V605" s="24">
        <v>35339</v>
      </c>
      <c r="W605" s="24">
        <v>36415</v>
      </c>
      <c r="X605" s="24">
        <v>54026</v>
      </c>
      <c r="Y605" s="24">
        <v>52097</v>
      </c>
      <c r="Z605" s="24">
        <v>52279</v>
      </c>
      <c r="AA605" s="24">
        <v>52446</v>
      </c>
      <c r="AB605" s="24">
        <v>67020</v>
      </c>
      <c r="AC605" s="24">
        <v>69562</v>
      </c>
      <c r="AD605" s="24">
        <v>44469.25</v>
      </c>
      <c r="AE605" s="24">
        <v>60326.75</v>
      </c>
      <c r="AF605" s="24">
        <v>35877</v>
      </c>
      <c r="AG605" s="24">
        <v>53061.5</v>
      </c>
      <c r="AH605" s="24">
        <v>52362.5</v>
      </c>
      <c r="AI605" s="24">
        <v>68291</v>
      </c>
      <c r="AJ605" s="32">
        <v>22.402828947416527</v>
      </c>
      <c r="AK605" s="32">
        <v>15.341359382608161</v>
      </c>
      <c r="AL605" s="32">
        <v>2.120709358521407</v>
      </c>
      <c r="AM605" s="32">
        <v>2.5706189627297573</v>
      </c>
      <c r="AN605" s="32">
        <v>0.22551794214973206</v>
      </c>
      <c r="AO605" s="32">
        <v>2.6320678241293929</v>
      </c>
      <c r="AP605" s="19">
        <v>1.356594725568792</v>
      </c>
      <c r="AQ605" s="19">
        <v>1.4595005156506955</v>
      </c>
      <c r="AR605" s="19">
        <v>1.2870160097245649</v>
      </c>
      <c r="AS605" s="19">
        <v>0.43998978874548267</v>
      </c>
      <c r="AT605" s="19">
        <v>0.54547472055348645</v>
      </c>
      <c r="AU605" s="19">
        <v>0.36402999995067192</v>
      </c>
      <c r="AV605" s="19">
        <v>0.24230023605938211</v>
      </c>
      <c r="AW605" s="19">
        <v>0.47765050357033673</v>
      </c>
      <c r="AX605" s="19">
        <v>6.0279085714878999E-2</v>
      </c>
      <c r="AY605" s="19">
        <v>1.356594725568792</v>
      </c>
      <c r="AZ605" s="19">
        <v>1.4595005156506955</v>
      </c>
      <c r="BA605" s="19">
        <v>1.2870160097245649</v>
      </c>
      <c r="BB605" s="19">
        <v>1.1828771405648413</v>
      </c>
      <c r="BC605" s="19">
        <v>1.3924741095209359</v>
      </c>
      <c r="BD605" s="19">
        <v>1.0426674427185887</v>
      </c>
      <c r="BE605" s="14" t="s">
        <v>4857</v>
      </c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s="30" customFormat="1" ht="17.100000000000001" customHeight="1">
      <c r="A606" s="14">
        <v>595</v>
      </c>
      <c r="B606" s="14" t="s">
        <v>1362</v>
      </c>
      <c r="C606" s="32">
        <v>-1.4881937436618429</v>
      </c>
      <c r="D606" s="32">
        <v>-1.3797873788055472</v>
      </c>
      <c r="E606" s="32">
        <v>-1.5844308651841634</v>
      </c>
      <c r="F606" s="24">
        <v>465780</v>
      </c>
      <c r="G606" s="52" t="s">
        <v>2</v>
      </c>
      <c r="H606" s="32">
        <v>19.920554786917091</v>
      </c>
      <c r="I606" s="32">
        <v>14.350234583711746</v>
      </c>
      <c r="J606" s="12" t="s">
        <v>1356</v>
      </c>
      <c r="K606" s="12" t="s">
        <v>1357</v>
      </c>
      <c r="L606" s="14" t="s">
        <v>4992</v>
      </c>
      <c r="M606" s="12" t="s">
        <v>1358</v>
      </c>
      <c r="N606" s="15" t="s">
        <v>1359</v>
      </c>
      <c r="O606" s="12" t="s">
        <v>1360</v>
      </c>
      <c r="P606" s="12" t="s">
        <v>1363</v>
      </c>
      <c r="Q606" s="14">
        <v>2</v>
      </c>
      <c r="R606" s="21">
        <v>775.86339999999996</v>
      </c>
      <c r="S606" s="14">
        <v>10</v>
      </c>
      <c r="T606" s="52" t="s">
        <v>2</v>
      </c>
      <c r="U606" s="53">
        <v>59.173312500000009</v>
      </c>
      <c r="V606" s="24">
        <v>376711</v>
      </c>
      <c r="W606" s="24">
        <v>335252</v>
      </c>
      <c r="X606" s="24">
        <v>494336</v>
      </c>
      <c r="Y606" s="24">
        <v>437224</v>
      </c>
      <c r="Z606" s="24">
        <v>252010</v>
      </c>
      <c r="AA606" s="24">
        <v>288822</v>
      </c>
      <c r="AB606" s="24">
        <v>326045</v>
      </c>
      <c r="AC606" s="24">
        <v>399686</v>
      </c>
      <c r="AD606" s="24">
        <v>410880.75</v>
      </c>
      <c r="AE606" s="24">
        <v>316640.75</v>
      </c>
      <c r="AF606" s="24">
        <v>355981.5</v>
      </c>
      <c r="AG606" s="24">
        <v>465780</v>
      </c>
      <c r="AH606" s="24">
        <v>270416</v>
      </c>
      <c r="AI606" s="24">
        <v>362865.5</v>
      </c>
      <c r="AJ606" s="32">
        <v>16.947113804799656</v>
      </c>
      <c r="AK606" s="32">
        <v>19.920554786917091</v>
      </c>
      <c r="AL606" s="32">
        <v>8.2352425733396455</v>
      </c>
      <c r="AM606" s="32">
        <v>8.6702482904216804</v>
      </c>
      <c r="AN606" s="32">
        <v>9.625915193272288</v>
      </c>
      <c r="AO606" s="32">
        <v>14.350234583711746</v>
      </c>
      <c r="AP606" s="19">
        <v>0.77063904794761007</v>
      </c>
      <c r="AQ606" s="19">
        <v>0.75963498103131766</v>
      </c>
      <c r="AR606" s="19">
        <v>0.77904912190304432</v>
      </c>
      <c r="AS606" s="19">
        <v>-0.3758728063034304</v>
      </c>
      <c r="AT606" s="19">
        <v>-0.39662175206662797</v>
      </c>
      <c r="AU606" s="19">
        <v>-0.36021379652129998</v>
      </c>
      <c r="AV606" s="19">
        <v>-0.5735623589895309</v>
      </c>
      <c r="AW606" s="19">
        <v>-0.4644459690497777</v>
      </c>
      <c r="AX606" s="19">
        <v>-0.66396471075709296</v>
      </c>
      <c r="AY606" s="19">
        <v>-1.297624358204053</v>
      </c>
      <c r="AZ606" s="19">
        <v>-1.3164217354002721</v>
      </c>
      <c r="BA606" s="19">
        <v>-1.2836161056920541</v>
      </c>
      <c r="BB606" s="19">
        <v>-1.4881937436618429</v>
      </c>
      <c r="BC606" s="19">
        <v>-1.3797873788055472</v>
      </c>
      <c r="BD606" s="19">
        <v>-1.5844308651841634</v>
      </c>
      <c r="BE606" s="14" t="s">
        <v>4857</v>
      </c>
    </row>
    <row r="607" spans="1:105" s="30" customFormat="1" ht="17.100000000000001" customHeight="1">
      <c r="A607" s="14">
        <v>596</v>
      </c>
      <c r="B607" s="14" t="s">
        <v>1365</v>
      </c>
      <c r="C607" s="32">
        <v>-1.0524103094384971</v>
      </c>
      <c r="D607" s="32">
        <v>-1.0800651639788204</v>
      </c>
      <c r="E607" s="32">
        <v>-1.0385052565809572</v>
      </c>
      <c r="F607" s="24">
        <v>54405</v>
      </c>
      <c r="G607" s="52" t="s">
        <v>2</v>
      </c>
      <c r="H607" s="32">
        <v>23.328984523994809</v>
      </c>
      <c r="I607" s="32">
        <v>25.836898752164817</v>
      </c>
      <c r="J607" s="12" t="s">
        <v>1356</v>
      </c>
      <c r="K607" s="12" t="s">
        <v>1357</v>
      </c>
      <c r="L607" s="14" t="s">
        <v>5211</v>
      </c>
      <c r="M607" s="12" t="s">
        <v>1358</v>
      </c>
      <c r="N607" s="15" t="s">
        <v>1359</v>
      </c>
      <c r="O607" s="12" t="s">
        <v>1360</v>
      </c>
      <c r="P607" s="12" t="s">
        <v>1366</v>
      </c>
      <c r="Q607" s="14">
        <v>2</v>
      </c>
      <c r="R607" s="21">
        <v>697.79870000000005</v>
      </c>
      <c r="S607" s="14">
        <v>1</v>
      </c>
      <c r="T607" s="52" t="s">
        <v>2</v>
      </c>
      <c r="U607" s="53">
        <v>50.801374999999993</v>
      </c>
      <c r="V607" s="24">
        <v>30991</v>
      </c>
      <c r="W607" s="24">
        <v>44846</v>
      </c>
      <c r="X607" s="24">
        <v>47956</v>
      </c>
      <c r="Y607" s="24">
        <v>43590</v>
      </c>
      <c r="Z607" s="24">
        <v>33125</v>
      </c>
      <c r="AA607" s="24">
        <v>40470</v>
      </c>
      <c r="AB607" s="24">
        <v>55528</v>
      </c>
      <c r="AC607" s="24">
        <v>53282</v>
      </c>
      <c r="AD607" s="24">
        <v>41845.75</v>
      </c>
      <c r="AE607" s="24">
        <v>45601.25</v>
      </c>
      <c r="AF607" s="24">
        <v>37918.5</v>
      </c>
      <c r="AG607" s="24">
        <v>45773</v>
      </c>
      <c r="AH607" s="24">
        <v>36797.5</v>
      </c>
      <c r="AI607" s="24">
        <v>54405</v>
      </c>
      <c r="AJ607" s="32">
        <v>17.840712966122606</v>
      </c>
      <c r="AK607" s="32">
        <v>23.328984523994809</v>
      </c>
      <c r="AL607" s="32">
        <v>25.836898752164817</v>
      </c>
      <c r="AM607" s="32">
        <v>6.7446490434545838</v>
      </c>
      <c r="AN607" s="32">
        <v>14.114272186466991</v>
      </c>
      <c r="AO607" s="32">
        <v>2.9191468257420934</v>
      </c>
      <c r="AP607" s="19">
        <v>1.0897462705292653</v>
      </c>
      <c r="AQ607" s="19">
        <v>0.97043659427456253</v>
      </c>
      <c r="AR607" s="19">
        <v>1.1885827889804033</v>
      </c>
      <c r="AS607" s="19">
        <v>0.12399226632265968</v>
      </c>
      <c r="AT607" s="19">
        <v>-4.3294140695416906E-2</v>
      </c>
      <c r="AU607" s="19">
        <v>0.24924239557457487</v>
      </c>
      <c r="AV607" s="19">
        <v>-7.3697286363440875E-2</v>
      </c>
      <c r="AW607" s="19">
        <v>-0.11111835767856662</v>
      </c>
      <c r="AX607" s="19">
        <v>-5.4508518661218058E-2</v>
      </c>
      <c r="AY607" s="19">
        <v>1.0897462705292653</v>
      </c>
      <c r="AZ607" s="19">
        <v>-1.0304640260887288</v>
      </c>
      <c r="BA607" s="19">
        <v>1.1885827889804033</v>
      </c>
      <c r="BB607" s="19">
        <v>-1.0524103094384971</v>
      </c>
      <c r="BC607" s="19">
        <v>-1.0800651639788204</v>
      </c>
      <c r="BD607" s="19">
        <v>-1.0385052565809572</v>
      </c>
      <c r="BE607" s="14" t="s">
        <v>4857</v>
      </c>
    </row>
    <row r="608" spans="1:105" s="30" customFormat="1" ht="17.100000000000001" customHeight="1">
      <c r="A608" s="14">
        <v>597</v>
      </c>
      <c r="B608" s="14" t="s">
        <v>1367</v>
      </c>
      <c r="C608" s="32">
        <v>-1.118858827159906</v>
      </c>
      <c r="D608" s="32">
        <v>-1.2728644757522947</v>
      </c>
      <c r="E608" s="32">
        <v>-1.0074935637876963</v>
      </c>
      <c r="F608" s="24">
        <v>108368</v>
      </c>
      <c r="G608" s="52" t="s">
        <v>2</v>
      </c>
      <c r="H608" s="32">
        <v>23.072743613794426</v>
      </c>
      <c r="I608" s="32">
        <v>19.884192996673882</v>
      </c>
      <c r="J608" s="12" t="s">
        <v>1356</v>
      </c>
      <c r="K608" s="12" t="s">
        <v>1357</v>
      </c>
      <c r="L608" s="14" t="s">
        <v>5007</v>
      </c>
      <c r="M608" s="12" t="s">
        <v>1358</v>
      </c>
      <c r="N608" s="15" t="s">
        <v>1359</v>
      </c>
      <c r="O608" s="12" t="s">
        <v>1360</v>
      </c>
      <c r="P608" s="12" t="s">
        <v>1368</v>
      </c>
      <c r="Q608" s="14">
        <v>2</v>
      </c>
      <c r="R608" s="21">
        <v>589.79740000000004</v>
      </c>
      <c r="S608" s="14">
        <v>7</v>
      </c>
      <c r="T608" s="52" t="s">
        <v>2</v>
      </c>
      <c r="U608" s="53">
        <v>38.787537499999999</v>
      </c>
      <c r="V608" s="24">
        <v>94774</v>
      </c>
      <c r="W608" s="24">
        <v>80866</v>
      </c>
      <c r="X608" s="24">
        <v>76015</v>
      </c>
      <c r="Y608" s="24">
        <v>100888</v>
      </c>
      <c r="Z608" s="24">
        <v>71385</v>
      </c>
      <c r="AA608" s="24">
        <v>73245</v>
      </c>
      <c r="AB608" s="24">
        <v>107393</v>
      </c>
      <c r="AC608" s="24">
        <v>109343</v>
      </c>
      <c r="AD608" s="24">
        <v>88135.75</v>
      </c>
      <c r="AE608" s="24">
        <v>90341.5</v>
      </c>
      <c r="AF608" s="24">
        <v>87820</v>
      </c>
      <c r="AG608" s="24">
        <v>88451.5</v>
      </c>
      <c r="AH608" s="24">
        <v>72315</v>
      </c>
      <c r="AI608" s="24">
        <v>108368</v>
      </c>
      <c r="AJ608" s="32">
        <v>13.206563106783802</v>
      </c>
      <c r="AK608" s="32">
        <v>23.072743613794426</v>
      </c>
      <c r="AL608" s="32">
        <v>11.198407097178892</v>
      </c>
      <c r="AM608" s="32">
        <v>19.884192996673882</v>
      </c>
      <c r="AN608" s="32">
        <v>1.8187355500338496</v>
      </c>
      <c r="AO608" s="32">
        <v>1.2723850429220505</v>
      </c>
      <c r="AP608" s="19">
        <v>1.0250267343274437</v>
      </c>
      <c r="AQ608" s="19">
        <v>0.82344568435436116</v>
      </c>
      <c r="AR608" s="19">
        <v>1.2251685952188487</v>
      </c>
      <c r="AS608" s="19">
        <v>3.5661538002568653E-2</v>
      </c>
      <c r="AT608" s="19">
        <v>-0.28025460400913538</v>
      </c>
      <c r="AU608" s="19">
        <v>0.29298029188079561</v>
      </c>
      <c r="AV608" s="19">
        <v>-0.1620280146835319</v>
      </c>
      <c r="AW608" s="19">
        <v>-0.3480788209922851</v>
      </c>
      <c r="AX608" s="19">
        <v>-1.0770622354997317E-2</v>
      </c>
      <c r="AY608" s="19">
        <v>1.0250267343274437</v>
      </c>
      <c r="AZ608" s="19">
        <v>-1.2144091820507503</v>
      </c>
      <c r="BA608" s="19">
        <v>1.2251685952188487</v>
      </c>
      <c r="BB608" s="19">
        <v>-1.118858827159906</v>
      </c>
      <c r="BC608" s="19">
        <v>-1.2728644757522947</v>
      </c>
      <c r="BD608" s="19">
        <v>-1.0074935637876963</v>
      </c>
      <c r="BE608" s="14" t="s">
        <v>4857</v>
      </c>
    </row>
    <row r="609" spans="1:57" s="30" customFormat="1" ht="17.100000000000001" customHeight="1">
      <c r="A609" s="14">
        <v>598</v>
      </c>
      <c r="B609" s="14" t="s">
        <v>1369</v>
      </c>
      <c r="C609" s="32">
        <v>-1.0912678623059406</v>
      </c>
      <c r="D609" s="32">
        <v>-1.0921290830136374</v>
      </c>
      <c r="E609" s="32">
        <v>-1.0811832992296462</v>
      </c>
      <c r="F609" s="24">
        <v>489972.5</v>
      </c>
      <c r="G609" s="52" t="s">
        <v>2</v>
      </c>
      <c r="H609" s="32">
        <v>11.466509875433987</v>
      </c>
      <c r="I609" s="32">
        <v>10.162569070636335</v>
      </c>
      <c r="J609" s="12" t="s">
        <v>1370</v>
      </c>
      <c r="K609" s="12" t="s">
        <v>1371</v>
      </c>
      <c r="L609" s="14" t="s">
        <v>5203</v>
      </c>
      <c r="M609" s="12" t="s">
        <v>1372</v>
      </c>
      <c r="N609" s="15" t="s">
        <v>1373</v>
      </c>
      <c r="O609" s="12" t="s">
        <v>1374</v>
      </c>
      <c r="P609" s="12" t="s">
        <v>1375</v>
      </c>
      <c r="Q609" s="14">
        <v>2</v>
      </c>
      <c r="R609" s="21">
        <v>475.2713</v>
      </c>
      <c r="S609" s="14">
        <v>1</v>
      </c>
      <c r="T609" s="52" t="s">
        <v>2</v>
      </c>
      <c r="U609" s="53">
        <v>39.730437500000001</v>
      </c>
      <c r="V609" s="24">
        <v>444102</v>
      </c>
      <c r="W609" s="24">
        <v>409507</v>
      </c>
      <c r="X609" s="24">
        <v>460014</v>
      </c>
      <c r="Y609" s="24">
        <v>398333</v>
      </c>
      <c r="Z609" s="24">
        <v>421667</v>
      </c>
      <c r="AA609" s="24">
        <v>397556</v>
      </c>
      <c r="AB609" s="24">
        <v>514787</v>
      </c>
      <c r="AC609" s="24">
        <v>465158</v>
      </c>
      <c r="AD609" s="24">
        <v>427989</v>
      </c>
      <c r="AE609" s="24">
        <v>449792</v>
      </c>
      <c r="AF609" s="24">
        <v>426804.5</v>
      </c>
      <c r="AG609" s="24">
        <v>429173.5</v>
      </c>
      <c r="AH609" s="24">
        <v>409611.5</v>
      </c>
      <c r="AI609" s="24">
        <v>489972.5</v>
      </c>
      <c r="AJ609" s="32">
        <v>6.7534020317442618</v>
      </c>
      <c r="AK609" s="32">
        <v>11.466509875433987</v>
      </c>
      <c r="AL609" s="32">
        <v>5.731513865282257</v>
      </c>
      <c r="AM609" s="32">
        <v>10.162569070636335</v>
      </c>
      <c r="AN609" s="32">
        <v>4.1622492535460669</v>
      </c>
      <c r="AO609" s="32">
        <v>7.1622391957726546</v>
      </c>
      <c r="AP609" s="19">
        <v>1.0509428980651372</v>
      </c>
      <c r="AQ609" s="19">
        <v>0.95971691957324723</v>
      </c>
      <c r="AR609" s="19">
        <v>1.1416653171735907</v>
      </c>
      <c r="AS609" s="19">
        <v>7.1684284032491719E-2</v>
      </c>
      <c r="AT609" s="19">
        <v>-5.9319167129679717E-2</v>
      </c>
      <c r="AU609" s="19">
        <v>0.19113978203102794</v>
      </c>
      <c r="AV609" s="19">
        <v>-0.12600526865360884</v>
      </c>
      <c r="AW609" s="19">
        <v>-0.12714338411282944</v>
      </c>
      <c r="AX609" s="19">
        <v>-0.11261113220476499</v>
      </c>
      <c r="AY609" s="19">
        <v>1.0509428980651372</v>
      </c>
      <c r="AZ609" s="19">
        <v>-1.0419739191892805</v>
      </c>
      <c r="BA609" s="19">
        <v>1.1416653171735907</v>
      </c>
      <c r="BB609" s="19">
        <v>-1.0912678623059406</v>
      </c>
      <c r="BC609" s="19">
        <v>-1.0921290830136374</v>
      </c>
      <c r="BD609" s="19">
        <v>-1.0811832992296462</v>
      </c>
      <c r="BE609" s="14" t="s">
        <v>4857</v>
      </c>
    </row>
    <row r="610" spans="1:57" s="30" customFormat="1" ht="17.100000000000001" customHeight="1">
      <c r="A610" s="14">
        <v>599</v>
      </c>
      <c r="B610" s="14" t="s">
        <v>1376</v>
      </c>
      <c r="C610" s="32">
        <v>-1.1309916433047116</v>
      </c>
      <c r="D610" s="32">
        <v>-1.1500829763271987</v>
      </c>
      <c r="E610" s="32">
        <v>-1.1295793005201116</v>
      </c>
      <c r="F610" s="24">
        <v>371341</v>
      </c>
      <c r="G610" s="52" t="s">
        <v>2</v>
      </c>
      <c r="H610" s="32">
        <v>26.815002001947907</v>
      </c>
      <c r="I610" s="32">
        <v>10.895820827620502</v>
      </c>
      <c r="J610" s="12" t="s">
        <v>1370</v>
      </c>
      <c r="K610" s="12" t="s">
        <v>1371</v>
      </c>
      <c r="L610" s="14" t="s">
        <v>5161</v>
      </c>
      <c r="M610" s="12" t="s">
        <v>1372</v>
      </c>
      <c r="N610" s="15" t="s">
        <v>1373</v>
      </c>
      <c r="O610" s="12" t="s">
        <v>1374</v>
      </c>
      <c r="P610" s="12" t="s">
        <v>1377</v>
      </c>
      <c r="Q610" s="14">
        <v>2</v>
      </c>
      <c r="R610" s="21">
        <v>676.84590000000003</v>
      </c>
      <c r="S610" s="14">
        <v>4</v>
      </c>
      <c r="T610" s="52" t="s">
        <v>2</v>
      </c>
      <c r="U610" s="53">
        <v>57.084649999999996</v>
      </c>
      <c r="V610" s="24">
        <v>257230</v>
      </c>
      <c r="W610" s="24">
        <v>263853</v>
      </c>
      <c r="X610" s="24">
        <v>360918</v>
      </c>
      <c r="Y610" s="24">
        <v>318726</v>
      </c>
      <c r="Z610" s="24">
        <v>222919</v>
      </c>
      <c r="AA610" s="24">
        <v>251973</v>
      </c>
      <c r="AB610" s="24">
        <v>342731</v>
      </c>
      <c r="AC610" s="24">
        <v>399951</v>
      </c>
      <c r="AD610" s="24">
        <v>300181.75</v>
      </c>
      <c r="AE610" s="24">
        <v>304393.5</v>
      </c>
      <c r="AF610" s="24">
        <v>260541.5</v>
      </c>
      <c r="AG610" s="24">
        <v>339822</v>
      </c>
      <c r="AH610" s="24">
        <v>237446</v>
      </c>
      <c r="AI610" s="24">
        <v>371341</v>
      </c>
      <c r="AJ610" s="32">
        <v>16.317111253752234</v>
      </c>
      <c r="AK610" s="32">
        <v>26.815002001947907</v>
      </c>
      <c r="AL610" s="32">
        <v>1.7974749557358443</v>
      </c>
      <c r="AM610" s="32">
        <v>8.7793754706354541</v>
      </c>
      <c r="AN610" s="32">
        <v>8.6521905698954509</v>
      </c>
      <c r="AO610" s="32">
        <v>10.895820827620502</v>
      </c>
      <c r="AP610" s="19">
        <v>1.0140306664212597</v>
      </c>
      <c r="AQ610" s="19">
        <v>0.91135577249689592</v>
      </c>
      <c r="AR610" s="19">
        <v>1.092751499314347</v>
      </c>
      <c r="AS610" s="19">
        <v>2.0101283135017196E-2</v>
      </c>
      <c r="AT610" s="19">
        <v>-0.13391373567975967</v>
      </c>
      <c r="AU610" s="19">
        <v>0.12796535758081279</v>
      </c>
      <c r="AV610" s="19">
        <v>-0.17758826955108337</v>
      </c>
      <c r="AW610" s="19">
        <v>-0.20173795266290939</v>
      </c>
      <c r="AX610" s="19">
        <v>-0.17578555665498014</v>
      </c>
      <c r="AY610" s="19">
        <v>1.0140306664212597</v>
      </c>
      <c r="AZ610" s="19">
        <v>-1.0972663258172384</v>
      </c>
      <c r="BA610" s="19">
        <v>1.092751499314347</v>
      </c>
      <c r="BB610" s="19">
        <v>-1.1309916433047116</v>
      </c>
      <c r="BC610" s="19">
        <v>-1.1500829763271987</v>
      </c>
      <c r="BD610" s="19">
        <v>-1.1295793005201116</v>
      </c>
      <c r="BE610" s="14" t="s">
        <v>4857</v>
      </c>
    </row>
    <row r="611" spans="1:57" s="30" customFormat="1" ht="17.100000000000001" customHeight="1">
      <c r="A611" s="14">
        <v>600</v>
      </c>
      <c r="B611" s="14" t="s">
        <v>1380</v>
      </c>
      <c r="C611" s="32">
        <v>1.0153118500565275</v>
      </c>
      <c r="D611" s="32">
        <v>-1.1906395086286246</v>
      </c>
      <c r="E611" s="32">
        <v>1.1555532378083513</v>
      </c>
      <c r="F611" s="24">
        <v>1343625</v>
      </c>
      <c r="G611" s="52" t="s">
        <v>2</v>
      </c>
      <c r="H611" s="32">
        <v>32.024886735715</v>
      </c>
      <c r="I611" s="32">
        <v>19.791825710327394</v>
      </c>
      <c r="J611" s="12" t="s">
        <v>1381</v>
      </c>
      <c r="K611" s="12" t="s">
        <v>1382</v>
      </c>
      <c r="L611" s="14" t="s">
        <v>5141</v>
      </c>
      <c r="M611" s="12" t="s">
        <v>1372</v>
      </c>
      <c r="N611" s="15" t="s">
        <v>1383</v>
      </c>
      <c r="O611" s="12" t="s">
        <v>1374</v>
      </c>
      <c r="P611" s="12" t="s">
        <v>1384</v>
      </c>
      <c r="Q611" s="14">
        <v>2</v>
      </c>
      <c r="R611" s="21">
        <v>719.38549999999998</v>
      </c>
      <c r="S611" s="14">
        <v>3</v>
      </c>
      <c r="T611" s="52" t="s">
        <v>2</v>
      </c>
      <c r="U611" s="53">
        <v>81.069962500000003</v>
      </c>
      <c r="V611" s="24">
        <v>774198</v>
      </c>
      <c r="W611" s="24">
        <v>962766</v>
      </c>
      <c r="X611" s="24">
        <v>1073830</v>
      </c>
      <c r="Y611" s="24">
        <v>810166</v>
      </c>
      <c r="Z611" s="24">
        <v>777385</v>
      </c>
      <c r="AA611" s="24">
        <v>751686</v>
      </c>
      <c r="AB611" s="24">
        <v>1399220</v>
      </c>
      <c r="AC611" s="24">
        <v>1288030</v>
      </c>
      <c r="AD611" s="24">
        <v>905240</v>
      </c>
      <c r="AE611" s="24">
        <v>1054080.25</v>
      </c>
      <c r="AF611" s="24">
        <v>868482</v>
      </c>
      <c r="AG611" s="24">
        <v>941998</v>
      </c>
      <c r="AH611" s="24">
        <v>764535.5</v>
      </c>
      <c r="AI611" s="24">
        <v>1343625</v>
      </c>
      <c r="AJ611" s="32">
        <v>15.352381380631858</v>
      </c>
      <c r="AK611" s="32">
        <v>32.024886735715</v>
      </c>
      <c r="AL611" s="32">
        <v>15.352962008974844</v>
      </c>
      <c r="AM611" s="32">
        <v>19.791825710327394</v>
      </c>
      <c r="AN611" s="32">
        <v>2.3768598279233712</v>
      </c>
      <c r="AO611" s="32">
        <v>5.851573392883596</v>
      </c>
      <c r="AP611" s="19">
        <v>1.1644207613450577</v>
      </c>
      <c r="AQ611" s="19">
        <v>0.88031243019429306</v>
      </c>
      <c r="AR611" s="19">
        <v>1.4263565315425297</v>
      </c>
      <c r="AS611" s="19">
        <v>0.21961246771187204</v>
      </c>
      <c r="AT611" s="19">
        <v>-0.18391245580047696</v>
      </c>
      <c r="AU611" s="19">
        <v>0.51233464236915671</v>
      </c>
      <c r="AV611" s="19">
        <v>2.1922915025771483E-2</v>
      </c>
      <c r="AW611" s="19">
        <v>-0.25173667278362666</v>
      </c>
      <c r="AX611" s="19">
        <v>0.20858372813336379</v>
      </c>
      <c r="AY611" s="19">
        <v>1.1644207613450577</v>
      </c>
      <c r="AZ611" s="19">
        <v>-1.1359603314692386</v>
      </c>
      <c r="BA611" s="19">
        <v>1.4263565315425297</v>
      </c>
      <c r="BB611" s="19">
        <v>1.0153118500565275</v>
      </c>
      <c r="BC611" s="19">
        <v>-1.1906395086286246</v>
      </c>
      <c r="BD611" s="19">
        <v>1.1555532378083513</v>
      </c>
      <c r="BE611" s="14" t="s">
        <v>4857</v>
      </c>
    </row>
    <row r="612" spans="1:57" ht="17.100000000000001" customHeight="1">
      <c r="A612" s="14">
        <v>601</v>
      </c>
      <c r="B612" s="14" t="s">
        <v>1385</v>
      </c>
      <c r="C612" s="32">
        <v>-1.9435807322911047</v>
      </c>
      <c r="D612" s="32">
        <v>-2.1060652620776952</v>
      </c>
      <c r="E612" s="32">
        <v>-1.8269768635908969</v>
      </c>
      <c r="F612" s="42">
        <v>929700.5</v>
      </c>
      <c r="G612" s="52" t="s">
        <v>4894</v>
      </c>
      <c r="H612" s="32">
        <v>24.965479160348256</v>
      </c>
      <c r="I612" s="32">
        <v>20.645671549125126</v>
      </c>
      <c r="J612" s="12" t="s">
        <v>1370</v>
      </c>
      <c r="K612" s="12" t="s">
        <v>1371</v>
      </c>
      <c r="L612" s="14" t="s">
        <v>4952</v>
      </c>
      <c r="M612" s="12" t="s">
        <v>1372</v>
      </c>
      <c r="N612" s="15" t="s">
        <v>1373</v>
      </c>
      <c r="O612" s="12" t="s">
        <v>1374</v>
      </c>
      <c r="P612" s="12" t="s">
        <v>1386</v>
      </c>
      <c r="Q612" s="14">
        <v>2</v>
      </c>
      <c r="R612" s="21">
        <v>669.36419999999998</v>
      </c>
      <c r="S612" s="14">
        <v>3</v>
      </c>
      <c r="T612" s="52" t="s">
        <v>4894</v>
      </c>
      <c r="U612" s="53">
        <v>62.69415</v>
      </c>
      <c r="V612" s="42">
        <v>799981</v>
      </c>
      <c r="W612" s="42">
        <v>921508</v>
      </c>
      <c r="X612" s="42">
        <v>1042262</v>
      </c>
      <c r="Y612" s="42">
        <v>817139</v>
      </c>
      <c r="Z612" s="42">
        <v>365834</v>
      </c>
      <c r="AA612" s="42">
        <v>490907</v>
      </c>
      <c r="AB612" s="42">
        <v>675310</v>
      </c>
      <c r="AC612" s="42">
        <v>580946</v>
      </c>
      <c r="AD612" s="42">
        <v>895222.5</v>
      </c>
      <c r="AE612" s="42">
        <v>528249.25</v>
      </c>
      <c r="AF612" s="42">
        <v>860744.5</v>
      </c>
      <c r="AG612" s="42">
        <v>929700.5</v>
      </c>
      <c r="AH612" s="42">
        <v>428370.5</v>
      </c>
      <c r="AI612" s="42">
        <v>628128</v>
      </c>
      <c r="AJ612" s="32">
        <v>12.48548405408547</v>
      </c>
      <c r="AK612" s="32">
        <v>24.965479160348256</v>
      </c>
      <c r="AL612" s="32">
        <v>9.9835161069582856</v>
      </c>
      <c r="AM612" s="32">
        <v>17.122288296183463</v>
      </c>
      <c r="AN612" s="32">
        <v>20.645671549125126</v>
      </c>
      <c r="AO612" s="32">
        <v>10.622902386119925</v>
      </c>
      <c r="AP612" s="19">
        <v>0.590075930844008</v>
      </c>
      <c r="AQ612" s="19">
        <v>0.49767439699004756</v>
      </c>
      <c r="AR612" s="19">
        <v>0.67562403161017981</v>
      </c>
      <c r="AS612" s="19">
        <v>-0.7610274827795247</v>
      </c>
      <c r="AT612" s="19">
        <v>-1.0067259258463102</v>
      </c>
      <c r="AU612" s="19">
        <v>-0.56570744989160826</v>
      </c>
      <c r="AV612" s="19">
        <v>-0.95871703546562526</v>
      </c>
      <c r="AW612" s="19">
        <v>-1.0745501428294599</v>
      </c>
      <c r="AX612" s="19">
        <v>-0.86945836412740118</v>
      </c>
      <c r="AY612" s="19">
        <v>-1.6946971529065116</v>
      </c>
      <c r="AZ612" s="19">
        <v>-2.009345881660852</v>
      </c>
      <c r="BA612" s="19">
        <v>-1.4801131298079373</v>
      </c>
      <c r="BB612" s="19">
        <v>-1.9435807322911047</v>
      </c>
      <c r="BC612" s="19">
        <v>-2.1060652620776952</v>
      </c>
      <c r="BD612" s="19">
        <v>-1.8269768635908969</v>
      </c>
      <c r="BE612" s="14" t="s">
        <v>4857</v>
      </c>
    </row>
    <row r="613" spans="1:57" s="30" customFormat="1" ht="17.100000000000001" customHeight="1">
      <c r="A613" s="14">
        <v>602</v>
      </c>
      <c r="B613" s="14" t="s">
        <v>1387</v>
      </c>
      <c r="C613" s="32">
        <v>-1.2767617390397596</v>
      </c>
      <c r="D613" s="32">
        <v>-1.3872628443239665</v>
      </c>
      <c r="E613" s="32">
        <v>-1.195450591060188</v>
      </c>
      <c r="F613" s="24">
        <v>266075</v>
      </c>
      <c r="G613" s="52" t="s">
        <v>2</v>
      </c>
      <c r="H613" s="32">
        <v>22.882659470541032</v>
      </c>
      <c r="I613" s="32">
        <v>15.663420886992318</v>
      </c>
      <c r="J613" s="12" t="s">
        <v>1388</v>
      </c>
      <c r="K613" s="12" t="s">
        <v>1389</v>
      </c>
      <c r="L613" s="14" t="s">
        <v>5046</v>
      </c>
      <c r="M613" s="12" t="s">
        <v>1390</v>
      </c>
      <c r="N613" s="15" t="s">
        <v>1391</v>
      </c>
      <c r="O613" s="12" t="s">
        <v>1392</v>
      </c>
      <c r="P613" s="12" t="s">
        <v>1393</v>
      </c>
      <c r="Q613" s="14">
        <v>2</v>
      </c>
      <c r="R613" s="21">
        <v>587.83259999999996</v>
      </c>
      <c r="S613" s="14">
        <v>3</v>
      </c>
      <c r="T613" s="52" t="s">
        <v>2</v>
      </c>
      <c r="U613" s="53">
        <v>54.982287500000005</v>
      </c>
      <c r="V613" s="24">
        <v>219715</v>
      </c>
      <c r="W613" s="24">
        <v>265210</v>
      </c>
      <c r="X613" s="24">
        <v>229149</v>
      </c>
      <c r="Y613" s="24">
        <v>286231</v>
      </c>
      <c r="Z613" s="24">
        <v>193463</v>
      </c>
      <c r="AA613" s="24">
        <v>172918</v>
      </c>
      <c r="AB613" s="24">
        <v>286637</v>
      </c>
      <c r="AC613" s="24">
        <v>245513</v>
      </c>
      <c r="AD613" s="24">
        <v>250076.25</v>
      </c>
      <c r="AE613" s="24">
        <v>224632.75</v>
      </c>
      <c r="AF613" s="24">
        <v>242462.5</v>
      </c>
      <c r="AG613" s="24">
        <v>257690</v>
      </c>
      <c r="AH613" s="24">
        <v>183190.5</v>
      </c>
      <c r="AI613" s="24">
        <v>266075</v>
      </c>
      <c r="AJ613" s="32">
        <v>12.424032427762802</v>
      </c>
      <c r="AK613" s="32">
        <v>22.882659470541032</v>
      </c>
      <c r="AL613" s="32">
        <v>13.26795814201453</v>
      </c>
      <c r="AM613" s="32">
        <v>15.663420886992318</v>
      </c>
      <c r="AN613" s="32">
        <v>7.930274124191822</v>
      </c>
      <c r="AO613" s="32">
        <v>10.928895713432521</v>
      </c>
      <c r="AP613" s="19">
        <v>0.89825703160536041</v>
      </c>
      <c r="AQ613" s="19">
        <v>0.755541578594628</v>
      </c>
      <c r="AR613" s="19">
        <v>1.032539097365051</v>
      </c>
      <c r="AS613" s="19">
        <v>-0.15479977111973126</v>
      </c>
      <c r="AT613" s="19">
        <v>-0.40441694362471309</v>
      </c>
      <c r="AU613" s="19">
        <v>4.6196410706949693E-2</v>
      </c>
      <c r="AV613" s="19">
        <v>-0.35248932380583181</v>
      </c>
      <c r="AW613" s="19">
        <v>-0.47224116060786281</v>
      </c>
      <c r="AX613" s="19">
        <v>-0.25755450352884324</v>
      </c>
      <c r="AY613" s="19">
        <v>-1.1132670992987441</v>
      </c>
      <c r="AZ613" s="19">
        <v>-1.3235538960808557</v>
      </c>
      <c r="BA613" s="19">
        <v>1.032539097365051</v>
      </c>
      <c r="BB613" s="19">
        <v>-1.2767617390397596</v>
      </c>
      <c r="BC613" s="19">
        <v>-1.3872628443239665</v>
      </c>
      <c r="BD613" s="19">
        <v>-1.195450591060188</v>
      </c>
      <c r="BE613" s="14" t="s">
        <v>4857</v>
      </c>
    </row>
    <row r="614" spans="1:57" s="30" customFormat="1" ht="17.100000000000001" customHeight="1">
      <c r="A614" s="14">
        <v>603</v>
      </c>
      <c r="B614" s="14" t="s">
        <v>1394</v>
      </c>
      <c r="C614" s="32">
        <v>-1.2491372417546818</v>
      </c>
      <c r="D614" s="32">
        <v>-1.3734066781156429</v>
      </c>
      <c r="E614" s="32">
        <v>-1.1780423503739734</v>
      </c>
      <c r="F614" s="24">
        <v>168183.5</v>
      </c>
      <c r="G614" s="52" t="s">
        <v>2</v>
      </c>
      <c r="H614" s="32">
        <v>33.182800462549075</v>
      </c>
      <c r="I614" s="32">
        <v>32.409602293364095</v>
      </c>
      <c r="J614" s="12" t="s">
        <v>1388</v>
      </c>
      <c r="K614" s="12" t="s">
        <v>1389</v>
      </c>
      <c r="L614" s="14" t="s">
        <v>5049</v>
      </c>
      <c r="M614" s="12" t="s">
        <v>1390</v>
      </c>
      <c r="N614" s="15" t="s">
        <v>1391</v>
      </c>
      <c r="O614" s="12" t="s">
        <v>1392</v>
      </c>
      <c r="P614" s="12" t="s">
        <v>1395</v>
      </c>
      <c r="Q614" s="14">
        <v>2</v>
      </c>
      <c r="R614" s="21">
        <v>654.33680000000004</v>
      </c>
      <c r="S614" s="14">
        <v>1</v>
      </c>
      <c r="T614" s="52" t="s">
        <v>2</v>
      </c>
      <c r="U614" s="53">
        <v>61.401812499999998</v>
      </c>
      <c r="V614" s="24">
        <v>152881</v>
      </c>
      <c r="W614" s="24">
        <v>115765</v>
      </c>
      <c r="X614" s="24">
        <v>197296</v>
      </c>
      <c r="Y614" s="24">
        <v>123727</v>
      </c>
      <c r="Z614" s="24">
        <v>93248</v>
      </c>
      <c r="AA614" s="24">
        <v>111773</v>
      </c>
      <c r="AB614" s="24">
        <v>140195</v>
      </c>
      <c r="AC614" s="24">
        <v>196172</v>
      </c>
      <c r="AD614" s="24">
        <v>147417.25</v>
      </c>
      <c r="AE614" s="24">
        <v>135347</v>
      </c>
      <c r="AF614" s="24">
        <v>134323</v>
      </c>
      <c r="AG614" s="24">
        <v>160511.5</v>
      </c>
      <c r="AH614" s="24">
        <v>102510.5</v>
      </c>
      <c r="AI614" s="24">
        <v>168183.5</v>
      </c>
      <c r="AJ614" s="32">
        <v>25.01874913433878</v>
      </c>
      <c r="AK614" s="32">
        <v>33.182800462549075</v>
      </c>
      <c r="AL614" s="32">
        <v>19.538705426859064</v>
      </c>
      <c r="AM614" s="32">
        <v>32.409602293364095</v>
      </c>
      <c r="AN614" s="32">
        <v>12.778352579960876</v>
      </c>
      <c r="AO614" s="32">
        <v>23.534839202703818</v>
      </c>
      <c r="AP614" s="19">
        <v>0.91812186158675457</v>
      </c>
      <c r="AQ614" s="19">
        <v>0.76316416399276377</v>
      </c>
      <c r="AR614" s="19">
        <v>1.0477971983315837</v>
      </c>
      <c r="AS614" s="19">
        <v>-0.12324244077020964</v>
      </c>
      <c r="AT614" s="19">
        <v>-0.38993466678785582</v>
      </c>
      <c r="AU614" s="19">
        <v>6.7359509552770813E-2</v>
      </c>
      <c r="AV614" s="19">
        <v>-0.32093199345631018</v>
      </c>
      <c r="AW614" s="19">
        <v>-0.45775888377100554</v>
      </c>
      <c r="AX614" s="19">
        <v>-0.23639140468302211</v>
      </c>
      <c r="AY614" s="19">
        <v>-1.0891800335434108</v>
      </c>
      <c r="AZ614" s="19">
        <v>-1.3103340633398528</v>
      </c>
      <c r="BA614" s="19">
        <v>1.0477971983315837</v>
      </c>
      <c r="BB614" s="19">
        <v>-1.2491372417546818</v>
      </c>
      <c r="BC614" s="19">
        <v>-1.3734066781156429</v>
      </c>
      <c r="BD614" s="19">
        <v>-1.1780423503739734</v>
      </c>
      <c r="BE614" s="14" t="s">
        <v>4857</v>
      </c>
    </row>
    <row r="615" spans="1:57" s="30" customFormat="1" ht="17.100000000000001" customHeight="1">
      <c r="A615" s="14">
        <v>604</v>
      </c>
      <c r="B615" s="14" t="s">
        <v>1396</v>
      </c>
      <c r="C615" s="32">
        <v>-1.1960432986954708</v>
      </c>
      <c r="D615" s="32">
        <v>-1.1690733854023037</v>
      </c>
      <c r="E615" s="32">
        <v>-1.2122285159181294</v>
      </c>
      <c r="F615" s="24">
        <v>139500</v>
      </c>
      <c r="G615" s="52" t="s">
        <v>2</v>
      </c>
      <c r="H615" s="32">
        <v>12.610945854667325</v>
      </c>
      <c r="I615" s="32">
        <v>9.6308450484189283</v>
      </c>
      <c r="J615" s="12" t="s">
        <v>1388</v>
      </c>
      <c r="K615" s="12" t="s">
        <v>1389</v>
      </c>
      <c r="L615" s="14" t="s">
        <v>5125</v>
      </c>
      <c r="M615" s="12" t="s">
        <v>1390</v>
      </c>
      <c r="N615" s="15" t="s">
        <v>1391</v>
      </c>
      <c r="O615" s="12" t="s">
        <v>1392</v>
      </c>
      <c r="P615" s="12" t="s">
        <v>1397</v>
      </c>
      <c r="Q615" s="14">
        <v>2</v>
      </c>
      <c r="R615" s="21">
        <v>654.35500000000002</v>
      </c>
      <c r="S615" s="14">
        <v>2</v>
      </c>
      <c r="T615" s="52" t="s">
        <v>2</v>
      </c>
      <c r="U615" s="53">
        <v>71.495000000000005</v>
      </c>
      <c r="V615" s="24">
        <v>135000</v>
      </c>
      <c r="W615" s="24">
        <v>126000</v>
      </c>
      <c r="X615" s="24">
        <v>142000</v>
      </c>
      <c r="Y615" s="24">
        <v>132000</v>
      </c>
      <c r="Z615" s="24">
        <v>110000</v>
      </c>
      <c r="AA615" s="24">
        <v>124000</v>
      </c>
      <c r="AB615" s="24">
        <v>149000</v>
      </c>
      <c r="AC615" s="24">
        <v>130000</v>
      </c>
      <c r="AD615" s="24">
        <v>133750</v>
      </c>
      <c r="AE615" s="24">
        <v>128250</v>
      </c>
      <c r="AF615" s="24">
        <v>130500</v>
      </c>
      <c r="AG615" s="24">
        <v>137000</v>
      </c>
      <c r="AH615" s="24">
        <v>117000</v>
      </c>
      <c r="AI615" s="24">
        <v>139500</v>
      </c>
      <c r="AJ615" s="32">
        <v>4.9735082974392792</v>
      </c>
      <c r="AK615" s="32">
        <v>12.610945854667325</v>
      </c>
      <c r="AL615" s="32">
        <v>4.8765984909417064</v>
      </c>
      <c r="AM615" s="32">
        <v>5.1613633663251637</v>
      </c>
      <c r="AN615" s="32">
        <v>8.4611067834287734</v>
      </c>
      <c r="AO615" s="32">
        <v>9.6308450484189283</v>
      </c>
      <c r="AP615" s="19">
        <v>0.95887850467289715</v>
      </c>
      <c r="AQ615" s="19">
        <v>0.89655172413793105</v>
      </c>
      <c r="AR615" s="19">
        <v>1.0182481751824817</v>
      </c>
      <c r="AS615" s="19">
        <v>-6.0580065681455332E-2</v>
      </c>
      <c r="AT615" s="19">
        <v>-0.15754127698647993</v>
      </c>
      <c r="AU615" s="19">
        <v>2.6089228868660747E-2</v>
      </c>
      <c r="AV615" s="19">
        <v>-0.25826961836755591</v>
      </c>
      <c r="AW615" s="19">
        <v>-0.22536549396962963</v>
      </c>
      <c r="AX615" s="19">
        <v>-0.2776616853671322</v>
      </c>
      <c r="AY615" s="19">
        <v>-1.0428849902534114</v>
      </c>
      <c r="AZ615" s="19">
        <v>-1.1153846153846154</v>
      </c>
      <c r="BA615" s="19">
        <v>1.0182481751824817</v>
      </c>
      <c r="BB615" s="19">
        <v>-1.1960432986954708</v>
      </c>
      <c r="BC615" s="19">
        <v>-1.1690733854023037</v>
      </c>
      <c r="BD615" s="19">
        <v>-1.2122285159181294</v>
      </c>
      <c r="BE615" s="14" t="s">
        <v>4857</v>
      </c>
    </row>
    <row r="616" spans="1:57" s="30" customFormat="1" ht="17.100000000000001" customHeight="1">
      <c r="A616" s="14">
        <v>605</v>
      </c>
      <c r="B616" s="14" t="s">
        <v>1398</v>
      </c>
      <c r="C616" s="32">
        <v>-1.219719564280642</v>
      </c>
      <c r="D616" s="32">
        <v>1.1261637325566334</v>
      </c>
      <c r="E616" s="32">
        <v>-1.6061782047489439</v>
      </c>
      <c r="F616" s="42">
        <v>26350</v>
      </c>
      <c r="G616" s="52" t="s">
        <v>2</v>
      </c>
      <c r="H616" s="32">
        <v>22.495405795555261</v>
      </c>
      <c r="I616" s="32">
        <v>21.292653635729746</v>
      </c>
      <c r="J616" s="12" t="s">
        <v>1399</v>
      </c>
      <c r="K616" s="15" t="s">
        <v>1400</v>
      </c>
      <c r="L616" s="14" t="s">
        <v>1401</v>
      </c>
      <c r="M616" s="12" t="s">
        <v>1402</v>
      </c>
      <c r="N616" s="15" t="s">
        <v>1403</v>
      </c>
      <c r="O616" s="12" t="s">
        <v>1404</v>
      </c>
      <c r="P616" s="12" t="s">
        <v>1406</v>
      </c>
      <c r="Q616" s="14">
        <v>2</v>
      </c>
      <c r="R616" s="21">
        <v>530.29330000000004</v>
      </c>
      <c r="S616" s="14">
        <v>1</v>
      </c>
      <c r="T616" s="52" t="s">
        <v>2</v>
      </c>
      <c r="U616" s="53">
        <v>22.9</v>
      </c>
      <c r="V616" s="42">
        <v>18000</v>
      </c>
      <c r="W616" s="42">
        <v>19700</v>
      </c>
      <c r="X616" s="42">
        <v>23200</v>
      </c>
      <c r="Y616" s="42">
        <v>29500</v>
      </c>
      <c r="Z616" s="42">
        <v>25600</v>
      </c>
      <c r="AA616" s="42">
        <v>18900</v>
      </c>
      <c r="AB616" s="42">
        <v>20900</v>
      </c>
      <c r="AC616" s="42">
        <v>19600</v>
      </c>
      <c r="AD616" s="42">
        <v>22600</v>
      </c>
      <c r="AE616" s="42">
        <v>21250</v>
      </c>
      <c r="AF616" s="42">
        <v>18850</v>
      </c>
      <c r="AG616" s="42">
        <v>26350</v>
      </c>
      <c r="AH616" s="42">
        <v>22250</v>
      </c>
      <c r="AI616" s="42">
        <v>20250</v>
      </c>
      <c r="AJ616" s="32">
        <v>22.495405795555261</v>
      </c>
      <c r="AK616" s="32">
        <v>14.193261555649633</v>
      </c>
      <c r="AL616" s="32">
        <v>6.3770903343083853</v>
      </c>
      <c r="AM616" s="32">
        <v>16.906158335769447</v>
      </c>
      <c r="AN616" s="32">
        <v>21.292653635729746</v>
      </c>
      <c r="AO616" s="32">
        <v>4.5394509409506751</v>
      </c>
      <c r="AP616" s="19">
        <v>0.94026548672566368</v>
      </c>
      <c r="AQ616" s="19">
        <v>1.1803713527851458</v>
      </c>
      <c r="AR616" s="19">
        <v>0.76850094876660346</v>
      </c>
      <c r="AS616" s="19">
        <v>-8.8859931390123659E-2</v>
      </c>
      <c r="AT616" s="19">
        <v>0.23924081258509577</v>
      </c>
      <c r="AU616" s="19">
        <v>-0.37988105386522747</v>
      </c>
      <c r="AV616" s="19">
        <v>-0.28654948407622421</v>
      </c>
      <c r="AW616" s="19">
        <v>0.17141659560194605</v>
      </c>
      <c r="AX616" s="19">
        <v>-0.68363196810102034</v>
      </c>
      <c r="AY616" s="19">
        <v>-1.0635294117647058</v>
      </c>
      <c r="AZ616" s="19">
        <v>1.1803713527851458</v>
      </c>
      <c r="BA616" s="19">
        <v>-1.3012345679012345</v>
      </c>
      <c r="BB616" s="19">
        <v>-1.219719564280642</v>
      </c>
      <c r="BC616" s="19">
        <v>1.1261637325566334</v>
      </c>
      <c r="BD616" s="19">
        <v>-1.6061782047489439</v>
      </c>
      <c r="BE616" s="14" t="s">
        <v>4857</v>
      </c>
    </row>
    <row r="617" spans="1:57" s="30" customFormat="1" ht="17.100000000000001" customHeight="1">
      <c r="A617" s="14">
        <v>606</v>
      </c>
      <c r="B617" s="14" t="s">
        <v>1407</v>
      </c>
      <c r="C617" s="32">
        <v>-1.0702237170785958</v>
      </c>
      <c r="D617" s="32">
        <v>-1.2471002404079592</v>
      </c>
      <c r="E617" s="32">
        <v>1.0121560972825294</v>
      </c>
      <c r="F617" s="24">
        <v>262437.5</v>
      </c>
      <c r="G617" s="52" t="s">
        <v>2</v>
      </c>
      <c r="H617" s="32">
        <v>38.670871138415755</v>
      </c>
      <c r="I617" s="32">
        <v>45.300974160763644</v>
      </c>
      <c r="J617" s="12" t="s">
        <v>1408</v>
      </c>
      <c r="K617" s="15" t="s">
        <v>1409</v>
      </c>
      <c r="L617" s="14" t="s">
        <v>1410</v>
      </c>
      <c r="M617" s="12" t="s">
        <v>1411</v>
      </c>
      <c r="N617" s="15" t="s">
        <v>1412</v>
      </c>
      <c r="O617" s="12" t="s">
        <v>1413</v>
      </c>
      <c r="P617" s="12" t="s">
        <v>1415</v>
      </c>
      <c r="Q617" s="14">
        <v>2</v>
      </c>
      <c r="R617" s="21">
        <v>951.46759999999995</v>
      </c>
      <c r="S617" s="14">
        <v>9</v>
      </c>
      <c r="T617" s="52" t="s">
        <v>2</v>
      </c>
      <c r="U617" s="53">
        <v>71.084462500000001</v>
      </c>
      <c r="V617" s="24">
        <v>213269</v>
      </c>
      <c r="W617" s="24">
        <v>109786</v>
      </c>
      <c r="X617" s="24">
        <v>202903</v>
      </c>
      <c r="Y617" s="24">
        <v>217214</v>
      </c>
      <c r="Z617" s="24">
        <v>115640</v>
      </c>
      <c r="AA617" s="24">
        <v>155874</v>
      </c>
      <c r="AB617" s="24">
        <v>283958</v>
      </c>
      <c r="AC617" s="24">
        <v>240917</v>
      </c>
      <c r="AD617" s="24">
        <v>185793</v>
      </c>
      <c r="AE617" s="24">
        <v>199097.25</v>
      </c>
      <c r="AF617" s="24">
        <v>161527.5</v>
      </c>
      <c r="AG617" s="24">
        <v>210058.5</v>
      </c>
      <c r="AH617" s="24">
        <v>135757</v>
      </c>
      <c r="AI617" s="24">
        <v>262437.5</v>
      </c>
      <c r="AJ617" s="32">
        <v>27.465775403775481</v>
      </c>
      <c r="AK617" s="32">
        <v>38.670871138415755</v>
      </c>
      <c r="AL617" s="32">
        <v>45.300974160763644</v>
      </c>
      <c r="AM617" s="32">
        <v>4.8174223588003731</v>
      </c>
      <c r="AN617" s="32">
        <v>20.95636632678945</v>
      </c>
      <c r="AO617" s="32">
        <v>11.596888009164159</v>
      </c>
      <c r="AP617" s="19">
        <v>1.0716079184899323</v>
      </c>
      <c r="AQ617" s="19">
        <v>0.84045750723561008</v>
      </c>
      <c r="AR617" s="19">
        <v>1.2493543465272769</v>
      </c>
      <c r="AS617" s="19">
        <v>9.9777146916248727E-2</v>
      </c>
      <c r="AT617" s="19">
        <v>-0.25075321492642244</v>
      </c>
      <c r="AU617" s="19">
        <v>0.32118271751800709</v>
      </c>
      <c r="AV617" s="19">
        <v>-9.7912405769851829E-2</v>
      </c>
      <c r="AW617" s="19">
        <v>-0.31857743190957216</v>
      </c>
      <c r="AX617" s="19">
        <v>1.7431803282214164E-2</v>
      </c>
      <c r="AY617" s="19">
        <v>1.0716079184899323</v>
      </c>
      <c r="AZ617" s="19">
        <v>-1.1898281488247382</v>
      </c>
      <c r="BA617" s="19">
        <v>1.2493543465272769</v>
      </c>
      <c r="BB617" s="19">
        <v>-1.0702237170785958</v>
      </c>
      <c r="BC617" s="19">
        <v>-1.2471002404079592</v>
      </c>
      <c r="BD617" s="19">
        <v>1.0121560972825294</v>
      </c>
      <c r="BE617" s="14" t="s">
        <v>4857</v>
      </c>
    </row>
    <row r="618" spans="1:57" s="30" customFormat="1" ht="17.100000000000001" customHeight="1">
      <c r="A618" s="14">
        <v>607</v>
      </c>
      <c r="B618" s="14" t="s">
        <v>1417</v>
      </c>
      <c r="C618" s="32">
        <v>-1.0233101509683407</v>
      </c>
      <c r="D618" s="32">
        <v>-1.2712074569782483</v>
      </c>
      <c r="E618" s="32">
        <v>1.1566446657989047</v>
      </c>
      <c r="F618" s="42">
        <v>939524</v>
      </c>
      <c r="G618" s="52" t="s">
        <v>4894</v>
      </c>
      <c r="H618" s="32">
        <v>29.630533319339065</v>
      </c>
      <c r="I618" s="32">
        <v>18.976591085855226</v>
      </c>
      <c r="J618" s="12" t="s">
        <v>1418</v>
      </c>
      <c r="K618" s="12" t="s">
        <v>1419</v>
      </c>
      <c r="L618" s="14" t="s">
        <v>4646</v>
      </c>
      <c r="M618" s="12" t="s">
        <v>1285</v>
      </c>
      <c r="N618" s="15" t="s">
        <v>1286</v>
      </c>
      <c r="O618" s="12" t="s">
        <v>1287</v>
      </c>
      <c r="P618" s="12" t="s">
        <v>1288</v>
      </c>
      <c r="Q618" s="14">
        <v>2</v>
      </c>
      <c r="R618" s="21">
        <v>608.82460000000003</v>
      </c>
      <c r="S618" s="14">
        <v>8</v>
      </c>
      <c r="T618" s="52" t="s">
        <v>4894</v>
      </c>
      <c r="U618" s="53">
        <v>46</v>
      </c>
      <c r="V618" s="42">
        <v>773459</v>
      </c>
      <c r="W618" s="42">
        <v>590444</v>
      </c>
      <c r="X618" s="42">
        <v>741594</v>
      </c>
      <c r="Y618" s="42">
        <v>574539</v>
      </c>
      <c r="Z618" s="42">
        <v>509637</v>
      </c>
      <c r="AA618" s="42">
        <v>614927</v>
      </c>
      <c r="AB618" s="42">
        <v>957685</v>
      </c>
      <c r="AC618" s="42">
        <v>921363</v>
      </c>
      <c r="AD618" s="42">
        <v>670009</v>
      </c>
      <c r="AE618" s="42">
        <v>750903</v>
      </c>
      <c r="AF618" s="42">
        <v>681951.5</v>
      </c>
      <c r="AG618" s="42">
        <v>658066.5</v>
      </c>
      <c r="AH618" s="42">
        <v>562282</v>
      </c>
      <c r="AI618" s="42">
        <v>939524</v>
      </c>
      <c r="AJ618" s="32">
        <v>15.238161465726177</v>
      </c>
      <c r="AK618" s="32">
        <v>29.630533319339065</v>
      </c>
      <c r="AL618" s="32">
        <v>18.976591085855226</v>
      </c>
      <c r="AM618" s="32">
        <v>17.950423449775776</v>
      </c>
      <c r="AN618" s="32">
        <v>13.240913454660044</v>
      </c>
      <c r="AO618" s="32">
        <v>2.733674978633625</v>
      </c>
      <c r="AP618" s="19">
        <v>1.1207356916101128</v>
      </c>
      <c r="AQ618" s="19">
        <v>0.82451904570926227</v>
      </c>
      <c r="AR618" s="19">
        <v>1.4277037351088377</v>
      </c>
      <c r="AS618" s="19">
        <v>0.16444608067354016</v>
      </c>
      <c r="AT618" s="19">
        <v>-0.27837527577531651</v>
      </c>
      <c r="AU618" s="19">
        <v>0.51369663466570636</v>
      </c>
      <c r="AV618" s="19">
        <v>-3.3243472012560393E-2</v>
      </c>
      <c r="AW618" s="19">
        <v>-0.34619949275846623</v>
      </c>
      <c r="AX618" s="19">
        <v>0.20994572042991344</v>
      </c>
      <c r="AY618" s="19">
        <v>1.1207356916101128</v>
      </c>
      <c r="AZ618" s="19">
        <v>-1.2128282605525342</v>
      </c>
      <c r="BA618" s="19">
        <v>1.4277037351088377</v>
      </c>
      <c r="BB618" s="19">
        <v>-1.0233101509683407</v>
      </c>
      <c r="BC618" s="19">
        <v>-1.2712074569782483</v>
      </c>
      <c r="BD618" s="19">
        <v>1.1566446657989047</v>
      </c>
      <c r="BE618" s="14" t="s">
        <v>4857</v>
      </c>
    </row>
    <row r="619" spans="1:57" s="30" customFormat="1" ht="17.100000000000001" customHeight="1">
      <c r="A619" s="14">
        <v>608</v>
      </c>
      <c r="B619" s="14" t="s">
        <v>1289</v>
      </c>
      <c r="C619" s="32">
        <v>1.6102107028641237</v>
      </c>
      <c r="D619" s="32">
        <v>1.5562044510562363</v>
      </c>
      <c r="E619" s="32">
        <v>1.6189474437706552</v>
      </c>
      <c r="F619" s="24">
        <v>145668.5</v>
      </c>
      <c r="G619" s="52" t="s">
        <v>2</v>
      </c>
      <c r="H619" s="32">
        <v>31.796931771661345</v>
      </c>
      <c r="I619" s="32">
        <v>9.1833813216265234</v>
      </c>
      <c r="J619" s="12" t="s">
        <v>1290</v>
      </c>
      <c r="K619" s="15" t="s">
        <v>1291</v>
      </c>
      <c r="L619" s="14" t="s">
        <v>1292</v>
      </c>
      <c r="M619" s="12" t="s">
        <v>1293</v>
      </c>
      <c r="N619" s="15" t="s">
        <v>1294</v>
      </c>
      <c r="O619" s="12" t="s">
        <v>1295</v>
      </c>
      <c r="P619" s="12" t="s">
        <v>1296</v>
      </c>
      <c r="Q619" s="14">
        <v>3</v>
      </c>
      <c r="R619" s="21">
        <v>373.90940000000001</v>
      </c>
      <c r="S619" s="14">
        <v>1</v>
      </c>
      <c r="T619" s="52" t="s">
        <v>2</v>
      </c>
      <c r="U619" s="53">
        <v>49.953287499999995</v>
      </c>
      <c r="V619" s="24">
        <v>48114</v>
      </c>
      <c r="W619" s="24">
        <v>54451</v>
      </c>
      <c r="X619" s="24">
        <v>68161</v>
      </c>
      <c r="Y619" s="24">
        <v>77628</v>
      </c>
      <c r="Z619" s="24">
        <v>80652</v>
      </c>
      <c r="AA619" s="24">
        <v>86643</v>
      </c>
      <c r="AB619" s="24">
        <v>137828</v>
      </c>
      <c r="AC619" s="24">
        <v>153509</v>
      </c>
      <c r="AD619" s="24">
        <v>62088.5</v>
      </c>
      <c r="AE619" s="24">
        <v>114658</v>
      </c>
      <c r="AF619" s="24">
        <v>51282.5</v>
      </c>
      <c r="AG619" s="24">
        <v>72894.5</v>
      </c>
      <c r="AH619" s="24">
        <v>83647.5</v>
      </c>
      <c r="AI619" s="24">
        <v>145668.5</v>
      </c>
      <c r="AJ619" s="32">
        <v>21.447245326422376</v>
      </c>
      <c r="AK619" s="32">
        <v>31.796931771661345</v>
      </c>
      <c r="AL619" s="32">
        <v>8.7377481058434192</v>
      </c>
      <c r="AM619" s="32">
        <v>9.1833813216265234</v>
      </c>
      <c r="AN619" s="32">
        <v>5.0644391357644958</v>
      </c>
      <c r="AO619" s="32">
        <v>7.6119006070538608</v>
      </c>
      <c r="AP619" s="19">
        <v>1.8466865844721647</v>
      </c>
      <c r="AQ619" s="19">
        <v>1.6311119777701946</v>
      </c>
      <c r="AR619" s="19">
        <v>1.9983469260369437</v>
      </c>
      <c r="AS619" s="19">
        <v>0.88493903611156655</v>
      </c>
      <c r="AT619" s="19">
        <v>0.70585582817385062</v>
      </c>
      <c r="AU619" s="19">
        <v>0.99880706612571413</v>
      </c>
      <c r="AV619" s="19">
        <v>0.68724948342546599</v>
      </c>
      <c r="AW619" s="19">
        <v>0.63803161119070095</v>
      </c>
      <c r="AX619" s="19">
        <v>0.6950561518899212</v>
      </c>
      <c r="AY619" s="19">
        <v>1.8466865844721647</v>
      </c>
      <c r="AZ619" s="19">
        <v>1.6311119777701946</v>
      </c>
      <c r="BA619" s="19">
        <v>1.9983469260369437</v>
      </c>
      <c r="BB619" s="19">
        <v>1.6102107028641237</v>
      </c>
      <c r="BC619" s="19">
        <v>1.5562044510562363</v>
      </c>
      <c r="BD619" s="19">
        <v>1.6189474437706552</v>
      </c>
      <c r="BE619" s="14" t="s">
        <v>4857</v>
      </c>
    </row>
    <row r="620" spans="1:57" s="30" customFormat="1" ht="17.100000000000001" customHeight="1">
      <c r="A620" s="14">
        <v>609</v>
      </c>
      <c r="B620" s="14" t="s">
        <v>1297</v>
      </c>
      <c r="C620" s="32">
        <v>-1.1399337521254207</v>
      </c>
      <c r="D620" s="32">
        <v>1.0398650160664886</v>
      </c>
      <c r="E620" s="32">
        <v>-1.3166128615730051</v>
      </c>
      <c r="F620" s="24">
        <v>270810</v>
      </c>
      <c r="G620" s="52" t="s">
        <v>2</v>
      </c>
      <c r="H620" s="32">
        <v>14.819230099068935</v>
      </c>
      <c r="I620" s="32">
        <v>14.715057843664761</v>
      </c>
      <c r="J620" s="12" t="s">
        <v>1298</v>
      </c>
      <c r="K620" s="12" t="s">
        <v>1299</v>
      </c>
      <c r="L620" s="14" t="s">
        <v>1300</v>
      </c>
      <c r="M620" s="12" t="s">
        <v>1301</v>
      </c>
      <c r="N620" s="15" t="s">
        <v>1302</v>
      </c>
      <c r="O620" s="12" t="s">
        <v>1303</v>
      </c>
      <c r="P620" s="12" t="s">
        <v>1304</v>
      </c>
      <c r="Q620" s="14">
        <v>2</v>
      </c>
      <c r="R620" s="21">
        <v>434.76060000000001</v>
      </c>
      <c r="S620" s="14">
        <v>2</v>
      </c>
      <c r="T620" s="52" t="s">
        <v>2</v>
      </c>
      <c r="U620" s="53">
        <v>34.254062500000003</v>
      </c>
      <c r="V620" s="24">
        <v>243386</v>
      </c>
      <c r="W620" s="24">
        <v>199492</v>
      </c>
      <c r="X620" s="24">
        <v>287988</v>
      </c>
      <c r="Y620" s="24">
        <v>253632</v>
      </c>
      <c r="Z620" s="24">
        <v>236550</v>
      </c>
      <c r="AA620" s="24">
        <v>246151</v>
      </c>
      <c r="AB620" s="24">
        <v>227472</v>
      </c>
      <c r="AC620" s="24">
        <v>280307</v>
      </c>
      <c r="AD620" s="24">
        <v>246124.5</v>
      </c>
      <c r="AE620" s="24">
        <v>247620</v>
      </c>
      <c r="AF620" s="24">
        <v>221439</v>
      </c>
      <c r="AG620" s="24">
        <v>270810</v>
      </c>
      <c r="AH620" s="24">
        <v>241350.5</v>
      </c>
      <c r="AI620" s="24">
        <v>253889.5</v>
      </c>
      <c r="AJ620" s="32">
        <v>14.819230099068935</v>
      </c>
      <c r="AK620" s="32">
        <v>9.3237236326977495</v>
      </c>
      <c r="AL620" s="32">
        <v>14.016386026581728</v>
      </c>
      <c r="AM620" s="32">
        <v>8.97062906629926</v>
      </c>
      <c r="AN620" s="32">
        <v>2.812893367186744</v>
      </c>
      <c r="AO620" s="32">
        <v>14.715057843664761</v>
      </c>
      <c r="AP620" s="19">
        <v>1.0060761931461517</v>
      </c>
      <c r="AQ620" s="19">
        <v>1.0899186683465876</v>
      </c>
      <c r="AR620" s="19">
        <v>0.93751892470735942</v>
      </c>
      <c r="AS620" s="19">
        <v>8.7395688726465068E-3</v>
      </c>
      <c r="AT620" s="19">
        <v>0.12422048257020625</v>
      </c>
      <c r="AU620" s="19">
        <v>-9.308028193186374E-2</v>
      </c>
      <c r="AV620" s="19">
        <v>-0.18894998381345404</v>
      </c>
      <c r="AW620" s="19">
        <v>5.6396265587056543E-2</v>
      </c>
      <c r="AX620" s="19">
        <v>-0.39683119616765666</v>
      </c>
      <c r="AY620" s="19">
        <v>1.0060761931461517</v>
      </c>
      <c r="AZ620" s="19">
        <v>1.0899186683465876</v>
      </c>
      <c r="BA620" s="19">
        <v>-1.0666451349898283</v>
      </c>
      <c r="BB620" s="19">
        <v>-1.1399337521254207</v>
      </c>
      <c r="BC620" s="19">
        <v>1.0398650160664886</v>
      </c>
      <c r="BD620" s="19">
        <v>-1.3166128615730051</v>
      </c>
      <c r="BE620" s="14" t="s">
        <v>4857</v>
      </c>
    </row>
    <row r="621" spans="1:57" s="30" customFormat="1" ht="17.100000000000001" customHeight="1">
      <c r="A621" s="14">
        <v>610</v>
      </c>
      <c r="B621" s="14" t="s">
        <v>1305</v>
      </c>
      <c r="C621" s="32">
        <v>1.1108362664650309</v>
      </c>
      <c r="D621" s="32">
        <v>1.0903911095686676</v>
      </c>
      <c r="E621" s="32">
        <v>1.1314078588925875</v>
      </c>
      <c r="F621" s="24">
        <v>86735</v>
      </c>
      <c r="G621" s="52" t="s">
        <v>2</v>
      </c>
      <c r="H621" s="32">
        <v>21.69683280726623</v>
      </c>
      <c r="I621" s="32">
        <v>22.286734041797555</v>
      </c>
      <c r="J621" s="12" t="s">
        <v>1306</v>
      </c>
      <c r="K621" s="12" t="s">
        <v>1307</v>
      </c>
      <c r="L621" s="14" t="s">
        <v>5293</v>
      </c>
      <c r="M621" s="12" t="s">
        <v>1308</v>
      </c>
      <c r="N621" s="15" t="s">
        <v>1309</v>
      </c>
      <c r="O621" s="12" t="s">
        <v>1310</v>
      </c>
      <c r="P621" s="12" t="s">
        <v>1311</v>
      </c>
      <c r="Q621" s="14">
        <v>2</v>
      </c>
      <c r="R621" s="21">
        <v>601.84259999999995</v>
      </c>
      <c r="S621" s="14">
        <v>2</v>
      </c>
      <c r="T621" s="52" t="s">
        <v>2</v>
      </c>
      <c r="U621" s="53">
        <v>47.485137499999993</v>
      </c>
      <c r="V621" s="24">
        <v>58052</v>
      </c>
      <c r="W621" s="24">
        <v>58090</v>
      </c>
      <c r="X621" s="24">
        <v>63991</v>
      </c>
      <c r="Y621" s="24">
        <v>60222</v>
      </c>
      <c r="Z621" s="24">
        <v>55909</v>
      </c>
      <c r="AA621" s="24">
        <v>76827</v>
      </c>
      <c r="AB621" s="24">
        <v>76886</v>
      </c>
      <c r="AC621" s="24">
        <v>96584</v>
      </c>
      <c r="AD621" s="24">
        <v>60088.75</v>
      </c>
      <c r="AE621" s="24">
        <v>76551.5</v>
      </c>
      <c r="AF621" s="24">
        <v>58071</v>
      </c>
      <c r="AG621" s="24">
        <v>62106.5</v>
      </c>
      <c r="AH621" s="24">
        <v>66368</v>
      </c>
      <c r="AI621" s="24">
        <v>86735</v>
      </c>
      <c r="AJ621" s="32">
        <v>4.6467456259934092</v>
      </c>
      <c r="AK621" s="32">
        <v>21.69683280726623</v>
      </c>
      <c r="AL621" s="32">
        <v>4.6271043524459383E-2</v>
      </c>
      <c r="AM621" s="32">
        <v>4.2911538378303362</v>
      </c>
      <c r="AN621" s="32">
        <v>22.286734041797555</v>
      </c>
      <c r="AO621" s="32">
        <v>16.058787543451448</v>
      </c>
      <c r="AP621" s="19">
        <v>1.2739739135861539</v>
      </c>
      <c r="AQ621" s="19">
        <v>1.1428768231991873</v>
      </c>
      <c r="AR621" s="19">
        <v>1.3965526957725842</v>
      </c>
      <c r="AS621" s="19">
        <v>0.34933573667961371</v>
      </c>
      <c r="AT621" s="19">
        <v>0.19266992136887756</v>
      </c>
      <c r="AU621" s="19">
        <v>0.48187001149503372</v>
      </c>
      <c r="AV621" s="19">
        <v>0.15164618399351315</v>
      </c>
      <c r="AW621" s="19">
        <v>0.12484570438572785</v>
      </c>
      <c r="AX621" s="19">
        <v>0.1781190972592408</v>
      </c>
      <c r="AY621" s="19">
        <v>1.2739739135861539</v>
      </c>
      <c r="AZ621" s="19">
        <v>1.1428768231991873</v>
      </c>
      <c r="BA621" s="19">
        <v>1.3965526957725842</v>
      </c>
      <c r="BB621" s="19">
        <v>1.1108362664650309</v>
      </c>
      <c r="BC621" s="19">
        <v>1.0903911095686676</v>
      </c>
      <c r="BD621" s="19">
        <v>1.1314078588925875</v>
      </c>
      <c r="BE621" s="14" t="s">
        <v>4857</v>
      </c>
    </row>
    <row r="622" spans="1:57" s="30" customFormat="1" ht="17.100000000000001" customHeight="1">
      <c r="A622" s="14">
        <v>611</v>
      </c>
      <c r="B622" s="14" t="s">
        <v>1312</v>
      </c>
      <c r="C622" s="32">
        <v>1.2751978403068844</v>
      </c>
      <c r="D622" s="32">
        <v>1.4768937058411873</v>
      </c>
      <c r="E622" s="32">
        <v>1.1424840652018726</v>
      </c>
      <c r="F622" s="24">
        <v>105733</v>
      </c>
      <c r="G622" s="52" t="s">
        <v>2</v>
      </c>
      <c r="H622" s="32">
        <v>31.899398310406397</v>
      </c>
      <c r="I622" s="32">
        <v>26.515443151986247</v>
      </c>
      <c r="J622" s="12" t="s">
        <v>1313</v>
      </c>
      <c r="K622" s="12" t="s">
        <v>1314</v>
      </c>
      <c r="L622" s="14" t="s">
        <v>1315</v>
      </c>
      <c r="M622" s="12" t="s">
        <v>1316</v>
      </c>
      <c r="N622" s="15" t="s">
        <v>1317</v>
      </c>
      <c r="O622" s="12" t="s">
        <v>1318</v>
      </c>
      <c r="P622" s="12" t="s">
        <v>1319</v>
      </c>
      <c r="Q622" s="14">
        <v>3</v>
      </c>
      <c r="R622" s="21">
        <v>417.9067</v>
      </c>
      <c r="S622" s="14">
        <v>1</v>
      </c>
      <c r="T622" s="52" t="s">
        <v>2</v>
      </c>
      <c r="U622" s="53">
        <v>39.047237500000001</v>
      </c>
      <c r="V622" s="24">
        <v>37223</v>
      </c>
      <c r="W622" s="24">
        <v>54402</v>
      </c>
      <c r="X622" s="24">
        <v>82572</v>
      </c>
      <c r="Y622" s="24">
        <v>67380</v>
      </c>
      <c r="Z622" s="24">
        <v>73892</v>
      </c>
      <c r="AA622" s="24">
        <v>67942</v>
      </c>
      <c r="AB622" s="24">
        <v>114818</v>
      </c>
      <c r="AC622" s="24">
        <v>96648</v>
      </c>
      <c r="AD622" s="24">
        <v>60394.25</v>
      </c>
      <c r="AE622" s="24">
        <v>88325</v>
      </c>
      <c r="AF622" s="24">
        <v>45812.5</v>
      </c>
      <c r="AG622" s="24">
        <v>74976</v>
      </c>
      <c r="AH622" s="24">
        <v>70917</v>
      </c>
      <c r="AI622" s="24">
        <v>105733</v>
      </c>
      <c r="AJ622" s="32">
        <v>31.899398310406397</v>
      </c>
      <c r="AK622" s="32">
        <v>24.413602248055057</v>
      </c>
      <c r="AL622" s="32">
        <v>26.515443151986247</v>
      </c>
      <c r="AM622" s="32">
        <v>14.327739836462374</v>
      </c>
      <c r="AN622" s="32">
        <v>5.9326894088299813</v>
      </c>
      <c r="AO622" s="32">
        <v>12.151485547709388</v>
      </c>
      <c r="AP622" s="19">
        <v>1.462473662641725</v>
      </c>
      <c r="AQ622" s="19">
        <v>1.5479836289222373</v>
      </c>
      <c r="AR622" s="19">
        <v>1.4102246052069995</v>
      </c>
      <c r="AS622" s="19">
        <v>0.54841064376044624</v>
      </c>
      <c r="AT622" s="19">
        <v>0.63039021399033801</v>
      </c>
      <c r="AU622" s="19">
        <v>0.49592495766832378</v>
      </c>
      <c r="AV622" s="19">
        <v>0.35072109107434568</v>
      </c>
      <c r="AW622" s="19">
        <v>0.56256599700718835</v>
      </c>
      <c r="AX622" s="19">
        <v>0.19217404343253086</v>
      </c>
      <c r="AY622" s="19">
        <v>1.462473662641725</v>
      </c>
      <c r="AZ622" s="19">
        <v>1.5479836289222373</v>
      </c>
      <c r="BA622" s="19">
        <v>1.4102246052069995</v>
      </c>
      <c r="BB622" s="19">
        <v>1.2751978403068844</v>
      </c>
      <c r="BC622" s="19">
        <v>1.4768937058411873</v>
      </c>
      <c r="BD622" s="19">
        <v>1.1424840652018726</v>
      </c>
      <c r="BE622" s="14" t="s">
        <v>4857</v>
      </c>
    </row>
    <row r="623" spans="1:57" s="30" customFormat="1" ht="17.100000000000001" customHeight="1">
      <c r="A623" s="14">
        <v>612</v>
      </c>
      <c r="B623" s="14" t="s">
        <v>1320</v>
      </c>
      <c r="C623" s="32">
        <v>1.107993471542752</v>
      </c>
      <c r="D623" s="32">
        <v>1.0152641162835783</v>
      </c>
      <c r="E623" s="32">
        <v>1.2263926122911073</v>
      </c>
      <c r="F623" s="24">
        <v>2831565</v>
      </c>
      <c r="G623" s="52" t="s">
        <v>2</v>
      </c>
      <c r="H623" s="32">
        <v>14.779727954897318</v>
      </c>
      <c r="I623" s="32">
        <v>17.172083828018401</v>
      </c>
      <c r="J623" s="12" t="s">
        <v>1321</v>
      </c>
      <c r="K623" s="12" t="s">
        <v>1322</v>
      </c>
      <c r="L623" s="14" t="s">
        <v>2168</v>
      </c>
      <c r="M623" s="12" t="s">
        <v>1323</v>
      </c>
      <c r="N623" s="15" t="s">
        <v>1324</v>
      </c>
      <c r="O623" s="12" t="s">
        <v>1325</v>
      </c>
      <c r="P623" s="12" t="s">
        <v>1326</v>
      </c>
      <c r="Q623" s="14">
        <v>2</v>
      </c>
      <c r="R623" s="21">
        <v>821.87289999999996</v>
      </c>
      <c r="S623" s="14">
        <v>7</v>
      </c>
      <c r="T623" s="52" t="s">
        <v>2</v>
      </c>
      <c r="U623" s="53">
        <v>57.405537500000008</v>
      </c>
      <c r="V623" s="24">
        <v>2468290</v>
      </c>
      <c r="W623" s="24">
        <v>1933770</v>
      </c>
      <c r="X623" s="24">
        <v>1969210</v>
      </c>
      <c r="Y623" s="24">
        <v>1771800</v>
      </c>
      <c r="Z623" s="24">
        <v>2428230</v>
      </c>
      <c r="AA623" s="24">
        <v>2256150</v>
      </c>
      <c r="AB623" s="24">
        <v>2992340</v>
      </c>
      <c r="AC623" s="24">
        <v>2670790</v>
      </c>
      <c r="AD623" s="24">
        <v>2035767.5</v>
      </c>
      <c r="AE623" s="24">
        <v>2586877.5</v>
      </c>
      <c r="AF623" s="24">
        <v>2201030</v>
      </c>
      <c r="AG623" s="24">
        <v>1870505</v>
      </c>
      <c r="AH623" s="24">
        <v>2342190</v>
      </c>
      <c r="AI623" s="24">
        <v>2831565</v>
      </c>
      <c r="AJ623" s="32">
        <v>14.779727954897318</v>
      </c>
      <c r="AK623" s="32">
        <v>12.34575723457943</v>
      </c>
      <c r="AL623" s="32">
        <v>17.172083828018401</v>
      </c>
      <c r="AM623" s="32">
        <v>7.4626878663268128</v>
      </c>
      <c r="AN623" s="32">
        <v>5.1950924095219042</v>
      </c>
      <c r="AO623" s="32">
        <v>8.0298416420083711</v>
      </c>
      <c r="AP623" s="19">
        <v>1.2707136252052358</v>
      </c>
      <c r="AQ623" s="19">
        <v>1.0641336101734189</v>
      </c>
      <c r="AR623" s="19">
        <v>1.5137970761906543</v>
      </c>
      <c r="AS623" s="19">
        <v>0.34563893353110431</v>
      </c>
      <c r="AT623" s="19">
        <v>8.9679303689596104E-2</v>
      </c>
      <c r="AU623" s="19">
        <v>0.59817182567072025</v>
      </c>
      <c r="AV623" s="19">
        <v>0.14794938084500375</v>
      </c>
      <c r="AW623" s="19">
        <v>2.1855086706446397E-2</v>
      </c>
      <c r="AX623" s="19">
        <v>0.29442091143492732</v>
      </c>
      <c r="AY623" s="19">
        <v>1.2707136252052358</v>
      </c>
      <c r="AZ623" s="19">
        <v>1.0641336101734189</v>
      </c>
      <c r="BA623" s="19">
        <v>1.5137970761906543</v>
      </c>
      <c r="BB623" s="19">
        <v>1.107993471542752</v>
      </c>
      <c r="BC623" s="19">
        <v>1.0152641162835783</v>
      </c>
      <c r="BD623" s="19">
        <v>1.2263926122911073</v>
      </c>
      <c r="BE623" s="14" t="s">
        <v>4857</v>
      </c>
    </row>
    <row r="624" spans="1:57" s="30" customFormat="1" ht="17.100000000000001" customHeight="1">
      <c r="A624" s="14">
        <v>613</v>
      </c>
      <c r="B624" s="14" t="s">
        <v>1337</v>
      </c>
      <c r="C624" s="32">
        <v>1.0336158086434648</v>
      </c>
      <c r="D624" s="32">
        <v>1.1053256203606039</v>
      </c>
      <c r="E624" s="32">
        <v>-1.0225373770617472</v>
      </c>
      <c r="F624" s="24">
        <v>2025925</v>
      </c>
      <c r="G624" s="52" t="s">
        <v>2</v>
      </c>
      <c r="H624" s="32">
        <v>29.180323383835123</v>
      </c>
      <c r="I624" s="32">
        <v>38.665094765632759</v>
      </c>
      <c r="J624" s="12" t="s">
        <v>1329</v>
      </c>
      <c r="K624" s="15" t="s">
        <v>1330</v>
      </c>
      <c r="L624" s="14" t="s">
        <v>5254</v>
      </c>
      <c r="M624" s="12" t="s">
        <v>1331</v>
      </c>
      <c r="N624" s="15" t="s">
        <v>1332</v>
      </c>
      <c r="O624" s="12" t="s">
        <v>1333</v>
      </c>
      <c r="P624" s="12" t="s">
        <v>1334</v>
      </c>
      <c r="Q624" s="14">
        <v>3</v>
      </c>
      <c r="R624" s="21">
        <v>677.32780000000002</v>
      </c>
      <c r="S624" s="14">
        <v>24</v>
      </c>
      <c r="T624" s="52" t="s">
        <v>2</v>
      </c>
      <c r="U624" s="53">
        <v>70.77825</v>
      </c>
      <c r="V624" s="24">
        <v>1379740</v>
      </c>
      <c r="W624" s="24">
        <v>1333560</v>
      </c>
      <c r="X624" s="24">
        <v>1680060</v>
      </c>
      <c r="Y624" s="24">
        <v>1676500</v>
      </c>
      <c r="Z624" s="24">
        <v>1629450</v>
      </c>
      <c r="AA624" s="24">
        <v>1513990</v>
      </c>
      <c r="AB624" s="24">
        <v>2579820</v>
      </c>
      <c r="AC624" s="24">
        <v>1472030</v>
      </c>
      <c r="AD624" s="24">
        <v>1517465</v>
      </c>
      <c r="AE624" s="24">
        <v>1798822.5</v>
      </c>
      <c r="AF624" s="24">
        <v>1356650</v>
      </c>
      <c r="AG624" s="24">
        <v>1678280</v>
      </c>
      <c r="AH624" s="24">
        <v>1571720</v>
      </c>
      <c r="AI624" s="24">
        <v>2025925</v>
      </c>
      <c r="AJ624" s="32">
        <v>12.300343871567565</v>
      </c>
      <c r="AK624" s="32">
        <v>29.180323383835123</v>
      </c>
      <c r="AL624" s="32">
        <v>2.4069724066778289</v>
      </c>
      <c r="AM624" s="32">
        <v>0.14999285822533243</v>
      </c>
      <c r="AN624" s="32">
        <v>5.1944715951822698</v>
      </c>
      <c r="AO624" s="32">
        <v>38.665094765632759</v>
      </c>
      <c r="AP624" s="19">
        <v>1.185412843129825</v>
      </c>
      <c r="AQ624" s="19">
        <v>1.1585302030737479</v>
      </c>
      <c r="AR624" s="19">
        <v>1.2071436232333104</v>
      </c>
      <c r="AS624" s="19">
        <v>0.24538959330766363</v>
      </c>
      <c r="AT624" s="19">
        <v>0.21229565599101474</v>
      </c>
      <c r="AU624" s="19">
        <v>0.27159733491613258</v>
      </c>
      <c r="AV624" s="19">
        <v>4.7700040621563078E-2</v>
      </c>
      <c r="AW624" s="19">
        <v>0.14447143900786502</v>
      </c>
      <c r="AX624" s="19">
        <v>-3.2153579319660341E-2</v>
      </c>
      <c r="AY624" s="19">
        <v>1.185412843129825</v>
      </c>
      <c r="AZ624" s="19">
        <v>1.1585302030737479</v>
      </c>
      <c r="BA624" s="19">
        <v>1.2071436232333104</v>
      </c>
      <c r="BB624" s="19">
        <v>1.0336158086434648</v>
      </c>
      <c r="BC624" s="19">
        <v>1.1053256203606039</v>
      </c>
      <c r="BD624" s="19">
        <v>-1.0225373770617472</v>
      </c>
      <c r="BE624" s="14" t="s">
        <v>4857</v>
      </c>
    </row>
    <row r="625" spans="1:105" s="30" customFormat="1" ht="17.100000000000001" customHeight="1">
      <c r="A625" s="14">
        <v>614</v>
      </c>
      <c r="B625" s="14" t="s">
        <v>1339</v>
      </c>
      <c r="C625" s="32">
        <v>1.0166113113107607</v>
      </c>
      <c r="D625" s="32">
        <v>-1.1688926163175686</v>
      </c>
      <c r="E625" s="32">
        <v>1.1621718822300124</v>
      </c>
      <c r="F625" s="24">
        <v>94399</v>
      </c>
      <c r="G625" s="52" t="s">
        <v>2</v>
      </c>
      <c r="H625" s="32">
        <v>27.329012363105161</v>
      </c>
      <c r="I625" s="32">
        <v>18.082341343835591</v>
      </c>
      <c r="J625" s="12" t="s">
        <v>1329</v>
      </c>
      <c r="K625" s="15" t="s">
        <v>1330</v>
      </c>
      <c r="L625" s="14" t="s">
        <v>5149</v>
      </c>
      <c r="M625" s="12" t="s">
        <v>1331</v>
      </c>
      <c r="N625" s="15" t="s">
        <v>1332</v>
      </c>
      <c r="O625" s="12" t="s">
        <v>1333</v>
      </c>
      <c r="P625" s="12" t="s">
        <v>1340</v>
      </c>
      <c r="Q625" s="14">
        <v>2</v>
      </c>
      <c r="R625" s="21">
        <v>1073.0993000000001</v>
      </c>
      <c r="S625" s="14">
        <v>1</v>
      </c>
      <c r="T625" s="52" t="s">
        <v>2</v>
      </c>
      <c r="U625" s="53">
        <v>73.547300000000007</v>
      </c>
      <c r="V625" s="24">
        <v>74052</v>
      </c>
      <c r="W625" s="24">
        <v>57262</v>
      </c>
      <c r="X625" s="24">
        <v>65065</v>
      </c>
      <c r="Y625" s="24">
        <v>66545</v>
      </c>
      <c r="Z625" s="24">
        <v>56023</v>
      </c>
      <c r="AA625" s="24">
        <v>61725</v>
      </c>
      <c r="AB625" s="24">
        <v>98739</v>
      </c>
      <c r="AC625" s="24">
        <v>90059</v>
      </c>
      <c r="AD625" s="24">
        <v>65731</v>
      </c>
      <c r="AE625" s="24">
        <v>76636.5</v>
      </c>
      <c r="AF625" s="24">
        <v>65657</v>
      </c>
      <c r="AG625" s="24">
        <v>65805</v>
      </c>
      <c r="AH625" s="24">
        <v>58874</v>
      </c>
      <c r="AI625" s="24">
        <v>94399</v>
      </c>
      <c r="AJ625" s="32">
        <v>10.46933340036507</v>
      </c>
      <c r="AK625" s="32">
        <v>27.329012363105161</v>
      </c>
      <c r="AL625" s="32">
        <v>18.082341343835591</v>
      </c>
      <c r="AM625" s="32">
        <v>1.5903320965824637</v>
      </c>
      <c r="AN625" s="32">
        <v>6.8483929516012063</v>
      </c>
      <c r="AO625" s="32">
        <v>6.5018558042979624</v>
      </c>
      <c r="AP625" s="19">
        <v>1.1659110617516848</v>
      </c>
      <c r="AQ625" s="19">
        <v>0.89669037574059129</v>
      </c>
      <c r="AR625" s="19">
        <v>1.434526251804574</v>
      </c>
      <c r="AS625" s="19">
        <v>0.22145774079949132</v>
      </c>
      <c r="AT625" s="19">
        <v>-0.15731818164427111</v>
      </c>
      <c r="AU625" s="19">
        <v>0.52057436964141912</v>
      </c>
      <c r="AV625" s="19">
        <v>2.3768188113390765E-2</v>
      </c>
      <c r="AW625" s="19">
        <v>-0.2251423986274208</v>
      </c>
      <c r="AX625" s="19">
        <v>0.2168234554056262</v>
      </c>
      <c r="AY625" s="19">
        <v>1.1659110617516848</v>
      </c>
      <c r="AZ625" s="19">
        <v>-1.1152121479770356</v>
      </c>
      <c r="BA625" s="19">
        <v>1.434526251804574</v>
      </c>
      <c r="BB625" s="19">
        <v>1.0166113113107607</v>
      </c>
      <c r="BC625" s="19">
        <v>-1.1688926163175686</v>
      </c>
      <c r="BD625" s="19">
        <v>1.1621718822300124</v>
      </c>
      <c r="BE625" s="14" t="s">
        <v>4857</v>
      </c>
    </row>
    <row r="626" spans="1:105" s="30" customFormat="1" ht="17.100000000000001" customHeight="1">
      <c r="A626" s="14">
        <v>615</v>
      </c>
      <c r="B626" s="14" t="s">
        <v>1341</v>
      </c>
      <c r="C626" s="32">
        <v>1.1815652813159045</v>
      </c>
      <c r="D626" s="32">
        <v>1.4046790008305639</v>
      </c>
      <c r="E626" s="32">
        <v>1.0437431886235757</v>
      </c>
      <c r="F626" s="24">
        <v>252111.5</v>
      </c>
      <c r="G626" s="52" t="s">
        <v>2</v>
      </c>
      <c r="H626" s="32">
        <v>37.453610182429337</v>
      </c>
      <c r="I626" s="32">
        <v>30.719496431923815</v>
      </c>
      <c r="J626" s="12" t="s">
        <v>1329</v>
      </c>
      <c r="K626" s="15" t="s">
        <v>1330</v>
      </c>
      <c r="L626" s="14" t="s">
        <v>5192</v>
      </c>
      <c r="M626" s="12" t="s">
        <v>1331</v>
      </c>
      <c r="N626" s="15" t="s">
        <v>1332</v>
      </c>
      <c r="O626" s="12" t="s">
        <v>1333</v>
      </c>
      <c r="P626" s="12" t="s">
        <v>1342</v>
      </c>
      <c r="Q626" s="14">
        <v>2</v>
      </c>
      <c r="R626" s="21">
        <v>743.90070000000003</v>
      </c>
      <c r="S626" s="14">
        <v>1</v>
      </c>
      <c r="T626" s="52" t="s">
        <v>2</v>
      </c>
      <c r="U626" s="53">
        <v>84.496224999999995</v>
      </c>
      <c r="V626" s="24">
        <v>87235</v>
      </c>
      <c r="W626" s="24">
        <v>135650</v>
      </c>
      <c r="X626" s="24">
        <v>166920</v>
      </c>
      <c r="Y626" s="24">
        <v>224453</v>
      </c>
      <c r="Z626" s="24">
        <v>179235</v>
      </c>
      <c r="AA626" s="24">
        <v>148917</v>
      </c>
      <c r="AB626" s="24">
        <v>288529</v>
      </c>
      <c r="AC626" s="24">
        <v>215694</v>
      </c>
      <c r="AD626" s="24">
        <v>153564.5</v>
      </c>
      <c r="AE626" s="24">
        <v>208093.75</v>
      </c>
      <c r="AF626" s="24">
        <v>111442.5</v>
      </c>
      <c r="AG626" s="24">
        <v>195686.5</v>
      </c>
      <c r="AH626" s="24">
        <v>164076</v>
      </c>
      <c r="AI626" s="24">
        <v>252111.5</v>
      </c>
      <c r="AJ626" s="32">
        <v>37.453610182429337</v>
      </c>
      <c r="AK626" s="32">
        <v>28.916212075959368</v>
      </c>
      <c r="AL626" s="32">
        <v>30.719496431923815</v>
      </c>
      <c r="AM626" s="32">
        <v>20.789361781219267</v>
      </c>
      <c r="AN626" s="32">
        <v>13.065934927724804</v>
      </c>
      <c r="AO626" s="32">
        <v>20.428311444627553</v>
      </c>
      <c r="AP626" s="19">
        <v>1.3550902063953583</v>
      </c>
      <c r="AQ626" s="19">
        <v>1.4722928864661149</v>
      </c>
      <c r="AR626" s="19">
        <v>1.288343856116799</v>
      </c>
      <c r="AS626" s="19">
        <v>0.43838889289834787</v>
      </c>
      <c r="AT626" s="19">
        <v>0.55806469844684958</v>
      </c>
      <c r="AU626" s="19">
        <v>0.36551769695201286</v>
      </c>
      <c r="AV626" s="19">
        <v>0.24069934021224731</v>
      </c>
      <c r="AW626" s="19">
        <v>0.49024048146369986</v>
      </c>
      <c r="AX626" s="19">
        <v>6.1766782716219937E-2</v>
      </c>
      <c r="AY626" s="19">
        <v>1.3550902063953583</v>
      </c>
      <c r="AZ626" s="19">
        <v>1.4722928864661149</v>
      </c>
      <c r="BA626" s="19">
        <v>1.288343856116799</v>
      </c>
      <c r="BB626" s="19">
        <v>1.1815652813159045</v>
      </c>
      <c r="BC626" s="19">
        <v>1.4046790008305639</v>
      </c>
      <c r="BD626" s="19">
        <v>1.0437431886235757</v>
      </c>
      <c r="BE626" s="14" t="s">
        <v>4857</v>
      </c>
    </row>
    <row r="627" spans="1:105" ht="17.100000000000001" customHeight="1">
      <c r="A627" s="14">
        <v>616</v>
      </c>
      <c r="B627" s="14" t="s">
        <v>1343</v>
      </c>
      <c r="C627" s="32">
        <v>1.1262105194101737</v>
      </c>
      <c r="D627" s="32">
        <v>-1.1198199497414127</v>
      </c>
      <c r="E627" s="32">
        <v>1.3191721711908146</v>
      </c>
      <c r="F627" s="24">
        <v>290826</v>
      </c>
      <c r="G627" s="52" t="s">
        <v>2</v>
      </c>
      <c r="H627" s="32">
        <v>34.629495686898778</v>
      </c>
      <c r="I627" s="32">
        <v>24.920659247259831</v>
      </c>
      <c r="J627" s="12" t="s">
        <v>1329</v>
      </c>
      <c r="K627" s="15" t="s">
        <v>1330</v>
      </c>
      <c r="L627" s="14" t="s">
        <v>5186</v>
      </c>
      <c r="M627" s="12" t="s">
        <v>1331</v>
      </c>
      <c r="N627" s="15" t="s">
        <v>1332</v>
      </c>
      <c r="O627" s="12" t="s">
        <v>1333</v>
      </c>
      <c r="P627" s="12" t="s">
        <v>1344</v>
      </c>
      <c r="Q627" s="14">
        <v>2</v>
      </c>
      <c r="R627" s="21">
        <v>604.81709999999998</v>
      </c>
      <c r="S627" s="14">
        <v>1</v>
      </c>
      <c r="T627" s="52" t="s">
        <v>2</v>
      </c>
      <c r="U627" s="53">
        <v>37.136174999999994</v>
      </c>
      <c r="V627" s="24">
        <v>172155</v>
      </c>
      <c r="W627" s="24">
        <v>166063</v>
      </c>
      <c r="X627" s="24">
        <v>147132</v>
      </c>
      <c r="Y627" s="24">
        <v>210078</v>
      </c>
      <c r="Z627" s="24">
        <v>174872</v>
      </c>
      <c r="AA627" s="24">
        <v>141695</v>
      </c>
      <c r="AB627" s="24">
        <v>294217</v>
      </c>
      <c r="AC627" s="24">
        <v>287435</v>
      </c>
      <c r="AD627" s="24">
        <v>173857</v>
      </c>
      <c r="AE627" s="24">
        <v>224554.75</v>
      </c>
      <c r="AF627" s="24">
        <v>169109</v>
      </c>
      <c r="AG627" s="24">
        <v>178605</v>
      </c>
      <c r="AH627" s="24">
        <v>158283.5</v>
      </c>
      <c r="AI627" s="24">
        <v>290826</v>
      </c>
      <c r="AJ627" s="32">
        <v>15.181079003533155</v>
      </c>
      <c r="AK627" s="32">
        <v>34.629495686898778</v>
      </c>
      <c r="AL627" s="32">
        <v>2.5472887374347004</v>
      </c>
      <c r="AM627" s="32">
        <v>24.920659247259831</v>
      </c>
      <c r="AN627" s="32">
        <v>14.821305871696094</v>
      </c>
      <c r="AO627" s="32">
        <v>1.6489578614041267</v>
      </c>
      <c r="AP627" s="19">
        <v>1.2916060325439873</v>
      </c>
      <c r="AQ627" s="19">
        <v>0.9359850747151246</v>
      </c>
      <c r="AR627" s="19">
        <v>1.6283194759385236</v>
      </c>
      <c r="AS627" s="19">
        <v>0.36916608429693321</v>
      </c>
      <c r="AT627" s="19">
        <v>-9.5442570213461517E-2</v>
      </c>
      <c r="AU627" s="19">
        <v>0.70338378383903055</v>
      </c>
      <c r="AV627" s="19">
        <v>0.17147653161083265</v>
      </c>
      <c r="AW627" s="19">
        <v>-0.16326678719661122</v>
      </c>
      <c r="AX627" s="19">
        <v>0.39963286960323763</v>
      </c>
      <c r="AY627" s="19">
        <v>1.2916060325439873</v>
      </c>
      <c r="AZ627" s="19">
        <v>-1.0683931047771877</v>
      </c>
      <c r="BA627" s="19">
        <v>1.6283194759385236</v>
      </c>
      <c r="BB627" s="19">
        <v>1.1262105194101737</v>
      </c>
      <c r="BC627" s="19">
        <v>-1.1198199497414127</v>
      </c>
      <c r="BD627" s="19">
        <v>1.3191721711908146</v>
      </c>
      <c r="BE627" s="14" t="s">
        <v>4857</v>
      </c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s="30" customFormat="1" ht="17.100000000000001" customHeight="1">
      <c r="A628" s="14">
        <v>617</v>
      </c>
      <c r="B628" s="14" t="s">
        <v>4560</v>
      </c>
      <c r="C628" s="32">
        <v>-1.2803744094392762</v>
      </c>
      <c r="D628" s="32">
        <v>-1.3601855305750932</v>
      </c>
      <c r="E628" s="32">
        <v>-1.2158134623857975</v>
      </c>
      <c r="F628" s="24">
        <v>78745</v>
      </c>
      <c r="G628" s="52" t="s">
        <v>2</v>
      </c>
      <c r="H628" s="32">
        <v>23.327004860851609</v>
      </c>
      <c r="I628" s="32">
        <v>34.919607568646015</v>
      </c>
      <c r="J628" s="12" t="s">
        <v>1345</v>
      </c>
      <c r="K628" s="15" t="s">
        <v>1346</v>
      </c>
      <c r="L628" s="14" t="s">
        <v>5002</v>
      </c>
      <c r="M628" s="12" t="s">
        <v>1347</v>
      </c>
      <c r="N628" s="15" t="s">
        <v>1348</v>
      </c>
      <c r="O628" s="12" t="s">
        <v>1349</v>
      </c>
      <c r="P628" s="12" t="s">
        <v>1350</v>
      </c>
      <c r="Q628" s="14">
        <v>2</v>
      </c>
      <c r="R628" s="21">
        <v>584.31640000000004</v>
      </c>
      <c r="S628" s="14">
        <v>5</v>
      </c>
      <c r="T628" s="52" t="s">
        <v>2</v>
      </c>
      <c r="U628" s="53">
        <v>36.6205</v>
      </c>
      <c r="V628" s="24">
        <v>92373</v>
      </c>
      <c r="W628" s="24">
        <v>55789</v>
      </c>
      <c r="X628" s="24">
        <v>88902</v>
      </c>
      <c r="Y628" s="24">
        <v>66223</v>
      </c>
      <c r="Z628" s="24">
        <v>55567</v>
      </c>
      <c r="AA628" s="24">
        <v>58604</v>
      </c>
      <c r="AB628" s="24">
        <v>80652</v>
      </c>
      <c r="AC628" s="24">
        <v>76838</v>
      </c>
      <c r="AD628" s="24">
        <v>75821.75</v>
      </c>
      <c r="AE628" s="24">
        <v>67915.25</v>
      </c>
      <c r="AF628" s="24">
        <v>74081</v>
      </c>
      <c r="AG628" s="24">
        <v>77562.5</v>
      </c>
      <c r="AH628" s="24">
        <v>57085.5</v>
      </c>
      <c r="AI628" s="24">
        <v>78745</v>
      </c>
      <c r="AJ628" s="32">
        <v>23.327004860851609</v>
      </c>
      <c r="AK628" s="32">
        <v>18.644603398366911</v>
      </c>
      <c r="AL628" s="32">
        <v>34.919607568646015</v>
      </c>
      <c r="AM628" s="32">
        <v>20.675551575219611</v>
      </c>
      <c r="AN628" s="32">
        <v>3.7618717440743179</v>
      </c>
      <c r="AO628" s="32">
        <v>3.4248590557438474</v>
      </c>
      <c r="AP628" s="19">
        <v>0.89572253344192132</v>
      </c>
      <c r="AQ628" s="19">
        <v>0.7705822005642472</v>
      </c>
      <c r="AR628" s="19">
        <v>1.0152457695406929</v>
      </c>
      <c r="AS628" s="19">
        <v>-0.15887619477082693</v>
      </c>
      <c r="AT628" s="19">
        <v>-0.37597923286377211</v>
      </c>
      <c r="AU628" s="19">
        <v>2.1829015663736642E-2</v>
      </c>
      <c r="AV628" s="19">
        <v>-0.35656574745692748</v>
      </c>
      <c r="AW628" s="19">
        <v>-0.44380344984692183</v>
      </c>
      <c r="AX628" s="19">
        <v>-0.2819218985720563</v>
      </c>
      <c r="AY628" s="19">
        <v>-1.1164171522596178</v>
      </c>
      <c r="AZ628" s="19">
        <v>-1.2977200865368614</v>
      </c>
      <c r="BA628" s="19">
        <v>1.0152457695406929</v>
      </c>
      <c r="BB628" s="19">
        <v>-1.2803744094392762</v>
      </c>
      <c r="BC628" s="19">
        <v>-1.3601855305750932</v>
      </c>
      <c r="BD628" s="19">
        <v>-1.2158134623857975</v>
      </c>
      <c r="BE628" s="14" t="s">
        <v>4857</v>
      </c>
    </row>
    <row r="629" spans="1:105" ht="17.100000000000001" customHeight="1">
      <c r="A629" s="14">
        <v>618</v>
      </c>
      <c r="B629" s="14" t="s">
        <v>1351</v>
      </c>
      <c r="C629" s="32">
        <v>-1.5176085966738107</v>
      </c>
      <c r="D629" s="32">
        <v>-1.4620118151786416</v>
      </c>
      <c r="E629" s="32">
        <v>-1.5761518655756153</v>
      </c>
      <c r="F629" s="24">
        <v>515849.5</v>
      </c>
      <c r="G629" s="52" t="s">
        <v>2</v>
      </c>
      <c r="H629" s="32">
        <v>39.995724338014959</v>
      </c>
      <c r="I629" s="32">
        <v>50.511063923227553</v>
      </c>
      <c r="J629" s="12" t="s">
        <v>1345</v>
      </c>
      <c r="K629" s="15" t="s">
        <v>1346</v>
      </c>
      <c r="L629" s="14" t="s">
        <v>4978</v>
      </c>
      <c r="M629" s="12" t="s">
        <v>1347</v>
      </c>
      <c r="N629" s="15" t="s">
        <v>1348</v>
      </c>
      <c r="O629" s="12" t="s">
        <v>1349</v>
      </c>
      <c r="P629" s="12" t="s">
        <v>1352</v>
      </c>
      <c r="Q629" s="14">
        <v>2</v>
      </c>
      <c r="R629" s="21">
        <v>883.90840000000003</v>
      </c>
      <c r="S629" s="14">
        <v>8</v>
      </c>
      <c r="T629" s="52" t="s">
        <v>2</v>
      </c>
      <c r="U629" s="53">
        <v>75.10596249999999</v>
      </c>
      <c r="V629" s="24">
        <v>399466</v>
      </c>
      <c r="W629" s="24">
        <v>330337</v>
      </c>
      <c r="X629" s="24">
        <v>700094</v>
      </c>
      <c r="Y629" s="24">
        <v>331605</v>
      </c>
      <c r="Z629" s="24">
        <v>253449</v>
      </c>
      <c r="AA629" s="24">
        <v>269756</v>
      </c>
      <c r="AB629" s="24">
        <v>446444</v>
      </c>
      <c r="AC629" s="24">
        <v>361522</v>
      </c>
      <c r="AD629" s="24">
        <v>440375.5</v>
      </c>
      <c r="AE629" s="24">
        <v>332792.75</v>
      </c>
      <c r="AF629" s="24">
        <v>364901.5</v>
      </c>
      <c r="AG629" s="24">
        <v>515849.5</v>
      </c>
      <c r="AH629" s="24">
        <v>261602.5</v>
      </c>
      <c r="AI629" s="24">
        <v>403983</v>
      </c>
      <c r="AJ629" s="32">
        <v>39.995724338014959</v>
      </c>
      <c r="AK629" s="32">
        <v>26.882582808070293</v>
      </c>
      <c r="AL629" s="32">
        <v>13.395830018962609</v>
      </c>
      <c r="AM629" s="32">
        <v>50.511063923227553</v>
      </c>
      <c r="AN629" s="32">
        <v>4.4077523268351912</v>
      </c>
      <c r="AO629" s="32">
        <v>14.864220046864347</v>
      </c>
      <c r="AP629" s="19">
        <v>0.75570223593274377</v>
      </c>
      <c r="AQ629" s="19">
        <v>0.71691264628947815</v>
      </c>
      <c r="AR629" s="19">
        <v>0.78314120688301525</v>
      </c>
      <c r="AS629" s="19">
        <v>-0.40411020351616522</v>
      </c>
      <c r="AT629" s="19">
        <v>-0.48013075342536493</v>
      </c>
      <c r="AU629" s="19">
        <v>-0.35265563398318817</v>
      </c>
      <c r="AV629" s="19">
        <v>-0.60179975620226578</v>
      </c>
      <c r="AW629" s="19">
        <v>-0.5479549704085146</v>
      </c>
      <c r="AX629" s="19">
        <v>-0.65640654821898115</v>
      </c>
      <c r="AY629" s="19">
        <v>-1.3232725172047768</v>
      </c>
      <c r="AZ629" s="19">
        <v>-1.3948700796055082</v>
      </c>
      <c r="BA629" s="19">
        <v>-1.2769089293361355</v>
      </c>
      <c r="BB629" s="19">
        <v>-1.5176085966738107</v>
      </c>
      <c r="BC629" s="19">
        <v>-1.4620118151786416</v>
      </c>
      <c r="BD629" s="19">
        <v>-1.5761518655756153</v>
      </c>
      <c r="BE629" s="14" t="s">
        <v>4857</v>
      </c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s="30" customFormat="1" ht="17.100000000000001" customHeight="1">
      <c r="A630" s="14">
        <v>619</v>
      </c>
      <c r="B630" s="14" t="s">
        <v>1353</v>
      </c>
      <c r="C630" s="32">
        <v>-1.0830822966695794</v>
      </c>
      <c r="D630" s="32">
        <v>-1.0012992095034425</v>
      </c>
      <c r="E630" s="32">
        <v>-1.1502148481540762</v>
      </c>
      <c r="F630" s="24">
        <v>141167</v>
      </c>
      <c r="G630" s="52" t="s">
        <v>2</v>
      </c>
      <c r="H630" s="32">
        <v>12.356315928812958</v>
      </c>
      <c r="I630" s="32">
        <v>13.242777645441588</v>
      </c>
      <c r="J630" s="12" t="s">
        <v>1354</v>
      </c>
      <c r="K630" s="12" t="s">
        <v>1225</v>
      </c>
      <c r="L630" s="14" t="s">
        <v>1619</v>
      </c>
      <c r="M630" s="12" t="s">
        <v>1226</v>
      </c>
      <c r="N630" s="15" t="s">
        <v>1227</v>
      </c>
      <c r="O630" s="12" t="s">
        <v>1228</v>
      </c>
      <c r="P630" s="12" t="s">
        <v>1230</v>
      </c>
      <c r="Q630" s="14">
        <v>2</v>
      </c>
      <c r="R630" s="21">
        <v>467.75330000000002</v>
      </c>
      <c r="S630" s="14">
        <v>8</v>
      </c>
      <c r="T630" s="52" t="s">
        <v>2</v>
      </c>
      <c r="U630" s="53">
        <v>34.755787499999997</v>
      </c>
      <c r="V630" s="24">
        <v>129003</v>
      </c>
      <c r="W630" s="24">
        <v>140715</v>
      </c>
      <c r="X630" s="24">
        <v>103799</v>
      </c>
      <c r="Y630" s="24">
        <v>125247</v>
      </c>
      <c r="Z630" s="24">
        <v>143227</v>
      </c>
      <c r="AA630" s="24">
        <v>139107</v>
      </c>
      <c r="AB630" s="24">
        <v>120582</v>
      </c>
      <c r="AC630" s="24">
        <v>125218</v>
      </c>
      <c r="AD630" s="24">
        <v>124691</v>
      </c>
      <c r="AE630" s="24">
        <v>132033.5</v>
      </c>
      <c r="AF630" s="24">
        <v>134859</v>
      </c>
      <c r="AG630" s="24">
        <v>114523</v>
      </c>
      <c r="AH630" s="24">
        <v>141167</v>
      </c>
      <c r="AI630" s="24">
        <v>122900</v>
      </c>
      <c r="AJ630" s="32">
        <v>12.356315928812958</v>
      </c>
      <c r="AK630" s="32">
        <v>8.2146935056549477</v>
      </c>
      <c r="AL630" s="32">
        <v>6.1409580534164157</v>
      </c>
      <c r="AM630" s="32">
        <v>13.242777645441588</v>
      </c>
      <c r="AN630" s="32">
        <v>2.0637117304246573</v>
      </c>
      <c r="AO630" s="32">
        <v>2.6673287531170335</v>
      </c>
      <c r="AP630" s="19">
        <v>1.0588855651169691</v>
      </c>
      <c r="AQ630" s="19">
        <v>1.0467747795846032</v>
      </c>
      <c r="AR630" s="19">
        <v>1.0731468787929062</v>
      </c>
      <c r="AS630" s="19">
        <v>8.2546684175473062E-2</v>
      </c>
      <c r="AT630" s="19">
        <v>6.5951070417057764E-2</v>
      </c>
      <c r="AU630" s="19">
        <v>0.10184754748706151</v>
      </c>
      <c r="AV630" s="19">
        <v>-0.11514286851062749</v>
      </c>
      <c r="AW630" s="19">
        <v>-1.8731465660919433E-3</v>
      </c>
      <c r="AX630" s="19">
        <v>-0.20190336674873141</v>
      </c>
      <c r="AY630" s="19">
        <v>1.0588855651169691</v>
      </c>
      <c r="AZ630" s="19">
        <v>1.0467747795846032</v>
      </c>
      <c r="BA630" s="19">
        <v>1.0731468787929062</v>
      </c>
      <c r="BB630" s="19">
        <v>-1.0830822966695794</v>
      </c>
      <c r="BC630" s="19">
        <v>-1.0012992095034425</v>
      </c>
      <c r="BD630" s="19">
        <v>-1.1502148481540762</v>
      </c>
      <c r="BE630" s="14" t="s">
        <v>4857</v>
      </c>
    </row>
    <row r="631" spans="1:105" s="30" customFormat="1" ht="17.100000000000001" customHeight="1">
      <c r="A631" s="14">
        <v>620</v>
      </c>
      <c r="B631" s="14" t="s">
        <v>1234</v>
      </c>
      <c r="C631" s="32">
        <v>1.1065787549990436</v>
      </c>
      <c r="D631" s="32">
        <v>-1.0125975192982886</v>
      </c>
      <c r="E631" s="32">
        <v>1.1996448115314202</v>
      </c>
      <c r="F631" s="24">
        <v>773210.5</v>
      </c>
      <c r="G631" s="52" t="s">
        <v>2</v>
      </c>
      <c r="H631" s="32">
        <v>27.343771595678817</v>
      </c>
      <c r="I631" s="32">
        <v>16.880926031967064</v>
      </c>
      <c r="J631" s="12" t="s">
        <v>1354</v>
      </c>
      <c r="K631" s="12" t="s">
        <v>1225</v>
      </c>
      <c r="L631" s="14" t="s">
        <v>1235</v>
      </c>
      <c r="M631" s="12" t="s">
        <v>1226</v>
      </c>
      <c r="N631" s="15" t="s">
        <v>1227</v>
      </c>
      <c r="O631" s="12" t="s">
        <v>1228</v>
      </c>
      <c r="P631" s="12" t="s">
        <v>1236</v>
      </c>
      <c r="Q631" s="14">
        <v>2</v>
      </c>
      <c r="R631" s="21">
        <v>470.26859999999999</v>
      </c>
      <c r="S631" s="14">
        <v>1</v>
      </c>
      <c r="T631" s="52" t="s">
        <v>2</v>
      </c>
      <c r="U631" s="53">
        <v>46.934925000000007</v>
      </c>
      <c r="V631" s="24">
        <v>452581</v>
      </c>
      <c r="W631" s="24">
        <v>492194</v>
      </c>
      <c r="X631" s="24">
        <v>550190</v>
      </c>
      <c r="Y631" s="24">
        <v>494138</v>
      </c>
      <c r="Z631" s="24">
        <v>547332</v>
      </c>
      <c r="AA631" s="24">
        <v>430600</v>
      </c>
      <c r="AB631" s="24">
        <v>802589</v>
      </c>
      <c r="AC631" s="24">
        <v>743832</v>
      </c>
      <c r="AD631" s="24">
        <v>497275.75</v>
      </c>
      <c r="AE631" s="24">
        <v>631088.25</v>
      </c>
      <c r="AF631" s="24">
        <v>472387.5</v>
      </c>
      <c r="AG631" s="24">
        <v>522164</v>
      </c>
      <c r="AH631" s="24">
        <v>488966</v>
      </c>
      <c r="AI631" s="24">
        <v>773210.5</v>
      </c>
      <c r="AJ631" s="32">
        <v>8.0716039255909795</v>
      </c>
      <c r="AK631" s="32">
        <v>27.343771595678817</v>
      </c>
      <c r="AL631" s="32">
        <v>5.9295855464301459</v>
      </c>
      <c r="AM631" s="32">
        <v>7.5904791021725666</v>
      </c>
      <c r="AN631" s="32">
        <v>16.880926031967064</v>
      </c>
      <c r="AO631" s="32">
        <v>5.3733715646874911</v>
      </c>
      <c r="AP631" s="19">
        <v>1.2690911430931431</v>
      </c>
      <c r="AQ631" s="19">
        <v>1.0350951284697414</v>
      </c>
      <c r="AR631" s="19">
        <v>1.4807809423859171</v>
      </c>
      <c r="AS631" s="19">
        <v>0.34379568380996167</v>
      </c>
      <c r="AT631" s="19">
        <v>4.9763361990199644E-2</v>
      </c>
      <c r="AU631" s="19">
        <v>0.56635823299113186</v>
      </c>
      <c r="AV631" s="19">
        <v>0.14610613112386112</v>
      </c>
      <c r="AW631" s="19">
        <v>-1.8060854992950064E-2</v>
      </c>
      <c r="AX631" s="19">
        <v>0.26260731875533894</v>
      </c>
      <c r="AY631" s="19">
        <v>1.2690911430931431</v>
      </c>
      <c r="AZ631" s="19">
        <v>1.0350951284697414</v>
      </c>
      <c r="BA631" s="19">
        <v>1.4807809423859171</v>
      </c>
      <c r="BB631" s="19">
        <v>1.1065787549990436</v>
      </c>
      <c r="BC631" s="19">
        <v>-1.0125975192982886</v>
      </c>
      <c r="BD631" s="19">
        <v>1.1996448115314202</v>
      </c>
      <c r="BE631" s="14" t="s">
        <v>4857</v>
      </c>
    </row>
    <row r="632" spans="1:105" s="30" customFormat="1" ht="17.100000000000001" customHeight="1">
      <c r="A632" s="14">
        <v>621</v>
      </c>
      <c r="B632" s="14" t="s">
        <v>1237</v>
      </c>
      <c r="C632" s="32">
        <v>-1.0709195366281117</v>
      </c>
      <c r="D632" s="32">
        <v>1.0116967974329176</v>
      </c>
      <c r="E632" s="32">
        <v>-1.1420145095336209</v>
      </c>
      <c r="F632" s="24">
        <v>22250650</v>
      </c>
      <c r="G632" s="52" t="s">
        <v>2</v>
      </c>
      <c r="H632" s="32">
        <v>10.836212462708081</v>
      </c>
      <c r="I632" s="32">
        <v>15.963847024912797</v>
      </c>
      <c r="J632" s="12" t="s">
        <v>1354</v>
      </c>
      <c r="K632" s="12" t="s">
        <v>1225</v>
      </c>
      <c r="L632" s="14" t="s">
        <v>5169</v>
      </c>
      <c r="M632" s="12" t="s">
        <v>1226</v>
      </c>
      <c r="N632" s="15" t="s">
        <v>1227</v>
      </c>
      <c r="O632" s="12" t="s">
        <v>1228</v>
      </c>
      <c r="P632" s="12" t="s">
        <v>1238</v>
      </c>
      <c r="Q632" s="14">
        <v>2</v>
      </c>
      <c r="R632" s="21">
        <v>448.71839999999997</v>
      </c>
      <c r="S632" s="14">
        <v>4</v>
      </c>
      <c r="T632" s="52" t="s">
        <v>2</v>
      </c>
      <c r="U632" s="53">
        <v>30.5</v>
      </c>
      <c r="V632" s="24">
        <v>18446000</v>
      </c>
      <c r="W632" s="24">
        <v>20471400</v>
      </c>
      <c r="X632" s="24">
        <v>18262400</v>
      </c>
      <c r="Y632" s="24">
        <v>22910000</v>
      </c>
      <c r="Z632" s="24">
        <v>20397000</v>
      </c>
      <c r="AA632" s="24">
        <v>20870800</v>
      </c>
      <c r="AB632" s="24">
        <v>22451000</v>
      </c>
      <c r="AC632" s="24">
        <v>22050300</v>
      </c>
      <c r="AD632" s="24">
        <v>20022450</v>
      </c>
      <c r="AE632" s="24">
        <v>21442275</v>
      </c>
      <c r="AF632" s="24">
        <v>19458700</v>
      </c>
      <c r="AG632" s="24">
        <v>20586200</v>
      </c>
      <c r="AH632" s="24">
        <v>20633900</v>
      </c>
      <c r="AI632" s="24">
        <v>22250650</v>
      </c>
      <c r="AJ632" s="32">
        <v>10.836212462708081</v>
      </c>
      <c r="AK632" s="32">
        <v>4.5106965179486878</v>
      </c>
      <c r="AL632" s="32">
        <v>7.3600706861981182</v>
      </c>
      <c r="AM632" s="32">
        <v>15.963847024912797</v>
      </c>
      <c r="AN632" s="32">
        <v>1.6236736289610119</v>
      </c>
      <c r="AO632" s="32">
        <v>1.2733906075617996</v>
      </c>
      <c r="AP632" s="19">
        <v>1.0709116516709993</v>
      </c>
      <c r="AQ632" s="19">
        <v>1.0603945792884417</v>
      </c>
      <c r="AR632" s="19">
        <v>1.0808527071533358</v>
      </c>
      <c r="AS632" s="19">
        <v>9.8839465192206211E-2</v>
      </c>
      <c r="AT632" s="19">
        <v>8.4601200314346536E-2</v>
      </c>
      <c r="AU632" s="19">
        <v>0.11216993367582354</v>
      </c>
      <c r="AV632" s="19">
        <v>-9.8850087493894345E-2</v>
      </c>
      <c r="AW632" s="19">
        <v>1.6776983331196829E-2</v>
      </c>
      <c r="AX632" s="19">
        <v>-0.19158098055996939</v>
      </c>
      <c r="AY632" s="19">
        <v>1.0709116516709993</v>
      </c>
      <c r="AZ632" s="19">
        <v>1.0603945792884417</v>
      </c>
      <c r="BA632" s="19">
        <v>1.0808527071533358</v>
      </c>
      <c r="BB632" s="19">
        <v>-1.0709195366281117</v>
      </c>
      <c r="BC632" s="19">
        <v>1.0116967974329176</v>
      </c>
      <c r="BD632" s="19">
        <v>-1.1420145095336209</v>
      </c>
      <c r="BE632" s="14" t="s">
        <v>4857</v>
      </c>
    </row>
    <row r="633" spans="1:105" s="30" customFormat="1" ht="17.100000000000001" customHeight="1">
      <c r="A633" s="14">
        <v>622</v>
      </c>
      <c r="B633" s="14" t="s">
        <v>1239</v>
      </c>
      <c r="C633" s="32">
        <v>1.0324676227146554</v>
      </c>
      <c r="D633" s="32">
        <v>-1.1844289363267086</v>
      </c>
      <c r="E633" s="32">
        <v>1.2143241098217943</v>
      </c>
      <c r="F633" s="24">
        <v>718663.5</v>
      </c>
      <c r="G633" s="52" t="s">
        <v>2</v>
      </c>
      <c r="H633" s="32">
        <v>28.888296778079308</v>
      </c>
      <c r="I633" s="32">
        <v>13.957778692300701</v>
      </c>
      <c r="J633" s="12" t="s">
        <v>1354</v>
      </c>
      <c r="K633" s="12" t="s">
        <v>1225</v>
      </c>
      <c r="L633" s="14" t="s">
        <v>5143</v>
      </c>
      <c r="M633" s="12" t="s">
        <v>1226</v>
      </c>
      <c r="N633" s="15" t="s">
        <v>1227</v>
      </c>
      <c r="O633" s="12" t="s">
        <v>1228</v>
      </c>
      <c r="P633" s="12" t="s">
        <v>1240</v>
      </c>
      <c r="Q633" s="14">
        <v>2</v>
      </c>
      <c r="R633" s="21">
        <v>576.79840000000002</v>
      </c>
      <c r="S633" s="14">
        <v>9</v>
      </c>
      <c r="T633" s="52" t="s">
        <v>2</v>
      </c>
      <c r="U633" s="53">
        <v>32.897500000000001</v>
      </c>
      <c r="V633" s="24">
        <v>554181</v>
      </c>
      <c r="W633" s="24">
        <v>454860</v>
      </c>
      <c r="X633" s="24">
        <v>472038</v>
      </c>
      <c r="Y633" s="24">
        <v>486883</v>
      </c>
      <c r="Z633" s="24">
        <v>426301</v>
      </c>
      <c r="AA633" s="24">
        <v>466628</v>
      </c>
      <c r="AB633" s="24">
        <v>647734</v>
      </c>
      <c r="AC633" s="24">
        <v>789593</v>
      </c>
      <c r="AD633" s="24">
        <v>491990.5</v>
      </c>
      <c r="AE633" s="24">
        <v>582564</v>
      </c>
      <c r="AF633" s="24">
        <v>504520.5</v>
      </c>
      <c r="AG633" s="24">
        <v>479460.5</v>
      </c>
      <c r="AH633" s="24">
        <v>446464.5</v>
      </c>
      <c r="AI633" s="24">
        <v>718663.5</v>
      </c>
      <c r="AJ633" s="32">
        <v>8.8367820230208665</v>
      </c>
      <c r="AK633" s="32">
        <v>28.888296778079308</v>
      </c>
      <c r="AL633" s="32">
        <v>13.920257475014214</v>
      </c>
      <c r="AM633" s="32">
        <v>2.1893357569005785</v>
      </c>
      <c r="AN633" s="32">
        <v>6.3869568946489359</v>
      </c>
      <c r="AO633" s="32">
        <v>13.957778692300701</v>
      </c>
      <c r="AP633" s="19">
        <v>1.1840960343746474</v>
      </c>
      <c r="AQ633" s="19">
        <v>0.88492836267307273</v>
      </c>
      <c r="AR633" s="19">
        <v>1.4989003265128202</v>
      </c>
      <c r="AS633" s="19">
        <v>0.24378609338031512</v>
      </c>
      <c r="AT633" s="19">
        <v>-0.17636742500184102</v>
      </c>
      <c r="AU633" s="19">
        <v>0.58390445051279571</v>
      </c>
      <c r="AV633" s="19">
        <v>4.6096540694214566E-2</v>
      </c>
      <c r="AW633" s="19">
        <v>-0.24419164198499071</v>
      </c>
      <c r="AX633" s="19">
        <v>0.28015353627700279</v>
      </c>
      <c r="AY633" s="19">
        <v>1.1840960343746474</v>
      </c>
      <c r="AZ633" s="19">
        <v>-1.1300349747852294</v>
      </c>
      <c r="BA633" s="19">
        <v>1.4989003265128202</v>
      </c>
      <c r="BB633" s="19">
        <v>1.0324676227146554</v>
      </c>
      <c r="BC633" s="19">
        <v>-1.1844289363267086</v>
      </c>
      <c r="BD633" s="19">
        <v>1.2143241098217943</v>
      </c>
      <c r="BE633" s="14" t="s">
        <v>4857</v>
      </c>
    </row>
    <row r="634" spans="1:105" s="30" customFormat="1" ht="17.100000000000001" customHeight="1">
      <c r="A634" s="14">
        <v>623</v>
      </c>
      <c r="B634" s="14" t="s">
        <v>1242</v>
      </c>
      <c r="C634" s="32">
        <v>-1.2209625259782655</v>
      </c>
      <c r="D634" s="32">
        <v>-1.2451821826601897</v>
      </c>
      <c r="E634" s="32">
        <v>-1.2103349593358645</v>
      </c>
      <c r="F634" s="24">
        <v>579459.5</v>
      </c>
      <c r="G634" s="52" t="s">
        <v>2</v>
      </c>
      <c r="H634" s="32">
        <v>22.889938894835169</v>
      </c>
      <c r="I634" s="32">
        <v>21.768763160244266</v>
      </c>
      <c r="J634" s="12" t="s">
        <v>1354</v>
      </c>
      <c r="K634" s="12" t="s">
        <v>1225</v>
      </c>
      <c r="L634" s="14" t="s">
        <v>5104</v>
      </c>
      <c r="M634" s="12" t="s">
        <v>1226</v>
      </c>
      <c r="N634" s="15" t="s">
        <v>1227</v>
      </c>
      <c r="O634" s="12" t="s">
        <v>1228</v>
      </c>
      <c r="P634" s="12" t="s">
        <v>1243</v>
      </c>
      <c r="Q634" s="14">
        <v>2</v>
      </c>
      <c r="R634" s="21">
        <v>832.41110000000003</v>
      </c>
      <c r="S634" s="14">
        <v>9</v>
      </c>
      <c r="T634" s="52" t="s">
        <v>2</v>
      </c>
      <c r="U634" s="53">
        <v>61.594374999999999</v>
      </c>
      <c r="V634" s="24">
        <v>396841</v>
      </c>
      <c r="W634" s="24">
        <v>541238</v>
      </c>
      <c r="X634" s="24">
        <v>600549</v>
      </c>
      <c r="Y634" s="24">
        <v>535823</v>
      </c>
      <c r="Z634" s="24">
        <v>421585</v>
      </c>
      <c r="AA634" s="24">
        <v>368045</v>
      </c>
      <c r="AB634" s="24">
        <v>549681</v>
      </c>
      <c r="AC634" s="24">
        <v>609238</v>
      </c>
      <c r="AD634" s="24">
        <v>518612.75</v>
      </c>
      <c r="AE634" s="24">
        <v>487137.25</v>
      </c>
      <c r="AF634" s="24">
        <v>469039.5</v>
      </c>
      <c r="AG634" s="24">
        <v>568186</v>
      </c>
      <c r="AH634" s="24">
        <v>394815</v>
      </c>
      <c r="AI634" s="24">
        <v>579459.5</v>
      </c>
      <c r="AJ634" s="32">
        <v>16.643128793880795</v>
      </c>
      <c r="AK634" s="32">
        <v>22.889938894835169</v>
      </c>
      <c r="AL634" s="32">
        <v>21.768763160244266</v>
      </c>
      <c r="AM634" s="32">
        <v>8.0551427735073489</v>
      </c>
      <c r="AN634" s="32">
        <v>9.5889206501089763</v>
      </c>
      <c r="AO634" s="32">
        <v>7.2676621173916756</v>
      </c>
      <c r="AP634" s="19">
        <v>0.9393082796363954</v>
      </c>
      <c r="AQ634" s="19">
        <v>0.84175213388211445</v>
      </c>
      <c r="AR634" s="19">
        <v>1.0198412139686652</v>
      </c>
      <c r="AS634" s="19">
        <v>-9.032936883907218E-2</v>
      </c>
      <c r="AT634" s="19">
        <v>-0.24853262152853994</v>
      </c>
      <c r="AU634" s="19">
        <v>2.8344546655061968E-2</v>
      </c>
      <c r="AV634" s="19">
        <v>-0.28801892152517272</v>
      </c>
      <c r="AW634" s="19">
        <v>-0.31635683851168966</v>
      </c>
      <c r="AX634" s="19">
        <v>-0.27540636758073095</v>
      </c>
      <c r="AY634" s="19">
        <v>-1.0646132070581751</v>
      </c>
      <c r="AZ634" s="19">
        <v>-1.1879981763610805</v>
      </c>
      <c r="BA634" s="19">
        <v>1.0198412139686652</v>
      </c>
      <c r="BB634" s="19">
        <v>-1.2209625259782655</v>
      </c>
      <c r="BC634" s="19">
        <v>-1.2451821826601897</v>
      </c>
      <c r="BD634" s="19">
        <v>-1.2103349593358645</v>
      </c>
      <c r="BE634" s="14" t="s">
        <v>4857</v>
      </c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</row>
    <row r="635" spans="1:105" s="30" customFormat="1" ht="17.100000000000001" customHeight="1">
      <c r="A635" s="14">
        <v>624</v>
      </c>
      <c r="B635" s="14" t="s">
        <v>1245</v>
      </c>
      <c r="C635" s="32">
        <v>-1.0205549321912966</v>
      </c>
      <c r="D635" s="32">
        <v>1.1539001047497854</v>
      </c>
      <c r="E635" s="32">
        <v>-1.1711191537038517</v>
      </c>
      <c r="F635" s="24">
        <v>512107</v>
      </c>
      <c r="G635" s="52" t="s">
        <v>2</v>
      </c>
      <c r="H635" s="32">
        <v>35.317664217483205</v>
      </c>
      <c r="I635" s="32">
        <v>46.649748453670028</v>
      </c>
      <c r="J635" s="12" t="s">
        <v>1354</v>
      </c>
      <c r="K635" s="12" t="s">
        <v>1225</v>
      </c>
      <c r="L635" s="14" t="s">
        <v>5147</v>
      </c>
      <c r="M635" s="12" t="s">
        <v>1226</v>
      </c>
      <c r="N635" s="15" t="s">
        <v>1227</v>
      </c>
      <c r="O635" s="12" t="s">
        <v>1228</v>
      </c>
      <c r="P635" s="12" t="s">
        <v>1246</v>
      </c>
      <c r="Q635" s="14">
        <v>3</v>
      </c>
      <c r="R635" s="21">
        <v>854.4221</v>
      </c>
      <c r="S635" s="14">
        <v>2</v>
      </c>
      <c r="T635" s="52" t="s">
        <v>2</v>
      </c>
      <c r="U635" s="53">
        <v>92.126824999999997</v>
      </c>
      <c r="V635" s="24">
        <v>490467</v>
      </c>
      <c r="W635" s="24">
        <v>300823</v>
      </c>
      <c r="X635" s="24">
        <v>551066</v>
      </c>
      <c r="Y635" s="24">
        <v>420682</v>
      </c>
      <c r="Z635" s="24">
        <v>636353</v>
      </c>
      <c r="AA635" s="24">
        <v>320667</v>
      </c>
      <c r="AB635" s="24">
        <v>369199</v>
      </c>
      <c r="AC635" s="24">
        <v>655015</v>
      </c>
      <c r="AD635" s="24">
        <v>440759.5</v>
      </c>
      <c r="AE635" s="24">
        <v>495308.5</v>
      </c>
      <c r="AF635" s="24">
        <v>395645</v>
      </c>
      <c r="AG635" s="24">
        <v>485874</v>
      </c>
      <c r="AH635" s="24">
        <v>478510</v>
      </c>
      <c r="AI635" s="24">
        <v>512107</v>
      </c>
      <c r="AJ635" s="32">
        <v>24.373862866686963</v>
      </c>
      <c r="AK635" s="32">
        <v>35.317664217483205</v>
      </c>
      <c r="AL635" s="32">
        <v>33.893656791149041</v>
      </c>
      <c r="AM635" s="32">
        <v>18.975168574203767</v>
      </c>
      <c r="AN635" s="32">
        <v>46.649748453670028</v>
      </c>
      <c r="AO635" s="32">
        <v>39.464883661347002</v>
      </c>
      <c r="AP635" s="19">
        <v>1.1237613709971084</v>
      </c>
      <c r="AQ635" s="19">
        <v>1.2094428085783973</v>
      </c>
      <c r="AR635" s="19">
        <v>1.0539913640161853</v>
      </c>
      <c r="AS635" s="19">
        <v>0.16833571400280603</v>
      </c>
      <c r="AT635" s="19">
        <v>0.27434254961454402</v>
      </c>
      <c r="AU635" s="19">
        <v>7.5863046157229178E-2</v>
      </c>
      <c r="AV635" s="19">
        <v>-2.9353838683294525E-2</v>
      </c>
      <c r="AW635" s="19">
        <v>0.2065183326313943</v>
      </c>
      <c r="AX635" s="19">
        <v>-0.22788786807856376</v>
      </c>
      <c r="AY635" s="19">
        <v>1.1237613709971084</v>
      </c>
      <c r="AZ635" s="19">
        <v>1.2094428085783973</v>
      </c>
      <c r="BA635" s="19">
        <v>1.0539913640161853</v>
      </c>
      <c r="BB635" s="19">
        <v>-1.0205549321912966</v>
      </c>
      <c r="BC635" s="19">
        <v>1.1539001047497854</v>
      </c>
      <c r="BD635" s="19">
        <v>-1.1711191537038517</v>
      </c>
      <c r="BE635" s="14" t="s">
        <v>4857</v>
      </c>
    </row>
    <row r="636" spans="1:105" s="30" customFormat="1" ht="17.100000000000001" customHeight="1">
      <c r="A636" s="14">
        <v>625</v>
      </c>
      <c r="B636" s="14" t="s">
        <v>1247</v>
      </c>
      <c r="C636" s="32">
        <v>1.318195982817991</v>
      </c>
      <c r="D636" s="32">
        <v>1.6361570230473901</v>
      </c>
      <c r="E636" s="32">
        <v>1.1242088705639408</v>
      </c>
      <c r="F636" s="24">
        <v>168848.5</v>
      </c>
      <c r="G636" s="52" t="s">
        <v>2</v>
      </c>
      <c r="H636" s="32">
        <v>30.965955746523914</v>
      </c>
      <c r="I636" s="32">
        <v>17.664592747587704</v>
      </c>
      <c r="J636" s="12" t="s">
        <v>1248</v>
      </c>
      <c r="K636" s="12" t="s">
        <v>1249</v>
      </c>
      <c r="L636" s="14" t="s">
        <v>3616</v>
      </c>
      <c r="M636" s="12" t="s">
        <v>1250</v>
      </c>
      <c r="N636" s="15" t="s">
        <v>1251</v>
      </c>
      <c r="O636" s="12" t="s">
        <v>1252</v>
      </c>
      <c r="P636" s="12" t="s">
        <v>1253</v>
      </c>
      <c r="Q636" s="14">
        <v>4</v>
      </c>
      <c r="R636" s="21">
        <v>664.28750000000002</v>
      </c>
      <c r="S636" s="14">
        <v>1</v>
      </c>
      <c r="T636" s="52" t="s">
        <v>2</v>
      </c>
      <c r="U636" s="53">
        <v>39.590149999999994</v>
      </c>
      <c r="V636" s="24">
        <v>65064</v>
      </c>
      <c r="W636" s="24">
        <v>83638</v>
      </c>
      <c r="X636" s="24">
        <v>108426</v>
      </c>
      <c r="Y636" s="24">
        <v>134930</v>
      </c>
      <c r="Z636" s="24">
        <v>133697</v>
      </c>
      <c r="AA636" s="24">
        <v>121314</v>
      </c>
      <c r="AB636" s="24">
        <v>171424</v>
      </c>
      <c r="AC636" s="24">
        <v>166273</v>
      </c>
      <c r="AD636" s="24">
        <v>98014.5</v>
      </c>
      <c r="AE636" s="24">
        <v>148177</v>
      </c>
      <c r="AF636" s="24">
        <v>74351</v>
      </c>
      <c r="AG636" s="24">
        <v>121678</v>
      </c>
      <c r="AH636" s="24">
        <v>127505.5</v>
      </c>
      <c r="AI636" s="24">
        <v>168848.5</v>
      </c>
      <c r="AJ636" s="32">
        <v>30.965955746523914</v>
      </c>
      <c r="AK636" s="32">
        <v>16.527067813969438</v>
      </c>
      <c r="AL636" s="32">
        <v>17.664592747587704</v>
      </c>
      <c r="AM636" s="32">
        <v>15.402256881743828</v>
      </c>
      <c r="AN636" s="32">
        <v>6.8672357438957681</v>
      </c>
      <c r="AO636" s="32">
        <v>2.1571450323170809</v>
      </c>
      <c r="AP636" s="19">
        <v>1.5117865213820405</v>
      </c>
      <c r="AQ636" s="19">
        <v>1.7149130475716534</v>
      </c>
      <c r="AR636" s="19">
        <v>1.3876666283140748</v>
      </c>
      <c r="AS636" s="19">
        <v>0.59625443169680703</v>
      </c>
      <c r="AT636" s="19">
        <v>0.77813542828298632</v>
      </c>
      <c r="AU636" s="19">
        <v>0.47266101788349807</v>
      </c>
      <c r="AV636" s="19">
        <v>0.39856487901070647</v>
      </c>
      <c r="AW636" s="19">
        <v>0.71031121129983665</v>
      </c>
      <c r="AX636" s="19">
        <v>0.16891010364770515</v>
      </c>
      <c r="AY636" s="19">
        <v>1.5117865213820405</v>
      </c>
      <c r="AZ636" s="19">
        <v>1.7149130475716534</v>
      </c>
      <c r="BA636" s="19">
        <v>1.3876666283140748</v>
      </c>
      <c r="BB636" s="19">
        <v>1.318195982817991</v>
      </c>
      <c r="BC636" s="19">
        <v>1.6361570230473901</v>
      </c>
      <c r="BD636" s="19">
        <v>1.1242088705639408</v>
      </c>
      <c r="BE636" s="14" t="s">
        <v>4857</v>
      </c>
    </row>
    <row r="637" spans="1:105" s="30" customFormat="1" ht="17.100000000000001" customHeight="1">
      <c r="A637" s="14">
        <v>626</v>
      </c>
      <c r="B637" s="14" t="s">
        <v>1254</v>
      </c>
      <c r="C637" s="32">
        <v>1.0168302206614297</v>
      </c>
      <c r="D637" s="32">
        <v>1.0390638485288808</v>
      </c>
      <c r="E637" s="32">
        <v>1.0025054038702896</v>
      </c>
      <c r="F637" s="24">
        <v>249967</v>
      </c>
      <c r="G637" s="52" t="s">
        <v>2</v>
      </c>
      <c r="H637" s="32">
        <v>25.275535609239093</v>
      </c>
      <c r="I637" s="32">
        <v>30.557760810711155</v>
      </c>
      <c r="J637" s="12" t="s">
        <v>1255</v>
      </c>
      <c r="K637" s="12" t="s">
        <v>1256</v>
      </c>
      <c r="L637" s="14" t="s">
        <v>5263</v>
      </c>
      <c r="M637" s="12" t="s">
        <v>1257</v>
      </c>
      <c r="N637" s="15" t="s">
        <v>1258</v>
      </c>
      <c r="O637" s="12" t="s">
        <v>1259</v>
      </c>
      <c r="P637" s="12" t="s">
        <v>1260</v>
      </c>
      <c r="Q637" s="14">
        <v>2</v>
      </c>
      <c r="R637" s="21">
        <v>594.36099999999999</v>
      </c>
      <c r="S637" s="14">
        <v>6</v>
      </c>
      <c r="T637" s="52" t="s">
        <v>2</v>
      </c>
      <c r="U637" s="53">
        <v>68.379649999999998</v>
      </c>
      <c r="V637" s="24">
        <v>226803</v>
      </c>
      <c r="W637" s="24">
        <v>146787</v>
      </c>
      <c r="X637" s="24">
        <v>245651</v>
      </c>
      <c r="Y637" s="24">
        <v>158355</v>
      </c>
      <c r="Z637" s="24">
        <v>226272</v>
      </c>
      <c r="AA637" s="24">
        <v>180597</v>
      </c>
      <c r="AB637" s="24">
        <v>282391</v>
      </c>
      <c r="AC637" s="24">
        <v>217543</v>
      </c>
      <c r="AD637" s="24">
        <v>194399</v>
      </c>
      <c r="AE637" s="24">
        <v>226700.75</v>
      </c>
      <c r="AF637" s="24">
        <v>186795</v>
      </c>
      <c r="AG637" s="24">
        <v>202003</v>
      </c>
      <c r="AH637" s="24">
        <v>203434.5</v>
      </c>
      <c r="AI637" s="24">
        <v>249967</v>
      </c>
      <c r="AJ637" s="32">
        <v>25.275535609239093</v>
      </c>
      <c r="AK637" s="32">
        <v>18.559868305286876</v>
      </c>
      <c r="AL637" s="32">
        <v>30.289813005392428</v>
      </c>
      <c r="AM637" s="32">
        <v>30.557760810711155</v>
      </c>
      <c r="AN637" s="32">
        <v>15.875921847422909</v>
      </c>
      <c r="AO637" s="32">
        <v>18.344205653700381</v>
      </c>
      <c r="AP637" s="19">
        <v>1.1661621201755152</v>
      </c>
      <c r="AQ637" s="19">
        <v>1.089078936802377</v>
      </c>
      <c r="AR637" s="19">
        <v>1.2374420181878487</v>
      </c>
      <c r="AS637" s="19">
        <v>0.22176836633838071</v>
      </c>
      <c r="AT637" s="19">
        <v>0.12310852485935639</v>
      </c>
      <c r="AU637" s="19">
        <v>0.30736092759015965</v>
      </c>
      <c r="AV637" s="19">
        <v>2.4078813652280151E-2</v>
      </c>
      <c r="AW637" s="19">
        <v>5.5284307876206681E-2</v>
      </c>
      <c r="AX637" s="19">
        <v>3.6100133543667257E-3</v>
      </c>
      <c r="AY637" s="19">
        <v>1.1661621201755152</v>
      </c>
      <c r="AZ637" s="19">
        <v>1.089078936802377</v>
      </c>
      <c r="BA637" s="19">
        <v>1.2374420181878487</v>
      </c>
      <c r="BB637" s="19">
        <v>1.0168302206614297</v>
      </c>
      <c r="BC637" s="19">
        <v>1.0390638485288808</v>
      </c>
      <c r="BD637" s="19">
        <v>1.0025054038702896</v>
      </c>
      <c r="BE637" s="14" t="s">
        <v>4857</v>
      </c>
    </row>
    <row r="638" spans="1:105" ht="17.100000000000001" customHeight="1">
      <c r="A638" s="31">
        <v>627</v>
      </c>
      <c r="B638" s="11" t="s">
        <v>1261</v>
      </c>
      <c r="C638" s="57"/>
      <c r="D638" s="57"/>
      <c r="E638" s="57"/>
      <c r="F638" s="27"/>
      <c r="G638" s="54"/>
      <c r="H638" s="57"/>
      <c r="I638" s="57"/>
      <c r="J638" s="13"/>
      <c r="K638" s="13"/>
      <c r="L638" s="13"/>
      <c r="M638" s="13"/>
      <c r="N638" s="13"/>
      <c r="O638" s="13"/>
      <c r="P638" s="13"/>
      <c r="Q638" s="13"/>
      <c r="R638" s="22"/>
      <c r="S638" s="18"/>
      <c r="T638" s="54"/>
      <c r="U638" s="5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57"/>
      <c r="AK638" s="57"/>
      <c r="AL638" s="57"/>
      <c r="AM638" s="57"/>
      <c r="AN638" s="57"/>
      <c r="AO638" s="57"/>
      <c r="AP638" s="27"/>
      <c r="AQ638" s="27"/>
      <c r="AR638" s="27"/>
      <c r="AS638" s="27"/>
      <c r="AT638" s="27"/>
      <c r="AU638" s="27"/>
      <c r="AV638" s="27"/>
      <c r="AW638" s="27"/>
      <c r="AX638" s="27"/>
      <c r="AY638" s="27"/>
      <c r="AZ638" s="27"/>
      <c r="BA638" s="27"/>
      <c r="BB638" s="27"/>
      <c r="BC638" s="27"/>
      <c r="BD638" s="27"/>
      <c r="BE638" s="13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s="30" customFormat="1" ht="17.100000000000001" customHeight="1">
      <c r="A639" s="14">
        <v>628</v>
      </c>
      <c r="B639" s="14" t="s">
        <v>1262</v>
      </c>
      <c r="C639" s="32">
        <v>-1.0771777783432122</v>
      </c>
      <c r="D639" s="32">
        <v>-1.196210900614799</v>
      </c>
      <c r="E639" s="32">
        <v>1.0358812545845915</v>
      </c>
      <c r="F639" s="24">
        <v>232511</v>
      </c>
      <c r="G639" s="52" t="s">
        <v>2</v>
      </c>
      <c r="H639" s="32">
        <v>15.041315495323071</v>
      </c>
      <c r="I639" s="32">
        <v>12.13738480342918</v>
      </c>
      <c r="J639" s="12" t="s">
        <v>1263</v>
      </c>
      <c r="K639" s="12" t="s">
        <v>1264</v>
      </c>
      <c r="L639" s="14" t="s">
        <v>5136</v>
      </c>
      <c r="M639" s="12" t="s">
        <v>1265</v>
      </c>
      <c r="N639" s="15" t="s">
        <v>1266</v>
      </c>
      <c r="O639" s="12" t="s">
        <v>1267</v>
      </c>
      <c r="P639" s="12" t="s">
        <v>1269</v>
      </c>
      <c r="Q639" s="14">
        <v>2</v>
      </c>
      <c r="R639" s="21">
        <v>637.87699999999995</v>
      </c>
      <c r="S639" s="14">
        <v>3</v>
      </c>
      <c r="T639" s="52" t="s">
        <v>2</v>
      </c>
      <c r="U639" s="53">
        <v>80.245000000000005</v>
      </c>
      <c r="V639" s="24">
        <v>204468</v>
      </c>
      <c r="W639" s="24">
        <v>208368</v>
      </c>
      <c r="X639" s="24">
        <v>197449</v>
      </c>
      <c r="Y639" s="24">
        <v>166236</v>
      </c>
      <c r="Z639" s="24">
        <v>175399</v>
      </c>
      <c r="AA639" s="24">
        <v>186333</v>
      </c>
      <c r="AB639" s="24">
        <v>241799</v>
      </c>
      <c r="AC639" s="24">
        <v>223223</v>
      </c>
      <c r="AD639" s="24">
        <v>194130.25</v>
      </c>
      <c r="AE639" s="24">
        <v>206688.5</v>
      </c>
      <c r="AF639" s="24">
        <v>206418</v>
      </c>
      <c r="AG639" s="24">
        <v>181842.5</v>
      </c>
      <c r="AH639" s="24">
        <v>180866</v>
      </c>
      <c r="AI639" s="24">
        <v>232511</v>
      </c>
      <c r="AJ639" s="32">
        <v>9.8578664746436804</v>
      </c>
      <c r="AK639" s="32">
        <v>15.041315495323071</v>
      </c>
      <c r="AL639" s="32">
        <v>1.335986419124076</v>
      </c>
      <c r="AM639" s="32">
        <v>12.13738480342918</v>
      </c>
      <c r="AN639" s="32">
        <v>4.274714731068145</v>
      </c>
      <c r="AO639" s="32">
        <v>5.6492878045861517</v>
      </c>
      <c r="AP639" s="19">
        <v>1.0646898152142699</v>
      </c>
      <c r="AQ639" s="19">
        <v>0.87621234582255425</v>
      </c>
      <c r="AR639" s="19">
        <v>1.2786394819692866</v>
      </c>
      <c r="AS639" s="19">
        <v>9.0433179528092281E-2</v>
      </c>
      <c r="AT639" s="19">
        <v>-0.19064755252563834</v>
      </c>
      <c r="AU639" s="19">
        <v>0.35460954733691441</v>
      </c>
      <c r="AV639" s="19">
        <v>-0.10725637315800828</v>
      </c>
      <c r="AW639" s="19">
        <v>-0.25847176950878803</v>
      </c>
      <c r="AX639" s="19">
        <v>5.0858633101121486E-2</v>
      </c>
      <c r="AY639" s="19">
        <v>1.0646898152142699</v>
      </c>
      <c r="AZ639" s="19">
        <v>-1.1412758616876582</v>
      </c>
      <c r="BA639" s="19">
        <v>1.2786394819692866</v>
      </c>
      <c r="BB639" s="19">
        <v>-1.0771777783432122</v>
      </c>
      <c r="BC639" s="19">
        <v>-1.196210900614799</v>
      </c>
      <c r="BD639" s="19">
        <v>1.0358812545845915</v>
      </c>
      <c r="BE639" s="14" t="s">
        <v>4857</v>
      </c>
    </row>
    <row r="640" spans="1:105" ht="17.100000000000001" customHeight="1">
      <c r="A640" s="14">
        <v>629</v>
      </c>
      <c r="B640" s="14" t="s">
        <v>1270</v>
      </c>
      <c r="C640" s="32">
        <v>1.295029324946646</v>
      </c>
      <c r="D640" s="32">
        <v>1.2425130721149615</v>
      </c>
      <c r="E640" s="32">
        <v>1.336890900709798</v>
      </c>
      <c r="F640" s="42">
        <v>4655384</v>
      </c>
      <c r="G640" s="52" t="s">
        <v>4894</v>
      </c>
      <c r="H640" s="32">
        <v>20.078267885213229</v>
      </c>
      <c r="I640" s="32">
        <v>8.7526956759050289</v>
      </c>
      <c r="J640" s="12" t="s">
        <v>1271</v>
      </c>
      <c r="K640" s="15" t="s">
        <v>1272</v>
      </c>
      <c r="L640" s="14" t="s">
        <v>1273</v>
      </c>
      <c r="M640" s="12" t="s">
        <v>1274</v>
      </c>
      <c r="N640" s="15" t="s">
        <v>1275</v>
      </c>
      <c r="O640" s="12" t="s">
        <v>1276</v>
      </c>
      <c r="P640" s="12" t="s">
        <v>1278</v>
      </c>
      <c r="Q640" s="14">
        <v>3</v>
      </c>
      <c r="R640" s="21">
        <v>468.55169999999998</v>
      </c>
      <c r="S640" s="14">
        <v>1</v>
      </c>
      <c r="T640" s="52" t="s">
        <v>4894</v>
      </c>
      <c r="U640" s="53">
        <v>40</v>
      </c>
      <c r="V640" s="42">
        <v>2702146</v>
      </c>
      <c r="W640" s="42">
        <v>2387164</v>
      </c>
      <c r="X640" s="42">
        <v>2952731</v>
      </c>
      <c r="Y640" s="42">
        <v>2689507</v>
      </c>
      <c r="Z640" s="42">
        <v>3234157</v>
      </c>
      <c r="AA640" s="42">
        <v>3393759</v>
      </c>
      <c r="AB640" s="42">
        <v>4422904</v>
      </c>
      <c r="AC640" s="42">
        <v>4887864</v>
      </c>
      <c r="AD640" s="42">
        <v>2682887</v>
      </c>
      <c r="AE640" s="42">
        <v>3984671</v>
      </c>
      <c r="AF640" s="42">
        <v>2544655</v>
      </c>
      <c r="AG640" s="42">
        <v>2821119</v>
      </c>
      <c r="AH640" s="42">
        <v>3313958</v>
      </c>
      <c r="AI640" s="42">
        <v>4655384</v>
      </c>
      <c r="AJ640" s="32">
        <v>8.6262378956384644</v>
      </c>
      <c r="AK640" s="32">
        <v>20.078267885213229</v>
      </c>
      <c r="AL640" s="32">
        <v>8.7526956759050289</v>
      </c>
      <c r="AM640" s="32">
        <v>6.5976470815675547</v>
      </c>
      <c r="AN640" s="32">
        <v>3.4054642964978843</v>
      </c>
      <c r="AO640" s="32">
        <v>7.0622824879858923</v>
      </c>
      <c r="AP640" s="19">
        <v>1.4852176032758742</v>
      </c>
      <c r="AQ640" s="19">
        <v>1.3023211398008767</v>
      </c>
      <c r="AR640" s="19">
        <v>1.6501905804044423</v>
      </c>
      <c r="AS640" s="19">
        <v>0.57067431969143745</v>
      </c>
      <c r="AT640" s="19">
        <v>0.38108524702119256</v>
      </c>
      <c r="AU640" s="19">
        <v>0.72263265085098427</v>
      </c>
      <c r="AV640" s="19">
        <v>0.37298476700533689</v>
      </c>
      <c r="AW640" s="19">
        <v>0.31326103003804284</v>
      </c>
      <c r="AX640" s="19">
        <v>0.41888173661519135</v>
      </c>
      <c r="AY640" s="19">
        <v>1.4852176032758742</v>
      </c>
      <c r="AZ640" s="19">
        <v>1.3023211398008767</v>
      </c>
      <c r="BA640" s="19">
        <v>1.6501905804044423</v>
      </c>
      <c r="BB640" s="19">
        <v>1.295029324946646</v>
      </c>
      <c r="BC640" s="19">
        <v>1.2425130721149615</v>
      </c>
      <c r="BD640" s="19">
        <v>1.336890900709798</v>
      </c>
      <c r="BE640" s="14" t="s">
        <v>4857</v>
      </c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s="30" customFormat="1" ht="17.100000000000001" customHeight="1">
      <c r="A641" s="31">
        <v>630</v>
      </c>
      <c r="B641" s="11" t="s">
        <v>1279</v>
      </c>
      <c r="C641" s="57"/>
      <c r="D641" s="57"/>
      <c r="E641" s="57"/>
      <c r="F641" s="27"/>
      <c r="G641" s="54"/>
      <c r="H641" s="57"/>
      <c r="I641" s="57"/>
      <c r="J641" s="13"/>
      <c r="K641" s="13"/>
      <c r="L641" s="13"/>
      <c r="M641" s="13"/>
      <c r="N641" s="13"/>
      <c r="O641" s="13"/>
      <c r="P641" s="13"/>
      <c r="Q641" s="13"/>
      <c r="R641" s="22"/>
      <c r="S641" s="18"/>
      <c r="T641" s="54"/>
      <c r="U641" s="5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57"/>
      <c r="AK641" s="57"/>
      <c r="AL641" s="57"/>
      <c r="AM641" s="57"/>
      <c r="AN641" s="57"/>
      <c r="AO641" s="5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7"/>
      <c r="BB641" s="27"/>
      <c r="BC641" s="27"/>
      <c r="BD641" s="27"/>
      <c r="BE641" s="13"/>
    </row>
    <row r="642" spans="1:105" ht="17.100000000000001" customHeight="1">
      <c r="A642" s="14">
        <v>631</v>
      </c>
      <c r="B642" s="14" t="s">
        <v>1280</v>
      </c>
      <c r="C642" s="32">
        <v>-1.0707860285929529</v>
      </c>
      <c r="D642" s="32">
        <v>1.3057699986119042</v>
      </c>
      <c r="E642" s="32">
        <v>-1.4909116655633889</v>
      </c>
      <c r="F642" s="24">
        <v>69938</v>
      </c>
      <c r="G642" s="52" t="s">
        <v>2</v>
      </c>
      <c r="H642" s="32">
        <v>20.759054739423416</v>
      </c>
      <c r="I642" s="32">
        <v>26.066960615236844</v>
      </c>
      <c r="J642" s="12" t="s">
        <v>1281</v>
      </c>
      <c r="K642" s="12" t="s">
        <v>1282</v>
      </c>
      <c r="L642" s="14" t="s">
        <v>1283</v>
      </c>
      <c r="M642" s="12" t="s">
        <v>1284</v>
      </c>
      <c r="N642" s="15" t="s">
        <v>1159</v>
      </c>
      <c r="O642" s="12" t="s">
        <v>1160</v>
      </c>
      <c r="P642" s="12" t="s">
        <v>1161</v>
      </c>
      <c r="Q642" s="14">
        <v>2</v>
      </c>
      <c r="R642" s="21">
        <v>382.20460000000003</v>
      </c>
      <c r="S642" s="14">
        <v>2</v>
      </c>
      <c r="T642" s="52" t="s">
        <v>2</v>
      </c>
      <c r="U642" s="53">
        <v>27.843500000000002</v>
      </c>
      <c r="V642" s="24">
        <v>60520</v>
      </c>
      <c r="W642" s="24">
        <v>41682</v>
      </c>
      <c r="X642" s="24">
        <v>55284</v>
      </c>
      <c r="Y642" s="24">
        <v>69806</v>
      </c>
      <c r="Z642" s="24">
        <v>75544</v>
      </c>
      <c r="AA642" s="24">
        <v>64332</v>
      </c>
      <c r="AB642" s="24">
        <v>58353</v>
      </c>
      <c r="AC642" s="24">
        <v>45211</v>
      </c>
      <c r="AD642" s="24">
        <v>56823</v>
      </c>
      <c r="AE642" s="24">
        <v>60860</v>
      </c>
      <c r="AF642" s="24">
        <v>51101</v>
      </c>
      <c r="AG642" s="24">
        <v>62545</v>
      </c>
      <c r="AH642" s="24">
        <v>69938</v>
      </c>
      <c r="AI642" s="24">
        <v>51782</v>
      </c>
      <c r="AJ642" s="32">
        <v>20.66968260052175</v>
      </c>
      <c r="AK642" s="32">
        <v>20.759054739423416</v>
      </c>
      <c r="AL642" s="32">
        <v>26.066960615236844</v>
      </c>
      <c r="AM642" s="32">
        <v>16.417946560701964</v>
      </c>
      <c r="AN642" s="32">
        <v>11.335870672114687</v>
      </c>
      <c r="AO642" s="32">
        <v>17.945999224351333</v>
      </c>
      <c r="AP642" s="19">
        <v>1.0710451753691288</v>
      </c>
      <c r="AQ642" s="19">
        <v>1.3686229232304652</v>
      </c>
      <c r="AR642" s="19">
        <v>0.8279159005516028</v>
      </c>
      <c r="AS642" s="19">
        <v>9.9019332475197397E-2</v>
      </c>
      <c r="AT642" s="19">
        <v>0.45272501655950886</v>
      </c>
      <c r="AU642" s="19">
        <v>-0.27244386824882549</v>
      </c>
      <c r="AV642" s="19">
        <v>-9.8670220210903159E-2</v>
      </c>
      <c r="AW642" s="19">
        <v>0.38490079957635914</v>
      </c>
      <c r="AX642" s="19">
        <v>-0.57619478248461842</v>
      </c>
      <c r="AY642" s="19">
        <v>1.0710451753691288</v>
      </c>
      <c r="AZ642" s="19">
        <v>1.3686229232304652</v>
      </c>
      <c r="BA642" s="19">
        <v>-1.207852149395543</v>
      </c>
      <c r="BB642" s="19">
        <v>-1.0707860285929529</v>
      </c>
      <c r="BC642" s="19">
        <v>1.3057699986119042</v>
      </c>
      <c r="BD642" s="19">
        <v>-1.4909116655633889</v>
      </c>
      <c r="BE642" s="14" t="s">
        <v>4857</v>
      </c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s="30" customFormat="1" ht="17.100000000000001" customHeight="1">
      <c r="A643" s="14">
        <v>632</v>
      </c>
      <c r="B643" s="14" t="s">
        <v>1162</v>
      </c>
      <c r="C643" s="32">
        <v>1.3590450051444778</v>
      </c>
      <c r="D643" s="32">
        <v>1.2286962001029247</v>
      </c>
      <c r="E643" s="32">
        <v>1.484891723389713</v>
      </c>
      <c r="F643" s="42">
        <v>36016</v>
      </c>
      <c r="G643" s="52" t="s">
        <v>2</v>
      </c>
      <c r="H643" s="32">
        <v>22.07655508438231</v>
      </c>
      <c r="I643" s="32">
        <v>15.345253780969722</v>
      </c>
      <c r="J643" s="12" t="s">
        <v>1163</v>
      </c>
      <c r="K643" s="12" t="s">
        <v>1164</v>
      </c>
      <c r="L643" s="14" t="s">
        <v>5237</v>
      </c>
      <c r="M643" s="12" t="s">
        <v>1165</v>
      </c>
      <c r="N643" s="15" t="s">
        <v>1166</v>
      </c>
      <c r="O643" s="12" t="s">
        <v>1167</v>
      </c>
      <c r="P643" s="12" t="s">
        <v>1168</v>
      </c>
      <c r="Q643" s="14">
        <v>3</v>
      </c>
      <c r="R643" s="21">
        <v>603.9556</v>
      </c>
      <c r="S643" s="14">
        <v>3</v>
      </c>
      <c r="T643" s="52" t="s">
        <v>2</v>
      </c>
      <c r="U643" s="53">
        <v>25.748149999999999</v>
      </c>
      <c r="V643" s="42">
        <v>19600</v>
      </c>
      <c r="W643" s="42">
        <v>20200</v>
      </c>
      <c r="X643" s="42">
        <v>20400</v>
      </c>
      <c r="Y643" s="42">
        <v>18900</v>
      </c>
      <c r="Z643" s="42">
        <v>26100</v>
      </c>
      <c r="AA643" s="42">
        <v>25156</v>
      </c>
      <c r="AB643" s="42">
        <v>32108</v>
      </c>
      <c r="AC643" s="42">
        <v>39924</v>
      </c>
      <c r="AD643" s="42">
        <v>19775</v>
      </c>
      <c r="AE643" s="42">
        <v>30822</v>
      </c>
      <c r="AF643" s="42">
        <v>19900</v>
      </c>
      <c r="AG643" s="42">
        <v>19650</v>
      </c>
      <c r="AH643" s="42">
        <v>25628</v>
      </c>
      <c r="AI643" s="42">
        <v>36016</v>
      </c>
      <c r="AJ643" s="32">
        <v>3.4141810536079382</v>
      </c>
      <c r="AK643" s="32">
        <v>22.07655508438231</v>
      </c>
      <c r="AL643" s="32">
        <v>2.1319802447835605</v>
      </c>
      <c r="AM643" s="32">
        <v>5.3977616884469271</v>
      </c>
      <c r="AN643" s="32">
        <v>2.6046074662092278</v>
      </c>
      <c r="AO643" s="32">
        <v>15.345253780969722</v>
      </c>
      <c r="AP643" s="19">
        <v>1.5586346396965867</v>
      </c>
      <c r="AQ643" s="19">
        <v>1.2878391959798996</v>
      </c>
      <c r="AR643" s="19">
        <v>1.8328753180661577</v>
      </c>
      <c r="AS643" s="19">
        <v>0.64028278482059897</v>
      </c>
      <c r="AT643" s="19">
        <v>0.36495246484588606</v>
      </c>
      <c r="AU643" s="19">
        <v>0.87410864942082456</v>
      </c>
      <c r="AV643" s="19">
        <v>0.44259323213449842</v>
      </c>
      <c r="AW643" s="19">
        <v>0.29712824786273634</v>
      </c>
      <c r="AX643" s="19">
        <v>0.57035773518503163</v>
      </c>
      <c r="AY643" s="19">
        <v>1.5586346396965867</v>
      </c>
      <c r="AZ643" s="19">
        <v>1.2878391959798996</v>
      </c>
      <c r="BA643" s="19">
        <v>1.8328753180661577</v>
      </c>
      <c r="BB643" s="19">
        <v>1.3590450051444778</v>
      </c>
      <c r="BC643" s="19">
        <v>1.2286962001029247</v>
      </c>
      <c r="BD643" s="19">
        <v>1.484891723389713</v>
      </c>
      <c r="BE643" s="14" t="s">
        <v>4857</v>
      </c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</row>
    <row r="644" spans="1:105" ht="17.100000000000001" customHeight="1">
      <c r="A644" s="14">
        <v>633</v>
      </c>
      <c r="B644" s="14" t="s">
        <v>1176</v>
      </c>
      <c r="C644" s="32">
        <v>1.0901276833405762</v>
      </c>
      <c r="D644" s="32">
        <v>1.0988428974447628</v>
      </c>
      <c r="E644" s="32">
        <v>1.0928300086773377</v>
      </c>
      <c r="F644" s="24">
        <v>689304</v>
      </c>
      <c r="G644" s="52" t="s">
        <v>2</v>
      </c>
      <c r="H644" s="32">
        <v>13.978709256296016</v>
      </c>
      <c r="I644" s="32">
        <v>13.387865411936382</v>
      </c>
      <c r="J644" s="12" t="s">
        <v>1170</v>
      </c>
      <c r="K644" s="12" t="s">
        <v>1171</v>
      </c>
      <c r="L644" s="14" t="s">
        <v>5292</v>
      </c>
      <c r="M644" s="12" t="s">
        <v>1172</v>
      </c>
      <c r="N644" s="15" t="s">
        <v>1173</v>
      </c>
      <c r="O644" s="12" t="s">
        <v>1174</v>
      </c>
      <c r="P644" s="12" t="s">
        <v>1177</v>
      </c>
      <c r="Q644" s="14">
        <v>2</v>
      </c>
      <c r="R644" s="21">
        <v>446.27420000000001</v>
      </c>
      <c r="S644" s="14">
        <v>10</v>
      </c>
      <c r="T644" s="52" t="s">
        <v>2</v>
      </c>
      <c r="U644" s="53">
        <v>27.308062500000002</v>
      </c>
      <c r="V644" s="24">
        <v>558993</v>
      </c>
      <c r="W644" s="24">
        <v>465303</v>
      </c>
      <c r="X644" s="24">
        <v>473337</v>
      </c>
      <c r="Y644" s="24">
        <v>548661</v>
      </c>
      <c r="Z644" s="24">
        <v>537065</v>
      </c>
      <c r="AA644" s="24">
        <v>642653</v>
      </c>
      <c r="AB644" s="24">
        <v>624050</v>
      </c>
      <c r="AC644" s="24">
        <v>754558</v>
      </c>
      <c r="AD644" s="24">
        <v>511573.5</v>
      </c>
      <c r="AE644" s="24">
        <v>639581.5</v>
      </c>
      <c r="AF644" s="24">
        <v>512148</v>
      </c>
      <c r="AG644" s="24">
        <v>510999</v>
      </c>
      <c r="AH644" s="24">
        <v>589859</v>
      </c>
      <c r="AI644" s="24">
        <v>689304</v>
      </c>
      <c r="AJ644" s="32">
        <v>9.5942887840245916</v>
      </c>
      <c r="AK644" s="32">
        <v>13.978709256296016</v>
      </c>
      <c r="AL644" s="32">
        <v>12.935486290948642</v>
      </c>
      <c r="AM644" s="32">
        <v>10.423134132570809</v>
      </c>
      <c r="AN644" s="32">
        <v>12.65759966567013</v>
      </c>
      <c r="AO644" s="32">
        <v>13.387865411936382</v>
      </c>
      <c r="AP644" s="19">
        <v>1.2502240635998543</v>
      </c>
      <c r="AQ644" s="19">
        <v>1.1517354358505745</v>
      </c>
      <c r="AR644" s="19">
        <v>1.3489341466421656</v>
      </c>
      <c r="AS644" s="19">
        <v>0.32218667606808538</v>
      </c>
      <c r="AT644" s="19">
        <v>0.20380935460893482</v>
      </c>
      <c r="AU644" s="19">
        <v>0.43181991935231595</v>
      </c>
      <c r="AV644" s="19">
        <v>0.12449712338198482</v>
      </c>
      <c r="AW644" s="19">
        <v>0.13598513762578512</v>
      </c>
      <c r="AX644" s="19">
        <v>0.12806900511652303</v>
      </c>
      <c r="AY644" s="19">
        <v>1.2502240635998543</v>
      </c>
      <c r="AZ644" s="19">
        <v>1.1517354358505745</v>
      </c>
      <c r="BA644" s="19">
        <v>1.3489341466421656</v>
      </c>
      <c r="BB644" s="19">
        <v>1.0901276833405762</v>
      </c>
      <c r="BC644" s="19">
        <v>1.0988428974447628</v>
      </c>
      <c r="BD644" s="19">
        <v>1.0928300086773377</v>
      </c>
      <c r="BE644" s="14" t="s">
        <v>4857</v>
      </c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s="30" customFormat="1" ht="17.100000000000001" customHeight="1">
      <c r="A645" s="14">
        <v>634</v>
      </c>
      <c r="B645" s="14" t="s">
        <v>1178</v>
      </c>
      <c r="C645" s="32">
        <v>1.095892331569402</v>
      </c>
      <c r="D645" s="32">
        <v>1.3395352509131779</v>
      </c>
      <c r="E645" s="32">
        <v>-1.1039454795017021</v>
      </c>
      <c r="F645" s="24">
        <v>176312.5</v>
      </c>
      <c r="G645" s="52" t="s">
        <v>2</v>
      </c>
      <c r="H645" s="32">
        <v>15.170662104367969</v>
      </c>
      <c r="I645" s="32">
        <v>20.86955419597048</v>
      </c>
      <c r="J645" s="12" t="s">
        <v>1170</v>
      </c>
      <c r="K645" s="12" t="s">
        <v>1171</v>
      </c>
      <c r="L645" s="14" t="s">
        <v>5193</v>
      </c>
      <c r="M645" s="12" t="s">
        <v>1172</v>
      </c>
      <c r="N645" s="15" t="s">
        <v>1173</v>
      </c>
      <c r="O645" s="12" t="s">
        <v>1174</v>
      </c>
      <c r="P645" s="12" t="s">
        <v>1179</v>
      </c>
      <c r="Q645" s="14">
        <v>2</v>
      </c>
      <c r="R645" s="21">
        <v>618.79079999999999</v>
      </c>
      <c r="S645" s="14">
        <v>8</v>
      </c>
      <c r="T645" s="52" t="s">
        <v>2</v>
      </c>
      <c r="U645" s="53">
        <v>25.314737499999996</v>
      </c>
      <c r="V645" s="24">
        <v>132417</v>
      </c>
      <c r="W645" s="24">
        <v>118738</v>
      </c>
      <c r="X645" s="24">
        <v>129018</v>
      </c>
      <c r="Y645" s="24">
        <v>137470</v>
      </c>
      <c r="Z645" s="24">
        <v>183827</v>
      </c>
      <c r="AA645" s="24">
        <v>168798</v>
      </c>
      <c r="AB645" s="24">
        <v>170969</v>
      </c>
      <c r="AC645" s="24">
        <v>126998</v>
      </c>
      <c r="AD645" s="24">
        <v>129410.75</v>
      </c>
      <c r="AE645" s="24">
        <v>162648</v>
      </c>
      <c r="AF645" s="24">
        <v>125577.5</v>
      </c>
      <c r="AG645" s="24">
        <v>133244</v>
      </c>
      <c r="AH645" s="24">
        <v>176312.5</v>
      </c>
      <c r="AI645" s="24">
        <v>148983.5</v>
      </c>
      <c r="AJ645" s="32">
        <v>6.1179612306567099</v>
      </c>
      <c r="AK645" s="32">
        <v>15.170662104367969</v>
      </c>
      <c r="AL645" s="32">
        <v>7.7024257210493792</v>
      </c>
      <c r="AM645" s="32">
        <v>4.4853550738409975</v>
      </c>
      <c r="AN645" s="32">
        <v>6.0274273318412614</v>
      </c>
      <c r="AO645" s="32">
        <v>20.86955419597048</v>
      </c>
      <c r="AP645" s="19">
        <v>1.2568353092768569</v>
      </c>
      <c r="AQ645" s="19">
        <v>1.4040134578248491</v>
      </c>
      <c r="AR645" s="19">
        <v>1.1181253940139895</v>
      </c>
      <c r="AS645" s="19">
        <v>0.32979561709663735</v>
      </c>
      <c r="AT645" s="19">
        <v>0.48955676430637629</v>
      </c>
      <c r="AU645" s="19">
        <v>0.16108199066571655</v>
      </c>
      <c r="AV645" s="19">
        <v>0.13210606441053679</v>
      </c>
      <c r="AW645" s="19">
        <v>0.42173254732322657</v>
      </c>
      <c r="AX645" s="19">
        <v>-0.14266892357007638</v>
      </c>
      <c r="AY645" s="19">
        <v>1.2568353092768569</v>
      </c>
      <c r="AZ645" s="19">
        <v>1.4040134578248491</v>
      </c>
      <c r="BA645" s="19">
        <v>1.1181253940139895</v>
      </c>
      <c r="BB645" s="19">
        <v>1.095892331569402</v>
      </c>
      <c r="BC645" s="19">
        <v>1.3395352509131779</v>
      </c>
      <c r="BD645" s="19">
        <v>-1.1039454795017021</v>
      </c>
      <c r="BE645" s="14" t="s">
        <v>4857</v>
      </c>
    </row>
    <row r="646" spans="1:105" s="30" customFormat="1" ht="17.100000000000001" customHeight="1">
      <c r="A646" s="14">
        <v>635</v>
      </c>
      <c r="B646" s="14" t="s">
        <v>1180</v>
      </c>
      <c r="C646" s="32">
        <v>-1.051170833638887</v>
      </c>
      <c r="D646" s="32">
        <v>-1.0593281385924675</v>
      </c>
      <c r="E646" s="32">
        <v>-1.0469620506558377</v>
      </c>
      <c r="F646" s="24">
        <v>71727.5</v>
      </c>
      <c r="G646" s="52" t="s">
        <v>2</v>
      </c>
      <c r="H646" s="32">
        <v>20.459010843706459</v>
      </c>
      <c r="I646" s="32">
        <v>18.780191617005983</v>
      </c>
      <c r="J646" s="12" t="s">
        <v>1181</v>
      </c>
      <c r="K646" s="12" t="s">
        <v>1182</v>
      </c>
      <c r="L646" s="14" t="s">
        <v>5228</v>
      </c>
      <c r="M646" s="12" t="s">
        <v>1183</v>
      </c>
      <c r="N646" s="15" t="s">
        <v>1184</v>
      </c>
      <c r="O646" s="12" t="s">
        <v>1185</v>
      </c>
      <c r="P646" s="12" t="s">
        <v>1186</v>
      </c>
      <c r="Q646" s="14">
        <v>3</v>
      </c>
      <c r="R646" s="21">
        <v>665.01900000000001</v>
      </c>
      <c r="S646" s="14">
        <v>6</v>
      </c>
      <c r="T646" s="52" t="s">
        <v>2</v>
      </c>
      <c r="U646" s="53">
        <v>45.348937499999998</v>
      </c>
      <c r="V646" s="24">
        <v>49694</v>
      </c>
      <c r="W646" s="24">
        <v>55639</v>
      </c>
      <c r="X646" s="24">
        <v>65617</v>
      </c>
      <c r="Y646" s="24">
        <v>56060</v>
      </c>
      <c r="Z646" s="24">
        <v>45190</v>
      </c>
      <c r="AA646" s="24">
        <v>59030</v>
      </c>
      <c r="AB646" s="24">
        <v>72365</v>
      </c>
      <c r="AC646" s="24">
        <v>71090</v>
      </c>
      <c r="AD646" s="24">
        <v>56752.5</v>
      </c>
      <c r="AE646" s="24">
        <v>61918.75</v>
      </c>
      <c r="AF646" s="24">
        <v>52666.5</v>
      </c>
      <c r="AG646" s="24">
        <v>60838.5</v>
      </c>
      <c r="AH646" s="24">
        <v>52110</v>
      </c>
      <c r="AI646" s="24">
        <v>71727.5</v>
      </c>
      <c r="AJ646" s="32">
        <v>11.604553637073018</v>
      </c>
      <c r="AK646" s="32">
        <v>20.459010843706459</v>
      </c>
      <c r="AL646" s="32">
        <v>7.9818287035478441</v>
      </c>
      <c r="AM646" s="32">
        <v>11.107800994107077</v>
      </c>
      <c r="AN646" s="32">
        <v>18.780191617005983</v>
      </c>
      <c r="AO646" s="32">
        <v>1.2569253717372668</v>
      </c>
      <c r="AP646" s="19">
        <v>1.0910312321043125</v>
      </c>
      <c r="AQ646" s="19">
        <v>0.98943351086554077</v>
      </c>
      <c r="AR646" s="19">
        <v>1.1789820590579978</v>
      </c>
      <c r="AS646" s="19">
        <v>0.12569240116388139</v>
      </c>
      <c r="AT646" s="19">
        <v>-1.5325332301262781E-2</v>
      </c>
      <c r="AU646" s="19">
        <v>0.23754176453905668</v>
      </c>
      <c r="AV646" s="19">
        <v>-7.1997151522219166E-2</v>
      </c>
      <c r="AW646" s="19">
        <v>-8.3149549284412483E-2</v>
      </c>
      <c r="AX646" s="19">
        <v>-6.6209149696736247E-2</v>
      </c>
      <c r="AY646" s="19">
        <v>1.0910312321043125</v>
      </c>
      <c r="AZ646" s="19">
        <v>-1.0106793321819227</v>
      </c>
      <c r="BA646" s="19">
        <v>1.1789820590579978</v>
      </c>
      <c r="BB646" s="19">
        <v>-1.051170833638887</v>
      </c>
      <c r="BC646" s="19">
        <v>-1.0593281385924675</v>
      </c>
      <c r="BD646" s="19">
        <v>-1.0469620506558377</v>
      </c>
      <c r="BE646" s="14" t="s">
        <v>4857</v>
      </c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</row>
    <row r="647" spans="1:105" s="30" customFormat="1" ht="17.100000000000001" customHeight="1">
      <c r="A647" s="14">
        <v>636</v>
      </c>
      <c r="B647" s="14" t="s">
        <v>1187</v>
      </c>
      <c r="C647" s="32">
        <v>-1.1173179051827709</v>
      </c>
      <c r="D647" s="32">
        <v>-1.1559491606423267</v>
      </c>
      <c r="E647" s="32" t="s">
        <v>5330</v>
      </c>
      <c r="F647" s="24">
        <v>6336.5</v>
      </c>
      <c r="G647" s="52" t="s">
        <v>2</v>
      </c>
      <c r="H647" s="32">
        <v>21.286668986056771</v>
      </c>
      <c r="I647" s="32">
        <v>29.646526979046971</v>
      </c>
      <c r="J647" s="12" t="s">
        <v>1188</v>
      </c>
      <c r="K647" s="15" t="s">
        <v>1189</v>
      </c>
      <c r="L647" s="14" t="s">
        <v>4464</v>
      </c>
      <c r="M647" s="12" t="s">
        <v>1190</v>
      </c>
      <c r="N647" s="15" t="s">
        <v>1191</v>
      </c>
      <c r="O647" s="12" t="s">
        <v>1192</v>
      </c>
      <c r="P647" s="12" t="s">
        <v>1193</v>
      </c>
      <c r="Q647" s="14">
        <v>3</v>
      </c>
      <c r="R647" s="21">
        <v>486.57080000000002</v>
      </c>
      <c r="S647" s="14">
        <v>2</v>
      </c>
      <c r="T647" s="52" t="s">
        <v>2</v>
      </c>
      <c r="U647" s="53">
        <v>10.51455</v>
      </c>
      <c r="V647" s="24">
        <v>6337</v>
      </c>
      <c r="W647" s="24">
        <v>6336</v>
      </c>
      <c r="X647" s="24">
        <v>3840</v>
      </c>
      <c r="Y647" s="24">
        <v>5877</v>
      </c>
      <c r="Z647" s="24">
        <v>5719</v>
      </c>
      <c r="AA647" s="24">
        <v>5772</v>
      </c>
      <c r="AB647" s="24"/>
      <c r="AC647" s="24"/>
      <c r="AD647" s="24">
        <v>5597.5</v>
      </c>
      <c r="AE647" s="24">
        <v>5745.5</v>
      </c>
      <c r="AF647" s="24">
        <v>6336.5</v>
      </c>
      <c r="AG647" s="24">
        <v>4858.5</v>
      </c>
      <c r="AH647" s="24">
        <v>5745.5</v>
      </c>
      <c r="AI647" s="24" t="s">
        <v>4854</v>
      </c>
      <c r="AJ647" s="32">
        <v>21.286668986056771</v>
      </c>
      <c r="AK647" s="32">
        <v>0.65227846841679604</v>
      </c>
      <c r="AL647" s="32">
        <v>1.1159264281331138E-2</v>
      </c>
      <c r="AM647" s="32">
        <v>29.646526979046971</v>
      </c>
      <c r="AN647" s="32">
        <v>0.65227846841679604</v>
      </c>
      <c r="AO647" s="32" t="s">
        <v>4854</v>
      </c>
      <c r="AP647" s="19">
        <v>1.0264403751674855</v>
      </c>
      <c r="AQ647" s="19">
        <v>0.90673084510376389</v>
      </c>
      <c r="AR647" s="19" t="s">
        <v>4854</v>
      </c>
      <c r="AS647" s="19">
        <v>3.7649825256010898E-2</v>
      </c>
      <c r="AT647" s="19">
        <v>-0.14125373163219981</v>
      </c>
      <c r="AU647" s="19" t="s">
        <v>4854</v>
      </c>
      <c r="AV647" s="19">
        <v>-0.16003972743008965</v>
      </c>
      <c r="AW647" s="19">
        <v>-0.20907794861534951</v>
      </c>
      <c r="AX647" s="19" t="s">
        <v>4854</v>
      </c>
      <c r="AY647" s="19">
        <v>1.0264403751674855</v>
      </c>
      <c r="AZ647" s="19">
        <v>-1.1028631102602036</v>
      </c>
      <c r="BA647" s="19" t="s">
        <v>4854</v>
      </c>
      <c r="BB647" s="19">
        <v>-1.1173179051827709</v>
      </c>
      <c r="BC647" s="19">
        <v>-1.1559491606423267</v>
      </c>
      <c r="BD647" s="19" t="s">
        <v>4854</v>
      </c>
      <c r="BE647" s="14" t="s">
        <v>4857</v>
      </c>
    </row>
    <row r="648" spans="1:105" s="30" customFormat="1" ht="17.100000000000001" customHeight="1">
      <c r="A648" s="14">
        <v>637</v>
      </c>
      <c r="B648" s="14" t="s">
        <v>1194</v>
      </c>
      <c r="C648" s="32">
        <v>-1.0714054234870654</v>
      </c>
      <c r="D648" s="32">
        <v>-1.0915129679737388</v>
      </c>
      <c r="E648" s="32">
        <v>-1.0671857111223599</v>
      </c>
      <c r="F648" s="24">
        <v>103203.5</v>
      </c>
      <c r="G648" s="52" t="s">
        <v>2</v>
      </c>
      <c r="H648" s="32">
        <v>25.760102074436702</v>
      </c>
      <c r="I648" s="32">
        <v>42.528787050033209</v>
      </c>
      <c r="J648" s="12" t="s">
        <v>1195</v>
      </c>
      <c r="K648" s="12" t="s">
        <v>1196</v>
      </c>
      <c r="L648" s="14" t="s">
        <v>5092</v>
      </c>
      <c r="M648" s="12" t="s">
        <v>1197</v>
      </c>
      <c r="N648" s="15" t="s">
        <v>1198</v>
      </c>
      <c r="O648" s="12" t="s">
        <v>1199</v>
      </c>
      <c r="P648" s="12" t="s">
        <v>1200</v>
      </c>
      <c r="Q648" s="14">
        <v>2</v>
      </c>
      <c r="R648" s="21">
        <v>568.2944</v>
      </c>
      <c r="S648" s="14">
        <v>4</v>
      </c>
      <c r="T648" s="52" t="s">
        <v>2</v>
      </c>
      <c r="U648" s="53">
        <v>33.129975000000002</v>
      </c>
      <c r="V648" s="24">
        <v>90825</v>
      </c>
      <c r="W648" s="24">
        <v>48828</v>
      </c>
      <c r="X648" s="24">
        <v>88596</v>
      </c>
      <c r="Y648" s="24">
        <v>89858</v>
      </c>
      <c r="Z648" s="24">
        <v>61065</v>
      </c>
      <c r="AA648" s="24">
        <v>73038</v>
      </c>
      <c r="AB648" s="24">
        <v>100240</v>
      </c>
      <c r="AC648" s="24">
        <v>106167</v>
      </c>
      <c r="AD648" s="24">
        <v>79526.75</v>
      </c>
      <c r="AE648" s="24">
        <v>85127.5</v>
      </c>
      <c r="AF648" s="24">
        <v>69826.5</v>
      </c>
      <c r="AG648" s="24">
        <v>89227</v>
      </c>
      <c r="AH648" s="24">
        <v>67051.5</v>
      </c>
      <c r="AI648" s="24">
        <v>103203.5</v>
      </c>
      <c r="AJ648" s="32">
        <v>25.760102074436702</v>
      </c>
      <c r="AK648" s="32">
        <v>25.342215229792163</v>
      </c>
      <c r="AL648" s="32">
        <v>42.528787050033209</v>
      </c>
      <c r="AM648" s="32">
        <v>1.0001106815845238</v>
      </c>
      <c r="AN648" s="32">
        <v>12.626398352231543</v>
      </c>
      <c r="AO648" s="32">
        <v>4.0609299995568628</v>
      </c>
      <c r="AP648" s="19">
        <v>1.0704259887396379</v>
      </c>
      <c r="AQ648" s="19">
        <v>0.96025864106034242</v>
      </c>
      <c r="AR648" s="19">
        <v>1.156639806336647</v>
      </c>
      <c r="AS648" s="19">
        <v>9.8185048530947339E-2</v>
      </c>
      <c r="AT648" s="19">
        <v>-5.8505053721427336E-2</v>
      </c>
      <c r="AU648" s="19">
        <v>0.2099396591588634</v>
      </c>
      <c r="AV648" s="19">
        <v>-9.9504504155153217E-2</v>
      </c>
      <c r="AW648" s="19">
        <v>-0.12632927070457706</v>
      </c>
      <c r="AX648" s="19">
        <v>-9.3811255076929528E-2</v>
      </c>
      <c r="AY648" s="19">
        <v>1.0704259887396379</v>
      </c>
      <c r="AZ648" s="19">
        <v>-1.0413860987449945</v>
      </c>
      <c r="BA648" s="19">
        <v>1.156639806336647</v>
      </c>
      <c r="BB648" s="19">
        <v>-1.0714054234870654</v>
      </c>
      <c r="BC648" s="19">
        <v>-1.0915129679737388</v>
      </c>
      <c r="BD648" s="19">
        <v>-1.0671857111223599</v>
      </c>
      <c r="BE648" s="14" t="s">
        <v>4857</v>
      </c>
    </row>
    <row r="649" spans="1:105" s="30" customFormat="1" ht="17.100000000000001" customHeight="1">
      <c r="A649" s="14">
        <v>638</v>
      </c>
      <c r="B649" s="14" t="s">
        <v>1201</v>
      </c>
      <c r="C649" s="32">
        <v>1.3129184639222153</v>
      </c>
      <c r="D649" s="32">
        <v>1.2538656616359991</v>
      </c>
      <c r="E649" s="32">
        <v>1.3750139177318883</v>
      </c>
      <c r="F649" s="24">
        <v>37000</v>
      </c>
      <c r="G649" s="52" t="s">
        <v>2</v>
      </c>
      <c r="H649" s="32">
        <v>18.905910111405177</v>
      </c>
      <c r="I649" s="32">
        <v>27.246316339298161</v>
      </c>
      <c r="J649" s="12" t="s">
        <v>1202</v>
      </c>
      <c r="K649" s="15" t="s">
        <v>1203</v>
      </c>
      <c r="L649" s="14" t="s">
        <v>4510</v>
      </c>
      <c r="M649" s="12" t="s">
        <v>1204</v>
      </c>
      <c r="N649" s="15" t="s">
        <v>1205</v>
      </c>
      <c r="O649" s="12" t="s">
        <v>1206</v>
      </c>
      <c r="P649" s="12" t="s">
        <v>1207</v>
      </c>
      <c r="Q649" s="14">
        <v>2</v>
      </c>
      <c r="R649" s="21">
        <v>565.30859999999996</v>
      </c>
      <c r="S649" s="14">
        <v>1</v>
      </c>
      <c r="T649" s="52" t="s">
        <v>2</v>
      </c>
      <c r="U649" s="53">
        <v>33.340000000000003</v>
      </c>
      <c r="V649" s="24">
        <v>19000</v>
      </c>
      <c r="W649" s="24">
        <v>24600</v>
      </c>
      <c r="X649" s="24">
        <v>26000</v>
      </c>
      <c r="Y649" s="24">
        <v>17600</v>
      </c>
      <c r="Z649" s="24">
        <v>29400</v>
      </c>
      <c r="AA649" s="24">
        <v>27900</v>
      </c>
      <c r="AB649" s="24">
        <v>39500</v>
      </c>
      <c r="AC649" s="24">
        <v>34500</v>
      </c>
      <c r="AD649" s="24">
        <v>21800</v>
      </c>
      <c r="AE649" s="24">
        <v>32825</v>
      </c>
      <c r="AF649" s="24">
        <v>21800</v>
      </c>
      <c r="AG649" s="24">
        <v>21800</v>
      </c>
      <c r="AH649" s="24">
        <v>28650</v>
      </c>
      <c r="AI649" s="24">
        <v>37000</v>
      </c>
      <c r="AJ649" s="32">
        <v>18.905910111405177</v>
      </c>
      <c r="AK649" s="32">
        <v>16.057610776068728</v>
      </c>
      <c r="AL649" s="32">
        <v>18.164210892865444</v>
      </c>
      <c r="AM649" s="32">
        <v>27.246316339298161</v>
      </c>
      <c r="AN649" s="32">
        <v>3.7021297444321859</v>
      </c>
      <c r="AO649" s="32">
        <v>9.5554970430614539</v>
      </c>
      <c r="AP649" s="19">
        <v>1.5057339449541285</v>
      </c>
      <c r="AQ649" s="19">
        <v>1.3142201834862386</v>
      </c>
      <c r="AR649" s="19">
        <v>1.6972477064220184</v>
      </c>
      <c r="AS649" s="19">
        <v>0.5904668761159606</v>
      </c>
      <c r="AT649" s="19">
        <v>0.3942070039799786</v>
      </c>
      <c r="AU649" s="19">
        <v>0.76319713573938586</v>
      </c>
      <c r="AV649" s="19">
        <v>0.39277732342986005</v>
      </c>
      <c r="AW649" s="19">
        <v>0.32638278699682888</v>
      </c>
      <c r="AX649" s="19">
        <v>0.45944622150359293</v>
      </c>
      <c r="AY649" s="19">
        <v>1.5057339449541285</v>
      </c>
      <c r="AZ649" s="19">
        <v>1.3142201834862386</v>
      </c>
      <c r="BA649" s="19">
        <v>1.6972477064220184</v>
      </c>
      <c r="BB649" s="19">
        <v>1.3129184639222153</v>
      </c>
      <c r="BC649" s="19">
        <v>1.2538656616359991</v>
      </c>
      <c r="BD649" s="19">
        <v>1.3750139177318883</v>
      </c>
      <c r="BE649" s="14" t="s">
        <v>4857</v>
      </c>
    </row>
    <row r="650" spans="1:105" s="30" customFormat="1" ht="17.100000000000001" customHeight="1">
      <c r="A650" s="14">
        <v>639</v>
      </c>
      <c r="B650" s="14" t="s">
        <v>1208</v>
      </c>
      <c r="C650" s="32">
        <v>1.0459335957248495</v>
      </c>
      <c r="D650" s="32">
        <v>-1.0068804910212736</v>
      </c>
      <c r="E650" s="32">
        <v>1.0965480388706883</v>
      </c>
      <c r="F650" s="24">
        <v>42659</v>
      </c>
      <c r="G650" s="52" t="s">
        <v>2</v>
      </c>
      <c r="H650" s="32">
        <v>23.913973373547883</v>
      </c>
      <c r="I650" s="32">
        <v>38.162418518066367</v>
      </c>
      <c r="J650" s="12" t="s">
        <v>1209</v>
      </c>
      <c r="K650" s="12" t="s">
        <v>1210</v>
      </c>
      <c r="L650" s="14" t="s">
        <v>5260</v>
      </c>
      <c r="M650" s="12" t="s">
        <v>1211</v>
      </c>
      <c r="N650" s="15" t="s">
        <v>1212</v>
      </c>
      <c r="O650" s="12" t="s">
        <v>1213</v>
      </c>
      <c r="P650" s="12" t="s">
        <v>1215</v>
      </c>
      <c r="Q650" s="14">
        <v>3</v>
      </c>
      <c r="R650" s="21">
        <v>741.01739999999995</v>
      </c>
      <c r="S650" s="14">
        <v>2</v>
      </c>
      <c r="T650" s="52" t="s">
        <v>2</v>
      </c>
      <c r="U650" s="53">
        <v>47.154412499999999</v>
      </c>
      <c r="V650" s="24">
        <v>22347</v>
      </c>
      <c r="W650" s="24">
        <v>38865</v>
      </c>
      <c r="X650" s="24">
        <v>27757</v>
      </c>
      <c r="Y650" s="24">
        <v>35277</v>
      </c>
      <c r="Z650" s="24">
        <v>28850</v>
      </c>
      <c r="AA650" s="24">
        <v>34870</v>
      </c>
      <c r="AB650" s="24">
        <v>44621</v>
      </c>
      <c r="AC650" s="24">
        <v>40697</v>
      </c>
      <c r="AD650" s="24">
        <v>31061.5</v>
      </c>
      <c r="AE650" s="24">
        <v>37259.5</v>
      </c>
      <c r="AF650" s="24">
        <v>30606</v>
      </c>
      <c r="AG650" s="24">
        <v>31517</v>
      </c>
      <c r="AH650" s="24">
        <v>31860</v>
      </c>
      <c r="AI650" s="24">
        <v>42659</v>
      </c>
      <c r="AJ650" s="32">
        <v>23.913973373547883</v>
      </c>
      <c r="AK650" s="32">
        <v>18.493303816109687</v>
      </c>
      <c r="AL650" s="32">
        <v>38.162418518066367</v>
      </c>
      <c r="AM650" s="32">
        <v>16.87166606759158</v>
      </c>
      <c r="AN650" s="32">
        <v>13.360900259708149</v>
      </c>
      <c r="AO650" s="32">
        <v>6.5043414270752065</v>
      </c>
      <c r="AP650" s="19">
        <v>1.1995396230059721</v>
      </c>
      <c r="AQ650" s="19">
        <v>1.0409723583611057</v>
      </c>
      <c r="AR650" s="19">
        <v>1.3535234952565283</v>
      </c>
      <c r="AS650" s="19">
        <v>0.26248081329628775</v>
      </c>
      <c r="AT650" s="19">
        <v>5.7931760294573184E-2</v>
      </c>
      <c r="AU650" s="19">
        <v>0.43671993091887479</v>
      </c>
      <c r="AV650" s="19">
        <v>6.4791260610187196E-2</v>
      </c>
      <c r="AW650" s="19">
        <v>-9.892456688576523E-3</v>
      </c>
      <c r="AX650" s="19">
        <v>0.13296901668308186</v>
      </c>
      <c r="AY650" s="19">
        <v>1.1995396230059721</v>
      </c>
      <c r="AZ650" s="19">
        <v>1.0409723583611057</v>
      </c>
      <c r="BA650" s="19">
        <v>1.3535234952565283</v>
      </c>
      <c r="BB650" s="19">
        <v>1.0459335957248495</v>
      </c>
      <c r="BC650" s="19">
        <v>-1.0068804910212736</v>
      </c>
      <c r="BD650" s="19">
        <v>1.0965480388706883</v>
      </c>
      <c r="BE650" s="14" t="s">
        <v>4857</v>
      </c>
    </row>
    <row r="651" spans="1:105" s="30" customFormat="1" ht="17.100000000000001" customHeight="1">
      <c r="A651" s="14">
        <v>640</v>
      </c>
      <c r="B651" s="14" t="s">
        <v>1292</v>
      </c>
      <c r="C651" s="32">
        <v>1.1602567408435793</v>
      </c>
      <c r="D651" s="32">
        <v>-1.053156090479064</v>
      </c>
      <c r="E651" s="32">
        <v>1.3271264476410911</v>
      </c>
      <c r="F651" s="24">
        <v>24174</v>
      </c>
      <c r="G651" s="52" t="s">
        <v>2</v>
      </c>
      <c r="H651" s="32">
        <v>40.013530526017341</v>
      </c>
      <c r="I651" s="32">
        <v>43.728782849552303</v>
      </c>
      <c r="J651" s="12" t="s">
        <v>1216</v>
      </c>
      <c r="K651" s="15" t="s">
        <v>1217</v>
      </c>
      <c r="L651" s="14" t="s">
        <v>5231</v>
      </c>
      <c r="M651" s="12" t="s">
        <v>1218</v>
      </c>
      <c r="N651" s="15" t="s">
        <v>1219</v>
      </c>
      <c r="O651" s="12" t="s">
        <v>1220</v>
      </c>
      <c r="P651" s="12" t="s">
        <v>1221</v>
      </c>
      <c r="Q651" s="14">
        <v>2</v>
      </c>
      <c r="R651" s="21">
        <v>560.82169999999996</v>
      </c>
      <c r="S651" s="14">
        <v>1</v>
      </c>
      <c r="T651" s="52" t="s">
        <v>2</v>
      </c>
      <c r="U651" s="53">
        <v>27.4241125</v>
      </c>
      <c r="V651" s="24">
        <v>14889</v>
      </c>
      <c r="W651" s="24">
        <v>12167</v>
      </c>
      <c r="X651" s="24">
        <v>10194</v>
      </c>
      <c r="Y651" s="24">
        <v>19320</v>
      </c>
      <c r="Z651" s="24">
        <v>11198</v>
      </c>
      <c r="AA651" s="24">
        <v>15729</v>
      </c>
      <c r="AB651" s="24">
        <v>19424</v>
      </c>
      <c r="AC651" s="24">
        <v>28924</v>
      </c>
      <c r="AD651" s="24">
        <v>14142.5</v>
      </c>
      <c r="AE651" s="24">
        <v>18818.75</v>
      </c>
      <c r="AF651" s="24">
        <v>13528</v>
      </c>
      <c r="AG651" s="24">
        <v>14757</v>
      </c>
      <c r="AH651" s="24">
        <v>13463.5</v>
      </c>
      <c r="AI651" s="24">
        <v>24174</v>
      </c>
      <c r="AJ651" s="32">
        <v>27.944768897343913</v>
      </c>
      <c r="AK651" s="32">
        <v>40.013530526017341</v>
      </c>
      <c r="AL651" s="32">
        <v>14.227858208085323</v>
      </c>
      <c r="AM651" s="32">
        <v>43.728782849552303</v>
      </c>
      <c r="AN651" s="32">
        <v>23.79693857879635</v>
      </c>
      <c r="AO651" s="32">
        <v>27.788179123323413</v>
      </c>
      <c r="AP651" s="19">
        <v>1.3306522891992223</v>
      </c>
      <c r="AQ651" s="19">
        <v>0.99523211117681842</v>
      </c>
      <c r="AR651" s="19">
        <v>1.6381378328928644</v>
      </c>
      <c r="AS651" s="19">
        <v>0.41213363196826536</v>
      </c>
      <c r="AT651" s="19">
        <v>-6.8950600939068725E-3</v>
      </c>
      <c r="AU651" s="19">
        <v>0.71205675042527028</v>
      </c>
      <c r="AV651" s="19">
        <v>0.2144440792821648</v>
      </c>
      <c r="AW651" s="19">
        <v>-7.4719277077056584E-2</v>
      </c>
      <c r="AX651" s="19">
        <v>0.40830583618947736</v>
      </c>
      <c r="AY651" s="19">
        <v>1.3306522891992223</v>
      </c>
      <c r="AZ651" s="19">
        <v>-1.0047907304935566</v>
      </c>
      <c r="BA651" s="19">
        <v>1.6381378328928644</v>
      </c>
      <c r="BB651" s="19">
        <v>1.1602567408435793</v>
      </c>
      <c r="BC651" s="19">
        <v>-1.053156090479064</v>
      </c>
      <c r="BD651" s="19">
        <v>1.3271264476410911</v>
      </c>
      <c r="BE651" s="14" t="s">
        <v>4857</v>
      </c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</row>
    <row r="652" spans="1:105" s="30" customFormat="1" ht="17.100000000000001" customHeight="1">
      <c r="A652" s="14">
        <v>641</v>
      </c>
      <c r="B652" s="14" t="s">
        <v>1222</v>
      </c>
      <c r="C652" s="32">
        <v>-1.0916438023612038</v>
      </c>
      <c r="D652" s="32">
        <v>-1.1640022169196327</v>
      </c>
      <c r="E652" s="32">
        <v>-1.024739463185538</v>
      </c>
      <c r="F652" s="24">
        <v>156527</v>
      </c>
      <c r="G652" s="52" t="s">
        <v>2</v>
      </c>
      <c r="H652" s="32">
        <v>19.142092286027186</v>
      </c>
      <c r="I652" s="32">
        <v>15.965659509666038</v>
      </c>
      <c r="J652" s="12" t="s">
        <v>1216</v>
      </c>
      <c r="K652" s="15" t="s">
        <v>1217</v>
      </c>
      <c r="L652" s="14" t="s">
        <v>5150</v>
      </c>
      <c r="M652" s="12" t="s">
        <v>1218</v>
      </c>
      <c r="N652" s="15" t="s">
        <v>1219</v>
      </c>
      <c r="O652" s="12" t="s">
        <v>1220</v>
      </c>
      <c r="P652" s="12" t="s">
        <v>1223</v>
      </c>
      <c r="Q652" s="14">
        <v>3</v>
      </c>
      <c r="R652" s="21">
        <v>784.37649999999996</v>
      </c>
      <c r="S652" s="14">
        <v>3</v>
      </c>
      <c r="T652" s="52" t="s">
        <v>2</v>
      </c>
      <c r="U652" s="53">
        <v>67.299149999999997</v>
      </c>
      <c r="V652" s="24">
        <v>118926</v>
      </c>
      <c r="W652" s="24">
        <v>147624</v>
      </c>
      <c r="X652" s="24">
        <v>132152</v>
      </c>
      <c r="Y652" s="24">
        <v>127741</v>
      </c>
      <c r="Z652" s="24">
        <v>111540</v>
      </c>
      <c r="AA652" s="24">
        <v>128477</v>
      </c>
      <c r="AB652" s="24">
        <v>138856</v>
      </c>
      <c r="AC652" s="24">
        <v>174198</v>
      </c>
      <c r="AD652" s="24">
        <v>131610.75</v>
      </c>
      <c r="AE652" s="24">
        <v>138267.75</v>
      </c>
      <c r="AF652" s="24">
        <v>133275</v>
      </c>
      <c r="AG652" s="24">
        <v>129946.5</v>
      </c>
      <c r="AH652" s="24">
        <v>120008.5</v>
      </c>
      <c r="AI652" s="24">
        <v>156527</v>
      </c>
      <c r="AJ652" s="32">
        <v>9.1240728397182096</v>
      </c>
      <c r="AK652" s="32">
        <v>19.142092286027186</v>
      </c>
      <c r="AL652" s="32">
        <v>15.226074212336552</v>
      </c>
      <c r="AM652" s="32">
        <v>2.4002554988505742</v>
      </c>
      <c r="AN652" s="32">
        <v>9.979516078408242</v>
      </c>
      <c r="AO652" s="32">
        <v>15.965659509666038</v>
      </c>
      <c r="AP652" s="19">
        <v>1.0505809745784445</v>
      </c>
      <c r="AQ652" s="19">
        <v>0.90045770024385674</v>
      </c>
      <c r="AR652" s="19">
        <v>1.2045495646285203</v>
      </c>
      <c r="AS652" s="19">
        <v>7.1187363458433975E-2</v>
      </c>
      <c r="AT652" s="19">
        <v>-0.15126958897431383</v>
      </c>
      <c r="AU652" s="19">
        <v>0.26849375860135422</v>
      </c>
      <c r="AV652" s="19">
        <v>-0.12650218922766659</v>
      </c>
      <c r="AW652" s="19">
        <v>-0.21909380595746353</v>
      </c>
      <c r="AX652" s="19">
        <v>-3.5257155634438708E-2</v>
      </c>
      <c r="AY652" s="19">
        <v>1.0505809745784445</v>
      </c>
      <c r="AZ652" s="19">
        <v>-1.1105463363011785</v>
      </c>
      <c r="BA652" s="19">
        <v>1.2045495646285203</v>
      </c>
      <c r="BB652" s="19">
        <v>-1.0916438023612038</v>
      </c>
      <c r="BC652" s="19">
        <v>-1.1640022169196327</v>
      </c>
      <c r="BD652" s="19">
        <v>-1.024739463185538</v>
      </c>
      <c r="BE652" s="14" t="s">
        <v>4857</v>
      </c>
    </row>
    <row r="653" spans="1:105" s="30" customFormat="1" ht="17.100000000000001" customHeight="1">
      <c r="A653" s="14">
        <v>642</v>
      </c>
      <c r="B653" s="14" t="s">
        <v>1224</v>
      </c>
      <c r="C653" s="32">
        <v>1.0751197394478376</v>
      </c>
      <c r="D653" s="32">
        <v>-1.0925841034930281</v>
      </c>
      <c r="E653" s="32">
        <v>1.1767596592768517</v>
      </c>
      <c r="F653" s="24">
        <v>168801</v>
      </c>
      <c r="G653" s="52" t="s">
        <v>2</v>
      </c>
      <c r="H653" s="32">
        <v>36.1040176372898</v>
      </c>
      <c r="I653" s="32">
        <v>20.358644189018033</v>
      </c>
      <c r="J653" s="12" t="s">
        <v>1216</v>
      </c>
      <c r="K653" s="15" t="s">
        <v>1217</v>
      </c>
      <c r="L653" s="14" t="s">
        <v>5202</v>
      </c>
      <c r="M653" s="12" t="s">
        <v>1218</v>
      </c>
      <c r="N653" s="15" t="s">
        <v>1219</v>
      </c>
      <c r="O653" s="12" t="s">
        <v>1220</v>
      </c>
      <c r="P653" s="12" t="s">
        <v>1095</v>
      </c>
      <c r="Q653" s="14">
        <v>2</v>
      </c>
      <c r="R653" s="21">
        <v>580.84289999999999</v>
      </c>
      <c r="S653" s="14">
        <v>5</v>
      </c>
      <c r="T653" s="52" t="s">
        <v>2</v>
      </c>
      <c r="U653" s="53">
        <v>52.257962500000005</v>
      </c>
      <c r="V653" s="24">
        <v>88383</v>
      </c>
      <c r="W653" s="24">
        <v>98035</v>
      </c>
      <c r="X653" s="24">
        <v>132941</v>
      </c>
      <c r="Y653" s="24">
        <v>99482</v>
      </c>
      <c r="Z653" s="24">
        <v>99820</v>
      </c>
      <c r="AA653" s="24">
        <v>79014</v>
      </c>
      <c r="AB653" s="24">
        <v>168484</v>
      </c>
      <c r="AC653" s="24">
        <v>169118</v>
      </c>
      <c r="AD653" s="24">
        <v>104710.25</v>
      </c>
      <c r="AE653" s="24">
        <v>129109</v>
      </c>
      <c r="AF653" s="24">
        <v>93209</v>
      </c>
      <c r="AG653" s="24">
        <v>116211.5</v>
      </c>
      <c r="AH653" s="24">
        <v>89417</v>
      </c>
      <c r="AI653" s="24">
        <v>168801</v>
      </c>
      <c r="AJ653" s="32">
        <v>18.579489701470191</v>
      </c>
      <c r="AK653" s="32">
        <v>36.1040176372898</v>
      </c>
      <c r="AL653" s="32">
        <v>7.3222485511190509</v>
      </c>
      <c r="AM653" s="32">
        <v>20.358644189018033</v>
      </c>
      <c r="AN653" s="32">
        <v>16.453318372756083</v>
      </c>
      <c r="AO653" s="32">
        <v>0.26558237171122867</v>
      </c>
      <c r="AP653" s="19">
        <v>1.2330120499187043</v>
      </c>
      <c r="AQ653" s="19">
        <v>0.95931723331437946</v>
      </c>
      <c r="AR653" s="19">
        <v>1.4525326667326384</v>
      </c>
      <c r="AS653" s="19">
        <v>0.30218689890783312</v>
      </c>
      <c r="AT653" s="19">
        <v>-5.9920120886599579E-2</v>
      </c>
      <c r="AU653" s="19">
        <v>0.53857060948400826</v>
      </c>
      <c r="AV653" s="19">
        <v>0.10449734622173257</v>
      </c>
      <c r="AW653" s="19">
        <v>-0.12774433786974929</v>
      </c>
      <c r="AX653" s="19">
        <v>0.23481969524821533</v>
      </c>
      <c r="AY653" s="19">
        <v>1.2330120499187043</v>
      </c>
      <c r="AZ653" s="19">
        <v>-1.0424080432132592</v>
      </c>
      <c r="BA653" s="19">
        <v>1.4525326667326384</v>
      </c>
      <c r="BB653" s="19">
        <v>1.0751197394478376</v>
      </c>
      <c r="BC653" s="19">
        <v>-1.0925841034930281</v>
      </c>
      <c r="BD653" s="19">
        <v>1.1767596592768517</v>
      </c>
      <c r="BE653" s="14" t="s">
        <v>4857</v>
      </c>
    </row>
    <row r="654" spans="1:105" s="30" customFormat="1" ht="17.100000000000001" customHeight="1">
      <c r="A654" s="14">
        <v>643</v>
      </c>
      <c r="B654" s="14" t="s">
        <v>1096</v>
      </c>
      <c r="C654" s="32">
        <v>1.1750366158294754</v>
      </c>
      <c r="D654" s="32">
        <v>1.7725009963485761</v>
      </c>
      <c r="E654" s="32">
        <v>-1.3309778421705605</v>
      </c>
      <c r="F654" s="42">
        <v>98000</v>
      </c>
      <c r="G654" s="52" t="s">
        <v>2</v>
      </c>
      <c r="H654" s="32">
        <v>41.363968536544832</v>
      </c>
      <c r="I654" s="32">
        <v>41.849176845734441</v>
      </c>
      <c r="J654" s="12" t="s">
        <v>1097</v>
      </c>
      <c r="K654" s="15" t="s">
        <v>1098</v>
      </c>
      <c r="L654" s="14" t="s">
        <v>5062</v>
      </c>
      <c r="M654" s="12" t="s">
        <v>1099</v>
      </c>
      <c r="N654" s="15" t="s">
        <v>1100</v>
      </c>
      <c r="O654" s="12" t="s">
        <v>1101</v>
      </c>
      <c r="P654" s="12" t="s">
        <v>1102</v>
      </c>
      <c r="Q654" s="14">
        <v>4</v>
      </c>
      <c r="R654" s="21">
        <v>1002.7113000000001</v>
      </c>
      <c r="S654" s="14">
        <v>1</v>
      </c>
      <c r="T654" s="52" t="s">
        <v>2</v>
      </c>
      <c r="U654" s="53">
        <v>101.2</v>
      </c>
      <c r="V654" s="42">
        <v>60900</v>
      </c>
      <c r="W654" s="42">
        <v>44600</v>
      </c>
      <c r="X654" s="42">
        <v>75300</v>
      </c>
      <c r="Y654" s="42">
        <v>52800</v>
      </c>
      <c r="Z654" s="42">
        <v>127000</v>
      </c>
      <c r="AA654" s="42">
        <v>69000</v>
      </c>
      <c r="AB654" s="42">
        <v>57500</v>
      </c>
      <c r="AC654" s="42">
        <v>61300</v>
      </c>
      <c r="AD654" s="42">
        <v>58400</v>
      </c>
      <c r="AE654" s="42">
        <v>78700</v>
      </c>
      <c r="AF654" s="42">
        <v>52750</v>
      </c>
      <c r="AG654" s="42">
        <v>64050</v>
      </c>
      <c r="AH654" s="42">
        <v>98000</v>
      </c>
      <c r="AI654" s="42">
        <v>59400</v>
      </c>
      <c r="AJ654" s="32">
        <v>22.406003488044199</v>
      </c>
      <c r="AK654" s="32">
        <v>41.363968536544832</v>
      </c>
      <c r="AL654" s="32">
        <v>21.849934660361566</v>
      </c>
      <c r="AM654" s="32">
        <v>24.839816669316658</v>
      </c>
      <c r="AN654" s="32">
        <v>41.849176845734441</v>
      </c>
      <c r="AO654" s="32">
        <v>4.5235787348634346</v>
      </c>
      <c r="AP654" s="19">
        <v>1.3476027397260273</v>
      </c>
      <c r="AQ654" s="19">
        <v>1.8578199052132702</v>
      </c>
      <c r="AR654" s="19">
        <v>0.92740046838407497</v>
      </c>
      <c r="AS654" s="19">
        <v>0.43039526662746908</v>
      </c>
      <c r="AT654" s="19">
        <v>0.8936106554080232</v>
      </c>
      <c r="AU654" s="19">
        <v>-0.10873563954088072</v>
      </c>
      <c r="AV654" s="19">
        <v>0.23270571394136852</v>
      </c>
      <c r="AW654" s="19">
        <v>0.82578643842487354</v>
      </c>
      <c r="AX654" s="19">
        <v>-0.41248655377667365</v>
      </c>
      <c r="AY654" s="19">
        <v>1.3476027397260273</v>
      </c>
      <c r="AZ654" s="19">
        <v>1.8578199052132702</v>
      </c>
      <c r="BA654" s="19">
        <v>-1.0782828282828283</v>
      </c>
      <c r="BB654" s="19">
        <v>1.1750366158294754</v>
      </c>
      <c r="BC654" s="19">
        <v>1.7725009963485761</v>
      </c>
      <c r="BD654" s="19">
        <v>-1.3309778421705605</v>
      </c>
      <c r="BE654" s="14" t="s">
        <v>4857</v>
      </c>
    </row>
    <row r="655" spans="1:105" s="30" customFormat="1" ht="17.100000000000001" customHeight="1">
      <c r="A655" s="14">
        <v>644</v>
      </c>
      <c r="B655" s="14" t="s">
        <v>1103</v>
      </c>
      <c r="C655" s="32">
        <v>-1.2223383489614474</v>
      </c>
      <c r="D655" s="32">
        <v>-1.2631525679656368</v>
      </c>
      <c r="E655" s="32">
        <v>-1.1559931972715078</v>
      </c>
      <c r="F655" s="24">
        <v>29711</v>
      </c>
      <c r="G655" s="52" t="s">
        <v>2</v>
      </c>
      <c r="H655" s="32">
        <v>22.718060252357773</v>
      </c>
      <c r="I655" s="32">
        <v>28.442283935995206</v>
      </c>
      <c r="J655" s="12" t="s">
        <v>1104</v>
      </c>
      <c r="K655" s="12" t="s">
        <v>1105</v>
      </c>
      <c r="L655" s="14" t="s">
        <v>5092</v>
      </c>
      <c r="M655" s="12" t="s">
        <v>1106</v>
      </c>
      <c r="N655" s="15" t="s">
        <v>1107</v>
      </c>
      <c r="O655" s="12" t="s">
        <v>1108</v>
      </c>
      <c r="P655" s="12" t="s">
        <v>1109</v>
      </c>
      <c r="Q655" s="14">
        <v>2</v>
      </c>
      <c r="R655" s="21">
        <v>585.30110000000002</v>
      </c>
      <c r="S655" s="14">
        <v>9</v>
      </c>
      <c r="T655" s="52" t="s">
        <v>2</v>
      </c>
      <c r="U655" s="53">
        <v>26.793599999999998</v>
      </c>
      <c r="V655" s="24">
        <v>25131</v>
      </c>
      <c r="W655" s="24">
        <v>34291</v>
      </c>
      <c r="X655" s="24">
        <v>29885</v>
      </c>
      <c r="Y655" s="24">
        <v>19877</v>
      </c>
      <c r="Z655" s="24">
        <v>25506</v>
      </c>
      <c r="AA655" s="24">
        <v>23801</v>
      </c>
      <c r="AB655" s="24">
        <v>28838</v>
      </c>
      <c r="AC655" s="24">
        <v>24297</v>
      </c>
      <c r="AD655" s="24">
        <v>27296</v>
      </c>
      <c r="AE655" s="24">
        <v>25610.5</v>
      </c>
      <c r="AF655" s="24">
        <v>29711</v>
      </c>
      <c r="AG655" s="24">
        <v>24881</v>
      </c>
      <c r="AH655" s="24">
        <v>24653.5</v>
      </c>
      <c r="AI655" s="24">
        <v>26567.5</v>
      </c>
      <c r="AJ655" s="32">
        <v>22.718060252357773</v>
      </c>
      <c r="AK655" s="32">
        <v>8.8545309408564776</v>
      </c>
      <c r="AL655" s="32">
        <v>21.800336964992006</v>
      </c>
      <c r="AM655" s="32">
        <v>28.442283935995206</v>
      </c>
      <c r="AN655" s="32">
        <v>4.8902470721117233</v>
      </c>
      <c r="AO655" s="32">
        <v>12.086089746374752</v>
      </c>
      <c r="AP655" s="19">
        <v>0.93825102579132469</v>
      </c>
      <c r="AQ655" s="19">
        <v>0.82977685032479553</v>
      </c>
      <c r="AR655" s="19">
        <v>1.0677826453920662</v>
      </c>
      <c r="AS655" s="19">
        <v>-9.1954132473487715E-2</v>
      </c>
      <c r="AT655" s="19">
        <v>-0.26920468639735828</v>
      </c>
      <c r="AU655" s="19">
        <v>9.4618006268773341E-2</v>
      </c>
      <c r="AV655" s="19">
        <v>-0.28964368515958827</v>
      </c>
      <c r="AW655" s="19">
        <v>-0.337028903380508</v>
      </c>
      <c r="AX655" s="19">
        <v>-0.20913290796701958</v>
      </c>
      <c r="AY655" s="19">
        <v>-1.065812850198161</v>
      </c>
      <c r="AZ655" s="19">
        <v>-1.2051432859431723</v>
      </c>
      <c r="BA655" s="19">
        <v>1.0677826453920662</v>
      </c>
      <c r="BB655" s="19">
        <v>-1.2223383489614474</v>
      </c>
      <c r="BC655" s="19">
        <v>-1.2631525679656368</v>
      </c>
      <c r="BD655" s="19">
        <v>-1.1559931972715078</v>
      </c>
      <c r="BE655" s="14" t="s">
        <v>4857</v>
      </c>
    </row>
    <row r="656" spans="1:105" s="30" customFormat="1" ht="17.100000000000001" customHeight="1">
      <c r="A656" s="14">
        <v>645</v>
      </c>
      <c r="B656" s="14" t="s">
        <v>1111</v>
      </c>
      <c r="C656" s="32">
        <v>-1.1143735229845304</v>
      </c>
      <c r="D656" s="32">
        <v>-1.2381428870247446</v>
      </c>
      <c r="E656" s="32">
        <v>-1.0086028688162314</v>
      </c>
      <c r="F656" s="24">
        <v>169626.5</v>
      </c>
      <c r="G656" s="52" t="s">
        <v>2</v>
      </c>
      <c r="H656" s="32">
        <v>27.963267700354972</v>
      </c>
      <c r="I656" s="32">
        <v>42.687532981779455</v>
      </c>
      <c r="J656" s="12" t="s">
        <v>1112</v>
      </c>
      <c r="K656" s="12" t="s">
        <v>1113</v>
      </c>
      <c r="L656" s="14" t="s">
        <v>5108</v>
      </c>
      <c r="M656" s="12" t="s">
        <v>1114</v>
      </c>
      <c r="N656" s="15" t="s">
        <v>1115</v>
      </c>
      <c r="O656" s="12" t="s">
        <v>1116</v>
      </c>
      <c r="P656" s="12" t="s">
        <v>1118</v>
      </c>
      <c r="Q656" s="14">
        <v>4</v>
      </c>
      <c r="R656" s="21">
        <v>886.95920000000001</v>
      </c>
      <c r="S656" s="14">
        <v>2</v>
      </c>
      <c r="T656" s="52" t="s">
        <v>2</v>
      </c>
      <c r="U656" s="53">
        <v>87.967887499999989</v>
      </c>
      <c r="V656" s="24">
        <v>161992</v>
      </c>
      <c r="W656" s="24">
        <v>133514</v>
      </c>
      <c r="X656" s="24">
        <v>135417</v>
      </c>
      <c r="Y656" s="24">
        <v>141791</v>
      </c>
      <c r="Z656" s="24">
        <v>87324</v>
      </c>
      <c r="AA656" s="24">
        <v>162833</v>
      </c>
      <c r="AB656" s="24">
        <v>158266</v>
      </c>
      <c r="AC656" s="24">
        <v>180987</v>
      </c>
      <c r="AD656" s="24">
        <v>143178.5</v>
      </c>
      <c r="AE656" s="24">
        <v>147352.5</v>
      </c>
      <c r="AF656" s="24">
        <v>147753</v>
      </c>
      <c r="AG656" s="24">
        <v>138604</v>
      </c>
      <c r="AH656" s="24">
        <v>125078.5</v>
      </c>
      <c r="AI656" s="24">
        <v>169626.5</v>
      </c>
      <c r="AJ656" s="32">
        <v>9.1020798258656228</v>
      </c>
      <c r="AK656" s="32">
        <v>27.963267700354972</v>
      </c>
      <c r="AL656" s="32">
        <v>13.628817631202411</v>
      </c>
      <c r="AM656" s="32">
        <v>3.2517810620783334</v>
      </c>
      <c r="AN656" s="32">
        <v>42.687532981779455</v>
      </c>
      <c r="AO656" s="32">
        <v>9.4714995447878412</v>
      </c>
      <c r="AP656" s="19">
        <v>1.0291524216275487</v>
      </c>
      <c r="AQ656" s="19">
        <v>0.84653780295493153</v>
      </c>
      <c r="AR656" s="19">
        <v>1.2238211018441025</v>
      </c>
      <c r="AS656" s="19">
        <v>4.1456667014679892E-2</v>
      </c>
      <c r="AT656" s="19">
        <v>-0.24035360040157086</v>
      </c>
      <c r="AU656" s="19">
        <v>0.29139268029721849</v>
      </c>
      <c r="AV656" s="19">
        <v>-0.15623288567142066</v>
      </c>
      <c r="AW656" s="19">
        <v>-0.30817781738472055</v>
      </c>
      <c r="AX656" s="19">
        <v>-1.2358233938574437E-2</v>
      </c>
      <c r="AY656" s="19">
        <v>1.0291524216275487</v>
      </c>
      <c r="AZ656" s="19">
        <v>-1.1812821548067813</v>
      </c>
      <c r="BA656" s="19">
        <v>1.2238211018441025</v>
      </c>
      <c r="BB656" s="19">
        <v>-1.1143735229845304</v>
      </c>
      <c r="BC656" s="19">
        <v>-1.2381428870247446</v>
      </c>
      <c r="BD656" s="19">
        <v>-1.0086028688162314</v>
      </c>
      <c r="BE656" s="14" t="s">
        <v>4857</v>
      </c>
    </row>
    <row r="657" spans="1:57" s="30" customFormat="1" ht="17.100000000000001" customHeight="1">
      <c r="A657" s="14">
        <v>646</v>
      </c>
      <c r="B657" s="14" t="s">
        <v>1131</v>
      </c>
      <c r="C657" s="32">
        <v>1.0512627865617339</v>
      </c>
      <c r="D657" s="32">
        <v>1.0952230759972612</v>
      </c>
      <c r="E657" s="32">
        <v>1.0302369127427338</v>
      </c>
      <c r="F657" s="24">
        <v>61171.5</v>
      </c>
      <c r="G657" s="52" t="s">
        <v>2</v>
      </c>
      <c r="H657" s="32">
        <v>30.000977538224433</v>
      </c>
      <c r="I657" s="32">
        <v>46.610555464567383</v>
      </c>
      <c r="J657" s="12" t="s">
        <v>1120</v>
      </c>
      <c r="K657" s="12" t="s">
        <v>1121</v>
      </c>
      <c r="L657" s="14" t="s">
        <v>5156</v>
      </c>
      <c r="M657" s="12" t="s">
        <v>1122</v>
      </c>
      <c r="N657" s="15" t="s">
        <v>1123</v>
      </c>
      <c r="O657" s="12" t="s">
        <v>1124</v>
      </c>
      <c r="P657" s="12" t="s">
        <v>1132</v>
      </c>
      <c r="Q657" s="14">
        <v>2</v>
      </c>
      <c r="R657" s="21">
        <v>823.91520000000003</v>
      </c>
      <c r="S657" s="14">
        <v>40</v>
      </c>
      <c r="T657" s="52" t="s">
        <v>2</v>
      </c>
      <c r="U657" s="53">
        <v>25.153087499999998</v>
      </c>
      <c r="V657" s="24">
        <v>35725</v>
      </c>
      <c r="W657" s="24">
        <v>70851</v>
      </c>
      <c r="X657" s="24">
        <v>48962</v>
      </c>
      <c r="Y657" s="24">
        <v>44198</v>
      </c>
      <c r="Z657" s="24">
        <v>74567</v>
      </c>
      <c r="AA657" s="24">
        <v>47776</v>
      </c>
      <c r="AB657" s="24">
        <v>66788</v>
      </c>
      <c r="AC657" s="24">
        <v>51681</v>
      </c>
      <c r="AD657" s="24">
        <v>49934</v>
      </c>
      <c r="AE657" s="24">
        <v>60203</v>
      </c>
      <c r="AF657" s="24">
        <v>53288</v>
      </c>
      <c r="AG657" s="24">
        <v>46580</v>
      </c>
      <c r="AH657" s="24">
        <v>61171.5</v>
      </c>
      <c r="AI657" s="24">
        <v>59234.5</v>
      </c>
      <c r="AJ657" s="32">
        <v>30.000977538224433</v>
      </c>
      <c r="AK657" s="32">
        <v>20.939327722576646</v>
      </c>
      <c r="AL657" s="32">
        <v>46.610555464567383</v>
      </c>
      <c r="AM657" s="32">
        <v>7.2319809050509072</v>
      </c>
      <c r="AN657" s="32">
        <v>30.968829887723519</v>
      </c>
      <c r="AO657" s="32">
        <v>18.033852135807969</v>
      </c>
      <c r="AP657" s="19">
        <v>1.2056514599271038</v>
      </c>
      <c r="AQ657" s="19">
        <v>1.1479413751688936</v>
      </c>
      <c r="AR657" s="19">
        <v>1.2716723915843711</v>
      </c>
      <c r="AS657" s="19">
        <v>0.26981290084501375</v>
      </c>
      <c r="AT657" s="19">
        <v>0.19904896613141729</v>
      </c>
      <c r="AU657" s="19">
        <v>0.34672705119457914</v>
      </c>
      <c r="AV657" s="19">
        <v>7.2123348158913192E-2</v>
      </c>
      <c r="AW657" s="19">
        <v>0.13122474914826759</v>
      </c>
      <c r="AX657" s="19">
        <v>4.2976136958786215E-2</v>
      </c>
      <c r="AY657" s="19">
        <v>1.2056514599271038</v>
      </c>
      <c r="AZ657" s="19">
        <v>1.1479413751688936</v>
      </c>
      <c r="BA657" s="19">
        <v>1.2716723915843711</v>
      </c>
      <c r="BB657" s="19">
        <v>1.0512627865617339</v>
      </c>
      <c r="BC657" s="19">
        <v>1.0952230759972612</v>
      </c>
      <c r="BD657" s="19">
        <v>1.0302369127427338</v>
      </c>
      <c r="BE657" s="14" t="s">
        <v>4857</v>
      </c>
    </row>
    <row r="658" spans="1:57" s="30" customFormat="1" ht="17.100000000000001" customHeight="1">
      <c r="A658" s="14">
        <v>647</v>
      </c>
      <c r="B658" s="14" t="s">
        <v>1134</v>
      </c>
      <c r="C658" s="32">
        <v>-1.1637538562747014</v>
      </c>
      <c r="D658" s="32">
        <v>-1.9334697113580233</v>
      </c>
      <c r="E658" s="32">
        <v>1.0613740352223373</v>
      </c>
      <c r="F658" s="24">
        <v>17532.5</v>
      </c>
      <c r="G658" s="52" t="s">
        <v>2</v>
      </c>
      <c r="H658" s="32">
        <v>68.591741004164206</v>
      </c>
      <c r="I658" s="32">
        <v>52.62530558280001</v>
      </c>
      <c r="J658" s="12" t="s">
        <v>1120</v>
      </c>
      <c r="K658" s="12" t="s">
        <v>1121</v>
      </c>
      <c r="L658" s="14" t="s">
        <v>4701</v>
      </c>
      <c r="M658" s="12" t="s">
        <v>1122</v>
      </c>
      <c r="N658" s="15" t="s">
        <v>1123</v>
      </c>
      <c r="O658" s="12" t="s">
        <v>1124</v>
      </c>
      <c r="P658" s="12" t="s">
        <v>1135</v>
      </c>
      <c r="Q658" s="14">
        <v>3</v>
      </c>
      <c r="R658" s="21">
        <v>558.3297</v>
      </c>
      <c r="S658" s="14">
        <v>1</v>
      </c>
      <c r="T658" s="52" t="s">
        <v>2</v>
      </c>
      <c r="U658" s="53">
        <v>27.309837500000004</v>
      </c>
      <c r="V658" s="24">
        <v>11629</v>
      </c>
      <c r="W658" s="24">
        <v>7967</v>
      </c>
      <c r="X658" s="24">
        <v>13514</v>
      </c>
      <c r="Y658" s="24">
        <v>13251</v>
      </c>
      <c r="Z658" s="24">
        <v>3335</v>
      </c>
      <c r="AA658" s="24">
        <v>7288</v>
      </c>
      <c r="AB658" s="24">
        <v>13860</v>
      </c>
      <c r="AC658" s="24">
        <v>21205</v>
      </c>
      <c r="AD658" s="24">
        <v>11590.25</v>
      </c>
      <c r="AE658" s="24">
        <v>11422</v>
      </c>
      <c r="AF658" s="24">
        <v>9798</v>
      </c>
      <c r="AG658" s="24">
        <v>13382.5</v>
      </c>
      <c r="AH658" s="24">
        <v>5311.5</v>
      </c>
      <c r="AI658" s="24">
        <v>17532.5</v>
      </c>
      <c r="AJ658" s="32">
        <v>22.046794829917328</v>
      </c>
      <c r="AK658" s="32">
        <v>68.591741004164206</v>
      </c>
      <c r="AL658" s="32">
        <v>26.428097904726854</v>
      </c>
      <c r="AM658" s="32">
        <v>1.3896438143251411</v>
      </c>
      <c r="AN658" s="32">
        <v>52.62530558280001</v>
      </c>
      <c r="AO658" s="32">
        <v>29.623267120006798</v>
      </c>
      <c r="AP658" s="19">
        <v>0.98548348827678434</v>
      </c>
      <c r="AQ658" s="19">
        <v>0.54210042865890995</v>
      </c>
      <c r="AR658" s="19">
        <v>1.3101064823463477</v>
      </c>
      <c r="AS658" s="19">
        <v>-2.1096395694462904E-2</v>
      </c>
      <c r="AT658" s="19">
        <v>-0.88336794717077882</v>
      </c>
      <c r="AU658" s="19">
        <v>0.38968407535803196</v>
      </c>
      <c r="AV658" s="19">
        <v>-0.21878594838056345</v>
      </c>
      <c r="AW658" s="19">
        <v>-0.95119216415392849</v>
      </c>
      <c r="AX658" s="19">
        <v>8.5933161122239032E-2</v>
      </c>
      <c r="AY658" s="19">
        <v>-1.0147303449483454</v>
      </c>
      <c r="AZ658" s="19">
        <v>-1.8446766450155325</v>
      </c>
      <c r="BA658" s="19">
        <v>1.3101064823463477</v>
      </c>
      <c r="BB658" s="19">
        <v>-1.1637538562747014</v>
      </c>
      <c r="BC658" s="19">
        <v>-1.9334697113580233</v>
      </c>
      <c r="BD658" s="19">
        <v>1.0613740352223373</v>
      </c>
      <c r="BE658" s="14" t="s">
        <v>4857</v>
      </c>
    </row>
    <row r="659" spans="1:57" s="30" customFormat="1" ht="17.100000000000001" customHeight="1">
      <c r="A659" s="14">
        <v>648</v>
      </c>
      <c r="B659" s="14" t="s">
        <v>1136</v>
      </c>
      <c r="C659" s="32">
        <v>-1.4243737448427056</v>
      </c>
      <c r="D659" s="32">
        <v>-1.2183940154613375</v>
      </c>
      <c r="E659" s="32">
        <v>-1.7583507349142384</v>
      </c>
      <c r="F659" s="42">
        <v>264960</v>
      </c>
      <c r="G659" s="52" t="s">
        <v>2</v>
      </c>
      <c r="H659" s="32">
        <v>25.166862040611665</v>
      </c>
      <c r="I659" s="32">
        <v>35.972145691553465</v>
      </c>
      <c r="J659" s="12" t="s">
        <v>1120</v>
      </c>
      <c r="K659" s="12" t="s">
        <v>1120</v>
      </c>
      <c r="L659" s="14" t="s">
        <v>4528</v>
      </c>
      <c r="M659" s="12" t="s">
        <v>1137</v>
      </c>
      <c r="N659" s="15" t="s">
        <v>1138</v>
      </c>
      <c r="O659" s="12" t="s">
        <v>1139</v>
      </c>
      <c r="P659" s="12" t="s">
        <v>1140</v>
      </c>
      <c r="Q659" s="14">
        <v>3</v>
      </c>
      <c r="R659" s="21">
        <v>602.27800000000002</v>
      </c>
      <c r="S659" s="14">
        <v>3</v>
      </c>
      <c r="T659" s="52" t="s">
        <v>2</v>
      </c>
      <c r="U659" s="53">
        <v>21.424424999999999</v>
      </c>
      <c r="V659" s="42">
        <v>311219</v>
      </c>
      <c r="W659" s="42">
        <v>185000</v>
      </c>
      <c r="X659" s="42">
        <v>264960</v>
      </c>
      <c r="Y659" s="42"/>
      <c r="Z659" s="42">
        <v>222258</v>
      </c>
      <c r="AA659" s="42">
        <v>204619</v>
      </c>
      <c r="AB659" s="42">
        <v>186000</v>
      </c>
      <c r="AC659" s="42"/>
      <c r="AD659" s="42">
        <v>253726.33333333334</v>
      </c>
      <c r="AE659" s="42">
        <v>204292.33333333334</v>
      </c>
      <c r="AF659" s="42">
        <v>248109.5</v>
      </c>
      <c r="AG659" s="42">
        <v>264960</v>
      </c>
      <c r="AH659" s="42">
        <v>213438.5</v>
      </c>
      <c r="AI659" s="42">
        <v>186000</v>
      </c>
      <c r="AJ659" s="32">
        <v>25.166862040611665</v>
      </c>
      <c r="AK659" s="32">
        <v>8.8751285468022125</v>
      </c>
      <c r="AL659" s="32">
        <v>35.972145691553465</v>
      </c>
      <c r="AM659" s="32" t="s">
        <v>4854</v>
      </c>
      <c r="AN659" s="32">
        <v>5.8436769904911774</v>
      </c>
      <c r="AO659" s="32" t="s">
        <v>4854</v>
      </c>
      <c r="AP659" s="19">
        <v>0.80516803537669857</v>
      </c>
      <c r="AQ659" s="19">
        <v>0.86025928068050594</v>
      </c>
      <c r="AR659" s="19">
        <v>0.70199275362318836</v>
      </c>
      <c r="AS659" s="19">
        <v>-0.31263819550302258</v>
      </c>
      <c r="AT659" s="19">
        <v>-0.2171565437059616</v>
      </c>
      <c r="AU659" s="19">
        <v>-0.5104719566165693</v>
      </c>
      <c r="AV659" s="19">
        <v>-0.51032774818912308</v>
      </c>
      <c r="AW659" s="19">
        <v>-0.28498076068911132</v>
      </c>
      <c r="AX659" s="19">
        <v>-0.81422287085236222</v>
      </c>
      <c r="AY659" s="19">
        <v>-1.2419767751114823</v>
      </c>
      <c r="AZ659" s="19">
        <v>-1.1624402345406288</v>
      </c>
      <c r="BA659" s="19">
        <v>-1.4245161290322581</v>
      </c>
      <c r="BB659" s="19">
        <v>-1.4243737448427056</v>
      </c>
      <c r="BC659" s="19">
        <v>-1.2183940154613375</v>
      </c>
      <c r="BD659" s="19">
        <v>-1.7583507349142384</v>
      </c>
      <c r="BE659" s="14" t="s">
        <v>4857</v>
      </c>
    </row>
    <row r="660" spans="1:57" s="30" customFormat="1" ht="17.100000000000001" customHeight="1">
      <c r="A660" s="14">
        <v>649</v>
      </c>
      <c r="B660" s="14" t="s">
        <v>1141</v>
      </c>
      <c r="C660" s="32">
        <v>-1.802624520491942</v>
      </c>
      <c r="D660" s="32">
        <v>-1.738950850700292</v>
      </c>
      <c r="E660" s="32">
        <v>-1.7137451416023322</v>
      </c>
      <c r="F660" s="42">
        <v>54750</v>
      </c>
      <c r="G660" s="52" t="s">
        <v>2</v>
      </c>
      <c r="H660" s="32">
        <v>13.926087144965255</v>
      </c>
      <c r="I660" s="32">
        <v>15.136842410721203</v>
      </c>
      <c r="J660" s="12" t="s">
        <v>1120</v>
      </c>
      <c r="K660" s="12" t="s">
        <v>1120</v>
      </c>
      <c r="L660" s="14" t="s">
        <v>4530</v>
      </c>
      <c r="M660" s="12" t="s">
        <v>1137</v>
      </c>
      <c r="N660" s="15" t="s">
        <v>1138</v>
      </c>
      <c r="O660" s="12" t="s">
        <v>1139</v>
      </c>
      <c r="P660" s="12" t="s">
        <v>1142</v>
      </c>
      <c r="Q660" s="14">
        <v>2</v>
      </c>
      <c r="R660" s="21">
        <v>902.91340000000002</v>
      </c>
      <c r="S660" s="14">
        <v>2</v>
      </c>
      <c r="T660" s="52" t="s">
        <v>2</v>
      </c>
      <c r="U660" s="53">
        <v>21.6</v>
      </c>
      <c r="V660" s="42">
        <v>59500</v>
      </c>
      <c r="W660" s="42">
        <v>50000</v>
      </c>
      <c r="X660" s="42">
        <v>45400</v>
      </c>
      <c r="Y660" s="42"/>
      <c r="Z660" s="42">
        <v>31900</v>
      </c>
      <c r="AA660" s="42">
        <v>34100</v>
      </c>
      <c r="AB660" s="42">
        <v>29200</v>
      </c>
      <c r="AC660" s="42">
        <v>36200</v>
      </c>
      <c r="AD660" s="42">
        <v>51633.333333333336</v>
      </c>
      <c r="AE660" s="42">
        <v>32850</v>
      </c>
      <c r="AF660" s="42">
        <v>54750</v>
      </c>
      <c r="AG660" s="42">
        <v>45400</v>
      </c>
      <c r="AH660" s="42">
        <v>33000</v>
      </c>
      <c r="AI660" s="42">
        <v>32700</v>
      </c>
      <c r="AJ660" s="32">
        <v>13.926087144965255</v>
      </c>
      <c r="AK660" s="32">
        <v>9.1341111236674273</v>
      </c>
      <c r="AL660" s="32">
        <v>12.269432732917263</v>
      </c>
      <c r="AM660" s="32" t="s">
        <v>4854</v>
      </c>
      <c r="AN660" s="32">
        <v>4.714045207910317</v>
      </c>
      <c r="AO660" s="32">
        <v>15.136842410721203</v>
      </c>
      <c r="AP660" s="19">
        <v>0.63621691413815362</v>
      </c>
      <c r="AQ660" s="19">
        <v>0.60273972602739723</v>
      </c>
      <c r="AR660" s="19">
        <v>0.72026431718061679</v>
      </c>
      <c r="AS660" s="19">
        <v>-0.65240936774608271</v>
      </c>
      <c r="AT660" s="19">
        <v>-0.73039294024272006</v>
      </c>
      <c r="AU660" s="19">
        <v>-0.47340166179283238</v>
      </c>
      <c r="AV660" s="19">
        <v>-0.85009892043218327</v>
      </c>
      <c r="AW660" s="19">
        <v>-0.79821715722586972</v>
      </c>
      <c r="AX660" s="19">
        <v>-0.77715257602862531</v>
      </c>
      <c r="AY660" s="19">
        <v>-1.571790969051243</v>
      </c>
      <c r="AZ660" s="19">
        <v>-1.6590909090909092</v>
      </c>
      <c r="BA660" s="19">
        <v>-1.3883792048929662</v>
      </c>
      <c r="BB660" s="19">
        <v>-1.802624520491942</v>
      </c>
      <c r="BC660" s="19">
        <v>-1.738950850700292</v>
      </c>
      <c r="BD660" s="19">
        <v>-1.7137451416023322</v>
      </c>
      <c r="BE660" s="14" t="s">
        <v>4857</v>
      </c>
    </row>
    <row r="661" spans="1:57" s="30" customFormat="1" ht="17.100000000000001" customHeight="1">
      <c r="A661" s="14">
        <v>650</v>
      </c>
      <c r="B661" s="14" t="s">
        <v>1143</v>
      </c>
      <c r="C661" s="32">
        <v>1.1376172751955944</v>
      </c>
      <c r="D661" s="32">
        <v>1.440673947215531</v>
      </c>
      <c r="E661" s="32">
        <v>-1.0529963992780085</v>
      </c>
      <c r="F661" s="24">
        <v>497366</v>
      </c>
      <c r="G661" s="52" t="s">
        <v>2</v>
      </c>
      <c r="H661" s="32">
        <v>28.021881569914491</v>
      </c>
      <c r="I661" s="32">
        <v>15.630970940071615</v>
      </c>
      <c r="J661" s="12" t="s">
        <v>1144</v>
      </c>
      <c r="K661" s="12" t="s">
        <v>1145</v>
      </c>
      <c r="L661" s="14" t="s">
        <v>5232</v>
      </c>
      <c r="M661" s="12" t="s">
        <v>1146</v>
      </c>
      <c r="N661" s="15" t="s">
        <v>1147</v>
      </c>
      <c r="O661" s="12" t="s">
        <v>1148</v>
      </c>
      <c r="P661" s="12" t="s">
        <v>1149</v>
      </c>
      <c r="Q661" s="14">
        <v>3</v>
      </c>
      <c r="R661" s="21">
        <v>560.96159999999998</v>
      </c>
      <c r="S661" s="14">
        <v>9</v>
      </c>
      <c r="T661" s="52" t="s">
        <v>2</v>
      </c>
      <c r="U661" s="53">
        <v>46.530612499999997</v>
      </c>
      <c r="V661" s="24">
        <v>302187</v>
      </c>
      <c r="W661" s="24">
        <v>245244</v>
      </c>
      <c r="X661" s="24">
        <v>471188</v>
      </c>
      <c r="Y661" s="24">
        <v>377396</v>
      </c>
      <c r="Z661" s="24">
        <v>447663</v>
      </c>
      <c r="AA661" s="24">
        <v>378969</v>
      </c>
      <c r="AB661" s="24">
        <v>501200</v>
      </c>
      <c r="AC661" s="24">
        <v>493532</v>
      </c>
      <c r="AD661" s="24">
        <v>349003.75</v>
      </c>
      <c r="AE661" s="24">
        <v>455341</v>
      </c>
      <c r="AF661" s="24">
        <v>273715.5</v>
      </c>
      <c r="AG661" s="24">
        <v>424292</v>
      </c>
      <c r="AH661" s="24">
        <v>413316</v>
      </c>
      <c r="AI661" s="24">
        <v>497366</v>
      </c>
      <c r="AJ661" s="32">
        <v>28.021881569914491</v>
      </c>
      <c r="AK661" s="32">
        <v>12.328005789968072</v>
      </c>
      <c r="AL661" s="32">
        <v>14.710449879932108</v>
      </c>
      <c r="AM661" s="32">
        <v>15.630970940071615</v>
      </c>
      <c r="AN661" s="32">
        <v>11.752265391813696</v>
      </c>
      <c r="AO661" s="32">
        <v>1.0901619326890952</v>
      </c>
      <c r="AP661" s="19">
        <v>1.3046879868769319</v>
      </c>
      <c r="AQ661" s="19">
        <v>1.5100204409322819</v>
      </c>
      <c r="AR661" s="19">
        <v>1.1722257313359667</v>
      </c>
      <c r="AS661" s="19">
        <v>0.38370483085186613</v>
      </c>
      <c r="AT661" s="19">
        <v>0.59456807924044175</v>
      </c>
      <c r="AU661" s="19">
        <v>0.22925041116052242</v>
      </c>
      <c r="AV661" s="19">
        <v>0.18601527816576557</v>
      </c>
      <c r="AW661" s="19">
        <v>0.52674386225729208</v>
      </c>
      <c r="AX661" s="19">
        <v>-7.4500503075270508E-2</v>
      </c>
      <c r="AY661" s="19">
        <v>1.3046879868769319</v>
      </c>
      <c r="AZ661" s="19">
        <v>1.5100204409322819</v>
      </c>
      <c r="BA661" s="19">
        <v>1.1722257313359667</v>
      </c>
      <c r="BB661" s="19">
        <v>1.1376172751955944</v>
      </c>
      <c r="BC661" s="19">
        <v>1.440673947215531</v>
      </c>
      <c r="BD661" s="19">
        <v>-1.0529963992780085</v>
      </c>
      <c r="BE661" s="14" t="s">
        <v>4857</v>
      </c>
    </row>
    <row r="662" spans="1:57" s="30" customFormat="1" ht="17.100000000000001" customHeight="1">
      <c r="A662" s="14">
        <v>651</v>
      </c>
      <c r="B662" s="14" t="s">
        <v>1151</v>
      </c>
      <c r="C662" s="32">
        <v>1.2341605195787599</v>
      </c>
      <c r="D662" s="32">
        <v>1.8897031101450243</v>
      </c>
      <c r="E662" s="32">
        <v>-1.1629632190596042</v>
      </c>
      <c r="F662" s="42">
        <v>14911606.5</v>
      </c>
      <c r="G662" s="52" t="s">
        <v>4894</v>
      </c>
      <c r="H662" s="32">
        <v>29.085123424759772</v>
      </c>
      <c r="I662" s="32">
        <v>26.072823897518887</v>
      </c>
      <c r="J662" s="12" t="s">
        <v>1144</v>
      </c>
      <c r="K662" s="12" t="s">
        <v>1145</v>
      </c>
      <c r="L662" s="14" t="s">
        <v>5151</v>
      </c>
      <c r="M662" s="12" t="s">
        <v>1146</v>
      </c>
      <c r="N662" s="15" t="s">
        <v>1147</v>
      </c>
      <c r="O662" s="12" t="s">
        <v>1148</v>
      </c>
      <c r="P662" s="12" t="s">
        <v>1152</v>
      </c>
      <c r="Q662" s="14">
        <v>4</v>
      </c>
      <c r="R662" s="21">
        <v>925.90959999999995</v>
      </c>
      <c r="S662" s="14">
        <v>2</v>
      </c>
      <c r="T662" s="52" t="s">
        <v>4894</v>
      </c>
      <c r="U662" s="53">
        <v>74.733912500000002</v>
      </c>
      <c r="V662" s="42">
        <v>8916583</v>
      </c>
      <c r="W662" s="42">
        <v>6140600</v>
      </c>
      <c r="X662" s="42">
        <v>11691230</v>
      </c>
      <c r="Y662" s="42">
        <v>12349714</v>
      </c>
      <c r="Z662" s="42">
        <v>14788166</v>
      </c>
      <c r="AA662" s="42">
        <v>15035047</v>
      </c>
      <c r="AB662" s="42">
        <v>11317435</v>
      </c>
      <c r="AC662" s="42">
        <v>14199216</v>
      </c>
      <c r="AD662" s="42">
        <v>9774531.75</v>
      </c>
      <c r="AE662" s="42">
        <v>13834966</v>
      </c>
      <c r="AF662" s="42">
        <v>7528591.5</v>
      </c>
      <c r="AG662" s="42">
        <v>12020472</v>
      </c>
      <c r="AH662" s="42">
        <v>14911606.5</v>
      </c>
      <c r="AI662" s="42">
        <v>12758325.5</v>
      </c>
      <c r="AJ662" s="32">
        <v>29.085123424759772</v>
      </c>
      <c r="AK662" s="32">
        <v>12.393141640381602</v>
      </c>
      <c r="AL662" s="32">
        <v>26.072823897518887</v>
      </c>
      <c r="AM662" s="32">
        <v>3.8735459115319477</v>
      </c>
      <c r="AN662" s="32">
        <v>1.1707070545760181</v>
      </c>
      <c r="AO662" s="32">
        <v>15.971742428068245</v>
      </c>
      <c r="AP662" s="19">
        <v>1.4154095923827759</v>
      </c>
      <c r="AQ662" s="19">
        <v>1.980663514549833</v>
      </c>
      <c r="AR662" s="19">
        <v>1.0613830721455864</v>
      </c>
      <c r="AS662" s="19">
        <v>0.50121960174349034</v>
      </c>
      <c r="AT662" s="19">
        <v>0.98598380848434419</v>
      </c>
      <c r="AU662" s="19">
        <v>8.5945444698453249E-2</v>
      </c>
      <c r="AV662" s="19">
        <v>0.30353004905738978</v>
      </c>
      <c r="AW662" s="19">
        <v>0.91815959150119453</v>
      </c>
      <c r="AX662" s="19">
        <v>-0.21780546953733967</v>
      </c>
      <c r="AY662" s="19">
        <v>1.4154095923827759</v>
      </c>
      <c r="AZ662" s="19">
        <v>1.980663514549833</v>
      </c>
      <c r="BA662" s="19">
        <v>1.0613830721455864</v>
      </c>
      <c r="BB662" s="19">
        <v>1.2341605195787599</v>
      </c>
      <c r="BC662" s="19">
        <v>1.8897031101450243</v>
      </c>
      <c r="BD662" s="19">
        <v>-1.1629632190596042</v>
      </c>
      <c r="BE662" s="14" t="s">
        <v>4857</v>
      </c>
    </row>
    <row r="663" spans="1:57" s="30" customFormat="1" ht="17.100000000000001" customHeight="1">
      <c r="A663" s="14">
        <v>652</v>
      </c>
      <c r="B663" s="14" t="s">
        <v>1153</v>
      </c>
      <c r="C663" s="32">
        <v>1.2202168027576292</v>
      </c>
      <c r="D663" s="32">
        <v>1.1259340767705612</v>
      </c>
      <c r="E663" s="32">
        <v>1.332693422507967</v>
      </c>
      <c r="F663" s="24">
        <v>3368420</v>
      </c>
      <c r="G663" s="52" t="s">
        <v>2</v>
      </c>
      <c r="H663" s="32">
        <v>16.109316093942816</v>
      </c>
      <c r="I663" s="32">
        <v>15.312998753253423</v>
      </c>
      <c r="J663" s="12" t="s">
        <v>1154</v>
      </c>
      <c r="K663" s="12" t="s">
        <v>1155</v>
      </c>
      <c r="L663" s="14" t="s">
        <v>1156</v>
      </c>
      <c r="M663" s="12" t="s">
        <v>1157</v>
      </c>
      <c r="N663" s="15" t="s">
        <v>1158</v>
      </c>
      <c r="O663" s="12" t="s">
        <v>1052</v>
      </c>
      <c r="P663" s="12" t="s">
        <v>1053</v>
      </c>
      <c r="Q663" s="14">
        <v>2</v>
      </c>
      <c r="R663" s="21">
        <v>626.34029999999996</v>
      </c>
      <c r="S663" s="14">
        <v>1</v>
      </c>
      <c r="T663" s="52" t="s">
        <v>2</v>
      </c>
      <c r="U663" s="53">
        <v>87.4863</v>
      </c>
      <c r="V663" s="24">
        <v>2144920</v>
      </c>
      <c r="W663" s="24">
        <v>2441640</v>
      </c>
      <c r="X663" s="24">
        <v>1957080</v>
      </c>
      <c r="Y663" s="24">
        <v>2138240</v>
      </c>
      <c r="Z663" s="24">
        <v>2789700</v>
      </c>
      <c r="AA663" s="24">
        <v>2623040</v>
      </c>
      <c r="AB663" s="24">
        <v>3733150</v>
      </c>
      <c r="AC663" s="24">
        <v>3003690</v>
      </c>
      <c r="AD663" s="24">
        <v>2170470</v>
      </c>
      <c r="AE663" s="24">
        <v>3037395</v>
      </c>
      <c r="AF663" s="24">
        <v>2293280</v>
      </c>
      <c r="AG663" s="24">
        <v>2047660</v>
      </c>
      <c r="AH663" s="24">
        <v>2706370</v>
      </c>
      <c r="AI663" s="24">
        <v>3368420</v>
      </c>
      <c r="AJ663" s="32">
        <v>9.2437289599134669</v>
      </c>
      <c r="AK663" s="32">
        <v>16.109316093942816</v>
      </c>
      <c r="AL663" s="32">
        <v>9.1490234124778649</v>
      </c>
      <c r="AM663" s="32">
        <v>6.2558952404088055</v>
      </c>
      <c r="AN663" s="32">
        <v>4.354408900207658</v>
      </c>
      <c r="AO663" s="32">
        <v>15.312998753253423</v>
      </c>
      <c r="AP663" s="19">
        <v>1.3994180983842208</v>
      </c>
      <c r="AQ663" s="19">
        <v>1.1801306425730831</v>
      </c>
      <c r="AR663" s="19">
        <v>1.6450094253928875</v>
      </c>
      <c r="AS663" s="19">
        <v>0.48482705496190631</v>
      </c>
      <c r="AT663" s="19">
        <v>0.23894657734943753</v>
      </c>
      <c r="AU663" s="19">
        <v>0.71809585017852362</v>
      </c>
      <c r="AV663" s="19">
        <v>0.28713750227580576</v>
      </c>
      <c r="AW663" s="19">
        <v>0.17112236036628781</v>
      </c>
      <c r="AX663" s="19">
        <v>0.4143449359427307</v>
      </c>
      <c r="AY663" s="19">
        <v>1.3994180983842208</v>
      </c>
      <c r="AZ663" s="19">
        <v>1.1801306425730831</v>
      </c>
      <c r="BA663" s="19">
        <v>1.6450094253928875</v>
      </c>
      <c r="BB663" s="19">
        <v>1.2202168027576292</v>
      </c>
      <c r="BC663" s="19">
        <v>1.1259340767705612</v>
      </c>
      <c r="BD663" s="19">
        <v>1.332693422507967</v>
      </c>
      <c r="BE663" s="14" t="s">
        <v>4857</v>
      </c>
    </row>
    <row r="664" spans="1:57" s="30" customFormat="1" ht="17.100000000000001" customHeight="1">
      <c r="A664" s="14">
        <v>653</v>
      </c>
      <c r="B664" s="14" t="s">
        <v>1054</v>
      </c>
      <c r="C664" s="32">
        <v>-1.053883114688321</v>
      </c>
      <c r="D664" s="32">
        <v>1.0113295695972051</v>
      </c>
      <c r="E664" s="32">
        <v>-1.1080513226917659</v>
      </c>
      <c r="F664" s="24">
        <v>99629</v>
      </c>
      <c r="G664" s="52" t="s">
        <v>2</v>
      </c>
      <c r="H664" s="32">
        <v>18.278657336021666</v>
      </c>
      <c r="I664" s="32">
        <v>30.512609161427743</v>
      </c>
      <c r="J664" s="12" t="s">
        <v>1055</v>
      </c>
      <c r="K664" s="12" t="s">
        <v>1056</v>
      </c>
      <c r="L664" s="14" t="s">
        <v>5190</v>
      </c>
      <c r="M664" s="12" t="s">
        <v>1057</v>
      </c>
      <c r="N664" s="15" t="s">
        <v>1058</v>
      </c>
      <c r="O664" s="12" t="s">
        <v>1059</v>
      </c>
      <c r="P664" s="12" t="s">
        <v>1060</v>
      </c>
      <c r="Q664" s="14">
        <v>3</v>
      </c>
      <c r="R664" s="21">
        <v>569.62139999999999</v>
      </c>
      <c r="S664" s="14">
        <v>2</v>
      </c>
      <c r="T664" s="52" t="s">
        <v>2</v>
      </c>
      <c r="U664" s="53">
        <v>74.251587499999999</v>
      </c>
      <c r="V664" s="24">
        <v>65291</v>
      </c>
      <c r="W664" s="24">
        <v>98016</v>
      </c>
      <c r="X664" s="24">
        <v>90492</v>
      </c>
      <c r="Y664" s="24">
        <v>88378</v>
      </c>
      <c r="Z664" s="24">
        <v>67879</v>
      </c>
      <c r="AA664" s="24">
        <v>105228</v>
      </c>
      <c r="AB664" s="24">
        <v>99335</v>
      </c>
      <c r="AC664" s="24">
        <v>99923</v>
      </c>
      <c r="AD664" s="24">
        <v>85544.25</v>
      </c>
      <c r="AE664" s="24">
        <v>93091.25</v>
      </c>
      <c r="AF664" s="24">
        <v>81653.5</v>
      </c>
      <c r="AG664" s="24">
        <v>89435</v>
      </c>
      <c r="AH664" s="24">
        <v>86553.5</v>
      </c>
      <c r="AI664" s="24">
        <v>99629</v>
      </c>
      <c r="AJ664" s="32">
        <v>16.507813717358811</v>
      </c>
      <c r="AK664" s="32">
        <v>18.278657336021666</v>
      </c>
      <c r="AL664" s="32">
        <v>28.339347871591258</v>
      </c>
      <c r="AM664" s="32">
        <v>1.6714079895212852</v>
      </c>
      <c r="AN664" s="32">
        <v>30.512609161427743</v>
      </c>
      <c r="AO664" s="32">
        <v>0.41732707077024755</v>
      </c>
      <c r="AP664" s="19">
        <v>1.0882233463967479</v>
      </c>
      <c r="AQ664" s="19">
        <v>1.0600096750292394</v>
      </c>
      <c r="AR664" s="19">
        <v>1.1139822217252753</v>
      </c>
      <c r="AS664" s="19">
        <v>0.12197468496188961</v>
      </c>
      <c r="AT664" s="19">
        <v>8.4077432763006499E-2</v>
      </c>
      <c r="AU664" s="19">
        <v>0.15572620859047098</v>
      </c>
      <c r="AV664" s="19">
        <v>-7.5714867724210946E-2</v>
      </c>
      <c r="AW664" s="19">
        <v>1.6253215779856792E-2</v>
      </c>
      <c r="AX664" s="19">
        <v>-0.14802470564532194</v>
      </c>
      <c r="AY664" s="19">
        <v>1.0882233463967479</v>
      </c>
      <c r="AZ664" s="19">
        <v>1.0600096750292394</v>
      </c>
      <c r="BA664" s="19">
        <v>1.1139822217252753</v>
      </c>
      <c r="BB664" s="19">
        <v>-1.053883114688321</v>
      </c>
      <c r="BC664" s="19">
        <v>1.0113295695972051</v>
      </c>
      <c r="BD664" s="19">
        <v>-1.1080513226917659</v>
      </c>
      <c r="BE664" s="14" t="s">
        <v>4857</v>
      </c>
    </row>
    <row r="665" spans="1:57" s="30" customFormat="1" ht="17.100000000000001" customHeight="1">
      <c r="A665" s="14">
        <v>654</v>
      </c>
      <c r="B665" s="14" t="s">
        <v>1061</v>
      </c>
      <c r="C665" s="32">
        <v>1.2975636296140667</v>
      </c>
      <c r="D665" s="32">
        <v>1.0898153928889152</v>
      </c>
      <c r="E665" s="32">
        <v>1.4877639134542779</v>
      </c>
      <c r="F665" s="24">
        <v>83227.5</v>
      </c>
      <c r="G665" s="52" t="s">
        <v>2</v>
      </c>
      <c r="H665" s="32">
        <v>31.514549042767982</v>
      </c>
      <c r="I665" s="32">
        <v>22.535829348440327</v>
      </c>
      <c r="J665" s="12" t="s">
        <v>1062</v>
      </c>
      <c r="K665" s="12" t="s">
        <v>1063</v>
      </c>
      <c r="L665" s="14" t="s">
        <v>5291</v>
      </c>
      <c r="M665" s="12" t="s">
        <v>1064</v>
      </c>
      <c r="N665" s="15" t="s">
        <v>1065</v>
      </c>
      <c r="O665" s="12" t="s">
        <v>1066</v>
      </c>
      <c r="P665" s="12" t="s">
        <v>1068</v>
      </c>
      <c r="Q665" s="14">
        <v>3</v>
      </c>
      <c r="R665" s="21">
        <v>710.33420000000001</v>
      </c>
      <c r="S665" s="14">
        <v>1</v>
      </c>
      <c r="T665" s="52" t="s">
        <v>2</v>
      </c>
      <c r="U665" s="53">
        <v>36.6617125</v>
      </c>
      <c r="V665" s="24">
        <v>43468</v>
      </c>
      <c r="W665" s="24">
        <v>47814</v>
      </c>
      <c r="X665" s="24">
        <v>46814</v>
      </c>
      <c r="Y665" s="24">
        <v>43827</v>
      </c>
      <c r="Z665" s="24">
        <v>47325</v>
      </c>
      <c r="AA665" s="24">
        <v>56944</v>
      </c>
      <c r="AB665" s="24">
        <v>69965</v>
      </c>
      <c r="AC665" s="24">
        <v>96490</v>
      </c>
      <c r="AD665" s="24">
        <v>45480.75</v>
      </c>
      <c r="AE665" s="24">
        <v>67681</v>
      </c>
      <c r="AF665" s="24">
        <v>45641</v>
      </c>
      <c r="AG665" s="24">
        <v>45320.5</v>
      </c>
      <c r="AH665" s="24">
        <v>52134.5</v>
      </c>
      <c r="AI665" s="24">
        <v>83227.5</v>
      </c>
      <c r="AJ665" s="32">
        <v>4.7511046158934356</v>
      </c>
      <c r="AK665" s="32">
        <v>31.514549042767982</v>
      </c>
      <c r="AL665" s="32">
        <v>6.7331698933781814</v>
      </c>
      <c r="AM665" s="32">
        <v>4.6604250954958957</v>
      </c>
      <c r="AN665" s="32">
        <v>13.046370691640661</v>
      </c>
      <c r="AO665" s="32">
        <v>22.535829348440327</v>
      </c>
      <c r="AP665" s="19">
        <v>1.4881240964583917</v>
      </c>
      <c r="AQ665" s="19">
        <v>1.1422733945356149</v>
      </c>
      <c r="AR665" s="19">
        <v>1.8364206043622644</v>
      </c>
      <c r="AS665" s="19">
        <v>0.57349483953734426</v>
      </c>
      <c r="AT665" s="19">
        <v>0.19190799022409361</v>
      </c>
      <c r="AU665" s="19">
        <v>0.876896524074537</v>
      </c>
      <c r="AV665" s="19">
        <v>0.3758052868512437</v>
      </c>
      <c r="AW665" s="19">
        <v>0.1240837732409439</v>
      </c>
      <c r="AX665" s="19">
        <v>0.57314560983874407</v>
      </c>
      <c r="AY665" s="19">
        <v>1.4881240964583917</v>
      </c>
      <c r="AZ665" s="19">
        <v>1.1422733945356149</v>
      </c>
      <c r="BA665" s="19">
        <v>1.8364206043622644</v>
      </c>
      <c r="BB665" s="19">
        <v>1.2975636296140667</v>
      </c>
      <c r="BC665" s="19">
        <v>1.0898153928889152</v>
      </c>
      <c r="BD665" s="19">
        <v>1.4877639134542779</v>
      </c>
      <c r="BE665" s="14" t="s">
        <v>4857</v>
      </c>
    </row>
    <row r="666" spans="1:57" s="30" customFormat="1" ht="17.100000000000001" customHeight="1">
      <c r="A666" s="14">
        <v>655</v>
      </c>
      <c r="B666" s="14" t="s">
        <v>1073</v>
      </c>
      <c r="C666" s="32">
        <v>-1.0412324362475351</v>
      </c>
      <c r="D666" s="32">
        <v>1.0498338530289424</v>
      </c>
      <c r="E666" s="32">
        <v>-1.1198367836298055</v>
      </c>
      <c r="F666" s="24">
        <v>281034</v>
      </c>
      <c r="G666" s="52" t="s">
        <v>2</v>
      </c>
      <c r="H666" s="32">
        <v>26.710558045035793</v>
      </c>
      <c r="I666" s="32">
        <v>27.562757336073762</v>
      </c>
      <c r="J666" s="12" t="s">
        <v>1062</v>
      </c>
      <c r="K666" s="12" t="s">
        <v>1063</v>
      </c>
      <c r="L666" s="14" t="s">
        <v>5185</v>
      </c>
      <c r="M666" s="12" t="s">
        <v>1064</v>
      </c>
      <c r="N666" s="15" t="s">
        <v>1065</v>
      </c>
      <c r="O666" s="12" t="s">
        <v>1066</v>
      </c>
      <c r="P666" s="12" t="s">
        <v>1072</v>
      </c>
      <c r="Q666" s="14">
        <v>3</v>
      </c>
      <c r="R666" s="21">
        <v>610.6182</v>
      </c>
      <c r="S666" s="14">
        <v>17</v>
      </c>
      <c r="T666" s="52" t="s">
        <v>2</v>
      </c>
      <c r="U666" s="53">
        <v>30.838537500000001</v>
      </c>
      <c r="V666" s="24">
        <v>228350</v>
      </c>
      <c r="W666" s="24">
        <v>156566</v>
      </c>
      <c r="X666" s="24">
        <v>253364</v>
      </c>
      <c r="Y666" s="24">
        <v>256560</v>
      </c>
      <c r="Z666" s="24">
        <v>244927</v>
      </c>
      <c r="AA666" s="24">
        <v>178622</v>
      </c>
      <c r="AB666" s="24">
        <v>335807</v>
      </c>
      <c r="AC666" s="24">
        <v>226261</v>
      </c>
      <c r="AD666" s="24">
        <v>223710</v>
      </c>
      <c r="AE666" s="24">
        <v>246404.25</v>
      </c>
      <c r="AF666" s="24">
        <v>192458</v>
      </c>
      <c r="AG666" s="24">
        <v>254962</v>
      </c>
      <c r="AH666" s="24">
        <v>211774.5</v>
      </c>
      <c r="AI666" s="24">
        <v>281034</v>
      </c>
      <c r="AJ666" s="32">
        <v>20.788367774486012</v>
      </c>
      <c r="AK666" s="32">
        <v>26.710558045035793</v>
      </c>
      <c r="AL666" s="32">
        <v>26.374041702966426</v>
      </c>
      <c r="AM666" s="32">
        <v>0.88637258598230562</v>
      </c>
      <c r="AN666" s="32">
        <v>22.138980437481393</v>
      </c>
      <c r="AO666" s="32">
        <v>27.562757336073762</v>
      </c>
      <c r="AP666" s="19">
        <v>1.1014449510527022</v>
      </c>
      <c r="AQ666" s="19">
        <v>1.1003673528769913</v>
      </c>
      <c r="AR666" s="19">
        <v>1.102258375757956</v>
      </c>
      <c r="AS666" s="19">
        <v>0.13939739260768336</v>
      </c>
      <c r="AT666" s="19">
        <v>0.13798524165774026</v>
      </c>
      <c r="AU666" s="19">
        <v>0.14046243963776719</v>
      </c>
      <c r="AV666" s="19">
        <v>-5.8292160078417199E-2</v>
      </c>
      <c r="AW666" s="19">
        <v>7.0161024674590552E-2</v>
      </c>
      <c r="AX666" s="19">
        <v>-0.16328847459802573</v>
      </c>
      <c r="AY666" s="19">
        <v>1.1014449510527022</v>
      </c>
      <c r="AZ666" s="19">
        <v>1.1003673528769913</v>
      </c>
      <c r="BA666" s="19">
        <v>1.102258375757956</v>
      </c>
      <c r="BB666" s="19">
        <v>-1.0412324362475351</v>
      </c>
      <c r="BC666" s="19">
        <v>1.0498338530289424</v>
      </c>
      <c r="BD666" s="19">
        <v>-1.1198367836298055</v>
      </c>
      <c r="BE666" s="14" t="s">
        <v>4857</v>
      </c>
    </row>
    <row r="667" spans="1:57" s="30" customFormat="1" ht="17.100000000000001" customHeight="1">
      <c r="A667" s="14">
        <v>656</v>
      </c>
      <c r="B667" s="14" t="s">
        <v>1074</v>
      </c>
      <c r="C667" s="32">
        <v>-1.0007155832230832</v>
      </c>
      <c r="D667" s="32">
        <v>1.4914233216409984</v>
      </c>
      <c r="E667" s="32">
        <v>-1.4577338426604063</v>
      </c>
      <c r="F667" s="24">
        <v>34275</v>
      </c>
      <c r="G667" s="52" t="s">
        <v>2</v>
      </c>
      <c r="H667" s="32">
        <v>25.574695680869574</v>
      </c>
      <c r="I667" s="32">
        <v>24.022031685298789</v>
      </c>
      <c r="J667" s="12" t="s">
        <v>1075</v>
      </c>
      <c r="K667" s="12" t="s">
        <v>1076</v>
      </c>
      <c r="L667" s="14" t="s">
        <v>5018</v>
      </c>
      <c r="M667" s="12" t="s">
        <v>1064</v>
      </c>
      <c r="N667" s="15" t="s">
        <v>1077</v>
      </c>
      <c r="O667" s="12" t="s">
        <v>1078</v>
      </c>
      <c r="P667" s="12" t="s">
        <v>1079</v>
      </c>
      <c r="Q667" s="14">
        <v>3</v>
      </c>
      <c r="R667" s="21">
        <v>705.66610000000003</v>
      </c>
      <c r="S667" s="14">
        <v>3</v>
      </c>
      <c r="T667" s="52" t="s">
        <v>2</v>
      </c>
      <c r="U667" s="53">
        <v>34.553587499999999</v>
      </c>
      <c r="V667" s="24">
        <v>25218</v>
      </c>
      <c r="W667" s="24">
        <v>18634</v>
      </c>
      <c r="X667" s="24">
        <v>26154</v>
      </c>
      <c r="Y667" s="24">
        <v>34972</v>
      </c>
      <c r="Z667" s="24">
        <v>28453</v>
      </c>
      <c r="AA667" s="24">
        <v>40097</v>
      </c>
      <c r="AB667" s="24">
        <v>21877</v>
      </c>
      <c r="AC667" s="24">
        <v>29882</v>
      </c>
      <c r="AD667" s="24">
        <v>26244.5</v>
      </c>
      <c r="AE667" s="24">
        <v>30077.25</v>
      </c>
      <c r="AF667" s="24">
        <v>21926</v>
      </c>
      <c r="AG667" s="24">
        <v>30563</v>
      </c>
      <c r="AH667" s="24">
        <v>34275</v>
      </c>
      <c r="AI667" s="24">
        <v>25879.5</v>
      </c>
      <c r="AJ667" s="32">
        <v>25.574695680869574</v>
      </c>
      <c r="AK667" s="32">
        <v>25.051210563067489</v>
      </c>
      <c r="AL667" s="32">
        <v>21.233198245609</v>
      </c>
      <c r="AM667" s="32">
        <v>20.401359802712353</v>
      </c>
      <c r="AN667" s="32">
        <v>24.022031685298789</v>
      </c>
      <c r="AO667" s="32">
        <v>21.872098701282145</v>
      </c>
      <c r="AP667" s="19">
        <v>1.1460401226923735</v>
      </c>
      <c r="AQ667" s="19">
        <v>1.5632126242816746</v>
      </c>
      <c r="AR667" s="19">
        <v>0.84675915322448714</v>
      </c>
      <c r="AS667" s="19">
        <v>0.19665755351544031</v>
      </c>
      <c r="AT667" s="19">
        <v>0.64451402346488251</v>
      </c>
      <c r="AU667" s="19">
        <v>-0.23997641796249436</v>
      </c>
      <c r="AV667" s="19">
        <v>-1.0319991706602416E-3</v>
      </c>
      <c r="AW667" s="19">
        <v>0.57668980648173285</v>
      </c>
      <c r="AX667" s="19">
        <v>-0.54372733219828728</v>
      </c>
      <c r="AY667" s="19">
        <v>1.1460401226923735</v>
      </c>
      <c r="AZ667" s="19">
        <v>1.5632126242816746</v>
      </c>
      <c r="BA667" s="19">
        <v>-1.1809733572905194</v>
      </c>
      <c r="BB667" s="19">
        <v>-1.0007155832230832</v>
      </c>
      <c r="BC667" s="19">
        <v>1.4914233216409984</v>
      </c>
      <c r="BD667" s="19">
        <v>-1.4577338426604063</v>
      </c>
      <c r="BE667" s="14" t="s">
        <v>4857</v>
      </c>
    </row>
    <row r="668" spans="1:57" s="30" customFormat="1" ht="17.100000000000001" customHeight="1">
      <c r="A668" s="14">
        <v>657</v>
      </c>
      <c r="B668" s="14" t="s">
        <v>1080</v>
      </c>
      <c r="C668" s="32">
        <v>-1.4440306267720886</v>
      </c>
      <c r="D668" s="32">
        <v>-1.1285209741478963</v>
      </c>
      <c r="E668" s="32">
        <v>-1.8890444767101249</v>
      </c>
      <c r="F668" s="24">
        <v>162358</v>
      </c>
      <c r="G668" s="52" t="s">
        <v>2</v>
      </c>
      <c r="H668" s="32">
        <v>23.727680924130613</v>
      </c>
      <c r="I668" s="32">
        <v>34.641092086714451</v>
      </c>
      <c r="J668" s="12" t="s">
        <v>1062</v>
      </c>
      <c r="K668" s="12" t="s">
        <v>1063</v>
      </c>
      <c r="L668" s="14" t="s">
        <v>4961</v>
      </c>
      <c r="M668" s="12" t="s">
        <v>1064</v>
      </c>
      <c r="N668" s="15" t="s">
        <v>1065</v>
      </c>
      <c r="O668" s="12" t="s">
        <v>1066</v>
      </c>
      <c r="P668" s="12" t="s">
        <v>1081</v>
      </c>
      <c r="Q668" s="14">
        <v>2</v>
      </c>
      <c r="R668" s="21">
        <v>687.33079999999995</v>
      </c>
      <c r="S668" s="14">
        <v>6</v>
      </c>
      <c r="T668" s="52" t="s">
        <v>2</v>
      </c>
      <c r="U668" s="53">
        <v>23.305437500000004</v>
      </c>
      <c r="V668" s="24">
        <v>177692</v>
      </c>
      <c r="W668" s="24">
        <v>147024</v>
      </c>
      <c r="X668" s="24">
        <v>193195</v>
      </c>
      <c r="Y668" s="24">
        <v>117171</v>
      </c>
      <c r="Z668" s="24">
        <v>142237</v>
      </c>
      <c r="AA668" s="24">
        <v>159349</v>
      </c>
      <c r="AB668" s="24">
        <v>94345</v>
      </c>
      <c r="AC668" s="24">
        <v>108456</v>
      </c>
      <c r="AD668" s="24">
        <v>158770.5</v>
      </c>
      <c r="AE668" s="24">
        <v>126096.75</v>
      </c>
      <c r="AF668" s="24">
        <v>162358</v>
      </c>
      <c r="AG668" s="24">
        <v>155183</v>
      </c>
      <c r="AH668" s="24">
        <v>150793</v>
      </c>
      <c r="AI668" s="24">
        <v>101400.5</v>
      </c>
      <c r="AJ668" s="32">
        <v>21.239611948090563</v>
      </c>
      <c r="AK668" s="32">
        <v>23.727680924130613</v>
      </c>
      <c r="AL668" s="32">
        <v>13.356625953404844</v>
      </c>
      <c r="AM668" s="32">
        <v>34.641092086714451</v>
      </c>
      <c r="AN668" s="32">
        <v>8.0242526109727912</v>
      </c>
      <c r="AO668" s="32">
        <v>9.8401721779708904</v>
      </c>
      <c r="AP668" s="19">
        <v>0.7942076771188602</v>
      </c>
      <c r="AQ668" s="19">
        <v>0.9287685238793284</v>
      </c>
      <c r="AR668" s="19">
        <v>0.65342531076213251</v>
      </c>
      <c r="AS668" s="19">
        <v>-0.33241178830881829</v>
      </c>
      <c r="AT668" s="19">
        <v>-0.10660901503172357</v>
      </c>
      <c r="AU668" s="19">
        <v>-0.61390575550199977</v>
      </c>
      <c r="AV668" s="19">
        <v>-0.5301013409949189</v>
      </c>
      <c r="AW668" s="19">
        <v>-0.17443323201487326</v>
      </c>
      <c r="AX668" s="19">
        <v>-0.9176566697377927</v>
      </c>
      <c r="AY668" s="19">
        <v>-1.2591165117261152</v>
      </c>
      <c r="AZ668" s="19">
        <v>-1.0766945415238107</v>
      </c>
      <c r="BA668" s="19">
        <v>-1.5303967929152222</v>
      </c>
      <c r="BB668" s="19">
        <v>-1.4440306267720886</v>
      </c>
      <c r="BC668" s="19">
        <v>-1.1285209741478963</v>
      </c>
      <c r="BD668" s="19">
        <v>-1.8890444767101249</v>
      </c>
      <c r="BE668" s="14" t="s">
        <v>4857</v>
      </c>
    </row>
    <row r="669" spans="1:57" s="30" customFormat="1" ht="17.100000000000001" customHeight="1">
      <c r="A669" s="14">
        <v>658</v>
      </c>
      <c r="B669" s="14" t="s">
        <v>1082</v>
      </c>
      <c r="C669" s="32">
        <v>-1.1247474455308513</v>
      </c>
      <c r="D669" s="32">
        <v>-1.0673586318034165</v>
      </c>
      <c r="E669" s="32">
        <v>-1.1626058504840437</v>
      </c>
      <c r="F669" s="24">
        <v>45528.5</v>
      </c>
      <c r="G669" s="52" t="s">
        <v>2</v>
      </c>
      <c r="H669" s="32">
        <v>31.104881137226144</v>
      </c>
      <c r="I669" s="32">
        <v>55.808525791794985</v>
      </c>
      <c r="J669" s="12" t="s">
        <v>1062</v>
      </c>
      <c r="K669" s="12" t="s">
        <v>1063</v>
      </c>
      <c r="L669" s="14" t="s">
        <v>5153</v>
      </c>
      <c r="M669" s="12" t="s">
        <v>1064</v>
      </c>
      <c r="N669" s="15" t="s">
        <v>1065</v>
      </c>
      <c r="O669" s="12" t="s">
        <v>1066</v>
      </c>
      <c r="P669" s="12" t="s">
        <v>1083</v>
      </c>
      <c r="Q669" s="14">
        <v>2</v>
      </c>
      <c r="R669" s="21">
        <v>907.45</v>
      </c>
      <c r="S669" s="14">
        <v>20</v>
      </c>
      <c r="T669" s="52" t="s">
        <v>2</v>
      </c>
      <c r="U669" s="53">
        <v>27.233625</v>
      </c>
      <c r="V669" s="24">
        <v>45564</v>
      </c>
      <c r="W669" s="24">
        <v>45493</v>
      </c>
      <c r="X669" s="24">
        <v>24692</v>
      </c>
      <c r="Y669" s="24">
        <v>56884</v>
      </c>
      <c r="Z669" s="24">
        <v>41840</v>
      </c>
      <c r="AA669" s="24">
        <v>47577</v>
      </c>
      <c r="AB669" s="24">
        <v>39664</v>
      </c>
      <c r="AC669" s="24">
        <v>46946</v>
      </c>
      <c r="AD669" s="24">
        <v>43158.25</v>
      </c>
      <c r="AE669" s="24">
        <v>44006.75</v>
      </c>
      <c r="AF669" s="24">
        <v>45528.5</v>
      </c>
      <c r="AG669" s="24">
        <v>40788</v>
      </c>
      <c r="AH669" s="24">
        <v>44708.5</v>
      </c>
      <c r="AI669" s="24">
        <v>43305</v>
      </c>
      <c r="AJ669" s="32">
        <v>31.104881137226144</v>
      </c>
      <c r="AK669" s="32">
        <v>8.7950310625935355</v>
      </c>
      <c r="AL669" s="32">
        <v>0.11027066884313096</v>
      </c>
      <c r="AM669" s="32">
        <v>55.808525791794985</v>
      </c>
      <c r="AN669" s="32">
        <v>9.073602567000064</v>
      </c>
      <c r="AO669" s="32">
        <v>11.890432006928622</v>
      </c>
      <c r="AP669" s="19">
        <v>1.0196602040166132</v>
      </c>
      <c r="AQ669" s="19">
        <v>0.98198930340336277</v>
      </c>
      <c r="AR669" s="19">
        <v>1.0617093262724331</v>
      </c>
      <c r="AS669" s="19">
        <v>2.8088462340964571E-2</v>
      </c>
      <c r="AT669" s="19">
        <v>-2.6220785226183124E-2</v>
      </c>
      <c r="AU669" s="19">
        <v>8.6388840581672469E-2</v>
      </c>
      <c r="AV669" s="19">
        <v>-0.16960109034513599</v>
      </c>
      <c r="AW669" s="19">
        <v>-9.4045002209332831E-2</v>
      </c>
      <c r="AX669" s="19">
        <v>-0.21736207365412047</v>
      </c>
      <c r="AY669" s="19">
        <v>1.0196602040166132</v>
      </c>
      <c r="AZ669" s="19">
        <v>-1.0183410313475065</v>
      </c>
      <c r="BA669" s="19">
        <v>1.0617093262724331</v>
      </c>
      <c r="BB669" s="19">
        <v>-1.1247474455308513</v>
      </c>
      <c r="BC669" s="19">
        <v>-1.0673586318034165</v>
      </c>
      <c r="BD669" s="19">
        <v>-1.1626058504840437</v>
      </c>
      <c r="BE669" s="14" t="s">
        <v>4857</v>
      </c>
    </row>
    <row r="670" spans="1:57" s="30" customFormat="1" ht="17.100000000000001" customHeight="1">
      <c r="A670" s="14">
        <v>659</v>
      </c>
      <c r="B670" s="14" t="s">
        <v>1087</v>
      </c>
      <c r="C670" s="32">
        <v>-1.0160903955885108</v>
      </c>
      <c r="D670" s="32">
        <v>-1.1365840603470674</v>
      </c>
      <c r="E670" s="32">
        <v>1.1124089130871966</v>
      </c>
      <c r="F670" s="24">
        <v>50036.5</v>
      </c>
      <c r="G670" s="52" t="s">
        <v>2</v>
      </c>
      <c r="H670" s="32">
        <v>23.798873674574811</v>
      </c>
      <c r="I670" s="32">
        <v>26.931008222141905</v>
      </c>
      <c r="J670" s="12" t="s">
        <v>1062</v>
      </c>
      <c r="K670" s="12" t="s">
        <v>1063</v>
      </c>
      <c r="L670" s="14" t="s">
        <v>5172</v>
      </c>
      <c r="M670" s="12" t="s">
        <v>1064</v>
      </c>
      <c r="N670" s="15" t="s">
        <v>1065</v>
      </c>
      <c r="O670" s="12" t="s">
        <v>1066</v>
      </c>
      <c r="P670" s="12" t="s">
        <v>1088</v>
      </c>
      <c r="Q670" s="14">
        <v>3</v>
      </c>
      <c r="R670" s="21">
        <v>662.00419999999997</v>
      </c>
      <c r="S670" s="14">
        <v>3</v>
      </c>
      <c r="T670" s="52" t="s">
        <v>2</v>
      </c>
      <c r="U670" s="53">
        <v>30.908362500000003</v>
      </c>
      <c r="V670" s="24">
        <v>49316</v>
      </c>
      <c r="W670" s="24">
        <v>36934</v>
      </c>
      <c r="X670" s="24">
        <v>39380</v>
      </c>
      <c r="Y670" s="24">
        <v>33501</v>
      </c>
      <c r="Z670" s="24">
        <v>34497</v>
      </c>
      <c r="AA670" s="24">
        <v>45041</v>
      </c>
      <c r="AB670" s="24">
        <v>59565</v>
      </c>
      <c r="AC670" s="24">
        <v>40508</v>
      </c>
      <c r="AD670" s="24">
        <v>39782.75</v>
      </c>
      <c r="AE670" s="24">
        <v>44902.75</v>
      </c>
      <c r="AF670" s="24">
        <v>43125</v>
      </c>
      <c r="AG670" s="24">
        <v>36440.5</v>
      </c>
      <c r="AH670" s="24">
        <v>39769</v>
      </c>
      <c r="AI670" s="24">
        <v>50036.5</v>
      </c>
      <c r="AJ670" s="32">
        <v>17.086724146567395</v>
      </c>
      <c r="AK670" s="32">
        <v>23.798873674574811</v>
      </c>
      <c r="AL670" s="32">
        <v>20.30236791803323</v>
      </c>
      <c r="AM670" s="32">
        <v>11.407858746712348</v>
      </c>
      <c r="AN670" s="32">
        <v>18.747602154519743</v>
      </c>
      <c r="AO670" s="32">
        <v>26.931008222141905</v>
      </c>
      <c r="AP670" s="19">
        <v>1.1286989964243297</v>
      </c>
      <c r="AQ670" s="19">
        <v>0.9221797101449275</v>
      </c>
      <c r="AR670" s="19">
        <v>1.3731013570066273</v>
      </c>
      <c r="AS670" s="19">
        <v>0.17466079677086438</v>
      </c>
      <c r="AT670" s="19">
        <v>-0.11688017105393275</v>
      </c>
      <c r="AU670" s="19">
        <v>0.45743812355764574</v>
      </c>
      <c r="AV670" s="19">
        <v>-2.3028755915236176E-2</v>
      </c>
      <c r="AW670" s="19">
        <v>-0.18470438803708245</v>
      </c>
      <c r="AX670" s="19">
        <v>0.15368720932185281</v>
      </c>
      <c r="AY670" s="19">
        <v>1.1286989964243297</v>
      </c>
      <c r="AZ670" s="19">
        <v>-1.0843873368704267</v>
      </c>
      <c r="BA670" s="19">
        <v>1.3731013570066273</v>
      </c>
      <c r="BB670" s="19">
        <v>-1.0160903955885108</v>
      </c>
      <c r="BC670" s="19">
        <v>-1.1365840603470674</v>
      </c>
      <c r="BD670" s="19">
        <v>1.1124089130871966</v>
      </c>
      <c r="BE670" s="14" t="s">
        <v>4857</v>
      </c>
    </row>
    <row r="671" spans="1:57" s="30" customFormat="1" ht="17.100000000000001" customHeight="1">
      <c r="A671" s="14">
        <v>660</v>
      </c>
      <c r="B671" s="14" t="s">
        <v>1089</v>
      </c>
      <c r="C671" s="32">
        <v>-1.2399979826365122</v>
      </c>
      <c r="D671" s="32">
        <v>-1.1185052932444637</v>
      </c>
      <c r="E671" s="32">
        <v>-1.3468611618856914</v>
      </c>
      <c r="F671" s="24">
        <v>121169</v>
      </c>
      <c r="G671" s="52" t="s">
        <v>2</v>
      </c>
      <c r="H671" s="32">
        <v>31.714269305735559</v>
      </c>
      <c r="I671" s="32">
        <v>34.471829681409623</v>
      </c>
      <c r="J671" s="12" t="s">
        <v>1062</v>
      </c>
      <c r="K671" s="12" t="s">
        <v>1063</v>
      </c>
      <c r="L671" s="14" t="s">
        <v>5059</v>
      </c>
      <c r="M671" s="12" t="s">
        <v>1064</v>
      </c>
      <c r="N671" s="15" t="s">
        <v>1065</v>
      </c>
      <c r="O671" s="12" t="s">
        <v>1066</v>
      </c>
      <c r="P671" s="12" t="s">
        <v>1090</v>
      </c>
      <c r="Q671" s="14">
        <v>3</v>
      </c>
      <c r="R671" s="21">
        <v>648.00070000000005</v>
      </c>
      <c r="S671" s="14">
        <v>1</v>
      </c>
      <c r="T671" s="52" t="s">
        <v>2</v>
      </c>
      <c r="U671" s="53">
        <v>25.41</v>
      </c>
      <c r="V671" s="24">
        <v>94550</v>
      </c>
      <c r="W671" s="24">
        <v>72851</v>
      </c>
      <c r="X671" s="24">
        <v>123930</v>
      </c>
      <c r="Y671" s="24">
        <v>118408</v>
      </c>
      <c r="Z671" s="24">
        <v>68963</v>
      </c>
      <c r="AA671" s="24">
        <v>87906</v>
      </c>
      <c r="AB671" s="24">
        <v>138115</v>
      </c>
      <c r="AC671" s="24">
        <v>83979</v>
      </c>
      <c r="AD671" s="24">
        <v>102434.75</v>
      </c>
      <c r="AE671" s="24">
        <v>94740.75</v>
      </c>
      <c r="AF671" s="24">
        <v>83700.5</v>
      </c>
      <c r="AG671" s="24">
        <v>121169</v>
      </c>
      <c r="AH671" s="24">
        <v>78434.5</v>
      </c>
      <c r="AI671" s="24">
        <v>111047</v>
      </c>
      <c r="AJ671" s="32">
        <v>22.926252079268533</v>
      </c>
      <c r="AK671" s="32">
        <v>31.714269305735559</v>
      </c>
      <c r="AL671" s="32">
        <v>18.331443712960969</v>
      </c>
      <c r="AM671" s="32">
        <v>3.2224774040489859</v>
      </c>
      <c r="AN671" s="32">
        <v>17.077591819947564</v>
      </c>
      <c r="AO671" s="32">
        <v>34.471829681409623</v>
      </c>
      <c r="AP671" s="19">
        <v>0.92488877065644226</v>
      </c>
      <c r="AQ671" s="19">
        <v>0.93708520259735606</v>
      </c>
      <c r="AR671" s="19">
        <v>0.91646378199044309</v>
      </c>
      <c r="AS671" s="19">
        <v>-0.11264822079486699</v>
      </c>
      <c r="AT671" s="19">
        <v>-9.3747866878762021E-2</v>
      </c>
      <c r="AU671" s="19">
        <v>-0.12585022729758297</v>
      </c>
      <c r="AV671" s="19">
        <v>-0.31033777348096753</v>
      </c>
      <c r="AW671" s="19">
        <v>-0.16157208386191174</v>
      </c>
      <c r="AX671" s="19">
        <v>-0.42960114153337592</v>
      </c>
      <c r="AY671" s="19">
        <v>-1.081211094486797</v>
      </c>
      <c r="AZ671" s="19">
        <v>-1.0671388228394392</v>
      </c>
      <c r="BA671" s="19">
        <v>-1.091150593892676</v>
      </c>
      <c r="BB671" s="19">
        <v>-1.2399979826365122</v>
      </c>
      <c r="BC671" s="19">
        <v>-1.1185052932444637</v>
      </c>
      <c r="BD671" s="19">
        <v>-1.3468611618856914</v>
      </c>
      <c r="BE671" s="14" t="s">
        <v>4857</v>
      </c>
    </row>
    <row r="672" spans="1:57" s="30" customFormat="1" ht="17.100000000000001" customHeight="1">
      <c r="A672" s="14">
        <v>661</v>
      </c>
      <c r="B672" s="14" t="s">
        <v>1091</v>
      </c>
      <c r="C672" s="32">
        <v>1.0186286957559665</v>
      </c>
      <c r="D672" s="32">
        <v>1.1039497736378208</v>
      </c>
      <c r="E672" s="32">
        <v>-1.0481808904934267</v>
      </c>
      <c r="F672" s="24">
        <v>695698.5</v>
      </c>
      <c r="G672" s="52" t="s">
        <v>2</v>
      </c>
      <c r="H672" s="32">
        <v>27.19182759491407</v>
      </c>
      <c r="I672" s="32">
        <v>31.263381952701508</v>
      </c>
      <c r="J672" s="12" t="s">
        <v>1092</v>
      </c>
      <c r="K672" s="12" t="s">
        <v>1093</v>
      </c>
      <c r="L672" s="14" t="s">
        <v>5236</v>
      </c>
      <c r="M672" s="12" t="s">
        <v>1064</v>
      </c>
      <c r="N672" s="15" t="s">
        <v>1094</v>
      </c>
      <c r="O672" s="12" t="s">
        <v>1066</v>
      </c>
      <c r="P672" s="12" t="s">
        <v>986</v>
      </c>
      <c r="Q672" s="14">
        <v>2</v>
      </c>
      <c r="R672" s="21">
        <v>496.74220000000003</v>
      </c>
      <c r="S672" s="14">
        <v>2</v>
      </c>
      <c r="T672" s="52" t="s">
        <v>2</v>
      </c>
      <c r="U672" s="53">
        <v>52.727800000000002</v>
      </c>
      <c r="V672" s="24">
        <v>548738</v>
      </c>
      <c r="W672" s="24">
        <v>447117</v>
      </c>
      <c r="X672" s="24">
        <v>602283</v>
      </c>
      <c r="Y672" s="24">
        <v>579259</v>
      </c>
      <c r="Z672" s="24">
        <v>448780</v>
      </c>
      <c r="AA672" s="24">
        <v>703512</v>
      </c>
      <c r="AB672" s="24">
        <v>549128</v>
      </c>
      <c r="AC672" s="24">
        <v>842269</v>
      </c>
      <c r="AD672" s="24">
        <v>544349.25</v>
      </c>
      <c r="AE672" s="24">
        <v>635922.25</v>
      </c>
      <c r="AF672" s="24">
        <v>497927.5</v>
      </c>
      <c r="AG672" s="24">
        <v>590771</v>
      </c>
      <c r="AH672" s="24">
        <v>576146</v>
      </c>
      <c r="AI672" s="24">
        <v>695698.5</v>
      </c>
      <c r="AJ672" s="32">
        <v>12.571146616042789</v>
      </c>
      <c r="AK672" s="32">
        <v>27.19182759491407</v>
      </c>
      <c r="AL672" s="32">
        <v>14.431196953564152</v>
      </c>
      <c r="AM672" s="32">
        <v>2.7557931127355726</v>
      </c>
      <c r="AN672" s="32">
        <v>31.263381952701508</v>
      </c>
      <c r="AO672" s="32">
        <v>29.79480176309216</v>
      </c>
      <c r="AP672" s="19">
        <v>1.1682247196997149</v>
      </c>
      <c r="AQ672" s="19">
        <v>1.1570881303000939</v>
      </c>
      <c r="AR672" s="19">
        <v>1.177611121737526</v>
      </c>
      <c r="AS672" s="19">
        <v>0.2243178177218875</v>
      </c>
      <c r="AT672" s="19">
        <v>0.21049875234923357</v>
      </c>
      <c r="AU672" s="19">
        <v>0.23586320184707288</v>
      </c>
      <c r="AV672" s="19">
        <v>2.6628265035786941E-2</v>
      </c>
      <c r="AW672" s="19">
        <v>0.14267453536608388</v>
      </c>
      <c r="AX672" s="19">
        <v>-6.7887712388720045E-2</v>
      </c>
      <c r="AY672" s="19">
        <v>1.1682247196997149</v>
      </c>
      <c r="AZ672" s="19">
        <v>1.1570881303000939</v>
      </c>
      <c r="BA672" s="19">
        <v>1.177611121737526</v>
      </c>
      <c r="BB672" s="19">
        <v>1.0186286957559665</v>
      </c>
      <c r="BC672" s="19">
        <v>1.1039497736378208</v>
      </c>
      <c r="BD672" s="19">
        <v>-1.0481808904934267</v>
      </c>
      <c r="BE672" s="14" t="s">
        <v>4857</v>
      </c>
    </row>
    <row r="673" spans="1:105" s="30" customFormat="1" ht="17.100000000000001" customHeight="1">
      <c r="A673" s="14">
        <v>662</v>
      </c>
      <c r="B673" s="14" t="s">
        <v>987</v>
      </c>
      <c r="C673" s="32">
        <v>-1.0265542851901455</v>
      </c>
      <c r="D673" s="32">
        <v>-1.426549228976304</v>
      </c>
      <c r="E673" s="32">
        <v>1.2660793889283177</v>
      </c>
      <c r="F673" s="24">
        <v>533308</v>
      </c>
      <c r="G673" s="52" t="s">
        <v>2</v>
      </c>
      <c r="H673" s="32">
        <v>37.075473832745914</v>
      </c>
      <c r="I673" s="32">
        <v>32.859160146253927</v>
      </c>
      <c r="J673" s="12" t="s">
        <v>988</v>
      </c>
      <c r="K673" s="12" t="s">
        <v>989</v>
      </c>
      <c r="L673" s="14" t="s">
        <v>5028</v>
      </c>
      <c r="M673" s="12" t="s">
        <v>990</v>
      </c>
      <c r="N673" s="15" t="s">
        <v>991</v>
      </c>
      <c r="O673" s="12" t="s">
        <v>992</v>
      </c>
      <c r="P673" s="12" t="s">
        <v>993</v>
      </c>
      <c r="Q673" s="14">
        <v>2</v>
      </c>
      <c r="R673" s="21">
        <v>599.3184</v>
      </c>
      <c r="S673" s="14">
        <v>16</v>
      </c>
      <c r="T673" s="52" t="s">
        <v>2</v>
      </c>
      <c r="U673" s="53">
        <v>35.684525000000001</v>
      </c>
      <c r="V673" s="24">
        <v>489963</v>
      </c>
      <c r="W673" s="24">
        <v>305206</v>
      </c>
      <c r="X673" s="24">
        <v>386581</v>
      </c>
      <c r="Y673" s="24">
        <v>295929</v>
      </c>
      <c r="Z673" s="24">
        <v>251416</v>
      </c>
      <c r="AA673" s="24">
        <v>332822</v>
      </c>
      <c r="AB673" s="24">
        <v>599473</v>
      </c>
      <c r="AC673" s="24">
        <v>467143</v>
      </c>
      <c r="AD673" s="24">
        <v>369419.75</v>
      </c>
      <c r="AE673" s="24">
        <v>412713.5</v>
      </c>
      <c r="AF673" s="24">
        <v>397584.5</v>
      </c>
      <c r="AG673" s="24">
        <v>341255</v>
      </c>
      <c r="AH673" s="24">
        <v>292119</v>
      </c>
      <c r="AI673" s="24">
        <v>533308</v>
      </c>
      <c r="AJ673" s="32">
        <v>24.387321570969906</v>
      </c>
      <c r="AK673" s="32">
        <v>37.075473832745914</v>
      </c>
      <c r="AL673" s="32">
        <v>32.859160146253927</v>
      </c>
      <c r="AM673" s="32">
        <v>18.783796260310588</v>
      </c>
      <c r="AN673" s="32">
        <v>19.705234726009639</v>
      </c>
      <c r="AO673" s="32">
        <v>17.545478476680611</v>
      </c>
      <c r="AP673" s="19">
        <v>1.1171939237141491</v>
      </c>
      <c r="AQ673" s="19">
        <v>0.73473437722043988</v>
      </c>
      <c r="AR673" s="19">
        <v>1.562784428066988</v>
      </c>
      <c r="AS673" s="19">
        <v>0.15987963210384154</v>
      </c>
      <c r="AT673" s="19">
        <v>-0.44470531694980703</v>
      </c>
      <c r="AU673" s="19">
        <v>0.64411878537030065</v>
      </c>
      <c r="AV673" s="19">
        <v>-3.7809920582259016E-2</v>
      </c>
      <c r="AW673" s="19">
        <v>-0.51252953393295675</v>
      </c>
      <c r="AX673" s="19">
        <v>0.34036787113450773</v>
      </c>
      <c r="AY673" s="19">
        <v>1.1171939237141491</v>
      </c>
      <c r="AZ673" s="19">
        <v>-1.3610360846093545</v>
      </c>
      <c r="BA673" s="19">
        <v>1.562784428066988</v>
      </c>
      <c r="BB673" s="19">
        <v>-1.0265542851901455</v>
      </c>
      <c r="BC673" s="19">
        <v>-1.426549228976304</v>
      </c>
      <c r="BD673" s="19">
        <v>1.2660793889283177</v>
      </c>
      <c r="BE673" s="14" t="s">
        <v>4857</v>
      </c>
    </row>
    <row r="674" spans="1:105" s="30" customFormat="1" ht="17.100000000000001" customHeight="1">
      <c r="A674" s="14">
        <v>663</v>
      </c>
      <c r="B674" s="14" t="s">
        <v>997</v>
      </c>
      <c r="C674" s="32">
        <v>-1.1868161452293775</v>
      </c>
      <c r="D674" s="32">
        <v>-1.184477492246685</v>
      </c>
      <c r="E674" s="32">
        <v>-1.1984084522399783</v>
      </c>
      <c r="F674" s="24">
        <v>54950</v>
      </c>
      <c r="G674" s="52" t="s">
        <v>2</v>
      </c>
      <c r="H674" s="32">
        <v>26.752514585154998</v>
      </c>
      <c r="I674" s="32">
        <v>34.858309925409934</v>
      </c>
      <c r="J674" s="12" t="s">
        <v>998</v>
      </c>
      <c r="K674" s="12" t="s">
        <v>999</v>
      </c>
      <c r="L674" s="14" t="s">
        <v>4221</v>
      </c>
      <c r="M674" s="12" t="s">
        <v>1000</v>
      </c>
      <c r="N674" s="15" t="s">
        <v>1001</v>
      </c>
      <c r="O674" s="12" t="s">
        <v>1002</v>
      </c>
      <c r="P674" s="12" t="s">
        <v>1003</v>
      </c>
      <c r="Q674" s="14">
        <v>2</v>
      </c>
      <c r="R674" s="21">
        <v>546.26110000000006</v>
      </c>
      <c r="S674" s="14">
        <v>1</v>
      </c>
      <c r="T674" s="52" t="s">
        <v>2</v>
      </c>
      <c r="U674" s="53">
        <v>30.3</v>
      </c>
      <c r="V674" s="24">
        <v>40400</v>
      </c>
      <c r="W674" s="24">
        <v>43000</v>
      </c>
      <c r="X674" s="24">
        <v>40200</v>
      </c>
      <c r="Y674" s="24">
        <v>66500</v>
      </c>
      <c r="Z674" s="24">
        <v>34100</v>
      </c>
      <c r="AA674" s="24">
        <v>39700</v>
      </c>
      <c r="AB674" s="24">
        <v>56600</v>
      </c>
      <c r="AC674" s="24">
        <v>53300</v>
      </c>
      <c r="AD674" s="24">
        <v>47525</v>
      </c>
      <c r="AE674" s="24">
        <v>45925</v>
      </c>
      <c r="AF674" s="24">
        <v>41700</v>
      </c>
      <c r="AG674" s="24">
        <v>53350</v>
      </c>
      <c r="AH674" s="24">
        <v>36900</v>
      </c>
      <c r="AI674" s="24">
        <v>54950</v>
      </c>
      <c r="AJ674" s="32">
        <v>26.752514585154998</v>
      </c>
      <c r="AK674" s="32">
        <v>23.415830781680793</v>
      </c>
      <c r="AL674" s="32">
        <v>4.408819259196699</v>
      </c>
      <c r="AM674" s="32">
        <v>34.858309925409934</v>
      </c>
      <c r="AN674" s="32">
        <v>10.731159822885274</v>
      </c>
      <c r="AO674" s="32">
        <v>4.2465011427035613</v>
      </c>
      <c r="AP674" s="19">
        <v>0.96633350867964229</v>
      </c>
      <c r="AQ674" s="19">
        <v>0.8848920863309353</v>
      </c>
      <c r="AR674" s="19">
        <v>1.0299906279287723</v>
      </c>
      <c r="AS674" s="19">
        <v>-4.9406905537202568E-2</v>
      </c>
      <c r="AT674" s="19">
        <v>-0.17642656738426749</v>
      </c>
      <c r="AU674" s="19">
        <v>4.2631210124806203E-2</v>
      </c>
      <c r="AV674" s="19">
        <v>-0.24709645822330312</v>
      </c>
      <c r="AW674" s="19">
        <v>-0.24425078436741721</v>
      </c>
      <c r="AX674" s="19">
        <v>-0.26111970411098673</v>
      </c>
      <c r="AY674" s="19">
        <v>-1.0348394120849211</v>
      </c>
      <c r="AZ674" s="19">
        <v>-1.1300813008130082</v>
      </c>
      <c r="BA674" s="19">
        <v>1.0299906279287723</v>
      </c>
      <c r="BB674" s="19">
        <v>-1.1868161452293775</v>
      </c>
      <c r="BC674" s="19">
        <v>-1.184477492246685</v>
      </c>
      <c r="BD674" s="19">
        <v>-1.1984084522399783</v>
      </c>
      <c r="BE674" s="14" t="s">
        <v>4857</v>
      </c>
    </row>
    <row r="675" spans="1:105" s="30" customFormat="1" ht="17.100000000000001" customHeight="1">
      <c r="A675" s="14">
        <v>664</v>
      </c>
      <c r="B675" s="14" t="s">
        <v>1004</v>
      </c>
      <c r="C675" s="32">
        <v>-1.0368567382300944</v>
      </c>
      <c r="D675" s="32">
        <v>-1.2394154996383344</v>
      </c>
      <c r="E675" s="32">
        <v>1.1339088523817455</v>
      </c>
      <c r="F675" s="24">
        <v>82376.5</v>
      </c>
      <c r="G675" s="52" t="s">
        <v>2</v>
      </c>
      <c r="H675" s="32">
        <v>23.968733647705033</v>
      </c>
      <c r="I675" s="32">
        <v>13.562090839477293</v>
      </c>
      <c r="J675" s="12" t="s">
        <v>1005</v>
      </c>
      <c r="K675" s="12" t="s">
        <v>1006</v>
      </c>
      <c r="L675" s="14" t="s">
        <v>5107</v>
      </c>
      <c r="M675" s="12" t="s">
        <v>1007</v>
      </c>
      <c r="N675" s="15" t="s">
        <v>1008</v>
      </c>
      <c r="O675" s="12" t="s">
        <v>1009</v>
      </c>
      <c r="P675" s="12" t="s">
        <v>1010</v>
      </c>
      <c r="Q675" s="14">
        <v>2</v>
      </c>
      <c r="R675" s="21">
        <v>644.3306</v>
      </c>
      <c r="S675" s="14">
        <v>8</v>
      </c>
      <c r="T675" s="52" t="s">
        <v>2</v>
      </c>
      <c r="U675" s="53">
        <v>27.1763625</v>
      </c>
      <c r="V675" s="24">
        <v>72703</v>
      </c>
      <c r="W675" s="24">
        <v>59979</v>
      </c>
      <c r="X675" s="24">
        <v>62903</v>
      </c>
      <c r="Y675" s="24">
        <v>54808</v>
      </c>
      <c r="Z675" s="24">
        <v>51816</v>
      </c>
      <c r="AA675" s="24">
        <v>60389</v>
      </c>
      <c r="AB675" s="24">
        <v>75334</v>
      </c>
      <c r="AC675" s="24">
        <v>89419</v>
      </c>
      <c r="AD675" s="24">
        <v>62598.25</v>
      </c>
      <c r="AE675" s="24">
        <v>69239.5</v>
      </c>
      <c r="AF675" s="24">
        <v>66341</v>
      </c>
      <c r="AG675" s="24">
        <v>58855.5</v>
      </c>
      <c r="AH675" s="24">
        <v>56102.5</v>
      </c>
      <c r="AI675" s="24">
        <v>82376.5</v>
      </c>
      <c r="AJ675" s="32">
        <v>12.016517734181994</v>
      </c>
      <c r="AK675" s="32">
        <v>23.968733647705033</v>
      </c>
      <c r="AL675" s="32">
        <v>13.562090839477293</v>
      </c>
      <c r="AM675" s="32">
        <v>9.7255641251966285</v>
      </c>
      <c r="AN675" s="32">
        <v>10.80526970297629</v>
      </c>
      <c r="AO675" s="32">
        <v>12.090340100650696</v>
      </c>
      <c r="AP675" s="19">
        <v>1.1060932214558714</v>
      </c>
      <c r="AQ675" s="19">
        <v>0.84566859106736403</v>
      </c>
      <c r="AR675" s="19">
        <v>1.3996397957709985</v>
      </c>
      <c r="AS675" s="19">
        <v>0.14547298092933036</v>
      </c>
      <c r="AT675" s="19">
        <v>-0.24183569832342247</v>
      </c>
      <c r="AU675" s="19">
        <v>0.48505559022858941</v>
      </c>
      <c r="AV675" s="19">
        <v>-5.2216571756770191E-2</v>
      </c>
      <c r="AW675" s="19">
        <v>-0.30965991530657216</v>
      </c>
      <c r="AX675" s="19">
        <v>0.18130467599279648</v>
      </c>
      <c r="AY675" s="19">
        <v>1.1060932214558714</v>
      </c>
      <c r="AZ675" s="19">
        <v>-1.1824963236932402</v>
      </c>
      <c r="BA675" s="19">
        <v>1.3996397957709985</v>
      </c>
      <c r="BB675" s="19">
        <v>-1.0368567382300944</v>
      </c>
      <c r="BC675" s="19">
        <v>-1.2394154996383344</v>
      </c>
      <c r="BD675" s="19">
        <v>1.1339088523817455</v>
      </c>
      <c r="BE675" s="14" t="s">
        <v>4857</v>
      </c>
    </row>
    <row r="676" spans="1:105" s="30" customFormat="1" ht="17.100000000000001" customHeight="1">
      <c r="A676" s="14">
        <v>665</v>
      </c>
      <c r="B676" s="14" t="s">
        <v>1011</v>
      </c>
      <c r="C676" s="32">
        <v>-1.2571216242657093</v>
      </c>
      <c r="D676" s="32">
        <v>-1.0537294579269696</v>
      </c>
      <c r="E676" s="32">
        <v>-1.4593741708748516</v>
      </c>
      <c r="F676" s="24">
        <v>138661</v>
      </c>
      <c r="G676" s="52" t="s">
        <v>2</v>
      </c>
      <c r="H676" s="32">
        <v>22.927916100970556</v>
      </c>
      <c r="I676" s="32">
        <v>38.283567417432742</v>
      </c>
      <c r="J676" s="12" t="s">
        <v>1005</v>
      </c>
      <c r="K676" s="12" t="s">
        <v>1006</v>
      </c>
      <c r="L676" s="14" t="s">
        <v>5017</v>
      </c>
      <c r="M676" s="12" t="s">
        <v>1007</v>
      </c>
      <c r="N676" s="15" t="s">
        <v>1008</v>
      </c>
      <c r="O676" s="12" t="s">
        <v>1009</v>
      </c>
      <c r="P676" s="12" t="s">
        <v>1012</v>
      </c>
      <c r="Q676" s="14">
        <v>3</v>
      </c>
      <c r="R676" s="21">
        <v>822.44050000000004</v>
      </c>
      <c r="S676" s="14">
        <v>3</v>
      </c>
      <c r="T676" s="52" t="s">
        <v>2</v>
      </c>
      <c r="U676" s="53">
        <v>66.328400000000002</v>
      </c>
      <c r="V676" s="24">
        <v>125487</v>
      </c>
      <c r="W676" s="24">
        <v>98266</v>
      </c>
      <c r="X676" s="24">
        <v>151219</v>
      </c>
      <c r="Y676" s="24">
        <v>126103</v>
      </c>
      <c r="Z676" s="24">
        <v>109310</v>
      </c>
      <c r="AA676" s="24">
        <v>113255</v>
      </c>
      <c r="AB676" s="24">
        <v>149029</v>
      </c>
      <c r="AC676" s="24">
        <v>85532</v>
      </c>
      <c r="AD676" s="24">
        <v>125268.75</v>
      </c>
      <c r="AE676" s="24">
        <v>114281.5</v>
      </c>
      <c r="AF676" s="24">
        <v>111876.5</v>
      </c>
      <c r="AG676" s="24">
        <v>138661</v>
      </c>
      <c r="AH676" s="24">
        <v>111282.5</v>
      </c>
      <c r="AI676" s="24">
        <v>117280.5</v>
      </c>
      <c r="AJ676" s="32">
        <v>17.265257728973996</v>
      </c>
      <c r="AK676" s="32">
        <v>22.927916100970556</v>
      </c>
      <c r="AL676" s="32">
        <v>17.204822899070859</v>
      </c>
      <c r="AM676" s="32">
        <v>12.807994977882267</v>
      </c>
      <c r="AN676" s="32">
        <v>2.5067160171463887</v>
      </c>
      <c r="AO676" s="32">
        <v>38.283567417432742</v>
      </c>
      <c r="AP676" s="19">
        <v>0.91229057526318413</v>
      </c>
      <c r="AQ676" s="19">
        <v>0.99469057398113103</v>
      </c>
      <c r="AR676" s="19">
        <v>0.84580740078320504</v>
      </c>
      <c r="AS676" s="19">
        <v>-0.13243468198613961</v>
      </c>
      <c r="AT676" s="19">
        <v>-7.680289642561575E-3</v>
      </c>
      <c r="AU676" s="19">
        <v>-0.24159891093762989</v>
      </c>
      <c r="AV676" s="19">
        <v>-0.33012423467224017</v>
      </c>
      <c r="AW676" s="19">
        <v>-7.5504506625711287E-2</v>
      </c>
      <c r="AX676" s="19">
        <v>-0.54534982517342279</v>
      </c>
      <c r="AY676" s="19">
        <v>-1.0961419827356134</v>
      </c>
      <c r="AZ676" s="19">
        <v>-1.005337766495181</v>
      </c>
      <c r="BA676" s="19">
        <v>-1.1823022582611773</v>
      </c>
      <c r="BB676" s="19">
        <v>-1.2571216242657093</v>
      </c>
      <c r="BC676" s="19">
        <v>-1.0537294579269696</v>
      </c>
      <c r="BD676" s="19">
        <v>-1.4593741708748516</v>
      </c>
      <c r="BE676" s="14" t="s">
        <v>4857</v>
      </c>
    </row>
    <row r="677" spans="1:105" s="30" customFormat="1" ht="17.100000000000001" customHeight="1">
      <c r="A677" s="14">
        <v>666</v>
      </c>
      <c r="B677" s="14" t="s">
        <v>1013</v>
      </c>
      <c r="C677" s="32">
        <v>1.0147648558447377</v>
      </c>
      <c r="D677" s="32">
        <v>1.3458620230370986</v>
      </c>
      <c r="E677" s="32">
        <v>-1.2787442513224085</v>
      </c>
      <c r="F677" s="24">
        <v>718364.5</v>
      </c>
      <c r="G677" s="52" t="s">
        <v>2</v>
      </c>
      <c r="H677" s="32">
        <v>12.722611337444217</v>
      </c>
      <c r="I677" s="32">
        <v>4.676643999105476</v>
      </c>
      <c r="J677" s="12" t="s">
        <v>1014</v>
      </c>
      <c r="K677" s="15" t="s">
        <v>1015</v>
      </c>
      <c r="L677" s="14" t="s">
        <v>5085</v>
      </c>
      <c r="M677" s="12" t="s">
        <v>1016</v>
      </c>
      <c r="N677" s="15" t="s">
        <v>1017</v>
      </c>
      <c r="O677" s="12" t="s">
        <v>1018</v>
      </c>
      <c r="P677" s="12" t="s">
        <v>1019</v>
      </c>
      <c r="Q677" s="14">
        <v>2</v>
      </c>
      <c r="R677" s="21">
        <v>416.73180000000002</v>
      </c>
      <c r="S677" s="14">
        <v>7</v>
      </c>
      <c r="T677" s="52" t="s">
        <v>2</v>
      </c>
      <c r="U677" s="53">
        <v>29.0024625</v>
      </c>
      <c r="V677" s="24">
        <v>520905</v>
      </c>
      <c r="W677" s="24">
        <v>497586</v>
      </c>
      <c r="X677" s="24">
        <v>643157</v>
      </c>
      <c r="Y677" s="24">
        <v>623352</v>
      </c>
      <c r="Z677" s="24">
        <v>694609</v>
      </c>
      <c r="AA677" s="24">
        <v>742120</v>
      </c>
      <c r="AB677" s="24">
        <v>614814</v>
      </c>
      <c r="AC677" s="24">
        <v>607725</v>
      </c>
      <c r="AD677" s="24">
        <v>571250</v>
      </c>
      <c r="AE677" s="24">
        <v>664817</v>
      </c>
      <c r="AF677" s="24">
        <v>509245.5</v>
      </c>
      <c r="AG677" s="24">
        <v>633254.5</v>
      </c>
      <c r="AH677" s="24">
        <v>718364.5</v>
      </c>
      <c r="AI677" s="24">
        <v>611269.5</v>
      </c>
      <c r="AJ677" s="32">
        <v>12.722611337444217</v>
      </c>
      <c r="AK677" s="32">
        <v>9.7570942643293659</v>
      </c>
      <c r="AL677" s="32">
        <v>3.2379320053862237</v>
      </c>
      <c r="AM677" s="32">
        <v>2.2114726072060402</v>
      </c>
      <c r="AN677" s="32">
        <v>4.676643999105476</v>
      </c>
      <c r="AO677" s="32">
        <v>0.8200441821212141</v>
      </c>
      <c r="AP677" s="19">
        <v>1.1637934354485777</v>
      </c>
      <c r="AQ677" s="19">
        <v>1.4106447676022664</v>
      </c>
      <c r="AR677" s="19">
        <v>0.96528252069270726</v>
      </c>
      <c r="AS677" s="19">
        <v>0.21883501348706622</v>
      </c>
      <c r="AT677" s="19">
        <v>0.49635473028689675</v>
      </c>
      <c r="AU677" s="19">
        <v>-5.0976840020406283E-2</v>
      </c>
      <c r="AV677" s="19">
        <v>2.114546080096566E-2</v>
      </c>
      <c r="AW677" s="19">
        <v>0.42853051330374703</v>
      </c>
      <c r="AX677" s="19">
        <v>-0.35472775425619918</v>
      </c>
      <c r="AY677" s="19">
        <v>1.1637934354485777</v>
      </c>
      <c r="AZ677" s="19">
        <v>1.4106447676022664</v>
      </c>
      <c r="BA677" s="19">
        <v>-1.0359661327777683</v>
      </c>
      <c r="BB677" s="19">
        <v>1.0147648558447377</v>
      </c>
      <c r="BC677" s="19">
        <v>1.3458620230370986</v>
      </c>
      <c r="BD677" s="19">
        <v>-1.2787442513224085</v>
      </c>
      <c r="BE677" s="14" t="s">
        <v>4857</v>
      </c>
    </row>
    <row r="678" spans="1:105" s="30" customFormat="1" ht="17.100000000000001" customHeight="1">
      <c r="A678" s="14">
        <v>667</v>
      </c>
      <c r="B678" s="14" t="s">
        <v>1020</v>
      </c>
      <c r="C678" s="32">
        <v>1.2223829209206549</v>
      </c>
      <c r="D678" s="32">
        <v>1.3130515375612437</v>
      </c>
      <c r="E678" s="32">
        <v>1.1550980262309329</v>
      </c>
      <c r="F678" s="24">
        <v>21419</v>
      </c>
      <c r="G678" s="52" t="s">
        <v>2</v>
      </c>
      <c r="H678" s="32">
        <v>48.863162179428336</v>
      </c>
      <c r="I678" s="32">
        <v>74.99638771606098</v>
      </c>
      <c r="J678" s="12" t="s">
        <v>1021</v>
      </c>
      <c r="K678" s="12" t="s">
        <v>1022</v>
      </c>
      <c r="L678" s="14" t="s">
        <v>1023</v>
      </c>
      <c r="M678" s="12" t="s">
        <v>1024</v>
      </c>
      <c r="N678" s="15" t="s">
        <v>1025</v>
      </c>
      <c r="O678" s="12" t="s">
        <v>1026</v>
      </c>
      <c r="P678" s="12" t="s">
        <v>1028</v>
      </c>
      <c r="Q678" s="14">
        <v>3</v>
      </c>
      <c r="R678" s="21">
        <v>786.01430000000005</v>
      </c>
      <c r="S678" s="14">
        <v>4</v>
      </c>
      <c r="T678" s="52" t="s">
        <v>2</v>
      </c>
      <c r="U678" s="53">
        <v>28.869075000000002</v>
      </c>
      <c r="V678" s="24">
        <v>10619</v>
      </c>
      <c r="W678" s="24">
        <v>17370</v>
      </c>
      <c r="X678" s="24">
        <v>7056</v>
      </c>
      <c r="Y678" s="24">
        <v>22989</v>
      </c>
      <c r="Z678" s="24">
        <v>15497</v>
      </c>
      <c r="AA678" s="24">
        <v>23023</v>
      </c>
      <c r="AB678" s="24">
        <v>19654</v>
      </c>
      <c r="AC678" s="24">
        <v>23184</v>
      </c>
      <c r="AD678" s="24">
        <v>14508.5</v>
      </c>
      <c r="AE678" s="24">
        <v>20339.5</v>
      </c>
      <c r="AF678" s="24">
        <v>13994.5</v>
      </c>
      <c r="AG678" s="24">
        <v>15022.5</v>
      </c>
      <c r="AH678" s="24">
        <v>19260</v>
      </c>
      <c r="AI678" s="24">
        <v>21419</v>
      </c>
      <c r="AJ678" s="32">
        <v>48.863162179428336</v>
      </c>
      <c r="AK678" s="32">
        <v>17.774974204625185</v>
      </c>
      <c r="AL678" s="32">
        <v>34.11109993061833</v>
      </c>
      <c r="AM678" s="32">
        <v>74.99638771606098</v>
      </c>
      <c r="AN678" s="32">
        <v>27.630766537954081</v>
      </c>
      <c r="AO678" s="32">
        <v>11.653610988321176</v>
      </c>
      <c r="AP678" s="19">
        <v>1.4019023331150704</v>
      </c>
      <c r="AQ678" s="19">
        <v>1.3762549573046554</v>
      </c>
      <c r="AR678" s="19">
        <v>1.4257946413712763</v>
      </c>
      <c r="AS678" s="19">
        <v>0.48738584404281288</v>
      </c>
      <c r="AT678" s="19">
        <v>0.46074776042249577</v>
      </c>
      <c r="AU678" s="19">
        <v>0.51176620393449224</v>
      </c>
      <c r="AV678" s="19">
        <v>0.28969629135671232</v>
      </c>
      <c r="AW678" s="19">
        <v>0.39292354343934605</v>
      </c>
      <c r="AX678" s="19">
        <v>0.20801528969869931</v>
      </c>
      <c r="AY678" s="19">
        <v>1.4019023331150704</v>
      </c>
      <c r="AZ678" s="19">
        <v>1.3762549573046554</v>
      </c>
      <c r="BA678" s="19">
        <v>1.4257946413712763</v>
      </c>
      <c r="BB678" s="19">
        <v>1.2223829209206549</v>
      </c>
      <c r="BC678" s="19">
        <v>1.3130515375612437</v>
      </c>
      <c r="BD678" s="19">
        <v>1.1550980262309329</v>
      </c>
      <c r="BE678" s="14" t="s">
        <v>4857</v>
      </c>
    </row>
    <row r="679" spans="1:105" s="30" customFormat="1" ht="17.100000000000001" customHeight="1">
      <c r="A679" s="14">
        <v>668</v>
      </c>
      <c r="B679" s="14" t="s">
        <v>1029</v>
      </c>
      <c r="C679" s="32">
        <v>1.3589039402965284</v>
      </c>
      <c r="D679" s="32">
        <v>1.2112350919858266</v>
      </c>
      <c r="E679" s="32">
        <v>1.4984571744103627</v>
      </c>
      <c r="F679" s="24">
        <v>36124</v>
      </c>
      <c r="G679" s="52" t="s">
        <v>2</v>
      </c>
      <c r="H679" s="32">
        <v>27.500987804904636</v>
      </c>
      <c r="I679" s="32">
        <v>25.92829261321285</v>
      </c>
      <c r="J679" s="12" t="s">
        <v>1030</v>
      </c>
      <c r="K679" s="12" t="s">
        <v>1031</v>
      </c>
      <c r="L679" s="14" t="s">
        <v>5315</v>
      </c>
      <c r="M679" s="12" t="s">
        <v>1032</v>
      </c>
      <c r="N679" s="15" t="s">
        <v>1033</v>
      </c>
      <c r="O679" s="12" t="s">
        <v>1034</v>
      </c>
      <c r="P679" s="12" t="s">
        <v>1035</v>
      </c>
      <c r="Q679" s="14">
        <v>3</v>
      </c>
      <c r="R679" s="21">
        <v>688.32299999999998</v>
      </c>
      <c r="S679" s="14">
        <v>1</v>
      </c>
      <c r="T679" s="52" t="s">
        <v>2</v>
      </c>
      <c r="U679" s="53">
        <v>35.182400000000001</v>
      </c>
      <c r="V679" s="24">
        <v>21307</v>
      </c>
      <c r="W679" s="24">
        <v>18053</v>
      </c>
      <c r="X679" s="24">
        <v>22486</v>
      </c>
      <c r="Y679" s="24">
        <v>16575</v>
      </c>
      <c r="Z679" s="24">
        <v>24999</v>
      </c>
      <c r="AA679" s="24">
        <v>24970</v>
      </c>
      <c r="AB679" s="24">
        <v>29501</v>
      </c>
      <c r="AC679" s="24">
        <v>42747</v>
      </c>
      <c r="AD679" s="24">
        <v>19605.25</v>
      </c>
      <c r="AE679" s="24">
        <v>30554.25</v>
      </c>
      <c r="AF679" s="24">
        <v>19680</v>
      </c>
      <c r="AG679" s="24">
        <v>19530.5</v>
      </c>
      <c r="AH679" s="24">
        <v>24984.5</v>
      </c>
      <c r="AI679" s="24">
        <v>36124</v>
      </c>
      <c r="AJ679" s="32">
        <v>14.057446991953087</v>
      </c>
      <c r="AK679" s="32">
        <v>27.500987804904636</v>
      </c>
      <c r="AL679" s="32">
        <v>11.691694440960497</v>
      </c>
      <c r="AM679" s="32">
        <v>21.400927695623164</v>
      </c>
      <c r="AN679" s="32">
        <v>8.2075273287077491E-2</v>
      </c>
      <c r="AO679" s="32">
        <v>25.92829261321285</v>
      </c>
      <c r="AP679" s="19">
        <v>1.5584728580354752</v>
      </c>
      <c r="AQ679" s="19">
        <v>1.2695376016260163</v>
      </c>
      <c r="AR679" s="19">
        <v>1.8496198254012954</v>
      </c>
      <c r="AS679" s="19">
        <v>0.64013302957438323</v>
      </c>
      <c r="AT679" s="19">
        <v>0.34430312588420664</v>
      </c>
      <c r="AU679" s="19">
        <v>0.88722876675683326</v>
      </c>
      <c r="AV679" s="19">
        <v>0.44244347688828267</v>
      </c>
      <c r="AW679" s="19">
        <v>0.27647890890105692</v>
      </c>
      <c r="AX679" s="19">
        <v>0.58347785252104034</v>
      </c>
      <c r="AY679" s="19">
        <v>1.5584728580354752</v>
      </c>
      <c r="AZ679" s="19">
        <v>1.2695376016260163</v>
      </c>
      <c r="BA679" s="19">
        <v>1.8496198254012954</v>
      </c>
      <c r="BB679" s="19">
        <v>1.3589039402965284</v>
      </c>
      <c r="BC679" s="19">
        <v>1.2112350919858266</v>
      </c>
      <c r="BD679" s="19">
        <v>1.4984571744103627</v>
      </c>
      <c r="BE679" s="14" t="s">
        <v>4857</v>
      </c>
    </row>
    <row r="680" spans="1:105" s="30" customFormat="1" ht="17.100000000000001" customHeight="1">
      <c r="A680" s="14">
        <v>669</v>
      </c>
      <c r="B680" s="14" t="s">
        <v>1036</v>
      </c>
      <c r="C680" s="32">
        <v>-1.1654659886508894</v>
      </c>
      <c r="D680" s="32">
        <v>1.1536732373018934</v>
      </c>
      <c r="E680" s="32">
        <v>-1.5548408065695771</v>
      </c>
      <c r="F680" s="24">
        <v>43350</v>
      </c>
      <c r="G680" s="52" t="s">
        <v>2</v>
      </c>
      <c r="H680" s="32">
        <v>37.000502924256395</v>
      </c>
      <c r="I680" s="32">
        <v>43.643385901128156</v>
      </c>
      <c r="J680" s="12" t="s">
        <v>1030</v>
      </c>
      <c r="K680" s="12" t="s">
        <v>1031</v>
      </c>
      <c r="L680" s="14" t="s">
        <v>3734</v>
      </c>
      <c r="M680" s="12" t="s">
        <v>1032</v>
      </c>
      <c r="N680" s="15" t="s">
        <v>1033</v>
      </c>
      <c r="O680" s="12" t="s">
        <v>1034</v>
      </c>
      <c r="P680" s="12" t="s">
        <v>1037</v>
      </c>
      <c r="Q680" s="14">
        <v>2</v>
      </c>
      <c r="R680" s="21">
        <v>645.33839999999998</v>
      </c>
      <c r="S680" s="14">
        <v>4</v>
      </c>
      <c r="T680" s="52" t="s">
        <v>2</v>
      </c>
      <c r="U680" s="53">
        <v>21.5</v>
      </c>
      <c r="V680" s="24">
        <v>41500</v>
      </c>
      <c r="W680" s="24">
        <v>30200</v>
      </c>
      <c r="X680" s="24">
        <v>39300</v>
      </c>
      <c r="Y680" s="24">
        <v>45600</v>
      </c>
      <c r="Z680" s="24">
        <v>55600</v>
      </c>
      <c r="AA680" s="24">
        <v>31100</v>
      </c>
      <c r="AB680" s="24">
        <v>44100</v>
      </c>
      <c r="AC680" s="24">
        <v>23300</v>
      </c>
      <c r="AD680" s="24">
        <v>39150</v>
      </c>
      <c r="AE680" s="24">
        <v>38525</v>
      </c>
      <c r="AF680" s="24">
        <v>35850</v>
      </c>
      <c r="AG680" s="24">
        <v>42450</v>
      </c>
      <c r="AH680" s="24">
        <v>43350</v>
      </c>
      <c r="AI680" s="24">
        <v>33700</v>
      </c>
      <c r="AJ680" s="32">
        <v>16.635524633954805</v>
      </c>
      <c r="AK680" s="32">
        <v>37.000502924256395</v>
      </c>
      <c r="AL680" s="32">
        <v>22.288163535308193</v>
      </c>
      <c r="AM680" s="32">
        <v>10.494164243757949</v>
      </c>
      <c r="AN680" s="32">
        <v>39.963359028997495</v>
      </c>
      <c r="AO680" s="32">
        <v>43.643385901128156</v>
      </c>
      <c r="AP680" s="19">
        <v>0.98403575989782888</v>
      </c>
      <c r="AQ680" s="19">
        <v>1.2092050209205021</v>
      </c>
      <c r="AR680" s="19">
        <v>0.79387514723203767</v>
      </c>
      <c r="AS680" s="19">
        <v>-2.3217350776255342E-2</v>
      </c>
      <c r="AT680" s="19">
        <v>0.27405887451993022</v>
      </c>
      <c r="AU680" s="19">
        <v>-0.33301596237118009</v>
      </c>
      <c r="AV680" s="19">
        <v>-0.22090690346235589</v>
      </c>
      <c r="AW680" s="19">
        <v>0.2062346575367805</v>
      </c>
      <c r="AX680" s="19">
        <v>-0.63676687660697295</v>
      </c>
      <c r="AY680" s="19">
        <v>-1.0162232316677482</v>
      </c>
      <c r="AZ680" s="19">
        <v>1.2092050209205021</v>
      </c>
      <c r="BA680" s="19">
        <v>-1.2596439169139466</v>
      </c>
      <c r="BB680" s="19">
        <v>-1.1654659886508894</v>
      </c>
      <c r="BC680" s="19">
        <v>1.1536732373018934</v>
      </c>
      <c r="BD680" s="19">
        <v>-1.5548408065695771</v>
      </c>
      <c r="BE680" s="14" t="s">
        <v>4857</v>
      </c>
    </row>
    <row r="681" spans="1:105" s="30" customFormat="1" ht="17.100000000000001" customHeight="1">
      <c r="A681" s="14">
        <v>670</v>
      </c>
      <c r="B681" s="14" t="s">
        <v>1038</v>
      </c>
      <c r="C681" s="32">
        <v>1.2285134171484915</v>
      </c>
      <c r="D681" s="32">
        <v>2.0709650561769872</v>
      </c>
      <c r="E681" s="32">
        <v>-1.4956994033953346</v>
      </c>
      <c r="F681" s="42">
        <v>582557</v>
      </c>
      <c r="G681" s="52" t="s">
        <v>4894</v>
      </c>
      <c r="H681" s="32">
        <v>39.021680468269807</v>
      </c>
      <c r="I681" s="32">
        <v>12.431386573078825</v>
      </c>
      <c r="J681" s="12" t="s">
        <v>1039</v>
      </c>
      <c r="K681" s="15" t="s">
        <v>1040</v>
      </c>
      <c r="L681" s="14" t="s">
        <v>3301</v>
      </c>
      <c r="M681" s="12" t="s">
        <v>1041</v>
      </c>
      <c r="N681" s="15" t="s">
        <v>1042</v>
      </c>
      <c r="O681" s="12" t="s">
        <v>1043</v>
      </c>
      <c r="P681" s="12" t="s">
        <v>1044</v>
      </c>
      <c r="Q681" s="14">
        <v>2</v>
      </c>
      <c r="R681" s="21">
        <v>502.27460000000002</v>
      </c>
      <c r="S681" s="14">
        <v>4</v>
      </c>
      <c r="T681" s="52" t="s">
        <v>4894</v>
      </c>
      <c r="U681" s="53">
        <v>23.695</v>
      </c>
      <c r="V681" s="42">
        <v>287809</v>
      </c>
      <c r="W681" s="42">
        <v>248949</v>
      </c>
      <c r="X681" s="42">
        <v>319461</v>
      </c>
      <c r="Y681" s="42">
        <v>381037</v>
      </c>
      <c r="Z681" s="42">
        <v>599466</v>
      </c>
      <c r="AA681" s="42">
        <v>565648</v>
      </c>
      <c r="AB681" s="42">
        <v>284596</v>
      </c>
      <c r="AC681" s="42">
        <v>293501</v>
      </c>
      <c r="AD681" s="42">
        <v>309314</v>
      </c>
      <c r="AE681" s="42">
        <v>435802.75</v>
      </c>
      <c r="AF681" s="42">
        <v>268379</v>
      </c>
      <c r="AG681" s="42">
        <v>350249</v>
      </c>
      <c r="AH681" s="42">
        <v>582557</v>
      </c>
      <c r="AI681" s="42">
        <v>289048.5</v>
      </c>
      <c r="AJ681" s="32">
        <v>18.052111141607604</v>
      </c>
      <c r="AK681" s="32">
        <v>39.021680468269807</v>
      </c>
      <c r="AL681" s="32">
        <v>10.238569156643864</v>
      </c>
      <c r="AM681" s="32">
        <v>12.431386573078825</v>
      </c>
      <c r="AN681" s="32">
        <v>4.1048235839869172</v>
      </c>
      <c r="AO681" s="32">
        <v>2.1784530576931571</v>
      </c>
      <c r="AP681" s="19">
        <v>1.4089331553049651</v>
      </c>
      <c r="AQ681" s="19">
        <v>2.1706504607290436</v>
      </c>
      <c r="AR681" s="19">
        <v>0.82526573951674376</v>
      </c>
      <c r="AS681" s="19">
        <v>0.49460316679471611</v>
      </c>
      <c r="AT681" s="19">
        <v>1.1181274278542328</v>
      </c>
      <c r="AU681" s="19">
        <v>-0.27706934601245248</v>
      </c>
      <c r="AV681" s="19">
        <v>0.29691361410861555</v>
      </c>
      <c r="AW681" s="19">
        <v>1.050303210871083</v>
      </c>
      <c r="AX681" s="19">
        <v>-0.5808202602482454</v>
      </c>
      <c r="AY681" s="19">
        <v>1.4089331553049651</v>
      </c>
      <c r="AZ681" s="19">
        <v>2.1706504607290436</v>
      </c>
      <c r="BA681" s="19">
        <v>-1.2117309032913162</v>
      </c>
      <c r="BB681" s="19">
        <v>1.2285134171484915</v>
      </c>
      <c r="BC681" s="19">
        <v>2.0709650561769872</v>
      </c>
      <c r="BD681" s="19">
        <v>-1.4956994033953346</v>
      </c>
      <c r="BE681" s="14" t="s">
        <v>4857</v>
      </c>
    </row>
    <row r="682" spans="1:105" s="30" customFormat="1" ht="17.100000000000001" customHeight="1">
      <c r="A682" s="14">
        <v>671</v>
      </c>
      <c r="B682" s="14" t="s">
        <v>1045</v>
      </c>
      <c r="C682" s="32">
        <v>-1.1861242163861996</v>
      </c>
      <c r="D682" s="32">
        <v>1.0206655797546131</v>
      </c>
      <c r="E682" s="32">
        <v>-1.3637283204933803</v>
      </c>
      <c r="F682" s="24">
        <v>124089</v>
      </c>
      <c r="G682" s="52" t="s">
        <v>2</v>
      </c>
      <c r="H682" s="32">
        <v>31.510036065489832</v>
      </c>
      <c r="I682" s="32">
        <v>15.174087485171686</v>
      </c>
      <c r="J682" s="12" t="s">
        <v>1039</v>
      </c>
      <c r="K682" s="15" t="s">
        <v>1040</v>
      </c>
      <c r="L682" s="14" t="s">
        <v>5054</v>
      </c>
      <c r="M682" s="12" t="s">
        <v>1041</v>
      </c>
      <c r="N682" s="15" t="s">
        <v>1042</v>
      </c>
      <c r="O682" s="12" t="s">
        <v>1043</v>
      </c>
      <c r="P682" s="12" t="s">
        <v>1046</v>
      </c>
      <c r="Q682" s="14">
        <v>3</v>
      </c>
      <c r="R682" s="21">
        <v>802.04939999999999</v>
      </c>
      <c r="S682" s="14">
        <v>8</v>
      </c>
      <c r="T682" s="52" t="s">
        <v>2</v>
      </c>
      <c r="U682" s="53">
        <v>61.788462499999994</v>
      </c>
      <c r="V682" s="24">
        <v>82482</v>
      </c>
      <c r="W682" s="24">
        <v>66497</v>
      </c>
      <c r="X682" s="24">
        <v>137291</v>
      </c>
      <c r="Y682" s="24">
        <v>110887</v>
      </c>
      <c r="Z682" s="24">
        <v>83686</v>
      </c>
      <c r="AA682" s="24">
        <v>75691</v>
      </c>
      <c r="AB682" s="24">
        <v>122425</v>
      </c>
      <c r="AC682" s="24">
        <v>102208</v>
      </c>
      <c r="AD682" s="24">
        <v>99289.25</v>
      </c>
      <c r="AE682" s="24">
        <v>96002.5</v>
      </c>
      <c r="AF682" s="24">
        <v>74489.5</v>
      </c>
      <c r="AG682" s="24">
        <v>124089</v>
      </c>
      <c r="AH682" s="24">
        <v>79688.5</v>
      </c>
      <c r="AI682" s="24">
        <v>112316.5</v>
      </c>
      <c r="AJ682" s="32">
        <v>31.510036065489832</v>
      </c>
      <c r="AK682" s="32">
        <v>21.69104354456632</v>
      </c>
      <c r="AL682" s="32">
        <v>15.174087485171686</v>
      </c>
      <c r="AM682" s="32">
        <v>15.046013305328918</v>
      </c>
      <c r="AN682" s="32">
        <v>7.0942717149732353</v>
      </c>
      <c r="AO682" s="32">
        <v>12.727940948345463</v>
      </c>
      <c r="AP682" s="19">
        <v>0.9668972220054034</v>
      </c>
      <c r="AQ682" s="19">
        <v>1.0697950717886413</v>
      </c>
      <c r="AR682" s="19">
        <v>0.90512857706968386</v>
      </c>
      <c r="AS682" s="19">
        <v>-4.8565550773180317E-2</v>
      </c>
      <c r="AT682" s="19">
        <v>9.7334462767103488E-2</v>
      </c>
      <c r="AU682" s="19">
        <v>-0.14380534763642905</v>
      </c>
      <c r="AV682" s="19">
        <v>-0.24625510345928087</v>
      </c>
      <c r="AW682" s="19">
        <v>2.9510245783953781E-2</v>
      </c>
      <c r="AX682" s="19">
        <v>-0.44755626187222197</v>
      </c>
      <c r="AY682" s="19">
        <v>-1.0342360876018855</v>
      </c>
      <c r="AZ682" s="19">
        <v>1.0697950717886413</v>
      </c>
      <c r="BA682" s="19">
        <v>-1.1048154100243508</v>
      </c>
      <c r="BB682" s="19">
        <v>-1.1861242163861996</v>
      </c>
      <c r="BC682" s="19">
        <v>1.0206655797546131</v>
      </c>
      <c r="BD682" s="19">
        <v>-1.3637283204933803</v>
      </c>
      <c r="BE682" s="14" t="s">
        <v>4857</v>
      </c>
    </row>
    <row r="683" spans="1:105" s="30" customFormat="1" ht="17.100000000000001" customHeight="1">
      <c r="A683" s="14">
        <v>672</v>
      </c>
      <c r="B683" s="14" t="s">
        <v>1047</v>
      </c>
      <c r="C683" s="32">
        <v>1.1012845125635708</v>
      </c>
      <c r="D683" s="32">
        <v>1.4881295971462822</v>
      </c>
      <c r="E683" s="32">
        <v>-1.1275733056218327</v>
      </c>
      <c r="F683" s="24">
        <v>250289</v>
      </c>
      <c r="G683" s="52" t="s">
        <v>2</v>
      </c>
      <c r="H683" s="32">
        <v>45.907480310357954</v>
      </c>
      <c r="I683" s="32">
        <v>41.221246878134941</v>
      </c>
      <c r="J683" s="12" t="s">
        <v>1048</v>
      </c>
      <c r="K683" s="12" t="s">
        <v>1049</v>
      </c>
      <c r="L683" s="14" t="s">
        <v>1994</v>
      </c>
      <c r="M683" s="12" t="s">
        <v>1050</v>
      </c>
      <c r="N683" s="15" t="s">
        <v>1051</v>
      </c>
      <c r="O683" s="12" t="s">
        <v>921</v>
      </c>
      <c r="P683" s="12" t="s">
        <v>922</v>
      </c>
      <c r="Q683" s="14">
        <v>4</v>
      </c>
      <c r="R683" s="21">
        <v>552.5027</v>
      </c>
      <c r="S683" s="14">
        <v>1</v>
      </c>
      <c r="T683" s="52" t="s">
        <v>2</v>
      </c>
      <c r="U683" s="53">
        <v>66.057175000000015</v>
      </c>
      <c r="V683" s="24">
        <v>101209</v>
      </c>
      <c r="W683" s="24">
        <v>158177</v>
      </c>
      <c r="X683" s="24">
        <v>161995</v>
      </c>
      <c r="Y683" s="24">
        <v>295281</v>
      </c>
      <c r="Z683" s="24">
        <v>250772</v>
      </c>
      <c r="AA683" s="24">
        <v>153808</v>
      </c>
      <c r="AB683" s="24">
        <v>299412</v>
      </c>
      <c r="AC683" s="24">
        <v>201166</v>
      </c>
      <c r="AD683" s="24">
        <v>179165.5</v>
      </c>
      <c r="AE683" s="24">
        <v>226289.5</v>
      </c>
      <c r="AF683" s="24">
        <v>129693</v>
      </c>
      <c r="AG683" s="24">
        <v>228638</v>
      </c>
      <c r="AH683" s="24">
        <v>202290</v>
      </c>
      <c r="AI683" s="24">
        <v>250289</v>
      </c>
      <c r="AJ683" s="32">
        <v>45.907480310357954</v>
      </c>
      <c r="AK683" s="32">
        <v>27.751510807483481</v>
      </c>
      <c r="AL683" s="32">
        <v>31.059856052859629</v>
      </c>
      <c r="AM683" s="32">
        <v>41.221246878134941</v>
      </c>
      <c r="AN683" s="32">
        <v>33.893866197524538</v>
      </c>
      <c r="AO683" s="32">
        <v>27.756079102339115</v>
      </c>
      <c r="AP683" s="19">
        <v>1.2630193871029858</v>
      </c>
      <c r="AQ683" s="19">
        <v>1.5597603571511185</v>
      </c>
      <c r="AR683" s="19">
        <v>1.0946955449225413</v>
      </c>
      <c r="AS683" s="19">
        <v>0.33687678438490237</v>
      </c>
      <c r="AT683" s="19">
        <v>0.64132438927499547</v>
      </c>
      <c r="AU683" s="19">
        <v>0.13052968543871765</v>
      </c>
      <c r="AV683" s="19">
        <v>0.13918723169880182</v>
      </c>
      <c r="AW683" s="19">
        <v>0.5735001722918458</v>
      </c>
      <c r="AX683" s="19">
        <v>-0.17322122879707527</v>
      </c>
      <c r="AY683" s="19">
        <v>1.2630193871029858</v>
      </c>
      <c r="AZ683" s="19">
        <v>1.5597603571511185</v>
      </c>
      <c r="BA683" s="19">
        <v>1.0946955449225413</v>
      </c>
      <c r="BB683" s="19">
        <v>1.1012845125635708</v>
      </c>
      <c r="BC683" s="19">
        <v>1.4881295971462822</v>
      </c>
      <c r="BD683" s="19">
        <v>-1.1275733056218327</v>
      </c>
      <c r="BE683" s="14" t="s">
        <v>4857</v>
      </c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</row>
    <row r="684" spans="1:105" s="30" customFormat="1" ht="17.100000000000001" customHeight="1">
      <c r="A684" s="14">
        <v>673</v>
      </c>
      <c r="B684" s="14" t="s">
        <v>923</v>
      </c>
      <c r="C684" s="32">
        <v>1.0161110809542226</v>
      </c>
      <c r="D684" s="32">
        <v>-1.0382168604116346</v>
      </c>
      <c r="E684" s="32">
        <v>1.0793457239427757</v>
      </c>
      <c r="F684" s="24">
        <v>188958</v>
      </c>
      <c r="G684" s="52" t="s">
        <v>2</v>
      </c>
      <c r="H684" s="32">
        <v>18.68662313862621</v>
      </c>
      <c r="I684" s="32">
        <v>27.384034812082042</v>
      </c>
      <c r="J684" s="12" t="s">
        <v>924</v>
      </c>
      <c r="K684" s="12" t="s">
        <v>925</v>
      </c>
      <c r="L684" s="14" t="s">
        <v>5243</v>
      </c>
      <c r="M684" s="12" t="s">
        <v>926</v>
      </c>
      <c r="N684" s="15" t="s">
        <v>927</v>
      </c>
      <c r="O684" s="12" t="s">
        <v>928</v>
      </c>
      <c r="P684" s="12" t="s">
        <v>930</v>
      </c>
      <c r="Q684" s="14">
        <v>2</v>
      </c>
      <c r="R684" s="21">
        <v>859.45960000000002</v>
      </c>
      <c r="S684" s="14">
        <v>7</v>
      </c>
      <c r="T684" s="52" t="s">
        <v>2</v>
      </c>
      <c r="U684" s="53">
        <v>76.194212500000006</v>
      </c>
      <c r="V684" s="24">
        <v>135198</v>
      </c>
      <c r="W684" s="24">
        <v>168796</v>
      </c>
      <c r="X684" s="24">
        <v>139268</v>
      </c>
      <c r="Y684" s="24">
        <v>144391</v>
      </c>
      <c r="Z684" s="24">
        <v>123736</v>
      </c>
      <c r="AA684" s="24">
        <v>183162</v>
      </c>
      <c r="AB684" s="24">
        <v>184274</v>
      </c>
      <c r="AC684" s="24">
        <v>193642</v>
      </c>
      <c r="AD684" s="24">
        <v>146913.25</v>
      </c>
      <c r="AE684" s="24">
        <v>171203.5</v>
      </c>
      <c r="AF684" s="24">
        <v>151997</v>
      </c>
      <c r="AG684" s="24">
        <v>141829.5</v>
      </c>
      <c r="AH684" s="24">
        <v>153449</v>
      </c>
      <c r="AI684" s="24">
        <v>188958</v>
      </c>
      <c r="AJ684" s="32">
        <v>10.254732926104369</v>
      </c>
      <c r="AK684" s="32">
        <v>18.68662313862621</v>
      </c>
      <c r="AL684" s="32">
        <v>15.630159565192486</v>
      </c>
      <c r="AM684" s="32">
        <v>2.5541287531992167</v>
      </c>
      <c r="AN684" s="32">
        <v>27.384034812082042</v>
      </c>
      <c r="AO684" s="32">
        <v>3.5056342288527489</v>
      </c>
      <c r="AP684" s="19">
        <v>1.1653373674600487</v>
      </c>
      <c r="AQ684" s="19">
        <v>1.0095528201214499</v>
      </c>
      <c r="AR684" s="19">
        <v>1.3322898268695864</v>
      </c>
      <c r="AS684" s="19">
        <v>0.220747678400421</v>
      </c>
      <c r="AT684" s="19">
        <v>1.371639490291675E-2</v>
      </c>
      <c r="AU684" s="19">
        <v>0.41390796101569993</v>
      </c>
      <c r="AV684" s="19">
        <v>2.3058125714320449E-2</v>
      </c>
      <c r="AW684" s="19">
        <v>-5.4107822080232959E-2</v>
      </c>
      <c r="AX684" s="19">
        <v>0.11015704677990701</v>
      </c>
      <c r="AY684" s="19">
        <v>1.1653373674600487</v>
      </c>
      <c r="AZ684" s="19">
        <v>1.0095528201214499</v>
      </c>
      <c r="BA684" s="19">
        <v>1.3322898268695864</v>
      </c>
      <c r="BB684" s="19">
        <v>1.0161110809542226</v>
      </c>
      <c r="BC684" s="19">
        <v>-1.0382168604116346</v>
      </c>
      <c r="BD684" s="19">
        <v>1.0793457239427757</v>
      </c>
      <c r="BE684" s="14" t="s">
        <v>4857</v>
      </c>
    </row>
    <row r="685" spans="1:105" s="30" customFormat="1" ht="17.100000000000001" customHeight="1">
      <c r="A685" s="14">
        <v>674</v>
      </c>
      <c r="B685" s="14" t="s">
        <v>938</v>
      </c>
      <c r="C685" s="32">
        <v>1.3004333031875714</v>
      </c>
      <c r="D685" s="32">
        <v>1.7830172140877709</v>
      </c>
      <c r="E685" s="32">
        <v>1.0064113424518446</v>
      </c>
      <c r="F685" s="24">
        <v>264676</v>
      </c>
      <c r="G685" s="52" t="s">
        <v>2</v>
      </c>
      <c r="H685" s="32">
        <v>42.835630408694698</v>
      </c>
      <c r="I685" s="32">
        <v>46.301896119947159</v>
      </c>
      <c r="J685" s="12" t="s">
        <v>932</v>
      </c>
      <c r="K685" s="12" t="s">
        <v>933</v>
      </c>
      <c r="L685" s="14" t="s">
        <v>5265</v>
      </c>
      <c r="M685" s="12" t="s">
        <v>934</v>
      </c>
      <c r="N685" s="15" t="s">
        <v>935</v>
      </c>
      <c r="O685" s="12" t="s">
        <v>936</v>
      </c>
      <c r="P685" s="12" t="s">
        <v>937</v>
      </c>
      <c r="Q685" s="14">
        <v>4</v>
      </c>
      <c r="R685" s="21">
        <v>809.69410000000005</v>
      </c>
      <c r="S685" s="14">
        <v>16</v>
      </c>
      <c r="T685" s="52" t="s">
        <v>2</v>
      </c>
      <c r="U685" s="53">
        <v>79.712362499999998</v>
      </c>
      <c r="V685" s="24">
        <v>174126</v>
      </c>
      <c r="W685" s="24">
        <v>107169</v>
      </c>
      <c r="X685" s="24">
        <v>143303</v>
      </c>
      <c r="Y685" s="24">
        <v>282816</v>
      </c>
      <c r="Z685" s="24">
        <v>297604</v>
      </c>
      <c r="AA685" s="24">
        <v>228092</v>
      </c>
      <c r="AB685" s="24">
        <v>261007</v>
      </c>
      <c r="AC685" s="24">
        <v>268345</v>
      </c>
      <c r="AD685" s="24">
        <v>176853.5</v>
      </c>
      <c r="AE685" s="24">
        <v>263762</v>
      </c>
      <c r="AF685" s="24">
        <v>140647.5</v>
      </c>
      <c r="AG685" s="24">
        <v>213059.5</v>
      </c>
      <c r="AH685" s="24">
        <v>262848</v>
      </c>
      <c r="AI685" s="24">
        <v>264676</v>
      </c>
      <c r="AJ685" s="32">
        <v>42.835630408694698</v>
      </c>
      <c r="AK685" s="32">
        <v>10.826179838544903</v>
      </c>
      <c r="AL685" s="32">
        <v>33.662701966197524</v>
      </c>
      <c r="AM685" s="32">
        <v>46.301896119947159</v>
      </c>
      <c r="AN685" s="32">
        <v>18.699935542153369</v>
      </c>
      <c r="AO685" s="32">
        <v>1.9604155874907003</v>
      </c>
      <c r="AP685" s="19">
        <v>1.4914152108948933</v>
      </c>
      <c r="AQ685" s="19">
        <v>1.8688423185623633</v>
      </c>
      <c r="AR685" s="19">
        <v>1.242263311422396</v>
      </c>
      <c r="AS685" s="19">
        <v>0.57668196071129896</v>
      </c>
      <c r="AT685" s="19">
        <v>0.90214484847055398</v>
      </c>
      <c r="AU685" s="19">
        <v>0.31297100111135628</v>
      </c>
      <c r="AV685" s="19">
        <v>0.3789924080251984</v>
      </c>
      <c r="AW685" s="19">
        <v>0.83432063148740432</v>
      </c>
      <c r="AX685" s="19">
        <v>9.2200868755633603E-3</v>
      </c>
      <c r="AY685" s="19">
        <v>1.4914152108948933</v>
      </c>
      <c r="AZ685" s="19">
        <v>1.8688423185623633</v>
      </c>
      <c r="BA685" s="19">
        <v>1.242263311422396</v>
      </c>
      <c r="BB685" s="19">
        <v>1.3004333031875714</v>
      </c>
      <c r="BC685" s="19">
        <v>1.7830172140877709</v>
      </c>
      <c r="BD685" s="19">
        <v>1.0064113424518446</v>
      </c>
      <c r="BE685" s="14" t="s">
        <v>4857</v>
      </c>
    </row>
    <row r="686" spans="1:105" s="30" customFormat="1" ht="17.100000000000001" customHeight="1">
      <c r="A686" s="14">
        <v>675</v>
      </c>
      <c r="B686" s="14" t="s">
        <v>940</v>
      </c>
      <c r="C686" s="32">
        <v>1.1923525758905185</v>
      </c>
      <c r="D686" s="32">
        <v>1.3154135714206865</v>
      </c>
      <c r="E686" s="32">
        <v>1.1003951300608235</v>
      </c>
      <c r="F686" s="42">
        <v>1254954.5</v>
      </c>
      <c r="G686" s="52" t="s">
        <v>4894</v>
      </c>
      <c r="H686" s="32">
        <v>16.679353245488258</v>
      </c>
      <c r="I686" s="32">
        <v>18.588454675750043</v>
      </c>
      <c r="J686" s="12" t="s">
        <v>941</v>
      </c>
      <c r="K686" s="12" t="s">
        <v>942</v>
      </c>
      <c r="L686" s="14" t="s">
        <v>2954</v>
      </c>
      <c r="M686" s="12" t="s">
        <v>943</v>
      </c>
      <c r="N686" s="15" t="s">
        <v>944</v>
      </c>
      <c r="O686" s="12" t="s">
        <v>945</v>
      </c>
      <c r="P686" s="12" t="s">
        <v>946</v>
      </c>
      <c r="Q686" s="14">
        <v>2</v>
      </c>
      <c r="R686" s="21">
        <v>415.7527</v>
      </c>
      <c r="S686" s="14">
        <v>1</v>
      </c>
      <c r="T686" s="52" t="s">
        <v>4894</v>
      </c>
      <c r="U686" s="53">
        <v>40</v>
      </c>
      <c r="V686" s="42">
        <v>699613</v>
      </c>
      <c r="W686" s="42">
        <v>807281</v>
      </c>
      <c r="X686" s="42">
        <v>972472</v>
      </c>
      <c r="Y686" s="42">
        <v>875397</v>
      </c>
      <c r="Z686" s="42">
        <v>973085</v>
      </c>
      <c r="AA686" s="42">
        <v>1104516</v>
      </c>
      <c r="AB686" s="42">
        <v>1419906</v>
      </c>
      <c r="AC686" s="42">
        <v>1090003</v>
      </c>
      <c r="AD686" s="42">
        <v>838690.75</v>
      </c>
      <c r="AE686" s="42">
        <v>1146877.5</v>
      </c>
      <c r="AF686" s="42">
        <v>753447</v>
      </c>
      <c r="AG686" s="42">
        <v>923934.5</v>
      </c>
      <c r="AH686" s="42">
        <v>1038800.5</v>
      </c>
      <c r="AI686" s="42">
        <v>1254954.5</v>
      </c>
      <c r="AJ686" s="32">
        <v>13.694377637365921</v>
      </c>
      <c r="AK686" s="32">
        <v>16.679353245488258</v>
      </c>
      <c r="AL686" s="32">
        <v>10.10459566721922</v>
      </c>
      <c r="AM686" s="32">
        <v>7.429356819523905</v>
      </c>
      <c r="AN686" s="32">
        <v>8.9464484622532545</v>
      </c>
      <c r="AO686" s="32">
        <v>18.588454675750043</v>
      </c>
      <c r="AP686" s="19">
        <v>1.3674617253141279</v>
      </c>
      <c r="AQ686" s="19">
        <v>1.3787306870954428</v>
      </c>
      <c r="AR686" s="19">
        <v>1.3582721502444166</v>
      </c>
      <c r="AS686" s="19">
        <v>0.45150045314780168</v>
      </c>
      <c r="AT686" s="19">
        <v>0.46334067705743742</v>
      </c>
      <c r="AU686" s="19">
        <v>0.44177257418553645</v>
      </c>
      <c r="AV686" s="19">
        <v>0.25381090046170113</v>
      </c>
      <c r="AW686" s="19">
        <v>0.3955164600742877</v>
      </c>
      <c r="AX686" s="19">
        <v>0.13802165994974352</v>
      </c>
      <c r="AY686" s="19">
        <v>1.3674617253141279</v>
      </c>
      <c r="AZ686" s="19">
        <v>1.3787306870954428</v>
      </c>
      <c r="BA686" s="19">
        <v>1.3582721502444166</v>
      </c>
      <c r="BB686" s="19">
        <v>1.1923525758905185</v>
      </c>
      <c r="BC686" s="19">
        <v>1.3154135714206865</v>
      </c>
      <c r="BD686" s="19">
        <v>1.1003951300608235</v>
      </c>
      <c r="BE686" s="14" t="s">
        <v>4857</v>
      </c>
    </row>
    <row r="687" spans="1:105" s="30" customFormat="1" ht="17.100000000000001" customHeight="1">
      <c r="A687" s="14">
        <v>676</v>
      </c>
      <c r="B687" s="14" t="s">
        <v>947</v>
      </c>
      <c r="C687" s="32">
        <v>-1.085367936022146</v>
      </c>
      <c r="D687" s="32">
        <v>-1.168801378247833</v>
      </c>
      <c r="E687" s="32">
        <v>1.0046136142935911</v>
      </c>
      <c r="F687" s="24">
        <v>618249.5</v>
      </c>
      <c r="G687" s="52" t="s">
        <v>2</v>
      </c>
      <c r="H687" s="32">
        <v>24.832062130730069</v>
      </c>
      <c r="I687" s="32">
        <v>37.59076472922635</v>
      </c>
      <c r="J687" s="12" t="s">
        <v>948</v>
      </c>
      <c r="K687" s="12" t="s">
        <v>949</v>
      </c>
      <c r="L687" s="14" t="s">
        <v>950</v>
      </c>
      <c r="M687" s="12" t="s">
        <v>951</v>
      </c>
      <c r="N687" s="15" t="s">
        <v>952</v>
      </c>
      <c r="O687" s="12" t="s">
        <v>953</v>
      </c>
      <c r="P687" s="12" t="s">
        <v>954</v>
      </c>
      <c r="Q687" s="14">
        <v>3</v>
      </c>
      <c r="R687" s="21">
        <v>504.29480000000001</v>
      </c>
      <c r="S687" s="14">
        <v>1</v>
      </c>
      <c r="T687" s="52" t="s">
        <v>2</v>
      </c>
      <c r="U687" s="53">
        <v>78.321149999999989</v>
      </c>
      <c r="V687" s="24">
        <v>419830</v>
      </c>
      <c r="W687" s="24">
        <v>723820</v>
      </c>
      <c r="X687" s="24">
        <v>525184</v>
      </c>
      <c r="Y687" s="24">
        <v>471957</v>
      </c>
      <c r="Z687" s="24">
        <v>477911</v>
      </c>
      <c r="AA687" s="24">
        <v>547669</v>
      </c>
      <c r="AB687" s="24">
        <v>599577</v>
      </c>
      <c r="AC687" s="24">
        <v>636922</v>
      </c>
      <c r="AD687" s="24">
        <v>535197.75</v>
      </c>
      <c r="AE687" s="24">
        <v>565519.75</v>
      </c>
      <c r="AF687" s="24">
        <v>571825</v>
      </c>
      <c r="AG687" s="24">
        <v>498570.5</v>
      </c>
      <c r="AH687" s="24">
        <v>512790</v>
      </c>
      <c r="AI687" s="24">
        <v>618249.5</v>
      </c>
      <c r="AJ687" s="32">
        <v>24.832062130730069</v>
      </c>
      <c r="AK687" s="32">
        <v>12.18796869797082</v>
      </c>
      <c r="AL687" s="32">
        <v>37.59076472922635</v>
      </c>
      <c r="AM687" s="32">
        <v>7.5490171685280938</v>
      </c>
      <c r="AN687" s="32">
        <v>9.6192115372786482</v>
      </c>
      <c r="AO687" s="32">
        <v>4.2712372178888325</v>
      </c>
      <c r="AP687" s="19">
        <v>1.0566556940869052</v>
      </c>
      <c r="AQ687" s="19">
        <v>0.89676037249158391</v>
      </c>
      <c r="AR687" s="19">
        <v>1.2400442866154335</v>
      </c>
      <c r="AS687" s="19">
        <v>7.9505358411413596E-2</v>
      </c>
      <c r="AT687" s="19">
        <v>-0.15720556749449729</v>
      </c>
      <c r="AU687" s="19">
        <v>0.31039164556339055</v>
      </c>
      <c r="AV687" s="19">
        <v>-0.11818419427468696</v>
      </c>
      <c r="AW687" s="19">
        <v>-0.22502978447764699</v>
      </c>
      <c r="AX687" s="19">
        <v>6.6407313275976265E-3</v>
      </c>
      <c r="AY687" s="19">
        <v>1.0566556940869052</v>
      </c>
      <c r="AZ687" s="19">
        <v>-1.1151250999434468</v>
      </c>
      <c r="BA687" s="19">
        <v>1.2400442866154335</v>
      </c>
      <c r="BB687" s="19">
        <v>-1.085367936022146</v>
      </c>
      <c r="BC687" s="19">
        <v>-1.168801378247833</v>
      </c>
      <c r="BD687" s="19">
        <v>1.0046136142935911</v>
      </c>
      <c r="BE687" s="14" t="s">
        <v>4857</v>
      </c>
    </row>
    <row r="688" spans="1:105" s="30" customFormat="1" ht="17.100000000000001" customHeight="1">
      <c r="A688" s="14">
        <v>677</v>
      </c>
      <c r="B688" s="14" t="s">
        <v>955</v>
      </c>
      <c r="C688" s="32">
        <v>-1.1939608825366552</v>
      </c>
      <c r="D688" s="32">
        <v>-1.1225220391533566</v>
      </c>
      <c r="E688" s="32">
        <v>-1.2524950502734022</v>
      </c>
      <c r="F688" s="24">
        <v>37549.5</v>
      </c>
      <c r="G688" s="52" t="s">
        <v>2</v>
      </c>
      <c r="H688" s="32">
        <v>22.033260185671661</v>
      </c>
      <c r="I688" s="32">
        <v>37.612278068779993</v>
      </c>
      <c r="J688" s="12" t="s">
        <v>956</v>
      </c>
      <c r="K688" s="12" t="s">
        <v>957</v>
      </c>
      <c r="L688" s="14" t="s">
        <v>5099</v>
      </c>
      <c r="M688" s="12" t="s">
        <v>958</v>
      </c>
      <c r="N688" s="15" t="s">
        <v>959</v>
      </c>
      <c r="O688" s="12" t="s">
        <v>960</v>
      </c>
      <c r="P688" s="12" t="s">
        <v>961</v>
      </c>
      <c r="Q688" s="14">
        <v>2</v>
      </c>
      <c r="R688" s="21">
        <v>607.33079999999995</v>
      </c>
      <c r="S688" s="14">
        <v>1</v>
      </c>
      <c r="T688" s="52" t="s">
        <v>2</v>
      </c>
      <c r="U688" s="53">
        <v>42.274425000000001</v>
      </c>
      <c r="V688" s="24">
        <v>44244</v>
      </c>
      <c r="W688" s="24">
        <v>25654</v>
      </c>
      <c r="X688" s="24">
        <v>35119</v>
      </c>
      <c r="Y688" s="24">
        <v>39980</v>
      </c>
      <c r="Z688" s="24">
        <v>26564</v>
      </c>
      <c r="AA688" s="24">
        <v>38702</v>
      </c>
      <c r="AB688" s="24">
        <v>34257</v>
      </c>
      <c r="AC688" s="24">
        <v>39754</v>
      </c>
      <c r="AD688" s="24">
        <v>36249.25</v>
      </c>
      <c r="AE688" s="24">
        <v>34819.25</v>
      </c>
      <c r="AF688" s="24">
        <v>34949</v>
      </c>
      <c r="AG688" s="24">
        <v>37549.5</v>
      </c>
      <c r="AH688" s="24">
        <v>32633</v>
      </c>
      <c r="AI688" s="24">
        <v>37005.5</v>
      </c>
      <c r="AJ688" s="32">
        <v>22.033260185671661</v>
      </c>
      <c r="AK688" s="32">
        <v>17.22329172374636</v>
      </c>
      <c r="AL688" s="32">
        <v>37.612278068779993</v>
      </c>
      <c r="AM688" s="32">
        <v>9.1539063458842538</v>
      </c>
      <c r="AN688" s="32">
        <v>26.301173995778242</v>
      </c>
      <c r="AO688" s="32">
        <v>10.503752080589242</v>
      </c>
      <c r="AP688" s="19">
        <v>0.96055090794981968</v>
      </c>
      <c r="AQ688" s="19">
        <v>0.93373200949955648</v>
      </c>
      <c r="AR688" s="19">
        <v>0.98551245689023825</v>
      </c>
      <c r="AS688" s="19">
        <v>-5.8066018008036374E-2</v>
      </c>
      <c r="AT688" s="19">
        <v>-9.8919553564669346E-2</v>
      </c>
      <c r="AU688" s="19">
        <v>-2.1053987819320507E-2</v>
      </c>
      <c r="AV688" s="19">
        <v>-0.2557555706941369</v>
      </c>
      <c r="AW688" s="19">
        <v>-0.16674377054781905</v>
      </c>
      <c r="AX688" s="19">
        <v>-0.32480490205511342</v>
      </c>
      <c r="AY688" s="19">
        <v>-1.0410692361265679</v>
      </c>
      <c r="AZ688" s="19">
        <v>-1.0709711028713267</v>
      </c>
      <c r="BA688" s="19">
        <v>-1.0147005174906432</v>
      </c>
      <c r="BB688" s="19">
        <v>-1.1939608825366552</v>
      </c>
      <c r="BC688" s="19">
        <v>-1.1225220391533566</v>
      </c>
      <c r="BD688" s="19">
        <v>-1.2524950502734022</v>
      </c>
      <c r="BE688" s="14" t="s">
        <v>4857</v>
      </c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</row>
    <row r="689" spans="1:57" s="30" customFormat="1" ht="17.100000000000001" customHeight="1">
      <c r="A689" s="14">
        <v>678</v>
      </c>
      <c r="B689" s="14" t="s">
        <v>962</v>
      </c>
      <c r="C689" s="32">
        <v>1.1181875304928739</v>
      </c>
      <c r="D689" s="32">
        <v>2.4596969740263983</v>
      </c>
      <c r="E689" s="32">
        <v>-1.9831530981345038</v>
      </c>
      <c r="F689" s="42">
        <v>292691</v>
      </c>
      <c r="G689" s="52" t="s">
        <v>4894</v>
      </c>
      <c r="H689" s="32">
        <v>41.246790561758175</v>
      </c>
      <c r="I689" s="32">
        <v>15.305595032923646</v>
      </c>
      <c r="J689" s="12" t="s">
        <v>963</v>
      </c>
      <c r="K689" s="12" t="s">
        <v>964</v>
      </c>
      <c r="L689" s="14" t="s">
        <v>965</v>
      </c>
      <c r="M689" s="12" t="s">
        <v>966</v>
      </c>
      <c r="N689" s="15" t="s">
        <v>967</v>
      </c>
      <c r="O689" s="12" t="s">
        <v>968</v>
      </c>
      <c r="P689" s="12" t="s">
        <v>969</v>
      </c>
      <c r="Q689" s="14">
        <v>2</v>
      </c>
      <c r="R689" s="21">
        <v>375.71089999999998</v>
      </c>
      <c r="S689" s="14">
        <v>1</v>
      </c>
      <c r="T689" s="52" t="s">
        <v>4894</v>
      </c>
      <c r="U689" s="53">
        <v>24</v>
      </c>
      <c r="V689" s="42">
        <v>125817</v>
      </c>
      <c r="W689" s="42">
        <v>101243</v>
      </c>
      <c r="X689" s="42">
        <v>204918</v>
      </c>
      <c r="Y689" s="42">
        <v>240847</v>
      </c>
      <c r="Z689" s="42">
        <v>295949</v>
      </c>
      <c r="AA689" s="42">
        <v>289433</v>
      </c>
      <c r="AB689" s="42">
        <v>135406</v>
      </c>
      <c r="AC689" s="42">
        <v>142046</v>
      </c>
      <c r="AD689" s="42">
        <v>168206.25</v>
      </c>
      <c r="AE689" s="42">
        <v>215708.5</v>
      </c>
      <c r="AF689" s="42">
        <v>113530</v>
      </c>
      <c r="AG689" s="42">
        <v>222882.5</v>
      </c>
      <c r="AH689" s="42">
        <v>292691</v>
      </c>
      <c r="AI689" s="42">
        <v>138726</v>
      </c>
      <c r="AJ689" s="32">
        <v>38.992604720327023</v>
      </c>
      <c r="AK689" s="32">
        <v>41.246790561758175</v>
      </c>
      <c r="AL689" s="32">
        <v>15.305595032923646</v>
      </c>
      <c r="AM689" s="32">
        <v>11.39866949682073</v>
      </c>
      <c r="AN689" s="32">
        <v>1.5741884055920901</v>
      </c>
      <c r="AO689" s="32">
        <v>3.384505447485457</v>
      </c>
      <c r="AP689" s="19">
        <v>1.2824047857912533</v>
      </c>
      <c r="AQ689" s="19">
        <v>2.5780938958865498</v>
      </c>
      <c r="AR689" s="19">
        <v>0.62241764158244817</v>
      </c>
      <c r="AS689" s="19">
        <v>0.35885171459170545</v>
      </c>
      <c r="AT689" s="19">
        <v>1.3663048085649738</v>
      </c>
      <c r="AU689" s="19">
        <v>-0.68404514275282213</v>
      </c>
      <c r="AV689" s="19">
        <v>0.16116216190560489</v>
      </c>
      <c r="AW689" s="19">
        <v>1.2984805915818241</v>
      </c>
      <c r="AX689" s="19">
        <v>-0.98779605698861506</v>
      </c>
      <c r="AY689" s="19">
        <v>1.2824047857912533</v>
      </c>
      <c r="AZ689" s="19">
        <v>2.5780938958865498</v>
      </c>
      <c r="BA689" s="19">
        <v>-1.6066382653576115</v>
      </c>
      <c r="BB689" s="19">
        <v>1.1181875304928739</v>
      </c>
      <c r="BC689" s="19">
        <v>2.4596969740263983</v>
      </c>
      <c r="BD689" s="19">
        <v>-1.9831530981345038</v>
      </c>
      <c r="BE689" s="14" t="s">
        <v>4857</v>
      </c>
    </row>
    <row r="690" spans="1:57" s="30" customFormat="1" ht="17.100000000000001" customHeight="1">
      <c r="A690" s="14">
        <v>679</v>
      </c>
      <c r="B690" s="14" t="s">
        <v>970</v>
      </c>
      <c r="C690" s="32">
        <v>-1.3912794652135574</v>
      </c>
      <c r="D690" s="32">
        <v>-1.3296395694666252</v>
      </c>
      <c r="E690" s="32">
        <v>-1.4320479766062142</v>
      </c>
      <c r="F690" s="24">
        <v>50780.5</v>
      </c>
      <c r="G690" s="52" t="s">
        <v>2</v>
      </c>
      <c r="H690" s="32">
        <v>8.7279187367077515</v>
      </c>
      <c r="I690" s="32">
        <v>13.648228803187354</v>
      </c>
      <c r="J690" s="12" t="s">
        <v>963</v>
      </c>
      <c r="K690" s="12" t="s">
        <v>964</v>
      </c>
      <c r="L690" s="14" t="s">
        <v>971</v>
      </c>
      <c r="M690" s="12" t="s">
        <v>966</v>
      </c>
      <c r="N690" s="15" t="s">
        <v>967</v>
      </c>
      <c r="O690" s="12" t="s">
        <v>968</v>
      </c>
      <c r="P690" s="12" t="s">
        <v>972</v>
      </c>
      <c r="Q690" s="14">
        <v>2</v>
      </c>
      <c r="R690" s="21">
        <v>474.76670000000001</v>
      </c>
      <c r="S690" s="14">
        <v>2</v>
      </c>
      <c r="T690" s="52" t="s">
        <v>2</v>
      </c>
      <c r="U690" s="53">
        <v>28.043025</v>
      </c>
      <c r="V690" s="24">
        <v>48806</v>
      </c>
      <c r="W690" s="24">
        <v>52755</v>
      </c>
      <c r="X690" s="24">
        <v>43940</v>
      </c>
      <c r="Y690" s="24">
        <v>53327</v>
      </c>
      <c r="Z690" s="24">
        <v>42342</v>
      </c>
      <c r="AA690" s="24">
        <v>37717</v>
      </c>
      <c r="AB690" s="24">
        <v>41230</v>
      </c>
      <c r="AC690" s="24">
        <v>42609</v>
      </c>
      <c r="AD690" s="24">
        <v>49707</v>
      </c>
      <c r="AE690" s="24">
        <v>40974.5</v>
      </c>
      <c r="AF690" s="24">
        <v>50780.5</v>
      </c>
      <c r="AG690" s="24">
        <v>48633.5</v>
      </c>
      <c r="AH690" s="24">
        <v>40029.5</v>
      </c>
      <c r="AI690" s="24">
        <v>41919.5</v>
      </c>
      <c r="AJ690" s="32">
        <v>8.7279187367077515</v>
      </c>
      <c r="AK690" s="32">
        <v>5.496773280961337</v>
      </c>
      <c r="AL690" s="32">
        <v>5.4988916590141415</v>
      </c>
      <c r="AM690" s="32">
        <v>13.648228803187354</v>
      </c>
      <c r="AN690" s="32">
        <v>8.1698968585362852</v>
      </c>
      <c r="AO690" s="32">
        <v>2.3261256724346642</v>
      </c>
      <c r="AP690" s="19">
        <v>0.82432051823686803</v>
      </c>
      <c r="AQ690" s="19">
        <v>0.78828487313043394</v>
      </c>
      <c r="AR690" s="19">
        <v>0.86194701183340705</v>
      </c>
      <c r="AS690" s="19">
        <v>-0.27872268932306277</v>
      </c>
      <c r="AT690" s="19">
        <v>-0.34321100482245182</v>
      </c>
      <c r="AU690" s="19">
        <v>-0.21432891248119293</v>
      </c>
      <c r="AV690" s="19">
        <v>-0.47641224200916332</v>
      </c>
      <c r="AW690" s="19">
        <v>-0.41103522180560154</v>
      </c>
      <c r="AX690" s="19">
        <v>-0.51807982671698583</v>
      </c>
      <c r="AY690" s="19">
        <v>-1.2131203553429573</v>
      </c>
      <c r="AZ690" s="19">
        <v>-1.2685769245181677</v>
      </c>
      <c r="BA690" s="19">
        <v>-1.1601641240949916</v>
      </c>
      <c r="BB690" s="19">
        <v>-1.3912794652135574</v>
      </c>
      <c r="BC690" s="19">
        <v>-1.3296395694666252</v>
      </c>
      <c r="BD690" s="19">
        <v>-1.4320479766062142</v>
      </c>
      <c r="BE690" s="14" t="s">
        <v>4857</v>
      </c>
    </row>
    <row r="691" spans="1:57" s="30" customFormat="1" ht="17.100000000000001" customHeight="1">
      <c r="A691" s="14">
        <v>680</v>
      </c>
      <c r="B691" s="14" t="s">
        <v>973</v>
      </c>
      <c r="C691" s="32">
        <v>-1.0284139913903316</v>
      </c>
      <c r="D691" s="32">
        <v>-1.1598844211661294</v>
      </c>
      <c r="E691" s="32">
        <v>1.1131237696567398</v>
      </c>
      <c r="F691" s="24">
        <v>67600</v>
      </c>
      <c r="G691" s="52" t="s">
        <v>2</v>
      </c>
      <c r="H691" s="32">
        <v>15.262051496826546</v>
      </c>
      <c r="I691" s="32">
        <v>16.897772344531468</v>
      </c>
      <c r="J691" s="12" t="s">
        <v>974</v>
      </c>
      <c r="K691" s="12" t="s">
        <v>975</v>
      </c>
      <c r="L691" s="14" t="s">
        <v>4351</v>
      </c>
      <c r="M691" s="12" t="s">
        <v>976</v>
      </c>
      <c r="N691" s="15" t="s">
        <v>977</v>
      </c>
      <c r="O691" s="12" t="s">
        <v>978</v>
      </c>
      <c r="P691" s="12" t="s">
        <v>979</v>
      </c>
      <c r="Q691" s="14">
        <v>2</v>
      </c>
      <c r="R691" s="21">
        <v>642.36950000000002</v>
      </c>
      <c r="S691" s="14">
        <v>4</v>
      </c>
      <c r="T691" s="52" t="s">
        <v>2</v>
      </c>
      <c r="U691" s="53">
        <v>45.691666666666663</v>
      </c>
      <c r="V691" s="24">
        <v>56500</v>
      </c>
      <c r="W691" s="24">
        <v>63900</v>
      </c>
      <c r="X691" s="24">
        <v>45100</v>
      </c>
      <c r="Y691" s="24">
        <v>53300</v>
      </c>
      <c r="Z691" s="24">
        <v>60900</v>
      </c>
      <c r="AA691" s="24">
        <v>47900</v>
      </c>
      <c r="AB691" s="24">
        <v>66800</v>
      </c>
      <c r="AC691" s="24">
        <v>68400</v>
      </c>
      <c r="AD691" s="24">
        <v>54700</v>
      </c>
      <c r="AE691" s="24">
        <v>61000</v>
      </c>
      <c r="AF691" s="24">
        <v>60200</v>
      </c>
      <c r="AG691" s="24">
        <v>49200</v>
      </c>
      <c r="AH691" s="24">
        <v>54400</v>
      </c>
      <c r="AI691" s="24">
        <v>67600</v>
      </c>
      <c r="AJ691" s="32">
        <v>14.2392705003631</v>
      </c>
      <c r="AK691" s="32">
        <v>15.262051496826546</v>
      </c>
      <c r="AL691" s="32">
        <v>8.6920102670771637</v>
      </c>
      <c r="AM691" s="32">
        <v>11.785113019775793</v>
      </c>
      <c r="AN691" s="32">
        <v>16.897772344531468</v>
      </c>
      <c r="AO691" s="32">
        <v>1.673625517601296</v>
      </c>
      <c r="AP691" s="19">
        <v>1.1151736745886653</v>
      </c>
      <c r="AQ691" s="19">
        <v>0.90365448504983392</v>
      </c>
      <c r="AR691" s="19">
        <v>1.3739837398373984</v>
      </c>
      <c r="AS691" s="19">
        <v>0.15726840965769193</v>
      </c>
      <c r="AT691" s="19">
        <v>-0.14615683550936259</v>
      </c>
      <c r="AU691" s="19">
        <v>0.4583649309429445</v>
      </c>
      <c r="AV691" s="19">
        <v>-4.0421143028408629E-2</v>
      </c>
      <c r="AW691" s="19">
        <v>-0.21398105249251231</v>
      </c>
      <c r="AX691" s="19">
        <v>0.15461401670715158</v>
      </c>
      <c r="AY691" s="19">
        <v>1.1151736745886653</v>
      </c>
      <c r="AZ691" s="19">
        <v>-1.1066176470588236</v>
      </c>
      <c r="BA691" s="19">
        <v>1.3739837398373984</v>
      </c>
      <c r="BB691" s="19">
        <v>-1.0284139913903316</v>
      </c>
      <c r="BC691" s="19">
        <v>-1.1598844211661294</v>
      </c>
      <c r="BD691" s="19">
        <v>1.1131237696567398</v>
      </c>
      <c r="BE691" s="14" t="s">
        <v>4857</v>
      </c>
    </row>
    <row r="692" spans="1:57" s="30" customFormat="1" ht="17.100000000000001" customHeight="1">
      <c r="A692" s="14">
        <v>681</v>
      </c>
      <c r="B692" s="14" t="s">
        <v>861</v>
      </c>
      <c r="C692" s="32">
        <v>-1.0213845226457172</v>
      </c>
      <c r="D692" s="32">
        <v>1.1343212720303715</v>
      </c>
      <c r="E692" s="32">
        <v>-1.1562594745578385</v>
      </c>
      <c r="F692" s="24">
        <v>4120900</v>
      </c>
      <c r="G692" s="52" t="s">
        <v>2</v>
      </c>
      <c r="H692" s="32">
        <v>11.339379113599751</v>
      </c>
      <c r="I692" s="32">
        <v>10.30606117392473</v>
      </c>
      <c r="J692" s="12" t="s">
        <v>981</v>
      </c>
      <c r="K692" s="12" t="s">
        <v>982</v>
      </c>
      <c r="L692" s="14" t="s">
        <v>5157</v>
      </c>
      <c r="M692" s="12" t="s">
        <v>983</v>
      </c>
      <c r="N692" s="15" t="s">
        <v>984</v>
      </c>
      <c r="O692" s="12" t="s">
        <v>858</v>
      </c>
      <c r="P692" s="12" t="s">
        <v>859</v>
      </c>
      <c r="Q692" s="14">
        <v>3</v>
      </c>
      <c r="R692" s="21">
        <v>409.55439999999999</v>
      </c>
      <c r="S692" s="14">
        <v>19</v>
      </c>
      <c r="T692" s="52" t="s">
        <v>2</v>
      </c>
      <c r="U692" s="53">
        <v>36.977474999999998</v>
      </c>
      <c r="V692" s="24">
        <v>3439030</v>
      </c>
      <c r="W692" s="24">
        <v>3023970</v>
      </c>
      <c r="X692" s="24">
        <v>3817750</v>
      </c>
      <c r="Y692" s="24">
        <v>3902640</v>
      </c>
      <c r="Z692" s="24">
        <v>3567380</v>
      </c>
      <c r="AA692" s="24">
        <v>4116620</v>
      </c>
      <c r="AB692" s="24">
        <v>3820590</v>
      </c>
      <c r="AC692" s="24">
        <v>4421210</v>
      </c>
      <c r="AD692" s="24">
        <v>3545847.5</v>
      </c>
      <c r="AE692" s="24">
        <v>3981450</v>
      </c>
      <c r="AF692" s="24">
        <v>3231500</v>
      </c>
      <c r="AG692" s="24">
        <v>3860195</v>
      </c>
      <c r="AH692" s="24">
        <v>3842000</v>
      </c>
      <c r="AI692" s="24">
        <v>4120900</v>
      </c>
      <c r="AJ692" s="32">
        <v>11.339379113599751</v>
      </c>
      <c r="AK692" s="32">
        <v>9.2737265769396249</v>
      </c>
      <c r="AL692" s="32">
        <v>9.082213851130696</v>
      </c>
      <c r="AM692" s="32">
        <v>1.5550067977116704</v>
      </c>
      <c r="AN692" s="32">
        <v>10.108571798513779</v>
      </c>
      <c r="AO692" s="32">
        <v>10.30606117392473</v>
      </c>
      <c r="AP692" s="19">
        <v>1.1228486278668217</v>
      </c>
      <c r="AQ692" s="19">
        <v>1.1889215534581463</v>
      </c>
      <c r="AR692" s="19">
        <v>1.0675367436101026</v>
      </c>
      <c r="AS692" s="19">
        <v>0.16716344995983748</v>
      </c>
      <c r="AT692" s="19">
        <v>0.24965352738758811</v>
      </c>
      <c r="AU692" s="19">
        <v>9.4285726905995057E-2</v>
      </c>
      <c r="AV692" s="19">
        <v>-3.0526102726263077E-2</v>
      </c>
      <c r="AW692" s="19">
        <v>0.18182931040443839</v>
      </c>
      <c r="AX692" s="19">
        <v>-0.20946518732979785</v>
      </c>
      <c r="AY692" s="19">
        <v>1.1228486278668217</v>
      </c>
      <c r="AZ692" s="19">
        <v>1.1889215534581463</v>
      </c>
      <c r="BA692" s="19">
        <v>1.0675367436101026</v>
      </c>
      <c r="BB692" s="19">
        <v>-1.0213845226457172</v>
      </c>
      <c r="BC692" s="19">
        <v>1.1343212720303715</v>
      </c>
      <c r="BD692" s="19">
        <v>-1.1562594745578385</v>
      </c>
      <c r="BE692" s="14" t="s">
        <v>4857</v>
      </c>
    </row>
    <row r="693" spans="1:57" s="30" customFormat="1" ht="17.100000000000001" customHeight="1">
      <c r="A693" s="14">
        <v>682</v>
      </c>
      <c r="B693" s="14" t="s">
        <v>3059</v>
      </c>
      <c r="C693" s="32">
        <v>-1.4381574466530587</v>
      </c>
      <c r="D693" s="32">
        <v>-1.8724574631783073</v>
      </c>
      <c r="E693" s="32">
        <v>-1.0670582872314607</v>
      </c>
      <c r="F693" s="42">
        <v>17680133</v>
      </c>
      <c r="G693" s="52" t="s">
        <v>4894</v>
      </c>
      <c r="H693" s="32">
        <v>24.610243036329479</v>
      </c>
      <c r="I693" s="32">
        <v>12.187097081822621</v>
      </c>
      <c r="J693" s="12" t="s">
        <v>981</v>
      </c>
      <c r="K693" s="12" t="s">
        <v>982</v>
      </c>
      <c r="L693" s="14" t="s">
        <v>4962</v>
      </c>
      <c r="M693" s="12" t="s">
        <v>983</v>
      </c>
      <c r="N693" s="15" t="s">
        <v>984</v>
      </c>
      <c r="O693" s="12" t="s">
        <v>858</v>
      </c>
      <c r="P693" s="12" t="s">
        <v>864</v>
      </c>
      <c r="Q693" s="14">
        <v>2</v>
      </c>
      <c r="R693" s="21">
        <v>773.40959999999995</v>
      </c>
      <c r="S693" s="14">
        <v>28</v>
      </c>
      <c r="T693" s="52" t="s">
        <v>4894</v>
      </c>
      <c r="U693" s="53">
        <v>56</v>
      </c>
      <c r="V693" s="42">
        <v>18978944</v>
      </c>
      <c r="W693" s="42">
        <v>16381322</v>
      </c>
      <c r="X693" s="42">
        <v>11666308</v>
      </c>
      <c r="Y693" s="42">
        <v>11723732</v>
      </c>
      <c r="Z693" s="42">
        <v>9043850</v>
      </c>
      <c r="AA693" s="42">
        <v>10749563</v>
      </c>
      <c r="AB693" s="42">
        <v>13795838</v>
      </c>
      <c r="AC693" s="42">
        <v>13261244</v>
      </c>
      <c r="AD693" s="42">
        <v>14687576.5</v>
      </c>
      <c r="AE693" s="42">
        <v>11712623.75</v>
      </c>
      <c r="AF693" s="42">
        <v>17680133</v>
      </c>
      <c r="AG693" s="42">
        <v>11695020</v>
      </c>
      <c r="AH693" s="42">
        <v>9896706.5</v>
      </c>
      <c r="AI693" s="42">
        <v>13528541</v>
      </c>
      <c r="AJ693" s="32">
        <v>24.610243036329479</v>
      </c>
      <c r="AK693" s="32">
        <v>18.955604304805956</v>
      </c>
      <c r="AL693" s="32">
        <v>10.389040236062488</v>
      </c>
      <c r="AM693" s="32">
        <v>0.34719820746656532</v>
      </c>
      <c r="AN693" s="32">
        <v>12.187097081822621</v>
      </c>
      <c r="AO693" s="32">
        <v>2.7942040651807254</v>
      </c>
      <c r="AP693" s="19">
        <v>0.79745108051011682</v>
      </c>
      <c r="AQ693" s="19">
        <v>0.55976425629829818</v>
      </c>
      <c r="AR693" s="19">
        <v>1.1567779276991403</v>
      </c>
      <c r="AS693" s="19">
        <v>-0.32653207515737381</v>
      </c>
      <c r="AT693" s="19">
        <v>-0.83710872821155569</v>
      </c>
      <c r="AU693" s="19">
        <v>0.21011192982318405</v>
      </c>
      <c r="AV693" s="19">
        <v>-0.52422162784347437</v>
      </c>
      <c r="AW693" s="19">
        <v>-0.90493294519470535</v>
      </c>
      <c r="AX693" s="19">
        <v>-9.3638984412608872E-2</v>
      </c>
      <c r="AY693" s="19">
        <v>-1.2539954166973049</v>
      </c>
      <c r="AZ693" s="19">
        <v>-1.7864663360482602</v>
      </c>
      <c r="BA693" s="19">
        <v>1.1567779276991403</v>
      </c>
      <c r="BB693" s="19">
        <v>-1.4381574466530587</v>
      </c>
      <c r="BC693" s="19">
        <v>-1.8724574631783073</v>
      </c>
      <c r="BD693" s="19">
        <v>-1.0670582872314607</v>
      </c>
      <c r="BE693" s="14" t="s">
        <v>4857</v>
      </c>
    </row>
    <row r="694" spans="1:57" s="30" customFormat="1" ht="17.100000000000001" customHeight="1">
      <c r="A694" s="14">
        <v>683</v>
      </c>
      <c r="B694" s="14" t="s">
        <v>868</v>
      </c>
      <c r="C694" s="32">
        <v>1.0650046667226529</v>
      </c>
      <c r="D694" s="32">
        <v>-1.2309232269544541</v>
      </c>
      <c r="E694" s="32">
        <v>1.2904582928452204</v>
      </c>
      <c r="F694" s="24">
        <v>208202.5</v>
      </c>
      <c r="G694" s="52" t="s">
        <v>2</v>
      </c>
      <c r="H694" s="32">
        <v>38.553336674241827</v>
      </c>
      <c r="I694" s="32">
        <v>27.669922787541108</v>
      </c>
      <c r="J694" s="12" t="s">
        <v>869</v>
      </c>
      <c r="K694" s="12" t="s">
        <v>870</v>
      </c>
      <c r="L694" s="14" t="s">
        <v>5112</v>
      </c>
      <c r="M694" s="12" t="s">
        <v>871</v>
      </c>
      <c r="N694" s="15" t="s">
        <v>872</v>
      </c>
      <c r="O694" s="12" t="s">
        <v>873</v>
      </c>
      <c r="P694" s="12" t="s">
        <v>874</v>
      </c>
      <c r="Q694" s="14">
        <v>2</v>
      </c>
      <c r="R694" s="21">
        <v>525.79510000000005</v>
      </c>
      <c r="S694" s="14">
        <v>1</v>
      </c>
      <c r="T694" s="52" t="s">
        <v>2</v>
      </c>
      <c r="U694" s="53">
        <v>49.1118375</v>
      </c>
      <c r="V694" s="24">
        <v>156940</v>
      </c>
      <c r="W694" s="24">
        <v>105577</v>
      </c>
      <c r="X694" s="24">
        <v>147866</v>
      </c>
      <c r="Y694" s="24">
        <v>113551</v>
      </c>
      <c r="Z694" s="24">
        <v>120123</v>
      </c>
      <c r="AA694" s="24">
        <v>103411</v>
      </c>
      <c r="AB694" s="24">
        <v>239616</v>
      </c>
      <c r="AC694" s="24">
        <v>176789</v>
      </c>
      <c r="AD694" s="24">
        <v>130983.5</v>
      </c>
      <c r="AE694" s="24">
        <v>159984.75</v>
      </c>
      <c r="AF694" s="24">
        <v>131258.5</v>
      </c>
      <c r="AG694" s="24">
        <v>130708.5</v>
      </c>
      <c r="AH694" s="24">
        <v>111767</v>
      </c>
      <c r="AI694" s="24">
        <v>208202.5</v>
      </c>
      <c r="AJ694" s="32">
        <v>19.254312355685844</v>
      </c>
      <c r="AK694" s="32">
        <v>38.553336674241827</v>
      </c>
      <c r="AL694" s="32">
        <v>27.669922787541108</v>
      </c>
      <c r="AM694" s="32">
        <v>18.563727069330898</v>
      </c>
      <c r="AN694" s="32">
        <v>10.573039025105427</v>
      </c>
      <c r="AO694" s="32">
        <v>21.337590923071158</v>
      </c>
      <c r="AP694" s="19">
        <v>1.2214114754911878</v>
      </c>
      <c r="AQ694" s="19">
        <v>0.85150295028512435</v>
      </c>
      <c r="AR694" s="19">
        <v>1.592876515299311</v>
      </c>
      <c r="AS694" s="19">
        <v>0.2885493048676156</v>
      </c>
      <c r="AT694" s="19">
        <v>-0.2319165663290004</v>
      </c>
      <c r="AU694" s="19">
        <v>0.67163442902861525</v>
      </c>
      <c r="AV694" s="19">
        <v>9.0859752181515041E-2</v>
      </c>
      <c r="AW694" s="19">
        <v>-0.29974078331215009</v>
      </c>
      <c r="AX694" s="19">
        <v>0.36788351479282233</v>
      </c>
      <c r="AY694" s="19">
        <v>1.2214114754911878</v>
      </c>
      <c r="AZ694" s="19">
        <v>-1.1743940519115661</v>
      </c>
      <c r="BA694" s="19">
        <v>1.592876515299311</v>
      </c>
      <c r="BB694" s="19">
        <v>1.0650046667226529</v>
      </c>
      <c r="BC694" s="19">
        <v>-1.2309232269544541</v>
      </c>
      <c r="BD694" s="19">
        <v>1.2904582928452204</v>
      </c>
      <c r="BE694" s="14" t="s">
        <v>4857</v>
      </c>
    </row>
    <row r="695" spans="1:57" s="30" customFormat="1" ht="17.100000000000001" customHeight="1">
      <c r="A695" s="14">
        <v>684</v>
      </c>
      <c r="B695" s="14" t="s">
        <v>875</v>
      </c>
      <c r="C695" s="32">
        <v>1.1163559258850499</v>
      </c>
      <c r="D695" s="32">
        <v>1.0717224946446129</v>
      </c>
      <c r="E695" s="32">
        <v>1.173721429508227</v>
      </c>
      <c r="F695" s="24">
        <v>414946.5</v>
      </c>
      <c r="G695" s="52" t="s">
        <v>2</v>
      </c>
      <c r="H695" s="32">
        <v>18.883870629756093</v>
      </c>
      <c r="I695" s="32">
        <v>24.340344499803297</v>
      </c>
      <c r="J695" s="12" t="s">
        <v>876</v>
      </c>
      <c r="K695" s="12" t="s">
        <v>877</v>
      </c>
      <c r="L695" s="14" t="s">
        <v>5286</v>
      </c>
      <c r="M695" s="12" t="s">
        <v>878</v>
      </c>
      <c r="N695" s="15" t="s">
        <v>879</v>
      </c>
      <c r="O695" s="12" t="s">
        <v>880</v>
      </c>
      <c r="P695" s="12" t="s">
        <v>881</v>
      </c>
      <c r="Q695" s="14">
        <v>2</v>
      </c>
      <c r="R695" s="21">
        <v>542.27710000000002</v>
      </c>
      <c r="S695" s="14">
        <v>5</v>
      </c>
      <c r="T695" s="52" t="s">
        <v>2</v>
      </c>
      <c r="U695" s="53">
        <v>46.644162499999993</v>
      </c>
      <c r="V695" s="24">
        <v>360261</v>
      </c>
      <c r="W695" s="24">
        <v>254460</v>
      </c>
      <c r="X695" s="24">
        <v>299663</v>
      </c>
      <c r="Y695" s="24">
        <v>273158</v>
      </c>
      <c r="Z695" s="24">
        <v>377234</v>
      </c>
      <c r="AA695" s="24">
        <v>313288</v>
      </c>
      <c r="AB695" s="24">
        <v>349541</v>
      </c>
      <c r="AC695" s="24">
        <v>480352</v>
      </c>
      <c r="AD695" s="24">
        <v>296885.5</v>
      </c>
      <c r="AE695" s="24">
        <v>380103.75</v>
      </c>
      <c r="AF695" s="24">
        <v>307360.5</v>
      </c>
      <c r="AG695" s="24">
        <v>286410.5</v>
      </c>
      <c r="AH695" s="24">
        <v>345261</v>
      </c>
      <c r="AI695" s="24">
        <v>414946.5</v>
      </c>
      <c r="AJ695" s="32">
        <v>15.541815934141932</v>
      </c>
      <c r="AK695" s="32">
        <v>18.883870629756093</v>
      </c>
      <c r="AL695" s="32">
        <v>24.340344499803297</v>
      </c>
      <c r="AM695" s="32">
        <v>6.5437074532356334</v>
      </c>
      <c r="AN695" s="32">
        <v>13.096367742014003</v>
      </c>
      <c r="AO695" s="32">
        <v>22.291390613920946</v>
      </c>
      <c r="AP695" s="19">
        <v>1.2803041913464954</v>
      </c>
      <c r="AQ695" s="19">
        <v>1.1233095989888096</v>
      </c>
      <c r="AR695" s="19">
        <v>1.4487824294151228</v>
      </c>
      <c r="AS695" s="19">
        <v>0.35648662523188157</v>
      </c>
      <c r="AT695" s="19">
        <v>0.16775560838667505</v>
      </c>
      <c r="AU695" s="19">
        <v>0.53484095474874349</v>
      </c>
      <c r="AV695" s="19">
        <v>0.15879707254578102</v>
      </c>
      <c r="AW695" s="19">
        <v>9.9931391403525346E-2</v>
      </c>
      <c r="AX695" s="19">
        <v>0.23109004051295057</v>
      </c>
      <c r="AY695" s="19">
        <v>1.2803041913464954</v>
      </c>
      <c r="AZ695" s="19">
        <v>1.1233095989888096</v>
      </c>
      <c r="BA695" s="19">
        <v>1.4487824294151228</v>
      </c>
      <c r="BB695" s="19">
        <v>1.1163559258850499</v>
      </c>
      <c r="BC695" s="19">
        <v>1.0717224946446129</v>
      </c>
      <c r="BD695" s="19">
        <v>1.173721429508227</v>
      </c>
      <c r="BE695" s="14" t="s">
        <v>4857</v>
      </c>
    </row>
    <row r="696" spans="1:57" s="30" customFormat="1" ht="17.100000000000001" customHeight="1">
      <c r="A696" s="14">
        <v>685</v>
      </c>
      <c r="B696" s="14" t="s">
        <v>882</v>
      </c>
      <c r="C696" s="32">
        <v>1.0563719456139271</v>
      </c>
      <c r="D696" s="32">
        <v>1.1855240562411273</v>
      </c>
      <c r="E696" s="32">
        <v>-1.0425531517704505</v>
      </c>
      <c r="F696" s="24">
        <v>599144</v>
      </c>
      <c r="G696" s="52" t="s">
        <v>2</v>
      </c>
      <c r="H696" s="32">
        <v>11.841824719087436</v>
      </c>
      <c r="I696" s="32">
        <v>15.865598054636273</v>
      </c>
      <c r="J696" s="12" t="s">
        <v>883</v>
      </c>
      <c r="K696" s="15" t="s">
        <v>884</v>
      </c>
      <c r="L696" s="14" t="s">
        <v>5239</v>
      </c>
      <c r="M696" s="12" t="s">
        <v>885</v>
      </c>
      <c r="N696" s="15" t="s">
        <v>886</v>
      </c>
      <c r="O696" s="12" t="s">
        <v>887</v>
      </c>
      <c r="P696" s="12" t="s">
        <v>889</v>
      </c>
      <c r="Q696" s="14">
        <v>2</v>
      </c>
      <c r="R696" s="21">
        <v>451.76330000000002</v>
      </c>
      <c r="S696" s="14">
        <v>5</v>
      </c>
      <c r="T696" s="52" t="s">
        <v>2</v>
      </c>
      <c r="U696" s="53">
        <v>29.4516375</v>
      </c>
      <c r="V696" s="24">
        <v>482492</v>
      </c>
      <c r="W696" s="24">
        <v>414482</v>
      </c>
      <c r="X696" s="24">
        <v>461569</v>
      </c>
      <c r="Y696" s="24">
        <v>550526</v>
      </c>
      <c r="Z696" s="24">
        <v>578919</v>
      </c>
      <c r="AA696" s="24">
        <v>535651</v>
      </c>
      <c r="AB696" s="24">
        <v>666360</v>
      </c>
      <c r="AC696" s="24">
        <v>531928</v>
      </c>
      <c r="AD696" s="24">
        <v>477267.25</v>
      </c>
      <c r="AE696" s="24">
        <v>578214.5</v>
      </c>
      <c r="AF696" s="24">
        <v>448487</v>
      </c>
      <c r="AG696" s="24">
        <v>506047.5</v>
      </c>
      <c r="AH696" s="24">
        <v>557285</v>
      </c>
      <c r="AI696" s="24">
        <v>599144</v>
      </c>
      <c r="AJ696" s="32">
        <v>11.841824719087436</v>
      </c>
      <c r="AK696" s="32">
        <v>10.811658518888354</v>
      </c>
      <c r="AL696" s="32">
        <v>10.722792898901663</v>
      </c>
      <c r="AM696" s="32">
        <v>12.430077795861397</v>
      </c>
      <c r="AN696" s="32">
        <v>5.4900268638810559</v>
      </c>
      <c r="AO696" s="32">
        <v>15.865598054636273</v>
      </c>
      <c r="AP696" s="19">
        <v>1.211510951149487</v>
      </c>
      <c r="AQ696" s="19">
        <v>1.2425889713637184</v>
      </c>
      <c r="AR696" s="19">
        <v>1.1839679081509147</v>
      </c>
      <c r="AS696" s="19">
        <v>0.27680744572830229</v>
      </c>
      <c r="AT696" s="19">
        <v>0.31334915476524283</v>
      </c>
      <c r="AU696" s="19">
        <v>0.24362997676163106</v>
      </c>
      <c r="AV696" s="19">
        <v>7.9117893042201737E-2</v>
      </c>
      <c r="AW696" s="19">
        <v>0.24552493778209311</v>
      </c>
      <c r="AX696" s="19">
        <v>-6.0120937474161862E-2</v>
      </c>
      <c r="AY696" s="19">
        <v>1.211510951149487</v>
      </c>
      <c r="AZ696" s="19">
        <v>1.2425889713637184</v>
      </c>
      <c r="BA696" s="19">
        <v>1.1839679081509147</v>
      </c>
      <c r="BB696" s="19">
        <v>1.0563719456139271</v>
      </c>
      <c r="BC696" s="19">
        <v>1.1855240562411273</v>
      </c>
      <c r="BD696" s="19">
        <v>-1.0425531517704505</v>
      </c>
      <c r="BE696" s="14" t="s">
        <v>4857</v>
      </c>
    </row>
    <row r="697" spans="1:57" s="30" customFormat="1" ht="17.100000000000001" customHeight="1">
      <c r="A697" s="14">
        <v>686</v>
      </c>
      <c r="B697" s="14" t="s">
        <v>898</v>
      </c>
      <c r="C697" s="32">
        <v>1.1264341353228859</v>
      </c>
      <c r="D697" s="32">
        <v>1.4135618236150254</v>
      </c>
      <c r="E697" s="32">
        <v>-1.0879803452281631</v>
      </c>
      <c r="F697" s="24">
        <v>304105</v>
      </c>
      <c r="G697" s="52" t="s">
        <v>2</v>
      </c>
      <c r="H697" s="32">
        <v>14.022513273764787</v>
      </c>
      <c r="I697" s="32">
        <v>11.267409398606347</v>
      </c>
      <c r="J697" s="12" t="s">
        <v>899</v>
      </c>
      <c r="K697" s="12" t="s">
        <v>900</v>
      </c>
      <c r="L697" s="14" t="s">
        <v>901</v>
      </c>
      <c r="M697" s="12" t="s">
        <v>902</v>
      </c>
      <c r="N697" s="15" t="s">
        <v>903</v>
      </c>
      <c r="O697" s="12" t="s">
        <v>904</v>
      </c>
      <c r="P697" s="12" t="s">
        <v>905</v>
      </c>
      <c r="Q697" s="14">
        <v>3</v>
      </c>
      <c r="R697" s="21">
        <v>893.45090000000005</v>
      </c>
      <c r="S697" s="14">
        <v>1</v>
      </c>
      <c r="T697" s="52" t="s">
        <v>2</v>
      </c>
      <c r="U697" s="53">
        <v>72.239249999999998</v>
      </c>
      <c r="V697" s="24">
        <v>190127</v>
      </c>
      <c r="W697" s="24">
        <v>220381</v>
      </c>
      <c r="X697" s="24">
        <v>227816</v>
      </c>
      <c r="Y697" s="24">
        <v>267260</v>
      </c>
      <c r="Z697" s="24">
        <v>318980</v>
      </c>
      <c r="AA697" s="24">
        <v>289230</v>
      </c>
      <c r="AB697" s="24">
        <v>277660</v>
      </c>
      <c r="AC697" s="24">
        <v>284020</v>
      </c>
      <c r="AD697" s="24">
        <v>226396</v>
      </c>
      <c r="AE697" s="24">
        <v>292472.5</v>
      </c>
      <c r="AF697" s="24">
        <v>205254</v>
      </c>
      <c r="AG697" s="24">
        <v>247538</v>
      </c>
      <c r="AH697" s="24">
        <v>304105</v>
      </c>
      <c r="AI697" s="24">
        <v>280840</v>
      </c>
      <c r="AJ697" s="32">
        <v>14.022513273764787</v>
      </c>
      <c r="AK697" s="32">
        <v>6.254962518382003</v>
      </c>
      <c r="AL697" s="32">
        <v>10.422602511043785</v>
      </c>
      <c r="AM697" s="32">
        <v>11.267409398606347</v>
      </c>
      <c r="AN697" s="32">
        <v>6.9174879532726496</v>
      </c>
      <c r="AO697" s="32">
        <v>1.6013385302472734</v>
      </c>
      <c r="AP697" s="19">
        <v>1.2918624887365502</v>
      </c>
      <c r="AQ697" s="19">
        <v>1.4816032817874438</v>
      </c>
      <c r="AR697" s="19">
        <v>1.1345328798002732</v>
      </c>
      <c r="AS697" s="19">
        <v>0.3694525116912547</v>
      </c>
      <c r="AT697" s="19">
        <v>0.56715919931906644</v>
      </c>
      <c r="AU697" s="19">
        <v>0.182098420237602</v>
      </c>
      <c r="AV697" s="19">
        <v>0.17176295900515415</v>
      </c>
      <c r="AW697" s="19">
        <v>0.49933498233591672</v>
      </c>
      <c r="AX697" s="19">
        <v>-0.12165249399819092</v>
      </c>
      <c r="AY697" s="19">
        <v>1.2918624887365502</v>
      </c>
      <c r="AZ697" s="19">
        <v>1.4816032817874438</v>
      </c>
      <c r="BA697" s="19">
        <v>1.1345328798002732</v>
      </c>
      <c r="BB697" s="19">
        <v>1.1264341353228859</v>
      </c>
      <c r="BC697" s="19">
        <v>1.4135618236150254</v>
      </c>
      <c r="BD697" s="19">
        <v>-1.0879803452281631</v>
      </c>
      <c r="BE697" s="14" t="s">
        <v>4857</v>
      </c>
    </row>
    <row r="698" spans="1:57" s="30" customFormat="1" ht="17.100000000000001" customHeight="1">
      <c r="A698" s="14">
        <v>687</v>
      </c>
      <c r="B698" s="14" t="s">
        <v>906</v>
      </c>
      <c r="C698" s="32">
        <v>-1.0289370833686144</v>
      </c>
      <c r="D698" s="32">
        <v>-1.2427142319733946</v>
      </c>
      <c r="E698" s="32">
        <v>1.1590371804467967</v>
      </c>
      <c r="F698" s="42">
        <v>2940000</v>
      </c>
      <c r="G698" s="52" t="s">
        <v>2</v>
      </c>
      <c r="H698" s="32">
        <v>22.23233669691971</v>
      </c>
      <c r="I698" s="32">
        <v>12.104959510917931</v>
      </c>
      <c r="J698" s="12" t="s">
        <v>907</v>
      </c>
      <c r="K698" s="12" t="s">
        <v>908</v>
      </c>
      <c r="L698" s="14" t="s">
        <v>4680</v>
      </c>
      <c r="M698" s="12" t="s">
        <v>909</v>
      </c>
      <c r="N698" s="15" t="s">
        <v>910</v>
      </c>
      <c r="O698" s="12" t="s">
        <v>911</v>
      </c>
      <c r="P698" s="12" t="s">
        <v>912</v>
      </c>
      <c r="Q698" s="14">
        <v>2</v>
      </c>
      <c r="R698" s="21">
        <v>689.85540000000003</v>
      </c>
      <c r="S698" s="14">
        <v>1</v>
      </c>
      <c r="T698" s="52" t="s">
        <v>2</v>
      </c>
      <c r="U698" s="53">
        <v>60.3</v>
      </c>
      <c r="V698" s="42">
        <v>2600000</v>
      </c>
      <c r="W698" s="42">
        <v>2190000</v>
      </c>
      <c r="X698" s="42">
        <v>2010000</v>
      </c>
      <c r="Y698" s="42">
        <v>2100000</v>
      </c>
      <c r="Z698" s="42">
        <v>2000000</v>
      </c>
      <c r="AA698" s="42">
        <v>2040000</v>
      </c>
      <c r="AB698" s="42">
        <v>2760000</v>
      </c>
      <c r="AC698" s="42">
        <v>3120000</v>
      </c>
      <c r="AD698" s="42">
        <v>2225000</v>
      </c>
      <c r="AE698" s="42">
        <v>2480000</v>
      </c>
      <c r="AF698" s="42">
        <v>2395000</v>
      </c>
      <c r="AG698" s="42">
        <v>2055000</v>
      </c>
      <c r="AH698" s="42">
        <v>2020000</v>
      </c>
      <c r="AI698" s="42">
        <v>2940000</v>
      </c>
      <c r="AJ698" s="32">
        <v>11.711293681613826</v>
      </c>
      <c r="AK698" s="32">
        <v>22.23233669691971</v>
      </c>
      <c r="AL698" s="32">
        <v>12.104959510917931</v>
      </c>
      <c r="AM698" s="32">
        <v>3.0968180197950987</v>
      </c>
      <c r="AN698" s="32">
        <v>1.4002114478941534</v>
      </c>
      <c r="AO698" s="32">
        <v>8.6584503818760918</v>
      </c>
      <c r="AP698" s="19">
        <v>1.1146067415730336</v>
      </c>
      <c r="AQ698" s="19">
        <v>0.8434237995824635</v>
      </c>
      <c r="AR698" s="19">
        <v>1.4306569343065694</v>
      </c>
      <c r="AS698" s="19">
        <v>0.15653478453311501</v>
      </c>
      <c r="AT698" s="19">
        <v>-0.24567036298438544</v>
      </c>
      <c r="AU698" s="19">
        <v>0.51667776115468156</v>
      </c>
      <c r="AV698" s="19">
        <v>-4.1154768152985549E-2</v>
      </c>
      <c r="AW698" s="19">
        <v>-0.31349457996753516</v>
      </c>
      <c r="AX698" s="19">
        <v>0.21292684691888863</v>
      </c>
      <c r="AY698" s="19">
        <v>1.1146067415730336</v>
      </c>
      <c r="AZ698" s="19">
        <v>-1.1856435643564356</v>
      </c>
      <c r="BA698" s="19">
        <v>1.4306569343065694</v>
      </c>
      <c r="BB698" s="19">
        <v>-1.0289370833686144</v>
      </c>
      <c r="BC698" s="19">
        <v>-1.2427142319733946</v>
      </c>
      <c r="BD698" s="19">
        <v>1.1590371804467967</v>
      </c>
      <c r="BE698" s="14" t="s">
        <v>4857</v>
      </c>
    </row>
    <row r="699" spans="1:57" s="30" customFormat="1" ht="17.100000000000001" customHeight="1">
      <c r="A699" s="14">
        <v>688</v>
      </c>
      <c r="B699" s="14" t="s">
        <v>913</v>
      </c>
      <c r="C699" s="32">
        <v>-1.1562712823699557</v>
      </c>
      <c r="D699" s="32">
        <v>1.3790367182829939</v>
      </c>
      <c r="E699" s="32">
        <v>-1.7952289368039784</v>
      </c>
      <c r="F699" s="42">
        <v>532953.5</v>
      </c>
      <c r="G699" s="52" t="s">
        <v>4894</v>
      </c>
      <c r="H699" s="32">
        <v>26.903881060626716</v>
      </c>
      <c r="I699" s="32">
        <v>26.761308230936994</v>
      </c>
      <c r="J699" s="12" t="s">
        <v>914</v>
      </c>
      <c r="K699" s="12" t="s">
        <v>915</v>
      </c>
      <c r="L699" s="14" t="s">
        <v>916</v>
      </c>
      <c r="M699" s="12" t="s">
        <v>917</v>
      </c>
      <c r="N699" s="15" t="s">
        <v>918</v>
      </c>
      <c r="O699" s="12" t="s">
        <v>919</v>
      </c>
      <c r="P699" s="12" t="s">
        <v>789</v>
      </c>
      <c r="Q699" s="14">
        <v>2</v>
      </c>
      <c r="R699" s="21">
        <v>608.79390000000001</v>
      </c>
      <c r="S699" s="14">
        <v>2</v>
      </c>
      <c r="T699" s="52" t="s">
        <v>4894</v>
      </c>
      <c r="U699" s="53">
        <v>21.43</v>
      </c>
      <c r="V699" s="42">
        <v>398675</v>
      </c>
      <c r="W699" s="42">
        <v>316438</v>
      </c>
      <c r="X699" s="42">
        <v>467494</v>
      </c>
      <c r="Y699" s="42">
        <v>598413</v>
      </c>
      <c r="Z699" s="42">
        <v>614616</v>
      </c>
      <c r="AA699" s="42">
        <v>419020</v>
      </c>
      <c r="AB699" s="42">
        <v>348974</v>
      </c>
      <c r="AC699" s="42">
        <v>383914</v>
      </c>
      <c r="AD699" s="42">
        <v>445255</v>
      </c>
      <c r="AE699" s="42">
        <v>441631</v>
      </c>
      <c r="AF699" s="42">
        <v>357556.5</v>
      </c>
      <c r="AG699" s="42">
        <v>532953.5</v>
      </c>
      <c r="AH699" s="42">
        <v>516818</v>
      </c>
      <c r="AI699" s="42">
        <v>366444</v>
      </c>
      <c r="AJ699" s="32">
        <v>26.7992797001795</v>
      </c>
      <c r="AK699" s="32">
        <v>26.903881060626716</v>
      </c>
      <c r="AL699" s="32">
        <v>16.263259195242739</v>
      </c>
      <c r="AM699" s="32">
        <v>17.369941784069646</v>
      </c>
      <c r="AN699" s="32">
        <v>26.761308230936994</v>
      </c>
      <c r="AO699" s="32">
        <v>6.7421791418765125</v>
      </c>
      <c r="AP699" s="19">
        <v>0.99186084378614503</v>
      </c>
      <c r="AQ699" s="19">
        <v>1.4454163188195432</v>
      </c>
      <c r="AR699" s="19">
        <v>0.68757218031216605</v>
      </c>
      <c r="AS699" s="19">
        <v>-1.1790367482976915E-2</v>
      </c>
      <c r="AT699" s="19">
        <v>0.53148508759830981</v>
      </c>
      <c r="AU699" s="19">
        <v>-0.54041692141754727</v>
      </c>
      <c r="AV699" s="19">
        <v>-0.20947992016907746</v>
      </c>
      <c r="AW699" s="19">
        <v>0.46366087061516009</v>
      </c>
      <c r="AX699" s="19">
        <v>-0.84416783565334019</v>
      </c>
      <c r="AY699" s="19">
        <v>-1.0082059456876895</v>
      </c>
      <c r="AZ699" s="19">
        <v>1.4454163188195432</v>
      </c>
      <c r="BA699" s="19">
        <v>-1.4543927585115326</v>
      </c>
      <c r="BB699" s="19">
        <v>-1.1562712823699557</v>
      </c>
      <c r="BC699" s="19">
        <v>1.3790367182829939</v>
      </c>
      <c r="BD699" s="19">
        <v>-1.7952289368039784</v>
      </c>
      <c r="BE699" s="14" t="s">
        <v>4857</v>
      </c>
    </row>
    <row r="700" spans="1:57" s="30" customFormat="1" ht="17.100000000000001" customHeight="1">
      <c r="A700" s="14">
        <v>689</v>
      </c>
      <c r="B700" s="14" t="s">
        <v>790</v>
      </c>
      <c r="C700" s="32">
        <v>1.08462814290225</v>
      </c>
      <c r="D700" s="32">
        <v>1.4103102317440548</v>
      </c>
      <c r="E700" s="32">
        <v>-1.1289991599167029</v>
      </c>
      <c r="F700" s="24">
        <v>32642.5</v>
      </c>
      <c r="G700" s="52" t="s">
        <v>2</v>
      </c>
      <c r="H700" s="32">
        <v>37.075967454524729</v>
      </c>
      <c r="I700" s="32">
        <v>34.513982289389432</v>
      </c>
      <c r="J700" s="12" t="s">
        <v>791</v>
      </c>
      <c r="K700" s="12" t="s">
        <v>792</v>
      </c>
      <c r="L700" s="14" t="s">
        <v>4825</v>
      </c>
      <c r="M700" s="12" t="s">
        <v>793</v>
      </c>
      <c r="N700" s="15" t="s">
        <v>794</v>
      </c>
      <c r="O700" s="12" t="s">
        <v>795</v>
      </c>
      <c r="P700" s="12" t="s">
        <v>796</v>
      </c>
      <c r="Q700" s="14">
        <v>3</v>
      </c>
      <c r="R700" s="21">
        <v>508.91579999999999</v>
      </c>
      <c r="S700" s="14">
        <v>2</v>
      </c>
      <c r="T700" s="52" t="s">
        <v>2</v>
      </c>
      <c r="U700" s="53">
        <v>25.468475000000002</v>
      </c>
      <c r="V700" s="24">
        <v>22944</v>
      </c>
      <c r="W700" s="24">
        <v>15442</v>
      </c>
      <c r="X700" s="24">
        <v>37143</v>
      </c>
      <c r="Y700" s="24">
        <v>22570</v>
      </c>
      <c r="Z700" s="24">
        <v>25742</v>
      </c>
      <c r="AA700" s="24">
        <v>31000</v>
      </c>
      <c r="AB700" s="24">
        <v>34244</v>
      </c>
      <c r="AC700" s="24">
        <v>31041</v>
      </c>
      <c r="AD700" s="24">
        <v>24524.75</v>
      </c>
      <c r="AE700" s="24">
        <v>30506.75</v>
      </c>
      <c r="AF700" s="24">
        <v>19193</v>
      </c>
      <c r="AG700" s="24">
        <v>29856.5</v>
      </c>
      <c r="AH700" s="24">
        <v>28371</v>
      </c>
      <c r="AI700" s="24">
        <v>32642.5</v>
      </c>
      <c r="AJ700" s="32">
        <v>37.075967454524729</v>
      </c>
      <c r="AK700" s="32">
        <v>11.542681702674178</v>
      </c>
      <c r="AL700" s="32">
        <v>27.638800981928203</v>
      </c>
      <c r="AM700" s="32">
        <v>34.513982289389432</v>
      </c>
      <c r="AN700" s="32">
        <v>13.104816381089377</v>
      </c>
      <c r="AO700" s="32">
        <v>6.938387133768896</v>
      </c>
      <c r="AP700" s="19">
        <v>1.2439168594990775</v>
      </c>
      <c r="AQ700" s="19">
        <v>1.478195175324337</v>
      </c>
      <c r="AR700" s="19">
        <v>1.0933130139165677</v>
      </c>
      <c r="AS700" s="19">
        <v>0.314890062319997</v>
      </c>
      <c r="AT700" s="19">
        <v>0.56383677008110455</v>
      </c>
      <c r="AU700" s="19">
        <v>0.12870650162749894</v>
      </c>
      <c r="AV700" s="19">
        <v>0.11720050963389644</v>
      </c>
      <c r="AW700" s="19">
        <v>0.49601255309795483</v>
      </c>
      <c r="AX700" s="19">
        <v>-0.17504441260829398</v>
      </c>
      <c r="AY700" s="19">
        <v>1.2439168594990775</v>
      </c>
      <c r="AZ700" s="19">
        <v>1.478195175324337</v>
      </c>
      <c r="BA700" s="19">
        <v>1.0933130139165677</v>
      </c>
      <c r="BB700" s="19">
        <v>1.08462814290225</v>
      </c>
      <c r="BC700" s="19">
        <v>1.4103102317440548</v>
      </c>
      <c r="BD700" s="19">
        <v>-1.1289991599167029</v>
      </c>
      <c r="BE700" s="14" t="s">
        <v>4857</v>
      </c>
    </row>
    <row r="701" spans="1:57" s="30" customFormat="1" ht="17.100000000000001" customHeight="1">
      <c r="A701" s="14">
        <v>690</v>
      </c>
      <c r="B701" s="14" t="s">
        <v>799</v>
      </c>
      <c r="C701" s="32">
        <v>-1.0128485608807749</v>
      </c>
      <c r="D701" s="32">
        <v>-1.1641820645372709</v>
      </c>
      <c r="E701" s="32">
        <v>1.1125032465310585</v>
      </c>
      <c r="F701" s="24">
        <v>67035</v>
      </c>
      <c r="G701" s="52" t="s">
        <v>2</v>
      </c>
      <c r="H701" s="32">
        <v>31.254761860040066</v>
      </c>
      <c r="I701" s="32">
        <v>30.687179053149904</v>
      </c>
      <c r="J701" s="12" t="s">
        <v>791</v>
      </c>
      <c r="K701" s="12" t="s">
        <v>792</v>
      </c>
      <c r="L701" s="14" t="s">
        <v>4713</v>
      </c>
      <c r="M701" s="12" t="s">
        <v>793</v>
      </c>
      <c r="N701" s="15" t="s">
        <v>794</v>
      </c>
      <c r="O701" s="12" t="s">
        <v>795</v>
      </c>
      <c r="P701" s="12" t="s">
        <v>798</v>
      </c>
      <c r="Q701" s="14">
        <v>3</v>
      </c>
      <c r="R701" s="21">
        <v>608.97439999999995</v>
      </c>
      <c r="S701" s="14">
        <v>8</v>
      </c>
      <c r="T701" s="52" t="s">
        <v>2</v>
      </c>
      <c r="U701" s="53">
        <v>37.388487499999997</v>
      </c>
      <c r="V701" s="24">
        <v>44813</v>
      </c>
      <c r="W701" s="24">
        <v>56570</v>
      </c>
      <c r="X701" s="24">
        <v>49356</v>
      </c>
      <c r="Y701" s="24">
        <v>48276</v>
      </c>
      <c r="Z701" s="24">
        <v>50595</v>
      </c>
      <c r="AA701" s="24">
        <v>40682</v>
      </c>
      <c r="AB701" s="24">
        <v>52489</v>
      </c>
      <c r="AC701" s="24">
        <v>81581</v>
      </c>
      <c r="AD701" s="24">
        <v>49753.75</v>
      </c>
      <c r="AE701" s="24">
        <v>56336.75</v>
      </c>
      <c r="AF701" s="24">
        <v>50691.5</v>
      </c>
      <c r="AG701" s="24">
        <v>48816</v>
      </c>
      <c r="AH701" s="24">
        <v>45638.5</v>
      </c>
      <c r="AI701" s="24">
        <v>67035</v>
      </c>
      <c r="AJ701" s="32">
        <v>9.929132062448657</v>
      </c>
      <c r="AK701" s="32">
        <v>31.254761860040066</v>
      </c>
      <c r="AL701" s="32">
        <v>16.400095531618199</v>
      </c>
      <c r="AM701" s="32">
        <v>1.5643955335985567</v>
      </c>
      <c r="AN701" s="32">
        <v>15.358851675454376</v>
      </c>
      <c r="AO701" s="32">
        <v>30.687179053149904</v>
      </c>
      <c r="AP701" s="19">
        <v>1.1323116348013968</v>
      </c>
      <c r="AQ701" s="19">
        <v>0.90031859384709467</v>
      </c>
      <c r="AR701" s="19">
        <v>1.3732177974434612</v>
      </c>
      <c r="AS701" s="19">
        <v>0.179271071339619</v>
      </c>
      <c r="AT701" s="19">
        <v>-0.15149247963521636</v>
      </c>
      <c r="AU701" s="19">
        <v>0.45756046042487236</v>
      </c>
      <c r="AV701" s="19">
        <v>-1.8418481346481552E-2</v>
      </c>
      <c r="AW701" s="19">
        <v>-0.21931669661836606</v>
      </c>
      <c r="AX701" s="19">
        <v>0.15380954618907944</v>
      </c>
      <c r="AY701" s="19">
        <v>1.1323116348013968</v>
      </c>
      <c r="AZ701" s="19">
        <v>-1.1107179245593084</v>
      </c>
      <c r="BA701" s="19">
        <v>1.3732177974434612</v>
      </c>
      <c r="BB701" s="19">
        <v>-1.0128485608807749</v>
      </c>
      <c r="BC701" s="19">
        <v>-1.1641820645372709</v>
      </c>
      <c r="BD701" s="19">
        <v>1.1125032465310585</v>
      </c>
      <c r="BE701" s="14" t="s">
        <v>4857</v>
      </c>
    </row>
    <row r="702" spans="1:57" s="30" customFormat="1" ht="17.100000000000001" customHeight="1">
      <c r="A702" s="14">
        <v>691</v>
      </c>
      <c r="B702" s="14" t="s">
        <v>800</v>
      </c>
      <c r="C702" s="32">
        <v>1.1754914544256021</v>
      </c>
      <c r="D702" s="32">
        <v>1.1539443215136773</v>
      </c>
      <c r="E702" s="32">
        <v>1.2067216430905761</v>
      </c>
      <c r="F702" s="24">
        <v>316870</v>
      </c>
      <c r="G702" s="52" t="s">
        <v>2</v>
      </c>
      <c r="H702" s="32">
        <v>13.518226133575215</v>
      </c>
      <c r="I702" s="32">
        <v>13.557135215234487</v>
      </c>
      <c r="J702" s="12" t="s">
        <v>801</v>
      </c>
      <c r="K702" s="12" t="s">
        <v>802</v>
      </c>
      <c r="L702" s="14" t="s">
        <v>5310</v>
      </c>
      <c r="M702" s="12" t="s">
        <v>803</v>
      </c>
      <c r="N702" s="15" t="s">
        <v>804</v>
      </c>
      <c r="O702" s="12" t="s">
        <v>805</v>
      </c>
      <c r="P702" s="12" t="s">
        <v>806</v>
      </c>
      <c r="Q702" s="14">
        <v>2</v>
      </c>
      <c r="R702" s="21">
        <v>511.25110000000001</v>
      </c>
      <c r="S702" s="14">
        <v>2</v>
      </c>
      <c r="T702" s="52" t="s">
        <v>2</v>
      </c>
      <c r="U702" s="53">
        <v>33.866587499999994</v>
      </c>
      <c r="V702" s="24">
        <v>229258</v>
      </c>
      <c r="W702" s="24">
        <v>204669</v>
      </c>
      <c r="X702" s="24">
        <v>220345</v>
      </c>
      <c r="Y702" s="24">
        <v>205122</v>
      </c>
      <c r="Z702" s="24">
        <v>287571</v>
      </c>
      <c r="AA702" s="24">
        <v>237259</v>
      </c>
      <c r="AB702" s="24">
        <v>303301</v>
      </c>
      <c r="AC702" s="24">
        <v>330439</v>
      </c>
      <c r="AD702" s="24">
        <v>214848.5</v>
      </c>
      <c r="AE702" s="24">
        <v>289642.5</v>
      </c>
      <c r="AF702" s="24">
        <v>216963.5</v>
      </c>
      <c r="AG702" s="24">
        <v>212733.5</v>
      </c>
      <c r="AH702" s="24">
        <v>262415</v>
      </c>
      <c r="AI702" s="24">
        <v>316870</v>
      </c>
      <c r="AJ702" s="32">
        <v>5.6115942248801431</v>
      </c>
      <c r="AK702" s="32">
        <v>13.518226133575215</v>
      </c>
      <c r="AL702" s="32">
        <v>8.0138127577200855</v>
      </c>
      <c r="AM702" s="32">
        <v>5.0599865700525841</v>
      </c>
      <c r="AN702" s="32">
        <v>13.557135215234487</v>
      </c>
      <c r="AO702" s="32">
        <v>6.0559421301607994</v>
      </c>
      <c r="AP702" s="19">
        <v>1.3481243760137958</v>
      </c>
      <c r="AQ702" s="19">
        <v>1.2094891537055772</v>
      </c>
      <c r="AR702" s="19">
        <v>1.4895162257002306</v>
      </c>
      <c r="AS702" s="19">
        <v>0.43095360362716778</v>
      </c>
      <c r="AT702" s="19">
        <v>0.27439783176898458</v>
      </c>
      <c r="AU702" s="19">
        <v>0.57484383933753258</v>
      </c>
      <c r="AV702" s="19">
        <v>0.23326405094106722</v>
      </c>
      <c r="AW702" s="19">
        <v>0.20657361478583486</v>
      </c>
      <c r="AX702" s="19">
        <v>0.27109292510173966</v>
      </c>
      <c r="AY702" s="19">
        <v>1.3481243760137958</v>
      </c>
      <c r="AZ702" s="19">
        <v>1.2094891537055772</v>
      </c>
      <c r="BA702" s="19">
        <v>1.4895162257002306</v>
      </c>
      <c r="BB702" s="19">
        <v>1.1754914544256021</v>
      </c>
      <c r="BC702" s="19">
        <v>1.1539443215136773</v>
      </c>
      <c r="BD702" s="19">
        <v>1.2067216430905761</v>
      </c>
      <c r="BE702" s="14" t="s">
        <v>4857</v>
      </c>
    </row>
    <row r="703" spans="1:57" s="30" customFormat="1" ht="17.100000000000001" customHeight="1">
      <c r="A703" s="14">
        <v>692</v>
      </c>
      <c r="B703" s="14" t="s">
        <v>807</v>
      </c>
      <c r="C703" s="32">
        <v>-1.2274653984230011</v>
      </c>
      <c r="D703" s="32">
        <v>-1.2997723241203543</v>
      </c>
      <c r="E703" s="32">
        <v>-1.182134859896121</v>
      </c>
      <c r="F703" s="24">
        <v>30791</v>
      </c>
      <c r="G703" s="52" t="s">
        <v>2</v>
      </c>
      <c r="H703" s="32">
        <v>28.627503650546359</v>
      </c>
      <c r="I703" s="32">
        <v>35.318770978844832</v>
      </c>
      <c r="J703" s="12" t="s">
        <v>801</v>
      </c>
      <c r="K703" s="12" t="s">
        <v>802</v>
      </c>
      <c r="L703" s="14" t="s">
        <v>3113</v>
      </c>
      <c r="M703" s="12" t="s">
        <v>803</v>
      </c>
      <c r="N703" s="15" t="s">
        <v>804</v>
      </c>
      <c r="O703" s="12" t="s">
        <v>805</v>
      </c>
      <c r="P703" s="12" t="s">
        <v>808</v>
      </c>
      <c r="Q703" s="14">
        <v>2</v>
      </c>
      <c r="R703" s="21">
        <v>764.8913</v>
      </c>
      <c r="S703" s="14">
        <v>15</v>
      </c>
      <c r="T703" s="52" t="s">
        <v>2</v>
      </c>
      <c r="U703" s="53">
        <v>28.6321625</v>
      </c>
      <c r="V703" s="24">
        <v>23384</v>
      </c>
      <c r="W703" s="24">
        <v>27251</v>
      </c>
      <c r="X703" s="24">
        <v>36853</v>
      </c>
      <c r="Y703" s="24">
        <v>22124</v>
      </c>
      <c r="Z703" s="24">
        <v>18724</v>
      </c>
      <c r="AA703" s="24">
        <v>22108</v>
      </c>
      <c r="AB703" s="24">
        <v>25902</v>
      </c>
      <c r="AC703" s="24">
        <v>35680</v>
      </c>
      <c r="AD703" s="24">
        <v>27403</v>
      </c>
      <c r="AE703" s="24">
        <v>25603.5</v>
      </c>
      <c r="AF703" s="24">
        <v>25317.5</v>
      </c>
      <c r="AG703" s="24">
        <v>29488.5</v>
      </c>
      <c r="AH703" s="24">
        <v>20416</v>
      </c>
      <c r="AI703" s="24">
        <v>30791</v>
      </c>
      <c r="AJ703" s="32">
        <v>24.329374433607459</v>
      </c>
      <c r="AK703" s="32">
        <v>28.627503650546359</v>
      </c>
      <c r="AL703" s="32">
        <v>10.800363080274037</v>
      </c>
      <c r="AM703" s="32">
        <v>35.318770978844832</v>
      </c>
      <c r="AN703" s="32">
        <v>11.720461145842854</v>
      </c>
      <c r="AO703" s="32">
        <v>22.45490599994174</v>
      </c>
      <c r="AP703" s="19">
        <v>0.93433200744444034</v>
      </c>
      <c r="AQ703" s="19">
        <v>0.80639873605213785</v>
      </c>
      <c r="AR703" s="19">
        <v>1.0441697610933076</v>
      </c>
      <c r="AS703" s="19">
        <v>-9.7992803644386103E-2</v>
      </c>
      <c r="AT703" s="19">
        <v>-0.31043471732525435</v>
      </c>
      <c r="AU703" s="19">
        <v>6.2356284299902288E-2</v>
      </c>
      <c r="AV703" s="19">
        <v>-0.29568235633048667</v>
      </c>
      <c r="AW703" s="19">
        <v>-0.37825893430840407</v>
      </c>
      <c r="AX703" s="19">
        <v>-0.24139462993589064</v>
      </c>
      <c r="AY703" s="19">
        <v>-1.0702833596969166</v>
      </c>
      <c r="AZ703" s="19">
        <v>-1.2400813087774294</v>
      </c>
      <c r="BA703" s="19">
        <v>1.0441697610933076</v>
      </c>
      <c r="BB703" s="19">
        <v>-1.2274653984230011</v>
      </c>
      <c r="BC703" s="19">
        <v>-1.2997723241203543</v>
      </c>
      <c r="BD703" s="19">
        <v>-1.182134859896121</v>
      </c>
      <c r="BE703" s="14" t="s">
        <v>4857</v>
      </c>
    </row>
    <row r="704" spans="1:57" s="30" customFormat="1" ht="17.100000000000001" customHeight="1">
      <c r="A704" s="14">
        <v>693</v>
      </c>
      <c r="B704" s="14" t="s">
        <v>813</v>
      </c>
      <c r="C704" s="32">
        <v>1.1969783706552215</v>
      </c>
      <c r="D704" s="32">
        <v>1.0997288193145893</v>
      </c>
      <c r="E704" s="32">
        <v>1.2821221786099466</v>
      </c>
      <c r="F704" s="42">
        <v>6785565</v>
      </c>
      <c r="G704" s="52" t="s">
        <v>4894</v>
      </c>
      <c r="H704" s="32">
        <v>21.368872849714428</v>
      </c>
      <c r="I704" s="32">
        <v>11.945111812772485</v>
      </c>
      <c r="J704" s="12" t="s">
        <v>801</v>
      </c>
      <c r="K704" s="12" t="s">
        <v>802</v>
      </c>
      <c r="L704" s="14" t="s">
        <v>3117</v>
      </c>
      <c r="M704" s="12" t="s">
        <v>803</v>
      </c>
      <c r="N704" s="15" t="s">
        <v>804</v>
      </c>
      <c r="O704" s="12" t="s">
        <v>805</v>
      </c>
      <c r="P704" s="12" t="s">
        <v>814</v>
      </c>
      <c r="Q704" s="14">
        <v>3</v>
      </c>
      <c r="R704" s="21">
        <v>510.26330000000002</v>
      </c>
      <c r="S704" s="14">
        <v>4</v>
      </c>
      <c r="T704" s="52" t="s">
        <v>4894</v>
      </c>
      <c r="U704" s="53">
        <v>28.813333333333333</v>
      </c>
      <c r="V704" s="42">
        <v>4432564</v>
      </c>
      <c r="W704" s="42">
        <v>3742094</v>
      </c>
      <c r="X704" s="42">
        <v>4043993</v>
      </c>
      <c r="Y704" s="42">
        <v>4531290</v>
      </c>
      <c r="Z704" s="42">
        <v>4719726</v>
      </c>
      <c r="AA704" s="42">
        <v>4702908</v>
      </c>
      <c r="AB704" s="42">
        <v>7120292</v>
      </c>
      <c r="AC704" s="42">
        <v>6450838</v>
      </c>
      <c r="AD704" s="42">
        <v>4187485.25</v>
      </c>
      <c r="AE704" s="42">
        <v>5748441</v>
      </c>
      <c r="AF704" s="42">
        <v>4087329</v>
      </c>
      <c r="AG704" s="42">
        <v>4287641.5</v>
      </c>
      <c r="AH704" s="42">
        <v>4711317</v>
      </c>
      <c r="AI704" s="42">
        <v>6785565</v>
      </c>
      <c r="AJ704" s="32">
        <v>8.6897320891804775</v>
      </c>
      <c r="AK704" s="32">
        <v>21.368872849714428</v>
      </c>
      <c r="AL704" s="32">
        <v>11.945111812772485</v>
      </c>
      <c r="AM704" s="32">
        <v>8.0363764823122708</v>
      </c>
      <c r="AN704" s="32">
        <v>0.25241608335833393</v>
      </c>
      <c r="AO704" s="32">
        <v>6.9762129327839162</v>
      </c>
      <c r="AP704" s="19">
        <v>1.3727668652683613</v>
      </c>
      <c r="AQ704" s="19">
        <v>1.1526640013563869</v>
      </c>
      <c r="AR704" s="19">
        <v>1.5825868370758143</v>
      </c>
      <c r="AS704" s="19">
        <v>0.45708663576920283</v>
      </c>
      <c r="AT704" s="19">
        <v>0.20497203231250699</v>
      </c>
      <c r="AU704" s="19">
        <v>0.66228466299106858</v>
      </c>
      <c r="AV704" s="19">
        <v>0.25939708308310228</v>
      </c>
      <c r="AW704" s="19">
        <v>0.13714781532935727</v>
      </c>
      <c r="AX704" s="19">
        <v>0.35853374875527566</v>
      </c>
      <c r="AY704" s="19">
        <v>1.3727668652683613</v>
      </c>
      <c r="AZ704" s="19">
        <v>1.1526640013563869</v>
      </c>
      <c r="BA704" s="19">
        <v>1.5825868370758143</v>
      </c>
      <c r="BB704" s="19">
        <v>1.1969783706552215</v>
      </c>
      <c r="BC704" s="19">
        <v>1.0997288193145893</v>
      </c>
      <c r="BD704" s="19">
        <v>1.2821221786099466</v>
      </c>
      <c r="BE704" s="14" t="s">
        <v>4857</v>
      </c>
    </row>
    <row r="705" spans="1:105" s="30" customFormat="1" ht="17.100000000000001" customHeight="1">
      <c r="A705" s="14">
        <v>694</v>
      </c>
      <c r="B705" s="14" t="s">
        <v>816</v>
      </c>
      <c r="C705" s="32">
        <v>1.0317939095885817</v>
      </c>
      <c r="D705" s="32">
        <v>1.1139816635980753</v>
      </c>
      <c r="E705" s="32">
        <v>-1.033076132609053</v>
      </c>
      <c r="F705" s="42">
        <v>62428928</v>
      </c>
      <c r="G705" s="52" t="s">
        <v>4894</v>
      </c>
      <c r="H705" s="32">
        <v>19.975790944980705</v>
      </c>
      <c r="I705" s="32">
        <v>12.989534763394037</v>
      </c>
      <c r="J705" s="12" t="s">
        <v>817</v>
      </c>
      <c r="K705" s="12" t="s">
        <v>818</v>
      </c>
      <c r="L705" s="14" t="s">
        <v>3986</v>
      </c>
      <c r="M705" s="12" t="s">
        <v>819</v>
      </c>
      <c r="N705" s="15" t="s">
        <v>820</v>
      </c>
      <c r="O705" s="12" t="s">
        <v>821</v>
      </c>
      <c r="P705" s="12" t="s">
        <v>822</v>
      </c>
      <c r="Q705" s="14">
        <v>3</v>
      </c>
      <c r="R705" s="21">
        <v>677.32889999999998</v>
      </c>
      <c r="S705" s="14">
        <v>1</v>
      </c>
      <c r="T705" s="52" t="s">
        <v>4894</v>
      </c>
      <c r="U705" s="53">
        <v>70.839500000000001</v>
      </c>
      <c r="V705" s="42">
        <v>34728625</v>
      </c>
      <c r="W705" s="42">
        <v>41753499</v>
      </c>
      <c r="X705" s="42">
        <v>48773854</v>
      </c>
      <c r="Y705" s="42">
        <v>55724648</v>
      </c>
      <c r="Z705" s="42">
        <v>44418278</v>
      </c>
      <c r="AA705" s="42">
        <v>44882472</v>
      </c>
      <c r="AB705" s="42">
        <v>64628544</v>
      </c>
      <c r="AC705" s="42">
        <v>60229312</v>
      </c>
      <c r="AD705" s="42">
        <v>45245156.5</v>
      </c>
      <c r="AE705" s="42">
        <v>53539651.5</v>
      </c>
      <c r="AF705" s="42">
        <v>38241062</v>
      </c>
      <c r="AG705" s="42">
        <v>52249251</v>
      </c>
      <c r="AH705" s="42">
        <v>44650375</v>
      </c>
      <c r="AI705" s="42">
        <v>62428928</v>
      </c>
      <c r="AJ705" s="32">
        <v>19.975790944980705</v>
      </c>
      <c r="AK705" s="32">
        <v>19.466157347120866</v>
      </c>
      <c r="AL705" s="32">
        <v>12.989534763394037</v>
      </c>
      <c r="AM705" s="32">
        <v>9.4067445522439499</v>
      </c>
      <c r="AN705" s="32">
        <v>0.73512198987378774</v>
      </c>
      <c r="AO705" s="32">
        <v>4.9828290807954572</v>
      </c>
      <c r="AP705" s="19">
        <v>1.1833233795975489</v>
      </c>
      <c r="AQ705" s="19">
        <v>1.1676029028691723</v>
      </c>
      <c r="AR705" s="19">
        <v>1.1948291469288239</v>
      </c>
      <c r="AS705" s="19">
        <v>0.24284438846040202</v>
      </c>
      <c r="AT705" s="19">
        <v>0.22354970275459402</v>
      </c>
      <c r="AU705" s="19">
        <v>0.25680433661535612</v>
      </c>
      <c r="AV705" s="19">
        <v>4.5154835774301461E-2</v>
      </c>
      <c r="AW705" s="19">
        <v>0.15572548577144429</v>
      </c>
      <c r="AX705" s="19">
        <v>-4.6946577620436802E-2</v>
      </c>
      <c r="AY705" s="19">
        <v>1.1833233795975489</v>
      </c>
      <c r="AZ705" s="19">
        <v>1.1676029028691723</v>
      </c>
      <c r="BA705" s="19">
        <v>1.1948291469288239</v>
      </c>
      <c r="BB705" s="19">
        <v>1.0317939095885817</v>
      </c>
      <c r="BC705" s="19">
        <v>1.1139816635980753</v>
      </c>
      <c r="BD705" s="19">
        <v>-1.033076132609053</v>
      </c>
      <c r="BE705" s="14" t="s">
        <v>4857</v>
      </c>
    </row>
    <row r="706" spans="1:105" s="30" customFormat="1" ht="17.100000000000001" customHeight="1">
      <c r="A706" s="14">
        <v>695</v>
      </c>
      <c r="B706" s="14" t="s">
        <v>832</v>
      </c>
      <c r="C706" s="32">
        <v>-1.0378484942222308</v>
      </c>
      <c r="D706" s="32">
        <v>1.2981472310931914</v>
      </c>
      <c r="E706" s="32">
        <v>-1.3022770472365663</v>
      </c>
      <c r="F706" s="24">
        <v>800767</v>
      </c>
      <c r="G706" s="52" t="s">
        <v>2</v>
      </c>
      <c r="H706" s="32">
        <v>27.783753248492733</v>
      </c>
      <c r="I706" s="32">
        <v>5.0772853657386117</v>
      </c>
      <c r="J706" s="12" t="s">
        <v>824</v>
      </c>
      <c r="K706" s="12" t="s">
        <v>825</v>
      </c>
      <c r="L706" s="14" t="s">
        <v>826</v>
      </c>
      <c r="M706" s="12" t="s">
        <v>827</v>
      </c>
      <c r="N706" s="15" t="s">
        <v>828</v>
      </c>
      <c r="O706" s="12" t="s">
        <v>829</v>
      </c>
      <c r="P706" s="12" t="s">
        <v>831</v>
      </c>
      <c r="Q706" s="14">
        <v>3</v>
      </c>
      <c r="R706" s="21">
        <v>533.64700000000005</v>
      </c>
      <c r="S706" s="14">
        <v>25</v>
      </c>
      <c r="T706" s="52" t="s">
        <v>2</v>
      </c>
      <c r="U706" s="53">
        <v>39.022937499999998</v>
      </c>
      <c r="V706" s="24">
        <v>484113</v>
      </c>
      <c r="W706" s="24">
        <v>500860</v>
      </c>
      <c r="X706" s="24">
        <v>772018</v>
      </c>
      <c r="Y706" s="24">
        <v>829516</v>
      </c>
      <c r="Z706" s="24">
        <v>667515</v>
      </c>
      <c r="AA706" s="24">
        <v>672672</v>
      </c>
      <c r="AB706" s="24">
        <v>783700</v>
      </c>
      <c r="AC706" s="24">
        <v>734297</v>
      </c>
      <c r="AD706" s="24">
        <v>646626.75</v>
      </c>
      <c r="AE706" s="24">
        <v>714546</v>
      </c>
      <c r="AF706" s="24">
        <v>492486.5</v>
      </c>
      <c r="AG706" s="24">
        <v>800767</v>
      </c>
      <c r="AH706" s="24">
        <v>670093.5</v>
      </c>
      <c r="AI706" s="24">
        <v>758998.5</v>
      </c>
      <c r="AJ706" s="32">
        <v>27.783753248492733</v>
      </c>
      <c r="AK706" s="32">
        <v>7.7237500591039288</v>
      </c>
      <c r="AL706" s="32">
        <v>2.4045161165902234</v>
      </c>
      <c r="AM706" s="32">
        <v>5.0772853657386117</v>
      </c>
      <c r="AN706" s="32">
        <v>0.54418520259919334</v>
      </c>
      <c r="AO706" s="32">
        <v>4.6025382541545214</v>
      </c>
      <c r="AP706" s="19">
        <v>1.1050362515933652</v>
      </c>
      <c r="AQ706" s="19">
        <v>1.3606332356318396</v>
      </c>
      <c r="AR706" s="19">
        <v>0.94783938399059897</v>
      </c>
      <c r="AS706" s="19">
        <v>0.14409369915163123</v>
      </c>
      <c r="AT706" s="19">
        <v>0.44427823477490069</v>
      </c>
      <c r="AU706" s="19">
        <v>-7.7285486768234102E-2</v>
      </c>
      <c r="AV706" s="19">
        <v>-5.3595853534469329E-2</v>
      </c>
      <c r="AW706" s="19">
        <v>0.37645401779175097</v>
      </c>
      <c r="AX706" s="19">
        <v>-0.38103640100402703</v>
      </c>
      <c r="AY706" s="19">
        <v>1.1050362515933652</v>
      </c>
      <c r="AZ706" s="19">
        <v>1.3606332356318396</v>
      </c>
      <c r="BA706" s="19">
        <v>-1.0550310705488879</v>
      </c>
      <c r="BB706" s="19">
        <v>-1.0378484942222308</v>
      </c>
      <c r="BC706" s="19">
        <v>1.2981472310931914</v>
      </c>
      <c r="BD706" s="19">
        <v>-1.3022770472365663</v>
      </c>
      <c r="BE706" s="14" t="s">
        <v>4857</v>
      </c>
    </row>
    <row r="707" spans="1:105" s="30" customFormat="1" ht="17.100000000000001" customHeight="1">
      <c r="A707" s="14">
        <v>696</v>
      </c>
      <c r="B707" s="14" t="s">
        <v>837</v>
      </c>
      <c r="C707" s="32">
        <v>-1.1755041727494924</v>
      </c>
      <c r="D707" s="32">
        <v>1.0085095761810667</v>
      </c>
      <c r="E707" s="32">
        <v>-1.3585972576276855</v>
      </c>
      <c r="F707" s="24">
        <v>58500</v>
      </c>
      <c r="G707" s="52" t="s">
        <v>2</v>
      </c>
      <c r="H707" s="32">
        <v>26.852578744286866</v>
      </c>
      <c r="I707" s="32">
        <v>36.969068228010372</v>
      </c>
      <c r="J707" s="12" t="s">
        <v>838</v>
      </c>
      <c r="K707" s="12" t="s">
        <v>839</v>
      </c>
      <c r="L707" s="14" t="s">
        <v>5055</v>
      </c>
      <c r="M707" s="12" t="s">
        <v>840</v>
      </c>
      <c r="N707" s="15" t="s">
        <v>841</v>
      </c>
      <c r="O707" s="12" t="s">
        <v>842</v>
      </c>
      <c r="P707" s="12" t="s">
        <v>844</v>
      </c>
      <c r="Q707" s="14">
        <v>2</v>
      </c>
      <c r="R707" s="21">
        <v>463.26990000000001</v>
      </c>
      <c r="S707" s="14">
        <v>1</v>
      </c>
      <c r="T707" s="52" t="s">
        <v>2</v>
      </c>
      <c r="U707" s="53">
        <v>22.1</v>
      </c>
      <c r="V707" s="24">
        <v>35600</v>
      </c>
      <c r="W707" s="24">
        <v>60800</v>
      </c>
      <c r="X707" s="24">
        <v>68300</v>
      </c>
      <c r="Y707" s="24">
        <v>48700</v>
      </c>
      <c r="Z707" s="24">
        <v>45500</v>
      </c>
      <c r="AA707" s="24">
        <v>56400</v>
      </c>
      <c r="AB707" s="24">
        <v>50900</v>
      </c>
      <c r="AC707" s="24">
        <v>55400</v>
      </c>
      <c r="AD707" s="24">
        <v>53350</v>
      </c>
      <c r="AE707" s="24">
        <v>52050</v>
      </c>
      <c r="AF707" s="24">
        <v>48200</v>
      </c>
      <c r="AG707" s="24">
        <v>58500</v>
      </c>
      <c r="AH707" s="24">
        <v>50950</v>
      </c>
      <c r="AI707" s="24">
        <v>53150</v>
      </c>
      <c r="AJ707" s="32">
        <v>26.852578744286866</v>
      </c>
      <c r="AK707" s="32">
        <v>9.5657170293983498</v>
      </c>
      <c r="AL707" s="32">
        <v>36.969068228010372</v>
      </c>
      <c r="AM707" s="32">
        <v>23.691098993600566</v>
      </c>
      <c r="AN707" s="32">
        <v>15.127505230487474</v>
      </c>
      <c r="AO707" s="32">
        <v>5.9867930674307877</v>
      </c>
      <c r="AP707" s="19">
        <v>0.97563261480787256</v>
      </c>
      <c r="AQ707" s="19">
        <v>1.0570539419087137</v>
      </c>
      <c r="AR707" s="19">
        <v>0.90854700854700854</v>
      </c>
      <c r="AS707" s="19">
        <v>-3.5590107525007825E-2</v>
      </c>
      <c r="AT707" s="19">
        <v>8.0048999935852239E-2</v>
      </c>
      <c r="AU707" s="19">
        <v>-0.13836693293966221</v>
      </c>
      <c r="AV707" s="19">
        <v>-0.23327966021110838</v>
      </c>
      <c r="AW707" s="19">
        <v>1.2224782952702531E-2</v>
      </c>
      <c r="AX707" s="19">
        <v>-0.4421178471754551</v>
      </c>
      <c r="AY707" s="19">
        <v>-1.0249759846301634</v>
      </c>
      <c r="AZ707" s="19">
        <v>1.0570539419087137</v>
      </c>
      <c r="BA707" s="19">
        <v>-1.1006585136406397</v>
      </c>
      <c r="BB707" s="19">
        <v>-1.1755041727494924</v>
      </c>
      <c r="BC707" s="19">
        <v>1.0085095761810667</v>
      </c>
      <c r="BD707" s="19">
        <v>-1.3585972576276855</v>
      </c>
      <c r="BE707" s="14" t="s">
        <v>4857</v>
      </c>
    </row>
    <row r="708" spans="1:105" s="30" customFormat="1" ht="17.100000000000001" customHeight="1">
      <c r="A708" s="14">
        <v>697</v>
      </c>
      <c r="B708" s="14" t="s">
        <v>845</v>
      </c>
      <c r="C708" s="32">
        <v>-1.2247903858591149</v>
      </c>
      <c r="D708" s="32">
        <v>1.1602121445218292</v>
      </c>
      <c r="E708" s="32">
        <v>-1.7107465881303396</v>
      </c>
      <c r="F708" s="24">
        <v>1344465</v>
      </c>
      <c r="G708" s="52" t="s">
        <v>2</v>
      </c>
      <c r="H708" s="32">
        <v>23.805212401082201</v>
      </c>
      <c r="I708" s="32">
        <v>27.784082679913553</v>
      </c>
      <c r="J708" s="12" t="s">
        <v>846</v>
      </c>
      <c r="K708" s="12" t="s">
        <v>847</v>
      </c>
      <c r="L708" s="14" t="s">
        <v>848</v>
      </c>
      <c r="M708" s="12" t="s">
        <v>849</v>
      </c>
      <c r="N708" s="15" t="s">
        <v>850</v>
      </c>
      <c r="O708" s="12" t="s">
        <v>851</v>
      </c>
      <c r="P708" s="12" t="s">
        <v>852</v>
      </c>
      <c r="Q708" s="14">
        <v>3</v>
      </c>
      <c r="R708" s="21">
        <v>568.6164</v>
      </c>
      <c r="S708" s="14">
        <v>1</v>
      </c>
      <c r="T708" s="52" t="s">
        <v>2</v>
      </c>
      <c r="U708" s="53">
        <v>69.209999999999994</v>
      </c>
      <c r="V708" s="24">
        <v>1025520</v>
      </c>
      <c r="W708" s="24">
        <v>1040030</v>
      </c>
      <c r="X708" s="24">
        <v>1483070</v>
      </c>
      <c r="Y708" s="24">
        <v>1205860</v>
      </c>
      <c r="Z708" s="24">
        <v>1088220</v>
      </c>
      <c r="AA708" s="24">
        <v>1423610</v>
      </c>
      <c r="AB708" s="24">
        <v>1160650</v>
      </c>
      <c r="AC708" s="24">
        <v>779485</v>
      </c>
      <c r="AD708" s="24">
        <v>1188620</v>
      </c>
      <c r="AE708" s="24">
        <v>1112991.25</v>
      </c>
      <c r="AF708" s="24">
        <v>1032775</v>
      </c>
      <c r="AG708" s="24">
        <v>1344465</v>
      </c>
      <c r="AH708" s="24">
        <v>1255915</v>
      </c>
      <c r="AI708" s="24">
        <v>970067.5</v>
      </c>
      <c r="AJ708" s="32">
        <v>17.891718026668027</v>
      </c>
      <c r="AK708" s="32">
        <v>23.805212401082201</v>
      </c>
      <c r="AL708" s="32">
        <v>0.99345156447598026</v>
      </c>
      <c r="AM708" s="32">
        <v>14.57955921595005</v>
      </c>
      <c r="AN708" s="32">
        <v>18.883168314906356</v>
      </c>
      <c r="AO708" s="32">
        <v>27.784082679913553</v>
      </c>
      <c r="AP708" s="19">
        <v>0.93637264222375527</v>
      </c>
      <c r="AQ708" s="19">
        <v>1.2160586768657258</v>
      </c>
      <c r="AR708" s="19">
        <v>0.72152677830958778</v>
      </c>
      <c r="AS708" s="19">
        <v>-9.4845310698745411E-2</v>
      </c>
      <c r="AT708" s="19">
        <v>0.28221284291048238</v>
      </c>
      <c r="AU708" s="19">
        <v>-0.47087515586383821</v>
      </c>
      <c r="AV708" s="19">
        <v>-0.29253486338484597</v>
      </c>
      <c r="AW708" s="19">
        <v>0.21438862592733265</v>
      </c>
      <c r="AX708" s="19">
        <v>-0.77462607009963114</v>
      </c>
      <c r="AY708" s="19">
        <v>-1.0679508935941771</v>
      </c>
      <c r="AZ708" s="19">
        <v>1.2160586768657258</v>
      </c>
      <c r="BA708" s="19">
        <v>-1.385949946782054</v>
      </c>
      <c r="BB708" s="19">
        <v>-1.2247903858591149</v>
      </c>
      <c r="BC708" s="19">
        <v>1.1602121445218292</v>
      </c>
      <c r="BD708" s="19">
        <v>-1.7107465881303396</v>
      </c>
      <c r="BE708" s="14" t="s">
        <v>4857</v>
      </c>
    </row>
    <row r="709" spans="1:105" s="30" customFormat="1" ht="17.100000000000001" customHeight="1">
      <c r="A709" s="14">
        <v>698</v>
      </c>
      <c r="B709" s="14" t="s">
        <v>853</v>
      </c>
      <c r="C709" s="32">
        <v>-1.0562880165205737</v>
      </c>
      <c r="D709" s="32">
        <v>-1.5486701668440261</v>
      </c>
      <c r="E709" s="32">
        <v>1.1908871024208447</v>
      </c>
      <c r="F709" s="24">
        <v>36836</v>
      </c>
      <c r="G709" s="52" t="s">
        <v>2</v>
      </c>
      <c r="H709" s="32">
        <v>53.546108760418129</v>
      </c>
      <c r="I709" s="32">
        <v>43.537134081528869</v>
      </c>
      <c r="J709" s="12" t="s">
        <v>854</v>
      </c>
      <c r="K709" s="12" t="s">
        <v>854</v>
      </c>
      <c r="L709" s="14" t="s">
        <v>855</v>
      </c>
      <c r="M709" s="12" t="s">
        <v>856</v>
      </c>
      <c r="N709" s="15" t="s">
        <v>857</v>
      </c>
      <c r="O709" s="12" t="s">
        <v>723</v>
      </c>
      <c r="P709" s="12" t="s">
        <v>725</v>
      </c>
      <c r="Q709" s="14">
        <v>3</v>
      </c>
      <c r="R709" s="21">
        <v>899.08569999999997</v>
      </c>
      <c r="S709" s="14">
        <v>1</v>
      </c>
      <c r="T709" s="52" t="s">
        <v>2</v>
      </c>
      <c r="U709" s="53">
        <v>45.616774999999997</v>
      </c>
      <c r="V709" s="24">
        <v>24780</v>
      </c>
      <c r="W709" s="24">
        <v>22308</v>
      </c>
      <c r="X709" s="24">
        <v>31524</v>
      </c>
      <c r="Y709" s="24">
        <v>18594</v>
      </c>
      <c r="Z709" s="24">
        <v>20840</v>
      </c>
      <c r="AA709" s="24">
        <v>11029</v>
      </c>
      <c r="AB709" s="24">
        <v>44380</v>
      </c>
      <c r="AC709" s="24">
        <v>29292</v>
      </c>
      <c r="AD709" s="24">
        <v>24301.5</v>
      </c>
      <c r="AE709" s="24">
        <v>26385.25</v>
      </c>
      <c r="AF709" s="24">
        <v>23544</v>
      </c>
      <c r="AG709" s="24">
        <v>25059</v>
      </c>
      <c r="AH709" s="24">
        <v>15934.5</v>
      </c>
      <c r="AI709" s="24">
        <v>36836</v>
      </c>
      <c r="AJ709" s="32">
        <v>22.405897355793229</v>
      </c>
      <c r="AK709" s="32">
        <v>53.546108760418129</v>
      </c>
      <c r="AL709" s="32">
        <v>7.4242608014489706</v>
      </c>
      <c r="AM709" s="32">
        <v>36.485457044343583</v>
      </c>
      <c r="AN709" s="32">
        <v>43.537134081528869</v>
      </c>
      <c r="AO709" s="32">
        <v>28.963044615437695</v>
      </c>
      <c r="AP709" s="19">
        <v>1.0857457358599263</v>
      </c>
      <c r="AQ709" s="19">
        <v>0.6767966360856269</v>
      </c>
      <c r="AR709" s="19">
        <v>1.4699708687497506</v>
      </c>
      <c r="AS709" s="19">
        <v>0.11868628678598632</v>
      </c>
      <c r="AT709" s="19">
        <v>-0.56320569710716639</v>
      </c>
      <c r="AU709" s="19">
        <v>0.55578756463530732</v>
      </c>
      <c r="AV709" s="19">
        <v>-7.9003265900114236E-2</v>
      </c>
      <c r="AW709" s="19">
        <v>-0.63102991409031606</v>
      </c>
      <c r="AX709" s="19">
        <v>0.25203665039951439</v>
      </c>
      <c r="AY709" s="19">
        <v>1.0857457358599263</v>
      </c>
      <c r="AZ709" s="19">
        <v>-1.4775487150522451</v>
      </c>
      <c r="BA709" s="19">
        <v>1.4699708687497506</v>
      </c>
      <c r="BB709" s="19">
        <v>-1.0562880165205737</v>
      </c>
      <c r="BC709" s="19">
        <v>-1.5486701668440261</v>
      </c>
      <c r="BD709" s="19">
        <v>1.1908871024208447</v>
      </c>
      <c r="BE709" s="14" t="s">
        <v>4857</v>
      </c>
    </row>
    <row r="710" spans="1:105" s="30" customFormat="1" ht="17.100000000000001" customHeight="1">
      <c r="A710" s="14">
        <v>699</v>
      </c>
      <c r="B710" s="14" t="s">
        <v>726</v>
      </c>
      <c r="C710" s="32">
        <v>1.0910509293537234</v>
      </c>
      <c r="D710" s="32">
        <v>1.329506048360366</v>
      </c>
      <c r="E710" s="32">
        <v>-1.0963077505550829</v>
      </c>
      <c r="F710" s="24">
        <v>547837</v>
      </c>
      <c r="G710" s="52" t="s">
        <v>2</v>
      </c>
      <c r="H710" s="32">
        <v>20.739650887679392</v>
      </c>
      <c r="I710" s="32">
        <v>33.076833102000478</v>
      </c>
      <c r="J710" s="12" t="s">
        <v>727</v>
      </c>
      <c r="K710" s="12" t="s">
        <v>727</v>
      </c>
      <c r="L710" s="14" t="s">
        <v>728</v>
      </c>
      <c r="M710" s="12" t="s">
        <v>729</v>
      </c>
      <c r="N710" s="15" t="s">
        <v>730</v>
      </c>
      <c r="O710" s="12" t="s">
        <v>731</v>
      </c>
      <c r="P710" s="12" t="s">
        <v>732</v>
      </c>
      <c r="Q710" s="14">
        <v>4</v>
      </c>
      <c r="R710" s="21">
        <v>611.30370000000005</v>
      </c>
      <c r="S710" s="14">
        <v>1</v>
      </c>
      <c r="T710" s="52" t="s">
        <v>2</v>
      </c>
      <c r="U710" s="53">
        <v>66.716637500000004</v>
      </c>
      <c r="V710" s="24">
        <v>375443</v>
      </c>
      <c r="W710" s="24">
        <v>410831</v>
      </c>
      <c r="X710" s="24">
        <v>455464</v>
      </c>
      <c r="Y710" s="24">
        <v>436494</v>
      </c>
      <c r="Z710" s="24">
        <v>493569</v>
      </c>
      <c r="AA710" s="24">
        <v>602105</v>
      </c>
      <c r="AB710" s="24">
        <v>619578</v>
      </c>
      <c r="AC710" s="24">
        <v>384691</v>
      </c>
      <c r="AD710" s="24">
        <v>419558</v>
      </c>
      <c r="AE710" s="24">
        <v>524985.75</v>
      </c>
      <c r="AF710" s="24">
        <v>393137</v>
      </c>
      <c r="AG710" s="24">
        <v>445979</v>
      </c>
      <c r="AH710" s="24">
        <v>547837</v>
      </c>
      <c r="AI710" s="24">
        <v>502134.5</v>
      </c>
      <c r="AJ710" s="32">
        <v>8.2546722324028075</v>
      </c>
      <c r="AK710" s="32">
        <v>20.739650887679392</v>
      </c>
      <c r="AL710" s="32">
        <v>6.3649808521277693</v>
      </c>
      <c r="AM710" s="32">
        <v>3.0077236011356603</v>
      </c>
      <c r="AN710" s="32">
        <v>14.009010271825947</v>
      </c>
      <c r="AO710" s="32">
        <v>33.076833102000478</v>
      </c>
      <c r="AP710" s="19">
        <v>1.2512828977161681</v>
      </c>
      <c r="AQ710" s="19">
        <v>1.393501502020924</v>
      </c>
      <c r="AR710" s="19">
        <v>1.1259151215640197</v>
      </c>
      <c r="AS710" s="19">
        <v>0.3234079997290481</v>
      </c>
      <c r="AT710" s="19">
        <v>0.47871455748798725</v>
      </c>
      <c r="AU710" s="19">
        <v>0.17109807225454643</v>
      </c>
      <c r="AV710" s="19">
        <v>0.12571844704294755</v>
      </c>
      <c r="AW710" s="19">
        <v>0.41089034050483753</v>
      </c>
      <c r="AX710" s="19">
        <v>-0.13265284198124649</v>
      </c>
      <c r="AY710" s="19">
        <v>1.2512828977161681</v>
      </c>
      <c r="AZ710" s="19">
        <v>1.393501502020924</v>
      </c>
      <c r="BA710" s="19">
        <v>1.1259151215640197</v>
      </c>
      <c r="BB710" s="19">
        <v>1.0910509293537234</v>
      </c>
      <c r="BC710" s="19">
        <v>1.329506048360366</v>
      </c>
      <c r="BD710" s="19">
        <v>-1.0963077505550829</v>
      </c>
      <c r="BE710" s="14" t="s">
        <v>4857</v>
      </c>
    </row>
    <row r="711" spans="1:105" ht="17.100000000000001" customHeight="1">
      <c r="A711" s="31">
        <v>700</v>
      </c>
      <c r="B711" s="11" t="s">
        <v>733</v>
      </c>
      <c r="C711" s="57"/>
      <c r="D711" s="57"/>
      <c r="E711" s="57"/>
      <c r="F711" s="27"/>
      <c r="G711" s="54"/>
      <c r="H711" s="57"/>
      <c r="I711" s="57"/>
      <c r="J711" s="13"/>
      <c r="K711" s="13"/>
      <c r="L711" s="13"/>
      <c r="M711" s="13"/>
      <c r="N711" s="13"/>
      <c r="O711" s="13"/>
      <c r="P711" s="13"/>
      <c r="Q711" s="13"/>
      <c r="R711" s="22"/>
      <c r="S711" s="18"/>
      <c r="T711" s="54"/>
      <c r="U711" s="5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57"/>
      <c r="AK711" s="57"/>
      <c r="AL711" s="57"/>
      <c r="AM711" s="57"/>
      <c r="AN711" s="57"/>
      <c r="AO711" s="5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/>
      <c r="BA711" s="27"/>
      <c r="BB711" s="27"/>
      <c r="BC711" s="27"/>
      <c r="BD711" s="27"/>
      <c r="BE711" s="13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s="30" customFormat="1" ht="17.100000000000001" customHeight="1">
      <c r="A712" s="14">
        <v>701</v>
      </c>
      <c r="B712" s="14" t="s">
        <v>734</v>
      </c>
      <c r="C712" s="32">
        <v>-1.1509206904569298</v>
      </c>
      <c r="D712" s="32">
        <v>-1.0201844990775044</v>
      </c>
      <c r="E712" s="32">
        <v>-1.2720605982644424</v>
      </c>
      <c r="F712" s="24">
        <v>691500</v>
      </c>
      <c r="G712" s="52" t="s">
        <v>2</v>
      </c>
      <c r="H712" s="32">
        <v>11.406954480905098</v>
      </c>
      <c r="I712" s="32">
        <v>12.492219800962339</v>
      </c>
      <c r="J712" s="12" t="s">
        <v>735</v>
      </c>
      <c r="K712" s="15" t="s">
        <v>736</v>
      </c>
      <c r="L712" s="14" t="s">
        <v>5066</v>
      </c>
      <c r="M712" s="12" t="s">
        <v>737</v>
      </c>
      <c r="N712" s="15" t="s">
        <v>738</v>
      </c>
      <c r="O712" s="12" t="s">
        <v>739</v>
      </c>
      <c r="P712" s="12" t="s">
        <v>740</v>
      </c>
      <c r="Q712" s="14">
        <v>2</v>
      </c>
      <c r="R712" s="21">
        <v>505.28190000000001</v>
      </c>
      <c r="S712" s="14">
        <v>3</v>
      </c>
      <c r="T712" s="52" t="s">
        <v>2</v>
      </c>
      <c r="U712" s="53">
        <v>37.718571428571423</v>
      </c>
      <c r="V712" s="24">
        <v>614000</v>
      </c>
      <c r="W712" s="24">
        <v>554000</v>
      </c>
      <c r="X712" s="24">
        <v>656000</v>
      </c>
      <c r="Y712" s="24">
        <v>727000</v>
      </c>
      <c r="Z712" s="24">
        <v>547000</v>
      </c>
      <c r="AA712" s="24">
        <v>653000</v>
      </c>
      <c r="AB712" s="24">
        <v>715000</v>
      </c>
      <c r="AC712" s="24">
        <v>627000</v>
      </c>
      <c r="AD712" s="24">
        <v>637750</v>
      </c>
      <c r="AE712" s="24">
        <v>635500</v>
      </c>
      <c r="AF712" s="24">
        <v>584000</v>
      </c>
      <c r="AG712" s="24">
        <v>691500</v>
      </c>
      <c r="AH712" s="24">
        <v>600000</v>
      </c>
      <c r="AI712" s="24">
        <v>671000</v>
      </c>
      <c r="AJ712" s="32">
        <v>11.406954480905098</v>
      </c>
      <c r="AK712" s="32">
        <v>10.95144859928563</v>
      </c>
      <c r="AL712" s="32">
        <v>7.2647956971220635</v>
      </c>
      <c r="AM712" s="32">
        <v>7.260243161857538</v>
      </c>
      <c r="AN712" s="32">
        <v>12.492219800962339</v>
      </c>
      <c r="AO712" s="32">
        <v>9.273531556544885</v>
      </c>
      <c r="AP712" s="19">
        <v>0.99647197177577418</v>
      </c>
      <c r="AQ712" s="19">
        <v>1.0273972602739727</v>
      </c>
      <c r="AR712" s="19">
        <v>0.97035430224150399</v>
      </c>
      <c r="AS712" s="19">
        <v>-5.0988685975134106E-3</v>
      </c>
      <c r="AT712" s="19">
        <v>3.8994131615863806E-2</v>
      </c>
      <c r="AU712" s="19">
        <v>-4.3416484950310613E-2</v>
      </c>
      <c r="AV712" s="19">
        <v>-0.20278842128361396</v>
      </c>
      <c r="AW712" s="19">
        <v>-2.8830085367285901E-2</v>
      </c>
      <c r="AX712" s="19">
        <v>-0.34716739918610351</v>
      </c>
      <c r="AY712" s="19">
        <v>-1.0035405192761606</v>
      </c>
      <c r="AZ712" s="19">
        <v>1.0273972602739727</v>
      </c>
      <c r="BA712" s="19">
        <v>-1.0305514157973175</v>
      </c>
      <c r="BB712" s="19">
        <v>-1.1509206904569298</v>
      </c>
      <c r="BC712" s="19">
        <v>-1.0201844990775044</v>
      </c>
      <c r="BD712" s="19">
        <v>-1.2720605982644424</v>
      </c>
      <c r="BE712" s="14" t="s">
        <v>4857</v>
      </c>
    </row>
    <row r="713" spans="1:105" s="30" customFormat="1" ht="17.100000000000001" customHeight="1">
      <c r="A713" s="14">
        <v>702</v>
      </c>
      <c r="B713" s="14" t="s">
        <v>747</v>
      </c>
      <c r="C713" s="32">
        <v>1.3026955725372524</v>
      </c>
      <c r="D713" s="32">
        <v>1.1207736526920082</v>
      </c>
      <c r="E713" s="32">
        <v>1.4755021839935325</v>
      </c>
      <c r="F713" s="24">
        <v>187790</v>
      </c>
      <c r="G713" s="52" t="s">
        <v>2</v>
      </c>
      <c r="H713" s="32">
        <v>27.362660365196632</v>
      </c>
      <c r="I713" s="32">
        <v>22.015885204839307</v>
      </c>
      <c r="J713" s="12" t="s">
        <v>742</v>
      </c>
      <c r="K713" s="15" t="s">
        <v>743</v>
      </c>
      <c r="L713" s="14" t="s">
        <v>5299</v>
      </c>
      <c r="M713" s="12" t="s">
        <v>737</v>
      </c>
      <c r="N713" s="15" t="s">
        <v>744</v>
      </c>
      <c r="O713" s="12" t="s">
        <v>739</v>
      </c>
      <c r="P713" s="12" t="s">
        <v>748</v>
      </c>
      <c r="Q713" s="14">
        <v>3</v>
      </c>
      <c r="R713" s="21">
        <v>551.61149999999998</v>
      </c>
      <c r="S713" s="14">
        <v>8</v>
      </c>
      <c r="T713" s="52" t="s">
        <v>2</v>
      </c>
      <c r="U713" s="53">
        <v>56.737174999999993</v>
      </c>
      <c r="V713" s="24">
        <v>114485</v>
      </c>
      <c r="W713" s="24">
        <v>96891</v>
      </c>
      <c r="X713" s="24">
        <v>87057</v>
      </c>
      <c r="Y713" s="24">
        <v>119160</v>
      </c>
      <c r="Z713" s="24">
        <v>136182</v>
      </c>
      <c r="AA713" s="24">
        <v>112126</v>
      </c>
      <c r="AB713" s="24">
        <v>211511</v>
      </c>
      <c r="AC713" s="24">
        <v>164069</v>
      </c>
      <c r="AD713" s="24">
        <v>104398.25</v>
      </c>
      <c r="AE713" s="24">
        <v>155972</v>
      </c>
      <c r="AF713" s="24">
        <v>105688</v>
      </c>
      <c r="AG713" s="24">
        <v>103108.5</v>
      </c>
      <c r="AH713" s="24">
        <v>124154</v>
      </c>
      <c r="AI713" s="24">
        <v>187790</v>
      </c>
      <c r="AJ713" s="32">
        <v>14.38645269193797</v>
      </c>
      <c r="AK713" s="32">
        <v>27.362660365196632</v>
      </c>
      <c r="AL713" s="32">
        <v>11.771285962641091</v>
      </c>
      <c r="AM713" s="32">
        <v>22.015885204839307</v>
      </c>
      <c r="AN713" s="32">
        <v>13.70085597582324</v>
      </c>
      <c r="AO713" s="32">
        <v>17.863869169312629</v>
      </c>
      <c r="AP713" s="19">
        <v>1.4940097175958409</v>
      </c>
      <c r="AQ713" s="19">
        <v>1.1747218227234879</v>
      </c>
      <c r="AR713" s="19">
        <v>1.8212853450491473</v>
      </c>
      <c r="AS713" s="19">
        <v>0.57918953198373291</v>
      </c>
      <c r="AT713" s="19">
        <v>0.23231916318093301</v>
      </c>
      <c r="AU713" s="19">
        <v>0.86495697044068887</v>
      </c>
      <c r="AV713" s="19">
        <v>0.38149997929763235</v>
      </c>
      <c r="AW713" s="19">
        <v>0.16449494619778332</v>
      </c>
      <c r="AX713" s="19">
        <v>0.56120605620489594</v>
      </c>
      <c r="AY713" s="19">
        <v>1.4940097175958409</v>
      </c>
      <c r="AZ713" s="19">
        <v>1.1747218227234879</v>
      </c>
      <c r="BA713" s="19">
        <v>1.8212853450491473</v>
      </c>
      <c r="BB713" s="19">
        <v>1.3026955725372524</v>
      </c>
      <c r="BC713" s="19">
        <v>1.1207736526920082</v>
      </c>
      <c r="BD713" s="19">
        <v>1.4755021839935325</v>
      </c>
      <c r="BE713" s="14" t="s">
        <v>4857</v>
      </c>
    </row>
    <row r="714" spans="1:105" s="30" customFormat="1" ht="17.100000000000001" customHeight="1">
      <c r="A714" s="14">
        <v>703</v>
      </c>
      <c r="B714" s="14" t="s">
        <v>751</v>
      </c>
      <c r="C714" s="32">
        <v>-1.0198108885582582</v>
      </c>
      <c r="D714" s="32">
        <v>-1.0331193851289082</v>
      </c>
      <c r="E714" s="32">
        <v>-1.0115175267981085</v>
      </c>
      <c r="F714" s="24">
        <v>134039</v>
      </c>
      <c r="G714" s="52" t="s">
        <v>2</v>
      </c>
      <c r="H714" s="32">
        <v>22.107105015573488</v>
      </c>
      <c r="I714" s="32">
        <v>26.756261655618751</v>
      </c>
      <c r="J714" s="12" t="s">
        <v>742</v>
      </c>
      <c r="K714" s="15" t="s">
        <v>743</v>
      </c>
      <c r="L714" s="14" t="s">
        <v>5248</v>
      </c>
      <c r="M714" s="12" t="s">
        <v>737</v>
      </c>
      <c r="N714" s="15" t="s">
        <v>744</v>
      </c>
      <c r="O714" s="12" t="s">
        <v>739</v>
      </c>
      <c r="P714" s="12" t="s">
        <v>752</v>
      </c>
      <c r="Q714" s="14">
        <v>3</v>
      </c>
      <c r="R714" s="21">
        <v>556.94320000000005</v>
      </c>
      <c r="S714" s="14">
        <v>2</v>
      </c>
      <c r="T714" s="52" t="s">
        <v>2</v>
      </c>
      <c r="U714" s="53">
        <v>42.805</v>
      </c>
      <c r="V714" s="24">
        <v>110988</v>
      </c>
      <c r="W714" s="24">
        <v>80081</v>
      </c>
      <c r="X714" s="24">
        <v>89060</v>
      </c>
      <c r="Y714" s="24">
        <v>130623</v>
      </c>
      <c r="Z714" s="24">
        <v>90007</v>
      </c>
      <c r="AA714" s="24">
        <v>103839</v>
      </c>
      <c r="AB714" s="24">
        <v>140017</v>
      </c>
      <c r="AC714" s="24">
        <v>128061</v>
      </c>
      <c r="AD714" s="24">
        <v>102688</v>
      </c>
      <c r="AE714" s="24">
        <v>115481</v>
      </c>
      <c r="AF714" s="24">
        <v>95534.5</v>
      </c>
      <c r="AG714" s="24">
        <v>109841.5</v>
      </c>
      <c r="AH714" s="24">
        <v>96923</v>
      </c>
      <c r="AI714" s="24">
        <v>134039</v>
      </c>
      <c r="AJ714" s="32">
        <v>22.107105015573488</v>
      </c>
      <c r="AK714" s="32">
        <v>19.649680067540764</v>
      </c>
      <c r="AL714" s="32">
        <v>22.876080668379092</v>
      </c>
      <c r="AM714" s="32">
        <v>26.756261655618751</v>
      </c>
      <c r="AN714" s="32">
        <v>10.091207450628154</v>
      </c>
      <c r="AO714" s="32">
        <v>6.3072454105643594</v>
      </c>
      <c r="AP714" s="19">
        <v>1.1245812558429418</v>
      </c>
      <c r="AQ714" s="19">
        <v>1.0145340165071257</v>
      </c>
      <c r="AR714" s="19">
        <v>1.2202946973593769</v>
      </c>
      <c r="AS714" s="19">
        <v>0.16938790581689545</v>
      </c>
      <c r="AT714" s="19">
        <v>2.0817238306399782E-2</v>
      </c>
      <c r="AU714" s="19">
        <v>0.28722959621241378</v>
      </c>
      <c r="AV714" s="19">
        <v>-2.830164686920511E-2</v>
      </c>
      <c r="AW714" s="19">
        <v>-4.7006978676749925E-2</v>
      </c>
      <c r="AX714" s="19">
        <v>-1.6521318023379139E-2</v>
      </c>
      <c r="AY714" s="19">
        <v>1.1245812558429418</v>
      </c>
      <c r="AZ714" s="19">
        <v>1.0145340165071257</v>
      </c>
      <c r="BA714" s="19">
        <v>1.2202946973593769</v>
      </c>
      <c r="BB714" s="19">
        <v>-1.0198108885582582</v>
      </c>
      <c r="BC714" s="19">
        <v>-1.0331193851289082</v>
      </c>
      <c r="BD714" s="19">
        <v>-1.0115175267981085</v>
      </c>
      <c r="BE714" s="14" t="s">
        <v>4857</v>
      </c>
    </row>
    <row r="715" spans="1:105" s="30" customFormat="1" ht="17.100000000000001" customHeight="1">
      <c r="A715" s="14">
        <v>704</v>
      </c>
      <c r="B715" s="14" t="s">
        <v>753</v>
      </c>
      <c r="C715" s="32">
        <v>-1.3626226226151117</v>
      </c>
      <c r="D715" s="32">
        <v>-1.6777834792144721</v>
      </c>
      <c r="E715" s="32">
        <v>-1.1339478423620011</v>
      </c>
      <c r="F715" s="42">
        <v>21850</v>
      </c>
      <c r="G715" s="52" t="s">
        <v>2</v>
      </c>
      <c r="H715" s="32">
        <v>25.198634182167311</v>
      </c>
      <c r="I715" s="32">
        <v>27.989643421967504</v>
      </c>
      <c r="J715" s="12" t="s">
        <v>754</v>
      </c>
      <c r="K715" s="12" t="s">
        <v>755</v>
      </c>
      <c r="L715" s="14" t="s">
        <v>4982</v>
      </c>
      <c r="M715" s="12" t="s">
        <v>756</v>
      </c>
      <c r="N715" s="15" t="s">
        <v>757</v>
      </c>
      <c r="O715" s="12" t="s">
        <v>758</v>
      </c>
      <c r="P715" s="12" t="s">
        <v>759</v>
      </c>
      <c r="Q715" s="14">
        <v>2</v>
      </c>
      <c r="R715" s="21">
        <v>722.8732</v>
      </c>
      <c r="S715" s="14">
        <v>1</v>
      </c>
      <c r="T715" s="52" t="s">
        <v>2</v>
      </c>
      <c r="U715" s="53">
        <v>22.2</v>
      </c>
      <c r="V715" s="42">
        <v>19300</v>
      </c>
      <c r="W715" s="42">
        <v>24400</v>
      </c>
      <c r="X715" s="42">
        <v>15400</v>
      </c>
      <c r="Y715" s="42">
        <v>23000</v>
      </c>
      <c r="Z715" s="42">
        <v>15100</v>
      </c>
      <c r="AA715" s="42">
        <v>12200</v>
      </c>
      <c r="AB715" s="42">
        <v>21100</v>
      </c>
      <c r="AC715" s="42">
        <v>20700</v>
      </c>
      <c r="AD715" s="42">
        <v>20525</v>
      </c>
      <c r="AE715" s="42">
        <v>17275</v>
      </c>
      <c r="AF715" s="42">
        <v>21850</v>
      </c>
      <c r="AG715" s="42">
        <v>19200</v>
      </c>
      <c r="AH715" s="42">
        <v>13650</v>
      </c>
      <c r="AI715" s="42">
        <v>20900</v>
      </c>
      <c r="AJ715" s="32">
        <v>19.671792675490785</v>
      </c>
      <c r="AK715" s="32">
        <v>25.198634182167311</v>
      </c>
      <c r="AL715" s="32">
        <v>16.504551872088751</v>
      </c>
      <c r="AM715" s="32">
        <v>27.989643421967504</v>
      </c>
      <c r="AN715" s="32">
        <v>15.022781431802109</v>
      </c>
      <c r="AO715" s="32">
        <v>1.353314413754158</v>
      </c>
      <c r="AP715" s="19">
        <v>0.8416565164433617</v>
      </c>
      <c r="AQ715" s="19">
        <v>0.62471395881006864</v>
      </c>
      <c r="AR715" s="19">
        <v>1.0885416666666667</v>
      </c>
      <c r="AS715" s="19">
        <v>-0.24869651138954638</v>
      </c>
      <c r="AT715" s="19">
        <v>-0.67873232858074606</v>
      </c>
      <c r="AU715" s="19">
        <v>0.12239663135972668</v>
      </c>
      <c r="AV715" s="19">
        <v>-0.44638606407564696</v>
      </c>
      <c r="AW715" s="19">
        <v>-0.74655654556389572</v>
      </c>
      <c r="AX715" s="19">
        <v>-0.18135428287606625</v>
      </c>
      <c r="AY715" s="19">
        <v>-1.1881331403762663</v>
      </c>
      <c r="AZ715" s="19">
        <v>-1.6007326007326008</v>
      </c>
      <c r="BA715" s="19">
        <v>1.0885416666666667</v>
      </c>
      <c r="BB715" s="19">
        <v>-1.3626226226151117</v>
      </c>
      <c r="BC715" s="19">
        <v>-1.6777834792144721</v>
      </c>
      <c r="BD715" s="19">
        <v>-1.1339478423620011</v>
      </c>
      <c r="BE715" s="14" t="s">
        <v>4857</v>
      </c>
    </row>
    <row r="716" spans="1:105" s="30" customFormat="1" ht="17.100000000000001" customHeight="1">
      <c r="A716" s="14">
        <v>705</v>
      </c>
      <c r="B716" s="14" t="s">
        <v>760</v>
      </c>
      <c r="C716" s="32">
        <v>1.0811319564108648</v>
      </c>
      <c r="D716" s="32">
        <v>1.2062601729434095</v>
      </c>
      <c r="E716" s="32">
        <v>-1.0109679313438356</v>
      </c>
      <c r="F716" s="24">
        <v>1238430</v>
      </c>
      <c r="G716" s="52" t="s">
        <v>2</v>
      </c>
      <c r="H716" s="32">
        <v>14.989982487515494</v>
      </c>
      <c r="I716" s="32">
        <v>14.663025525946608</v>
      </c>
      <c r="J716" s="12" t="s">
        <v>754</v>
      </c>
      <c r="K716" s="12" t="s">
        <v>755</v>
      </c>
      <c r="L716" s="14" t="s">
        <v>5257</v>
      </c>
      <c r="M716" s="12" t="s">
        <v>756</v>
      </c>
      <c r="N716" s="15" t="s">
        <v>757</v>
      </c>
      <c r="O716" s="12" t="s">
        <v>758</v>
      </c>
      <c r="P716" s="12" t="s">
        <v>761</v>
      </c>
      <c r="Q716" s="14">
        <v>2</v>
      </c>
      <c r="R716" s="21">
        <v>523.80330000000004</v>
      </c>
      <c r="S716" s="14">
        <v>8</v>
      </c>
      <c r="T716" s="52" t="s">
        <v>2</v>
      </c>
      <c r="U716" s="53">
        <v>39.316312500000002</v>
      </c>
      <c r="V716" s="24">
        <v>749661</v>
      </c>
      <c r="W716" s="24">
        <v>824741</v>
      </c>
      <c r="X716" s="24">
        <v>1002130</v>
      </c>
      <c r="Y716" s="24">
        <v>1026490</v>
      </c>
      <c r="Z716" s="24">
        <v>1098470</v>
      </c>
      <c r="AA716" s="24">
        <v>892083</v>
      </c>
      <c r="AB716" s="24">
        <v>1277970</v>
      </c>
      <c r="AC716" s="24">
        <v>1198890</v>
      </c>
      <c r="AD716" s="24">
        <v>900755.5</v>
      </c>
      <c r="AE716" s="24">
        <v>1116853.25</v>
      </c>
      <c r="AF716" s="24">
        <v>787201</v>
      </c>
      <c r="AG716" s="24">
        <v>1014310</v>
      </c>
      <c r="AH716" s="24">
        <v>995276.5</v>
      </c>
      <c r="AI716" s="24">
        <v>1238430</v>
      </c>
      <c r="AJ716" s="32">
        <v>14.989982487515494</v>
      </c>
      <c r="AK716" s="32">
        <v>14.942109860704388</v>
      </c>
      <c r="AL716" s="32">
        <v>6.7440942188190798</v>
      </c>
      <c r="AM716" s="32">
        <v>1.6982107235169031</v>
      </c>
      <c r="AN716" s="32">
        <v>14.663025525946608</v>
      </c>
      <c r="AO716" s="32">
        <v>4.5152333402963576</v>
      </c>
      <c r="AP716" s="19">
        <v>1.2399072223261474</v>
      </c>
      <c r="AQ716" s="19">
        <v>1.264323216052825</v>
      </c>
      <c r="AR716" s="19">
        <v>1.2209580897358796</v>
      </c>
      <c r="AS716" s="19">
        <v>0.31023217311409107</v>
      </c>
      <c r="AT716" s="19">
        <v>0.33836532632189592</v>
      </c>
      <c r="AU716" s="19">
        <v>0.28801367963086288</v>
      </c>
      <c r="AV716" s="19">
        <v>0.11254262042799051</v>
      </c>
      <c r="AW716" s="19">
        <v>0.2705411093387462</v>
      </c>
      <c r="AX716" s="19">
        <v>-1.5737234604930039E-2</v>
      </c>
      <c r="AY716" s="19">
        <v>1.2399072223261474</v>
      </c>
      <c r="AZ716" s="19">
        <v>1.264323216052825</v>
      </c>
      <c r="BA716" s="19">
        <v>1.2209580897358796</v>
      </c>
      <c r="BB716" s="19">
        <v>1.0811319564108648</v>
      </c>
      <c r="BC716" s="19">
        <v>1.2062601729434095</v>
      </c>
      <c r="BD716" s="19">
        <v>-1.0109679313438356</v>
      </c>
      <c r="BE716" s="14" t="s">
        <v>4857</v>
      </c>
    </row>
    <row r="717" spans="1:105" s="30" customFormat="1" ht="17.100000000000001" customHeight="1">
      <c r="A717" s="14">
        <v>706</v>
      </c>
      <c r="B717" s="14" t="s">
        <v>762</v>
      </c>
      <c r="C717" s="32">
        <v>-1.1653215489598674</v>
      </c>
      <c r="D717" s="32">
        <v>-1.2348192499462713</v>
      </c>
      <c r="E717" s="32">
        <v>-1.0923725430663844</v>
      </c>
      <c r="F717" s="24">
        <v>478662</v>
      </c>
      <c r="G717" s="52" t="s">
        <v>2</v>
      </c>
      <c r="H717" s="32">
        <v>14.857769129170833</v>
      </c>
      <c r="I717" s="32">
        <v>16.353000551060148</v>
      </c>
      <c r="J717" s="12" t="s">
        <v>763</v>
      </c>
      <c r="K717" s="15" t="s">
        <v>764</v>
      </c>
      <c r="L717" s="14" t="s">
        <v>5053</v>
      </c>
      <c r="M717" s="12" t="s">
        <v>765</v>
      </c>
      <c r="N717" s="15" t="s">
        <v>766</v>
      </c>
      <c r="O717" s="12" t="s">
        <v>767</v>
      </c>
      <c r="P717" s="12" t="s">
        <v>768</v>
      </c>
      <c r="Q717" s="14">
        <v>2</v>
      </c>
      <c r="R717" s="21">
        <v>658.31949999999995</v>
      </c>
      <c r="S717" s="14">
        <v>10</v>
      </c>
      <c r="T717" s="52" t="s">
        <v>2</v>
      </c>
      <c r="U717" s="53">
        <v>53.210675000000002</v>
      </c>
      <c r="V717" s="24">
        <v>455695</v>
      </c>
      <c r="W717" s="24">
        <v>457069</v>
      </c>
      <c r="X717" s="24">
        <v>430147</v>
      </c>
      <c r="Y717" s="24">
        <v>417064</v>
      </c>
      <c r="Z717" s="24">
        <v>342590</v>
      </c>
      <c r="AA717" s="24">
        <v>432179</v>
      </c>
      <c r="AB717" s="24">
        <v>472608</v>
      </c>
      <c r="AC717" s="24">
        <v>484716</v>
      </c>
      <c r="AD717" s="24">
        <v>439993.75</v>
      </c>
      <c r="AE717" s="24">
        <v>433023.25</v>
      </c>
      <c r="AF717" s="24">
        <v>456382</v>
      </c>
      <c r="AG717" s="24">
        <v>423605.5</v>
      </c>
      <c r="AH717" s="24">
        <v>387384.5</v>
      </c>
      <c r="AI717" s="24">
        <v>478662</v>
      </c>
      <c r="AJ717" s="32">
        <v>4.4707079880807399</v>
      </c>
      <c r="AK717" s="32">
        <v>14.857769129170833</v>
      </c>
      <c r="AL717" s="32">
        <v>0.21288410089581014</v>
      </c>
      <c r="AM717" s="32">
        <v>2.1838899679686881</v>
      </c>
      <c r="AN717" s="32">
        <v>16.353000551060148</v>
      </c>
      <c r="AO717" s="32">
        <v>1.7886627529669616</v>
      </c>
      <c r="AP717" s="19">
        <v>0.98415772951320335</v>
      </c>
      <c r="AQ717" s="19">
        <v>0.84881634244996518</v>
      </c>
      <c r="AR717" s="19">
        <v>1.129971164208208</v>
      </c>
      <c r="AS717" s="19">
        <v>-2.3038542178003354E-2</v>
      </c>
      <c r="AT717" s="19">
        <v>-0.23647566183855948</v>
      </c>
      <c r="AU717" s="19">
        <v>0.17628595690185578</v>
      </c>
      <c r="AV717" s="19">
        <v>-0.22072809486410391</v>
      </c>
      <c r="AW717" s="19">
        <v>-0.30429987882170917</v>
      </c>
      <c r="AX717" s="19">
        <v>-0.12746495733393715</v>
      </c>
      <c r="AY717" s="19">
        <v>-1.0160972880786423</v>
      </c>
      <c r="AZ717" s="19">
        <v>-1.1781111531308042</v>
      </c>
      <c r="BA717" s="19">
        <v>1.129971164208208</v>
      </c>
      <c r="BB717" s="19">
        <v>-1.1653215489598674</v>
      </c>
      <c r="BC717" s="19">
        <v>-1.2348192499462713</v>
      </c>
      <c r="BD717" s="19">
        <v>-1.0923725430663844</v>
      </c>
      <c r="BE717" s="14" t="s">
        <v>4857</v>
      </c>
    </row>
    <row r="718" spans="1:105" s="30" customFormat="1" ht="17.100000000000001" customHeight="1">
      <c r="A718" s="14">
        <v>707</v>
      </c>
      <c r="B718" s="14" t="s">
        <v>770</v>
      </c>
      <c r="C718" s="32">
        <v>1.0517326707586869</v>
      </c>
      <c r="D718" s="32">
        <v>1.1958583463700527</v>
      </c>
      <c r="E718" s="32">
        <v>-1.0680518732576125</v>
      </c>
      <c r="F718" s="39">
        <v>2483885</v>
      </c>
      <c r="G718" s="52" t="s">
        <v>2</v>
      </c>
      <c r="H718" s="32">
        <v>9.3122919293905415</v>
      </c>
      <c r="I718" s="32">
        <v>11.71314868738618</v>
      </c>
      <c r="J718" s="12" t="s">
        <v>771</v>
      </c>
      <c r="K718" s="15" t="s">
        <v>772</v>
      </c>
      <c r="L718" s="14" t="s">
        <v>5221</v>
      </c>
      <c r="M718" s="12" t="s">
        <v>773</v>
      </c>
      <c r="N718" s="15" t="s">
        <v>774</v>
      </c>
      <c r="O718" s="12" t="s">
        <v>775</v>
      </c>
      <c r="P718" s="12" t="s">
        <v>776</v>
      </c>
      <c r="Q718" s="14">
        <v>2</v>
      </c>
      <c r="R718" s="21">
        <v>443.26130000000001</v>
      </c>
      <c r="S718" s="14">
        <v>1</v>
      </c>
      <c r="T718" s="52" t="s">
        <v>2</v>
      </c>
      <c r="U718" s="53">
        <v>24.772425000000005</v>
      </c>
      <c r="V718" s="39">
        <v>1949120</v>
      </c>
      <c r="W718" s="39">
        <v>2014250</v>
      </c>
      <c r="X718" s="39">
        <v>1700260</v>
      </c>
      <c r="Y718" s="39">
        <v>2007340</v>
      </c>
      <c r="Z718" s="39">
        <v>2584110</v>
      </c>
      <c r="AA718" s="39">
        <v>2383660</v>
      </c>
      <c r="AB718" s="39">
        <v>2177990</v>
      </c>
      <c r="AC718" s="39">
        <v>2106890</v>
      </c>
      <c r="AD718" s="39">
        <v>1917742.5</v>
      </c>
      <c r="AE718" s="39">
        <v>2313162.5</v>
      </c>
      <c r="AF718" s="39">
        <v>1981685</v>
      </c>
      <c r="AG718" s="39">
        <v>1853800</v>
      </c>
      <c r="AH718" s="39">
        <v>2483885</v>
      </c>
      <c r="AI718" s="39">
        <v>2142440</v>
      </c>
      <c r="AJ718" s="32">
        <v>7.712273052958321</v>
      </c>
      <c r="AK718" s="32">
        <v>9.3122919293905415</v>
      </c>
      <c r="AL718" s="32">
        <v>2.323975034310692</v>
      </c>
      <c r="AM718" s="32">
        <v>11.71314868738618</v>
      </c>
      <c r="AN718" s="32">
        <v>5.7063654029410955</v>
      </c>
      <c r="AO718" s="32">
        <v>2.3466371120014342</v>
      </c>
      <c r="AP718" s="19">
        <v>1.2061903514157923</v>
      </c>
      <c r="AQ718" s="19">
        <v>1.2534207000608069</v>
      </c>
      <c r="AR718" s="19">
        <v>1.1557018017046068</v>
      </c>
      <c r="AS718" s="19">
        <v>0.27045759991904894</v>
      </c>
      <c r="AT718" s="19">
        <v>0.32587072433461206</v>
      </c>
      <c r="AU718" s="19">
        <v>0.20876919654166473</v>
      </c>
      <c r="AV718" s="19">
        <v>7.2768047232948385E-2</v>
      </c>
      <c r="AW718" s="19">
        <v>0.25804650735146234</v>
      </c>
      <c r="AX718" s="19">
        <v>-9.4981717694128193E-2</v>
      </c>
      <c r="AY718" s="19">
        <v>1.2061903514157923</v>
      </c>
      <c r="AZ718" s="19">
        <v>1.2534207000608069</v>
      </c>
      <c r="BA718" s="19">
        <v>1.1557018017046068</v>
      </c>
      <c r="BB718" s="19">
        <v>1.0517326707586869</v>
      </c>
      <c r="BC718" s="19">
        <v>1.1958583463700527</v>
      </c>
      <c r="BD718" s="19">
        <v>-1.0680518732576125</v>
      </c>
      <c r="BE718" s="14" t="s">
        <v>4857</v>
      </c>
    </row>
    <row r="719" spans="1:105" s="30" customFormat="1" ht="17.100000000000001" customHeight="1">
      <c r="A719" s="14">
        <v>708</v>
      </c>
      <c r="B719" s="14" t="s">
        <v>777</v>
      </c>
      <c r="C719" s="32">
        <v>-1.1803473711554426</v>
      </c>
      <c r="D719" s="32">
        <v>-1.1804930154156099</v>
      </c>
      <c r="E719" s="32">
        <v>-1.1728534711776344</v>
      </c>
      <c r="F719" s="24">
        <v>4906005</v>
      </c>
      <c r="G719" s="52" t="s">
        <v>2</v>
      </c>
      <c r="H719" s="32">
        <v>16.055712583347045</v>
      </c>
      <c r="I719" s="32">
        <v>16.714938142277742</v>
      </c>
      <c r="J719" s="12" t="s">
        <v>778</v>
      </c>
      <c r="K719" s="12" t="s">
        <v>779</v>
      </c>
      <c r="L719" s="14" t="s">
        <v>5144</v>
      </c>
      <c r="M719" s="12" t="s">
        <v>780</v>
      </c>
      <c r="N719" s="15" t="s">
        <v>781</v>
      </c>
      <c r="O719" s="12" t="s">
        <v>782</v>
      </c>
      <c r="P719" s="12" t="s">
        <v>783</v>
      </c>
      <c r="Q719" s="14">
        <v>2</v>
      </c>
      <c r="R719" s="21">
        <v>639.36630000000002</v>
      </c>
      <c r="S719" s="14">
        <v>8</v>
      </c>
      <c r="T719" s="52" t="s">
        <v>2</v>
      </c>
      <c r="U719" s="53">
        <v>64.777337500000002</v>
      </c>
      <c r="V719" s="24">
        <v>3998590</v>
      </c>
      <c r="W719" s="24">
        <v>4996500</v>
      </c>
      <c r="X719" s="24">
        <v>4755360</v>
      </c>
      <c r="Y719" s="24">
        <v>4567810</v>
      </c>
      <c r="Z719" s="24">
        <v>4465250</v>
      </c>
      <c r="AA719" s="24">
        <v>3521300</v>
      </c>
      <c r="AB719" s="24">
        <v>5261390</v>
      </c>
      <c r="AC719" s="24">
        <v>4550620</v>
      </c>
      <c r="AD719" s="24">
        <v>4579565</v>
      </c>
      <c r="AE719" s="24">
        <v>4449640</v>
      </c>
      <c r="AF719" s="24">
        <v>4497545</v>
      </c>
      <c r="AG719" s="24">
        <v>4661585</v>
      </c>
      <c r="AH719" s="24">
        <v>3993275</v>
      </c>
      <c r="AI719" s="24">
        <v>4906005</v>
      </c>
      <c r="AJ719" s="32">
        <v>9.2849273786876445</v>
      </c>
      <c r="AK719" s="32">
        <v>16.055712583347045</v>
      </c>
      <c r="AL719" s="32">
        <v>15.689202176162054</v>
      </c>
      <c r="AM719" s="32">
        <v>2.8449095492528182</v>
      </c>
      <c r="AN719" s="32">
        <v>16.714938142277742</v>
      </c>
      <c r="AO719" s="32">
        <v>10.244390025366105</v>
      </c>
      <c r="AP719" s="19">
        <v>0.97162940148245525</v>
      </c>
      <c r="AQ719" s="19">
        <v>0.88787883167372417</v>
      </c>
      <c r="AR719" s="19">
        <v>1.0524328098704625</v>
      </c>
      <c r="AS719" s="19">
        <v>-4.1521948335617988E-2</v>
      </c>
      <c r="AT719" s="19">
        <v>-0.17156528866212484</v>
      </c>
      <c r="AU719" s="19">
        <v>7.372813071598934E-2</v>
      </c>
      <c r="AV719" s="19">
        <v>-0.23921150102171854</v>
      </c>
      <c r="AW719" s="19">
        <v>-0.23938950564527456</v>
      </c>
      <c r="AX719" s="19">
        <v>-0.2300227835198036</v>
      </c>
      <c r="AY719" s="19">
        <v>-1.0291989913790778</v>
      </c>
      <c r="AZ719" s="19">
        <v>-1.1262798079270775</v>
      </c>
      <c r="BA719" s="19">
        <v>1.0524328098704625</v>
      </c>
      <c r="BB719" s="19">
        <v>-1.1803473711554426</v>
      </c>
      <c r="BC719" s="19">
        <v>-1.1804930154156099</v>
      </c>
      <c r="BD719" s="19">
        <v>-1.1728534711776344</v>
      </c>
      <c r="BE719" s="14" t="s">
        <v>4857</v>
      </c>
    </row>
    <row r="720" spans="1:105" s="30" customFormat="1" ht="17.100000000000001" customHeight="1">
      <c r="A720" s="14">
        <v>709</v>
      </c>
      <c r="B720" s="14" t="s">
        <v>784</v>
      </c>
      <c r="C720" s="32">
        <v>1.3397580333273111</v>
      </c>
      <c r="D720" s="32">
        <v>1.6380425891596244</v>
      </c>
      <c r="E720" s="32">
        <v>1.1041731431166912</v>
      </c>
      <c r="F720" s="24">
        <v>154632.5</v>
      </c>
      <c r="G720" s="52" t="s">
        <v>2</v>
      </c>
      <c r="H720" s="32">
        <v>27.170461962737619</v>
      </c>
      <c r="I720" s="32">
        <v>42.255018925383389</v>
      </c>
      <c r="J720" s="12" t="s">
        <v>785</v>
      </c>
      <c r="K720" s="12" t="s">
        <v>785</v>
      </c>
      <c r="L720" s="14" t="s">
        <v>786</v>
      </c>
      <c r="M720" s="12" t="s">
        <v>787</v>
      </c>
      <c r="N720" s="15" t="s">
        <v>788</v>
      </c>
      <c r="O720" s="12" t="s">
        <v>654</v>
      </c>
      <c r="P720" s="12" t="s">
        <v>656</v>
      </c>
      <c r="Q720" s="14">
        <v>3</v>
      </c>
      <c r="R720" s="21">
        <v>488.6121</v>
      </c>
      <c r="S720" s="14">
        <v>1</v>
      </c>
      <c r="T720" s="52" t="s">
        <v>2</v>
      </c>
      <c r="U720" s="53">
        <v>30.048237500000003</v>
      </c>
      <c r="V720" s="24">
        <v>116976</v>
      </c>
      <c r="W720" s="24">
        <v>63155</v>
      </c>
      <c r="X720" s="24">
        <v>107852</v>
      </c>
      <c r="Y720" s="24">
        <v>79330</v>
      </c>
      <c r="Z720" s="24">
        <v>149562</v>
      </c>
      <c r="AA720" s="24">
        <v>159703</v>
      </c>
      <c r="AB720" s="24">
        <v>123640</v>
      </c>
      <c r="AC720" s="24">
        <v>131477</v>
      </c>
      <c r="AD720" s="24">
        <v>91828.25</v>
      </c>
      <c r="AE720" s="24">
        <v>141095.5</v>
      </c>
      <c r="AF720" s="24">
        <v>90065.5</v>
      </c>
      <c r="AG720" s="24">
        <v>93591</v>
      </c>
      <c r="AH720" s="24">
        <v>154632.5</v>
      </c>
      <c r="AI720" s="24">
        <v>127558.5</v>
      </c>
      <c r="AJ720" s="32">
        <v>27.170461962737619</v>
      </c>
      <c r="AK720" s="32">
        <v>11.682608821130861</v>
      </c>
      <c r="AL720" s="32">
        <v>42.255018925383389</v>
      </c>
      <c r="AM720" s="32">
        <v>21.549187008369085</v>
      </c>
      <c r="AN720" s="32">
        <v>4.6372980246796622</v>
      </c>
      <c r="AO720" s="32">
        <v>4.3443563887619971</v>
      </c>
      <c r="AP720" s="19">
        <v>1.536515179152385</v>
      </c>
      <c r="AQ720" s="19">
        <v>1.7168893749548939</v>
      </c>
      <c r="AR720" s="19">
        <v>1.3629355386735904</v>
      </c>
      <c r="AS720" s="19">
        <v>0.61966201930946385</v>
      </c>
      <c r="AT720" s="19">
        <v>0.77979708456684327</v>
      </c>
      <c r="AU720" s="19">
        <v>0.44671733012909415</v>
      </c>
      <c r="AV720" s="19">
        <v>0.4219724666233633</v>
      </c>
      <c r="AW720" s="19">
        <v>0.7119728675836936</v>
      </c>
      <c r="AX720" s="19">
        <v>0.14296641589330122</v>
      </c>
      <c r="AY720" s="19">
        <v>1.536515179152385</v>
      </c>
      <c r="AZ720" s="19">
        <v>1.7168893749548939</v>
      </c>
      <c r="BA720" s="19">
        <v>1.3629355386735904</v>
      </c>
      <c r="BB720" s="19">
        <v>1.3397580333273111</v>
      </c>
      <c r="BC720" s="19">
        <v>1.6380425891596244</v>
      </c>
      <c r="BD720" s="19">
        <v>1.1041731431166912</v>
      </c>
      <c r="BE720" s="14" t="s">
        <v>4857</v>
      </c>
    </row>
    <row r="721" spans="1:57" s="30" customFormat="1" ht="17.100000000000001" customHeight="1">
      <c r="A721" s="14">
        <v>710</v>
      </c>
      <c r="B721" s="14" t="s">
        <v>657</v>
      </c>
      <c r="C721" s="32">
        <v>-1.3145276862911197</v>
      </c>
      <c r="D721" s="32">
        <v>-1.5152713200680683</v>
      </c>
      <c r="E721" s="32">
        <v>-1.1951264487193147</v>
      </c>
      <c r="F721" s="24">
        <v>93167</v>
      </c>
      <c r="G721" s="52" t="s">
        <v>2</v>
      </c>
      <c r="H721" s="32">
        <v>30.628521525655966</v>
      </c>
      <c r="I721" s="32">
        <v>25.959609642935817</v>
      </c>
      <c r="J721" s="12" t="s">
        <v>658</v>
      </c>
      <c r="K721" s="12" t="s">
        <v>659</v>
      </c>
      <c r="L721" s="14" t="s">
        <v>5003</v>
      </c>
      <c r="M721" s="12" t="s">
        <v>660</v>
      </c>
      <c r="N721" s="15" t="s">
        <v>661</v>
      </c>
      <c r="O721" s="12" t="s">
        <v>662</v>
      </c>
      <c r="P721" s="12" t="s">
        <v>663</v>
      </c>
      <c r="Q721" s="14">
        <v>2</v>
      </c>
      <c r="R721" s="21">
        <v>749.86990000000003</v>
      </c>
      <c r="S721" s="14">
        <v>1</v>
      </c>
      <c r="T721" s="52" t="s">
        <v>2</v>
      </c>
      <c r="U721" s="53">
        <v>57.145137499999997</v>
      </c>
      <c r="V721" s="24">
        <v>86235</v>
      </c>
      <c r="W721" s="24">
        <v>73847</v>
      </c>
      <c r="X721" s="24">
        <v>106765</v>
      </c>
      <c r="Y721" s="24">
        <v>73648</v>
      </c>
      <c r="Z721" s="24">
        <v>58440</v>
      </c>
      <c r="AA721" s="24">
        <v>52291</v>
      </c>
      <c r="AB721" s="24">
        <v>100391</v>
      </c>
      <c r="AC721" s="24">
        <v>85943</v>
      </c>
      <c r="AD721" s="24">
        <v>85123.75</v>
      </c>
      <c r="AE721" s="24">
        <v>74266.25</v>
      </c>
      <c r="AF721" s="24">
        <v>80041</v>
      </c>
      <c r="AG721" s="24">
        <v>90206.5</v>
      </c>
      <c r="AH721" s="24">
        <v>55365.5</v>
      </c>
      <c r="AI721" s="24">
        <v>93167</v>
      </c>
      <c r="AJ721" s="32">
        <v>18.305621426031546</v>
      </c>
      <c r="AK721" s="32">
        <v>30.628521525655966</v>
      </c>
      <c r="AL721" s="32">
        <v>10.943939737558191</v>
      </c>
      <c r="AM721" s="32">
        <v>25.959609642935817</v>
      </c>
      <c r="AN721" s="32">
        <v>7.8532652961069278</v>
      </c>
      <c r="AO721" s="32">
        <v>10.965555158568204</v>
      </c>
      <c r="AP721" s="19">
        <v>0.87245040308961952</v>
      </c>
      <c r="AQ721" s="19">
        <v>0.69171424644869506</v>
      </c>
      <c r="AR721" s="19">
        <v>1.0328191427447024</v>
      </c>
      <c r="AS721" s="19">
        <v>-0.19685497531342003</v>
      </c>
      <c r="AT721" s="19">
        <v>-0.53175192461623622</v>
      </c>
      <c r="AU721" s="19">
        <v>4.6587645578534474E-2</v>
      </c>
      <c r="AV721" s="19">
        <v>-0.39454452799952056</v>
      </c>
      <c r="AW721" s="19">
        <v>-0.59957614159938588</v>
      </c>
      <c r="AX721" s="19">
        <v>-0.25716326865725847</v>
      </c>
      <c r="AY721" s="19">
        <v>-1.1461969602612223</v>
      </c>
      <c r="AZ721" s="19">
        <v>-1.4456836838825622</v>
      </c>
      <c r="BA721" s="19">
        <v>1.0328191427447024</v>
      </c>
      <c r="BB721" s="19">
        <v>-1.3145276862911197</v>
      </c>
      <c r="BC721" s="19">
        <v>-1.5152713200680683</v>
      </c>
      <c r="BD721" s="19">
        <v>-1.1951264487193147</v>
      </c>
      <c r="BE721" s="14" t="s">
        <v>4857</v>
      </c>
    </row>
    <row r="722" spans="1:57" s="30" customFormat="1" ht="17.100000000000001" customHeight="1">
      <c r="A722" s="14">
        <v>711</v>
      </c>
      <c r="B722" s="14" t="s">
        <v>664</v>
      </c>
      <c r="C722" s="32">
        <v>1.1119247762329756</v>
      </c>
      <c r="D722" s="32">
        <v>1.2319945896627116</v>
      </c>
      <c r="E722" s="32">
        <v>1.0230942124227027</v>
      </c>
      <c r="F722" s="24">
        <v>390535</v>
      </c>
      <c r="G722" s="52" t="s">
        <v>2</v>
      </c>
      <c r="H722" s="32">
        <v>21.485734611961938</v>
      </c>
      <c r="I722" s="32">
        <v>27.730778858441123</v>
      </c>
      <c r="J722" s="12" t="s">
        <v>665</v>
      </c>
      <c r="K722" s="15" t="s">
        <v>666</v>
      </c>
      <c r="L722" s="14" t="s">
        <v>5274</v>
      </c>
      <c r="M722" s="12" t="s">
        <v>667</v>
      </c>
      <c r="N722" s="15" t="s">
        <v>668</v>
      </c>
      <c r="O722" s="12" t="s">
        <v>669</v>
      </c>
      <c r="P722" s="12" t="s">
        <v>670</v>
      </c>
      <c r="Q722" s="14">
        <v>2</v>
      </c>
      <c r="R722" s="21">
        <v>590.32569999999998</v>
      </c>
      <c r="S722" s="14">
        <v>1</v>
      </c>
      <c r="T722" s="52" t="s">
        <v>2</v>
      </c>
      <c r="U722" s="53">
        <v>60.373662499999995</v>
      </c>
      <c r="V722" s="24">
        <v>256924</v>
      </c>
      <c r="W722" s="24">
        <v>218911</v>
      </c>
      <c r="X722" s="24">
        <v>283126</v>
      </c>
      <c r="Y722" s="24">
        <v>335369</v>
      </c>
      <c r="Z722" s="24">
        <v>367464</v>
      </c>
      <c r="AA722" s="24">
        <v>246980</v>
      </c>
      <c r="AB722" s="24">
        <v>426986</v>
      </c>
      <c r="AC722" s="24">
        <v>354084</v>
      </c>
      <c r="AD722" s="24">
        <v>273582.5</v>
      </c>
      <c r="AE722" s="24">
        <v>348878.5</v>
      </c>
      <c r="AF722" s="24">
        <v>237917.5</v>
      </c>
      <c r="AG722" s="24">
        <v>309247.5</v>
      </c>
      <c r="AH722" s="24">
        <v>307222</v>
      </c>
      <c r="AI722" s="24">
        <v>390535</v>
      </c>
      <c r="AJ722" s="32">
        <v>17.875817029942851</v>
      </c>
      <c r="AK722" s="32">
        <v>21.485734611961938</v>
      </c>
      <c r="AL722" s="32">
        <v>11.297718777830228</v>
      </c>
      <c r="AM722" s="32">
        <v>11.945570964851388</v>
      </c>
      <c r="AN722" s="32">
        <v>27.730778858441123</v>
      </c>
      <c r="AO722" s="32">
        <v>13.199712845727445</v>
      </c>
      <c r="AP722" s="19">
        <v>1.2752222821269634</v>
      </c>
      <c r="AQ722" s="19">
        <v>1.2912963527273109</v>
      </c>
      <c r="AR722" s="19">
        <v>1.2628558031997026</v>
      </c>
      <c r="AS722" s="19">
        <v>0.35074874306180387</v>
      </c>
      <c r="AT722" s="19">
        <v>0.36882013739590364</v>
      </c>
      <c r="AU722" s="19">
        <v>0.3366899171261622</v>
      </c>
      <c r="AV722" s="19">
        <v>0.15305919037570331</v>
      </c>
      <c r="AW722" s="19">
        <v>0.30099592041275391</v>
      </c>
      <c r="AX722" s="19">
        <v>3.2939002890369273E-2</v>
      </c>
      <c r="AY722" s="19">
        <v>1.2752222821269634</v>
      </c>
      <c r="AZ722" s="19">
        <v>1.2912963527273109</v>
      </c>
      <c r="BA722" s="19">
        <v>1.2628558031997026</v>
      </c>
      <c r="BB722" s="19">
        <v>1.1119247762329756</v>
      </c>
      <c r="BC722" s="19">
        <v>1.2319945896627116</v>
      </c>
      <c r="BD722" s="19">
        <v>1.0230942124227027</v>
      </c>
      <c r="BE722" s="14" t="s">
        <v>4857</v>
      </c>
    </row>
    <row r="723" spans="1:57" s="30" customFormat="1" ht="17.100000000000001" customHeight="1">
      <c r="A723" s="14">
        <v>712</v>
      </c>
      <c r="B723" s="14" t="s">
        <v>671</v>
      </c>
      <c r="C723" s="32">
        <v>1.0600083727038194</v>
      </c>
      <c r="D723" s="32">
        <v>1.0090714108754137</v>
      </c>
      <c r="E723" s="32">
        <v>1.1033380661872301</v>
      </c>
      <c r="F723" s="24">
        <v>143000</v>
      </c>
      <c r="G723" s="52" t="s">
        <v>2</v>
      </c>
      <c r="H723" s="32">
        <v>21.84349186994088</v>
      </c>
      <c r="I723" s="32">
        <v>15.484090098975493</v>
      </c>
      <c r="J723" s="12" t="s">
        <v>672</v>
      </c>
      <c r="K723" s="12" t="s">
        <v>673</v>
      </c>
      <c r="L723" s="14" t="s">
        <v>4144</v>
      </c>
      <c r="M723" s="12" t="s">
        <v>674</v>
      </c>
      <c r="N723" s="15" t="s">
        <v>675</v>
      </c>
      <c r="O723" s="12" t="s">
        <v>676</v>
      </c>
      <c r="P723" s="12" t="s">
        <v>677</v>
      </c>
      <c r="Q723" s="14">
        <v>3</v>
      </c>
      <c r="R723" s="21">
        <v>414.58699999999999</v>
      </c>
      <c r="S723" s="14">
        <v>2</v>
      </c>
      <c r="T723" s="52" t="s">
        <v>2</v>
      </c>
      <c r="U723" s="53">
        <v>32.03</v>
      </c>
      <c r="V723" s="24">
        <v>91300</v>
      </c>
      <c r="W723" s="24">
        <v>103000</v>
      </c>
      <c r="X723" s="24">
        <v>101000</v>
      </c>
      <c r="Y723" s="24">
        <v>109000</v>
      </c>
      <c r="Z723" s="24">
        <v>114000</v>
      </c>
      <c r="AA723" s="24">
        <v>91500</v>
      </c>
      <c r="AB723" s="24">
        <v>155000</v>
      </c>
      <c r="AC723" s="24">
        <v>131000</v>
      </c>
      <c r="AD723" s="24">
        <v>101075</v>
      </c>
      <c r="AE723" s="24">
        <v>122875</v>
      </c>
      <c r="AF723" s="24">
        <v>97150</v>
      </c>
      <c r="AG723" s="24">
        <v>105000</v>
      </c>
      <c r="AH723" s="24">
        <v>102750</v>
      </c>
      <c r="AI723" s="24">
        <v>143000</v>
      </c>
      <c r="AJ723" s="32">
        <v>7.2718278506059857</v>
      </c>
      <c r="AK723" s="32">
        <v>21.84349186994088</v>
      </c>
      <c r="AL723" s="32">
        <v>8.5158510961220859</v>
      </c>
      <c r="AM723" s="32">
        <v>5.3874802376117907</v>
      </c>
      <c r="AN723" s="32">
        <v>15.484090098975493</v>
      </c>
      <c r="AO723" s="32">
        <v>11.86752639753646</v>
      </c>
      <c r="AP723" s="19">
        <v>1.2156814246846401</v>
      </c>
      <c r="AQ723" s="19">
        <v>1.0576428203808543</v>
      </c>
      <c r="AR723" s="19">
        <v>1.361904761904762</v>
      </c>
      <c r="AS723" s="19">
        <v>0.28176521295624829</v>
      </c>
      <c r="AT723" s="19">
        <v>8.0852492983700661E-2</v>
      </c>
      <c r="AU723" s="19">
        <v>0.44562581911226684</v>
      </c>
      <c r="AV723" s="19">
        <v>8.4075660270147734E-2</v>
      </c>
      <c r="AW723" s="19">
        <v>1.3028276000550953E-2</v>
      </c>
      <c r="AX723" s="19">
        <v>0.14187490487647392</v>
      </c>
      <c r="AY723" s="19">
        <v>1.2156814246846401</v>
      </c>
      <c r="AZ723" s="19">
        <v>1.0576428203808543</v>
      </c>
      <c r="BA723" s="19">
        <v>1.361904761904762</v>
      </c>
      <c r="BB723" s="19">
        <v>1.0600083727038194</v>
      </c>
      <c r="BC723" s="19">
        <v>1.0090714108754137</v>
      </c>
      <c r="BD723" s="19">
        <v>1.1033380661872301</v>
      </c>
      <c r="BE723" s="14" t="s">
        <v>4857</v>
      </c>
    </row>
    <row r="724" spans="1:57" s="30" customFormat="1" ht="17.100000000000001" customHeight="1">
      <c r="A724" s="14">
        <v>713</v>
      </c>
      <c r="B724" s="14" t="s">
        <v>678</v>
      </c>
      <c r="C724" s="32">
        <v>-1.0265576732231407</v>
      </c>
      <c r="D724" s="32">
        <v>1.0667682849113773</v>
      </c>
      <c r="E724" s="32">
        <v>-1.1055088294175497</v>
      </c>
      <c r="F724" s="24">
        <v>406632</v>
      </c>
      <c r="G724" s="52" t="s">
        <v>2</v>
      </c>
      <c r="H724" s="32">
        <v>26.984574566720319</v>
      </c>
      <c r="I724" s="32">
        <v>28.655241730063981</v>
      </c>
      <c r="J724" s="12" t="s">
        <v>672</v>
      </c>
      <c r="K724" s="12" t="s">
        <v>673</v>
      </c>
      <c r="L724" s="14" t="s">
        <v>5191</v>
      </c>
      <c r="M724" s="12" t="s">
        <v>674</v>
      </c>
      <c r="N724" s="15" t="s">
        <v>675</v>
      </c>
      <c r="O724" s="12" t="s">
        <v>676</v>
      </c>
      <c r="P724" s="12" t="s">
        <v>679</v>
      </c>
      <c r="Q724" s="14">
        <v>2</v>
      </c>
      <c r="R724" s="21">
        <v>420.72910000000002</v>
      </c>
      <c r="S724" s="14">
        <v>4</v>
      </c>
      <c r="T724" s="52" t="s">
        <v>2</v>
      </c>
      <c r="U724" s="53">
        <v>24.065912500000003</v>
      </c>
      <c r="V724" s="24">
        <v>305337</v>
      </c>
      <c r="W724" s="24">
        <v>202448</v>
      </c>
      <c r="X724" s="24">
        <v>405450</v>
      </c>
      <c r="Y724" s="24">
        <v>322926</v>
      </c>
      <c r="Z724" s="24">
        <v>240573</v>
      </c>
      <c r="AA724" s="24">
        <v>327190</v>
      </c>
      <c r="AB724" s="24">
        <v>429998</v>
      </c>
      <c r="AC724" s="24">
        <v>383266</v>
      </c>
      <c r="AD724" s="24">
        <v>309040.25</v>
      </c>
      <c r="AE724" s="24">
        <v>345256.75</v>
      </c>
      <c r="AF724" s="24">
        <v>253892.5</v>
      </c>
      <c r="AG724" s="24">
        <v>364188</v>
      </c>
      <c r="AH724" s="24">
        <v>283881.5</v>
      </c>
      <c r="AI724" s="24">
        <v>406632</v>
      </c>
      <c r="AJ724" s="32">
        <v>26.984574566720319</v>
      </c>
      <c r="AK724" s="32">
        <v>23.59621772702987</v>
      </c>
      <c r="AL724" s="32">
        <v>28.655241730063981</v>
      </c>
      <c r="AM724" s="32">
        <v>16.022845346534936</v>
      </c>
      <c r="AN724" s="32">
        <v>21.575012132187261</v>
      </c>
      <c r="AO724" s="32">
        <v>8.1263929298259203</v>
      </c>
      <c r="AP724" s="19">
        <v>1.1171902365468576</v>
      </c>
      <c r="AQ724" s="19">
        <v>1.1181169195624132</v>
      </c>
      <c r="AR724" s="19">
        <v>1.1165442024448911</v>
      </c>
      <c r="AS724" s="19">
        <v>0.15987487065049708</v>
      </c>
      <c r="AT724" s="19">
        <v>0.16107105620732701</v>
      </c>
      <c r="AU724" s="19">
        <v>0.15904036659766976</v>
      </c>
      <c r="AV724" s="19">
        <v>-3.7814682035603481E-2</v>
      </c>
      <c r="AW724" s="19">
        <v>9.32468392241773E-2</v>
      </c>
      <c r="AX724" s="19">
        <v>-0.14471054763812316</v>
      </c>
      <c r="AY724" s="19">
        <v>1.1171902365468576</v>
      </c>
      <c r="AZ724" s="19">
        <v>1.1181169195624132</v>
      </c>
      <c r="BA724" s="19">
        <v>1.1165442024448911</v>
      </c>
      <c r="BB724" s="19">
        <v>-1.0265576732231407</v>
      </c>
      <c r="BC724" s="19">
        <v>1.0667682849113773</v>
      </c>
      <c r="BD724" s="19">
        <v>-1.1055088294175497</v>
      </c>
      <c r="BE724" s="14" t="s">
        <v>4857</v>
      </c>
    </row>
    <row r="725" spans="1:57" s="30" customFormat="1" ht="17.100000000000001" customHeight="1">
      <c r="A725" s="14">
        <v>714</v>
      </c>
      <c r="B725" s="14" t="s">
        <v>682</v>
      </c>
      <c r="C725" s="32">
        <v>1.1355038425752781</v>
      </c>
      <c r="D725" s="32">
        <v>1.0466003212612691</v>
      </c>
      <c r="E725" s="32">
        <v>1.2370066981712522</v>
      </c>
      <c r="F725" s="24">
        <v>637840.5</v>
      </c>
      <c r="G725" s="52" t="s">
        <v>2</v>
      </c>
      <c r="H725" s="32">
        <v>14.372791024878751</v>
      </c>
      <c r="I725" s="32">
        <v>15.091205443128064</v>
      </c>
      <c r="J725" s="12" t="s">
        <v>683</v>
      </c>
      <c r="K725" s="12" t="s">
        <v>684</v>
      </c>
      <c r="L725" s="14" t="s">
        <v>5279</v>
      </c>
      <c r="M725" s="12" t="s">
        <v>685</v>
      </c>
      <c r="N725" s="15" t="s">
        <v>686</v>
      </c>
      <c r="O725" s="12" t="s">
        <v>687</v>
      </c>
      <c r="P725" s="12" t="s">
        <v>688</v>
      </c>
      <c r="Q725" s="14">
        <v>2</v>
      </c>
      <c r="R725" s="21">
        <v>705.37480000000005</v>
      </c>
      <c r="S725" s="14">
        <v>7</v>
      </c>
      <c r="T725" s="52" t="s">
        <v>2</v>
      </c>
      <c r="U725" s="53">
        <v>73.54872499999999</v>
      </c>
      <c r="V725" s="24">
        <v>446775</v>
      </c>
      <c r="W725" s="24">
        <v>467441</v>
      </c>
      <c r="X725" s="24">
        <v>462313</v>
      </c>
      <c r="Y725" s="24">
        <v>373159</v>
      </c>
      <c r="Z725" s="24">
        <v>528244</v>
      </c>
      <c r="AA725" s="24">
        <v>474631</v>
      </c>
      <c r="AB725" s="24">
        <v>643612</v>
      </c>
      <c r="AC725" s="24">
        <v>632069</v>
      </c>
      <c r="AD725" s="24">
        <v>437422</v>
      </c>
      <c r="AE725" s="24">
        <v>569639</v>
      </c>
      <c r="AF725" s="24">
        <v>457108</v>
      </c>
      <c r="AG725" s="24">
        <v>417736</v>
      </c>
      <c r="AH725" s="24">
        <v>501437.5</v>
      </c>
      <c r="AI725" s="24">
        <v>637840.5</v>
      </c>
      <c r="AJ725" s="32">
        <v>9.9980606933535352</v>
      </c>
      <c r="AK725" s="32">
        <v>14.372791024878751</v>
      </c>
      <c r="AL725" s="32">
        <v>3.19685254688196</v>
      </c>
      <c r="AM725" s="32">
        <v>15.091205443128064</v>
      </c>
      <c r="AN725" s="32">
        <v>7.5602873458316084</v>
      </c>
      <c r="AO725" s="32">
        <v>1.2796511941835489</v>
      </c>
      <c r="AP725" s="19">
        <v>1.3022641750986461</v>
      </c>
      <c r="AQ725" s="19">
        <v>1.0969781758359074</v>
      </c>
      <c r="AR725" s="19">
        <v>1.526898567516326</v>
      </c>
      <c r="AS725" s="19">
        <v>0.38102214085764569</v>
      </c>
      <c r="AT725" s="19">
        <v>0.13353482389378962</v>
      </c>
      <c r="AU725" s="19">
        <v>0.61060422650826929</v>
      </c>
      <c r="AV725" s="19">
        <v>0.18333258817154513</v>
      </c>
      <c r="AW725" s="19">
        <v>6.5710606910639915E-2</v>
      </c>
      <c r="AX725" s="19">
        <v>0.30685331227247636</v>
      </c>
      <c r="AY725" s="19">
        <v>1.3022641750986461</v>
      </c>
      <c r="AZ725" s="19">
        <v>1.0969781758359074</v>
      </c>
      <c r="BA725" s="19">
        <v>1.526898567516326</v>
      </c>
      <c r="BB725" s="19">
        <v>1.1355038425752781</v>
      </c>
      <c r="BC725" s="19">
        <v>1.0466003212612691</v>
      </c>
      <c r="BD725" s="19">
        <v>1.2370066981712522</v>
      </c>
      <c r="BE725" s="14" t="s">
        <v>4857</v>
      </c>
    </row>
    <row r="726" spans="1:57" s="30" customFormat="1" ht="17.100000000000001" customHeight="1">
      <c r="A726" s="14">
        <v>715</v>
      </c>
      <c r="B726" s="14" t="s">
        <v>689</v>
      </c>
      <c r="C726" s="32">
        <v>-1.1596226049989553</v>
      </c>
      <c r="D726" s="32">
        <v>1.2387207463626322</v>
      </c>
      <c r="E726" s="32">
        <v>-1.5357338068507937</v>
      </c>
      <c r="F726" s="42">
        <v>2860751</v>
      </c>
      <c r="G726" s="52" t="s">
        <v>4894</v>
      </c>
      <c r="H726" s="32">
        <v>30.053160706310635</v>
      </c>
      <c r="I726" s="32">
        <v>18.23609812781984</v>
      </c>
      <c r="J726" s="12" t="s">
        <v>690</v>
      </c>
      <c r="K726" s="15" t="s">
        <v>691</v>
      </c>
      <c r="L726" s="14" t="s">
        <v>4580</v>
      </c>
      <c r="M726" s="12" t="s">
        <v>692</v>
      </c>
      <c r="N726" s="15" t="s">
        <v>693</v>
      </c>
      <c r="O726" s="12" t="s">
        <v>694</v>
      </c>
      <c r="P726" s="12" t="s">
        <v>695</v>
      </c>
      <c r="Q726" s="14">
        <v>3</v>
      </c>
      <c r="R726" s="21">
        <v>418.57990000000001</v>
      </c>
      <c r="S726" s="14">
        <v>2</v>
      </c>
      <c r="T726" s="52" t="s">
        <v>4894</v>
      </c>
      <c r="U726" s="53">
        <v>46</v>
      </c>
      <c r="V726" s="42">
        <v>1933932</v>
      </c>
      <c r="W726" s="42">
        <v>1492144</v>
      </c>
      <c r="X726" s="42">
        <v>2894253</v>
      </c>
      <c r="Y726" s="42">
        <v>2827249</v>
      </c>
      <c r="Z726" s="42">
        <v>2255520</v>
      </c>
      <c r="AA726" s="42">
        <v>2192713</v>
      </c>
      <c r="AB726" s="42">
        <v>2282800</v>
      </c>
      <c r="AC726" s="42">
        <v>2315870</v>
      </c>
      <c r="AD726" s="42">
        <v>2286894.5</v>
      </c>
      <c r="AE726" s="42">
        <v>2261725.75</v>
      </c>
      <c r="AF726" s="42">
        <v>1713038</v>
      </c>
      <c r="AG726" s="42">
        <v>2860751</v>
      </c>
      <c r="AH726" s="42">
        <v>2224116.5</v>
      </c>
      <c r="AI726" s="42">
        <v>2299335</v>
      </c>
      <c r="AJ726" s="32">
        <v>30.053160706310635</v>
      </c>
      <c r="AK726" s="32">
        <v>2.3083214715928912</v>
      </c>
      <c r="AL726" s="32">
        <v>18.23609812781984</v>
      </c>
      <c r="AM726" s="32">
        <v>1.6561728988864612</v>
      </c>
      <c r="AN726" s="32">
        <v>1.9968043762987906</v>
      </c>
      <c r="AO726" s="32">
        <v>1.0169906191937723</v>
      </c>
      <c r="AP726" s="19">
        <v>0.98899435457123186</v>
      </c>
      <c r="AQ726" s="19">
        <v>1.2983462713611724</v>
      </c>
      <c r="AR726" s="19">
        <v>0.80375223149445718</v>
      </c>
      <c r="AS726" s="19">
        <v>-1.596580914598255E-2</v>
      </c>
      <c r="AT726" s="19">
        <v>0.37667520410155247</v>
      </c>
      <c r="AU726" s="19">
        <v>-0.31517725702031629</v>
      </c>
      <c r="AV726" s="19">
        <v>-0.21365536183208311</v>
      </c>
      <c r="AW726" s="19">
        <v>0.30885098711840275</v>
      </c>
      <c r="AX726" s="19">
        <v>-0.61892817125610922</v>
      </c>
      <c r="AY726" s="19">
        <v>-1.0111281175447553</v>
      </c>
      <c r="AZ726" s="19">
        <v>1.2983462713611724</v>
      </c>
      <c r="BA726" s="19">
        <v>-1.2441645084339603</v>
      </c>
      <c r="BB726" s="19">
        <v>-1.1596226049989553</v>
      </c>
      <c r="BC726" s="19">
        <v>1.2387207463626322</v>
      </c>
      <c r="BD726" s="19">
        <v>-1.5357338068507937</v>
      </c>
      <c r="BE726" s="14" t="s">
        <v>4857</v>
      </c>
    </row>
    <row r="727" spans="1:57" s="30" customFormat="1" ht="17.100000000000001" customHeight="1">
      <c r="A727" s="14">
        <v>716</v>
      </c>
      <c r="B727" s="14" t="s">
        <v>696</v>
      </c>
      <c r="C727" s="32">
        <v>1.0214043371511183</v>
      </c>
      <c r="D727" s="32">
        <v>1.094411361419249</v>
      </c>
      <c r="E727" s="32">
        <v>-1.033368446830514</v>
      </c>
      <c r="F727" s="24">
        <v>118260</v>
      </c>
      <c r="G727" s="52" t="s">
        <v>2</v>
      </c>
      <c r="H727" s="32">
        <v>12.188597115964749</v>
      </c>
      <c r="I727" s="32">
        <v>19.436887276897711</v>
      </c>
      <c r="J727" s="12" t="s">
        <v>690</v>
      </c>
      <c r="K727" s="15" t="s">
        <v>691</v>
      </c>
      <c r="L727" s="14" t="s">
        <v>5247</v>
      </c>
      <c r="M727" s="12" t="s">
        <v>692</v>
      </c>
      <c r="N727" s="15" t="s">
        <v>693</v>
      </c>
      <c r="O727" s="12" t="s">
        <v>694</v>
      </c>
      <c r="P727" s="12" t="s">
        <v>697</v>
      </c>
      <c r="Q727" s="14">
        <v>2</v>
      </c>
      <c r="R727" s="21">
        <v>627.36630000000002</v>
      </c>
      <c r="S727" s="14">
        <v>5</v>
      </c>
      <c r="T727" s="52" t="s">
        <v>2</v>
      </c>
      <c r="U727" s="53">
        <v>46.479937499999998</v>
      </c>
      <c r="V727" s="24">
        <v>81063</v>
      </c>
      <c r="W727" s="24">
        <v>106896</v>
      </c>
      <c r="X727" s="24">
        <v>93711</v>
      </c>
      <c r="Y727" s="24">
        <v>104298</v>
      </c>
      <c r="Z727" s="24">
        <v>107422</v>
      </c>
      <c r="AA727" s="24">
        <v>108184</v>
      </c>
      <c r="AB727" s="24">
        <v>124397</v>
      </c>
      <c r="AC727" s="24">
        <v>112123</v>
      </c>
      <c r="AD727" s="24">
        <v>96492</v>
      </c>
      <c r="AE727" s="24">
        <v>113031.5</v>
      </c>
      <c r="AF727" s="24">
        <v>93979.5</v>
      </c>
      <c r="AG727" s="24">
        <v>99004.5</v>
      </c>
      <c r="AH727" s="24">
        <v>107803</v>
      </c>
      <c r="AI727" s="24">
        <v>118260</v>
      </c>
      <c r="AJ727" s="32">
        <v>12.188597115964749</v>
      </c>
      <c r="AK727" s="32">
        <v>6.9467923668252451</v>
      </c>
      <c r="AL727" s="32">
        <v>19.436887276897711</v>
      </c>
      <c r="AM727" s="32">
        <v>7.5614133624451201</v>
      </c>
      <c r="AN727" s="32">
        <v>0.49981481708686143</v>
      </c>
      <c r="AO727" s="32">
        <v>7.3389384680227323</v>
      </c>
      <c r="AP727" s="19">
        <v>1.1714079923724248</v>
      </c>
      <c r="AQ727" s="19">
        <v>1.1470905889050271</v>
      </c>
      <c r="AR727" s="19">
        <v>1.1944911594927503</v>
      </c>
      <c r="AS727" s="19">
        <v>0.2282436429241847</v>
      </c>
      <c r="AT727" s="19">
        <v>0.19797932945604499</v>
      </c>
      <c r="AU727" s="19">
        <v>0.25639617635333678</v>
      </c>
      <c r="AV727" s="19">
        <v>3.0554090238084142E-2</v>
      </c>
      <c r="AW727" s="19">
        <v>0.1301551124728953</v>
      </c>
      <c r="AX727" s="19">
        <v>-4.7354737882456144E-2</v>
      </c>
      <c r="AY727" s="19">
        <v>1.1714079923724248</v>
      </c>
      <c r="AZ727" s="19">
        <v>1.1470905889050271</v>
      </c>
      <c r="BA727" s="19">
        <v>1.1944911594927503</v>
      </c>
      <c r="BB727" s="19">
        <v>1.0214043371511183</v>
      </c>
      <c r="BC727" s="19">
        <v>1.094411361419249</v>
      </c>
      <c r="BD727" s="19">
        <v>-1.033368446830514</v>
      </c>
      <c r="BE727" s="14" t="s">
        <v>4857</v>
      </c>
    </row>
    <row r="728" spans="1:57" s="30" customFormat="1" ht="17.100000000000001" customHeight="1">
      <c r="A728" s="14">
        <v>717</v>
      </c>
      <c r="B728" s="14" t="s">
        <v>698</v>
      </c>
      <c r="C728" s="32">
        <v>1.0261919769622199</v>
      </c>
      <c r="D728" s="32">
        <v>-1.085911788069154</v>
      </c>
      <c r="E728" s="32">
        <v>1.1467941658797507</v>
      </c>
      <c r="F728" s="24">
        <v>142840.5</v>
      </c>
      <c r="G728" s="52" t="s">
        <v>2</v>
      </c>
      <c r="H728" s="32">
        <v>20.929662630656246</v>
      </c>
      <c r="I728" s="32">
        <v>32.12389783578687</v>
      </c>
      <c r="J728" s="12" t="s">
        <v>699</v>
      </c>
      <c r="K728" s="12" t="s">
        <v>700</v>
      </c>
      <c r="L728" s="14" t="s">
        <v>4696</v>
      </c>
      <c r="M728" s="12" t="s">
        <v>701</v>
      </c>
      <c r="N728" s="15" t="s">
        <v>702</v>
      </c>
      <c r="O728" s="12" t="s">
        <v>703</v>
      </c>
      <c r="P728" s="12" t="s">
        <v>704</v>
      </c>
      <c r="Q728" s="14">
        <v>3</v>
      </c>
      <c r="R728" s="21">
        <v>485.26389999999998</v>
      </c>
      <c r="S728" s="14">
        <v>1</v>
      </c>
      <c r="T728" s="52" t="s">
        <v>2</v>
      </c>
      <c r="U728" s="53">
        <v>83.792962499999987</v>
      </c>
      <c r="V728" s="24">
        <v>87919</v>
      </c>
      <c r="W728" s="24">
        <v>139600</v>
      </c>
      <c r="X728" s="24">
        <v>98323</v>
      </c>
      <c r="Y728" s="24">
        <v>103494</v>
      </c>
      <c r="Z728" s="24">
        <v>111762</v>
      </c>
      <c r="AA728" s="24">
        <v>107842</v>
      </c>
      <c r="AB728" s="24">
        <v>136979</v>
      </c>
      <c r="AC728" s="24">
        <v>148702</v>
      </c>
      <c r="AD728" s="24">
        <v>107334</v>
      </c>
      <c r="AE728" s="24">
        <v>126321.25</v>
      </c>
      <c r="AF728" s="24">
        <v>113759.5</v>
      </c>
      <c r="AG728" s="24">
        <v>100908.5</v>
      </c>
      <c r="AH728" s="24">
        <v>109802</v>
      </c>
      <c r="AI728" s="24">
        <v>142840.5</v>
      </c>
      <c r="AJ728" s="32">
        <v>20.929662630656246</v>
      </c>
      <c r="AK728" s="32">
        <v>15.619719591609957</v>
      </c>
      <c r="AL728" s="32">
        <v>32.12389783578687</v>
      </c>
      <c r="AM728" s="32">
        <v>3.6235294009083847</v>
      </c>
      <c r="AN728" s="32">
        <v>2.5244153861052316</v>
      </c>
      <c r="AO728" s="32">
        <v>5.8032650374717933</v>
      </c>
      <c r="AP728" s="19">
        <v>1.176898745970522</v>
      </c>
      <c r="AQ728" s="19">
        <v>0.96521169660555817</v>
      </c>
      <c r="AR728" s="19">
        <v>1.4155447757126505</v>
      </c>
      <c r="AS728" s="19">
        <v>0.23499020400428461</v>
      </c>
      <c r="AT728" s="19">
        <v>-5.1082696394836993E-2</v>
      </c>
      <c r="AU728" s="19">
        <v>0.50135738447991818</v>
      </c>
      <c r="AV728" s="19">
        <v>3.7300651318184053E-2</v>
      </c>
      <c r="AW728" s="19">
        <v>-0.1189069133779867</v>
      </c>
      <c r="AX728" s="19">
        <v>0.19760647024412525</v>
      </c>
      <c r="AY728" s="19">
        <v>1.176898745970522</v>
      </c>
      <c r="AZ728" s="19">
        <v>-1.0360421485947433</v>
      </c>
      <c r="BA728" s="19">
        <v>1.4155447757126505</v>
      </c>
      <c r="BB728" s="19">
        <v>1.0261919769622199</v>
      </c>
      <c r="BC728" s="19">
        <v>-1.085911788069154</v>
      </c>
      <c r="BD728" s="19">
        <v>1.1467941658797507</v>
      </c>
      <c r="BE728" s="14" t="s">
        <v>4857</v>
      </c>
    </row>
    <row r="729" spans="1:57" s="30" customFormat="1" ht="17.100000000000001" customHeight="1">
      <c r="A729" s="14">
        <v>718</v>
      </c>
      <c r="B729" s="14" t="s">
        <v>705</v>
      </c>
      <c r="C729" s="32">
        <v>1.0341231045375168</v>
      </c>
      <c r="D729" s="32">
        <v>-1.0471503966993496</v>
      </c>
      <c r="E729" s="32">
        <v>1.0782012620500672</v>
      </c>
      <c r="F729" s="39">
        <v>378843.5</v>
      </c>
      <c r="G729" s="52" t="s">
        <v>2</v>
      </c>
      <c r="H729" s="32">
        <v>30.49628339554295</v>
      </c>
      <c r="I729" s="32">
        <v>11.821336181173361</v>
      </c>
      <c r="J729" s="12" t="s">
        <v>706</v>
      </c>
      <c r="K729" s="12" t="s">
        <v>707</v>
      </c>
      <c r="L729" s="14" t="s">
        <v>5237</v>
      </c>
      <c r="M729" s="12" t="s">
        <v>708</v>
      </c>
      <c r="N729" s="15" t="s">
        <v>709</v>
      </c>
      <c r="O729" s="12" t="s">
        <v>710</v>
      </c>
      <c r="P729" s="12" t="s">
        <v>711</v>
      </c>
      <c r="Q729" s="14">
        <v>2</v>
      </c>
      <c r="R729" s="21">
        <v>535.31820000000005</v>
      </c>
      <c r="S729" s="14">
        <v>5</v>
      </c>
      <c r="T729" s="52" t="s">
        <v>2</v>
      </c>
      <c r="U729" s="53">
        <v>49.867462500000002</v>
      </c>
      <c r="V729" s="39">
        <v>204234</v>
      </c>
      <c r="W729" s="39">
        <v>241492</v>
      </c>
      <c r="X729" s="39">
        <v>294635</v>
      </c>
      <c r="Y729" s="39">
        <v>274679</v>
      </c>
      <c r="Z729" s="39">
        <v>241617</v>
      </c>
      <c r="AA729" s="39">
        <v>204528</v>
      </c>
      <c r="AB729" s="39">
        <v>366217</v>
      </c>
      <c r="AC729" s="39">
        <v>391470</v>
      </c>
      <c r="AD729" s="39">
        <v>253760</v>
      </c>
      <c r="AE729" s="39">
        <v>300958</v>
      </c>
      <c r="AF729" s="39">
        <v>222863</v>
      </c>
      <c r="AG729" s="39">
        <v>284657</v>
      </c>
      <c r="AH729" s="39">
        <v>223072.5</v>
      </c>
      <c r="AI729" s="39">
        <v>378843.5</v>
      </c>
      <c r="AJ729" s="32">
        <v>15.617264355845565</v>
      </c>
      <c r="AK729" s="32">
        <v>30.49628339554295</v>
      </c>
      <c r="AL729" s="32">
        <v>11.821336181173361</v>
      </c>
      <c r="AM729" s="32">
        <v>4.957202150433238</v>
      </c>
      <c r="AN729" s="32">
        <v>11.756663599245924</v>
      </c>
      <c r="AO729" s="32">
        <v>4.7134417101795032</v>
      </c>
      <c r="AP729" s="19">
        <v>1.1859946406052964</v>
      </c>
      <c r="AQ729" s="19">
        <v>1.0009400393964005</v>
      </c>
      <c r="AR729" s="19">
        <v>1.3308771609340364</v>
      </c>
      <c r="AS729" s="19">
        <v>0.24609749049974197</v>
      </c>
      <c r="AT729" s="19">
        <v>1.3555531385256031E-3</v>
      </c>
      <c r="AU729" s="19">
        <v>0.41237741761370178</v>
      </c>
      <c r="AV729" s="19">
        <v>4.8407937813641416E-2</v>
      </c>
      <c r="AW729" s="19">
        <v>-6.6468663844624104E-2</v>
      </c>
      <c r="AX729" s="19">
        <v>0.10862650337790886</v>
      </c>
      <c r="AY729" s="19">
        <v>1.1859946406052964</v>
      </c>
      <c r="AZ729" s="19">
        <v>1.0009400393964005</v>
      </c>
      <c r="BA729" s="19">
        <v>1.3308771609340364</v>
      </c>
      <c r="BB729" s="19">
        <v>1.0341231045375168</v>
      </c>
      <c r="BC729" s="19">
        <v>-1.0471503966993496</v>
      </c>
      <c r="BD729" s="19">
        <v>1.0782012620500672</v>
      </c>
      <c r="BE729" s="14" t="s">
        <v>4857</v>
      </c>
    </row>
    <row r="730" spans="1:57" s="30" customFormat="1" ht="17.100000000000001" customHeight="1">
      <c r="A730" s="14">
        <v>719</v>
      </c>
      <c r="B730" s="14" t="s">
        <v>712</v>
      </c>
      <c r="C730" s="32">
        <v>1.0341231045375168</v>
      </c>
      <c r="D730" s="32">
        <v>-1.0471503966993496</v>
      </c>
      <c r="E730" s="32">
        <v>1.0782012620500672</v>
      </c>
      <c r="F730" s="39">
        <v>378843.5</v>
      </c>
      <c r="G730" s="52" t="s">
        <v>2</v>
      </c>
      <c r="H730" s="32">
        <v>30.49628339554295</v>
      </c>
      <c r="I730" s="32">
        <v>11.821336181173361</v>
      </c>
      <c r="J730" s="12" t="s">
        <v>706</v>
      </c>
      <c r="K730" s="12" t="s">
        <v>707</v>
      </c>
      <c r="L730" s="14" t="s">
        <v>4696</v>
      </c>
      <c r="M730" s="12" t="s">
        <v>708</v>
      </c>
      <c r="N730" s="15" t="s">
        <v>709</v>
      </c>
      <c r="O730" s="12" t="s">
        <v>710</v>
      </c>
      <c r="P730" s="12" t="s">
        <v>713</v>
      </c>
      <c r="Q730" s="14">
        <v>2</v>
      </c>
      <c r="R730" s="21">
        <v>535.31820000000005</v>
      </c>
      <c r="S730" s="14">
        <v>1</v>
      </c>
      <c r="T730" s="52" t="s">
        <v>2</v>
      </c>
      <c r="U730" s="53">
        <v>49.867462500000002</v>
      </c>
      <c r="V730" s="39">
        <v>204234</v>
      </c>
      <c r="W730" s="39">
        <v>241492</v>
      </c>
      <c r="X730" s="39">
        <v>294635</v>
      </c>
      <c r="Y730" s="39">
        <v>274679</v>
      </c>
      <c r="Z730" s="39">
        <v>241617</v>
      </c>
      <c r="AA730" s="39">
        <v>204528</v>
      </c>
      <c r="AB730" s="39">
        <v>366217</v>
      </c>
      <c r="AC730" s="39">
        <v>391470</v>
      </c>
      <c r="AD730" s="39">
        <v>253760</v>
      </c>
      <c r="AE730" s="39">
        <v>300958</v>
      </c>
      <c r="AF730" s="39">
        <v>222863</v>
      </c>
      <c r="AG730" s="39">
        <v>284657</v>
      </c>
      <c r="AH730" s="39">
        <v>223072.5</v>
      </c>
      <c r="AI730" s="39">
        <v>378843.5</v>
      </c>
      <c r="AJ730" s="32">
        <v>15.617264355845565</v>
      </c>
      <c r="AK730" s="32">
        <v>30.49628339554295</v>
      </c>
      <c r="AL730" s="32">
        <v>11.821336181173361</v>
      </c>
      <c r="AM730" s="32">
        <v>4.957202150433238</v>
      </c>
      <c r="AN730" s="32">
        <v>11.756663599245924</v>
      </c>
      <c r="AO730" s="32">
        <v>4.7134417101795032</v>
      </c>
      <c r="AP730" s="19">
        <v>1.1859946406052964</v>
      </c>
      <c r="AQ730" s="19">
        <v>1.0009400393964005</v>
      </c>
      <c r="AR730" s="19">
        <v>1.3308771609340364</v>
      </c>
      <c r="AS730" s="19">
        <v>0.24609749049974197</v>
      </c>
      <c r="AT730" s="19">
        <v>1.3555531385256031E-3</v>
      </c>
      <c r="AU730" s="19">
        <v>0.41237741761370178</v>
      </c>
      <c r="AV730" s="19">
        <v>4.8407937813641416E-2</v>
      </c>
      <c r="AW730" s="19">
        <v>-6.6468663844624104E-2</v>
      </c>
      <c r="AX730" s="19">
        <v>0.10862650337790886</v>
      </c>
      <c r="AY730" s="19">
        <v>1.1859946406052964</v>
      </c>
      <c r="AZ730" s="19">
        <v>1.0009400393964005</v>
      </c>
      <c r="BA730" s="19">
        <v>1.3308771609340364</v>
      </c>
      <c r="BB730" s="19">
        <v>1.0341231045375168</v>
      </c>
      <c r="BC730" s="19">
        <v>-1.0471503966993496</v>
      </c>
      <c r="BD730" s="19">
        <v>1.0782012620500672</v>
      </c>
      <c r="BE730" s="14" t="s">
        <v>4857</v>
      </c>
    </row>
    <row r="731" spans="1:57" s="30" customFormat="1" ht="17.100000000000001" customHeight="1">
      <c r="A731" s="14">
        <v>720</v>
      </c>
      <c r="B731" s="14" t="s">
        <v>714</v>
      </c>
      <c r="C731" s="32">
        <v>-1.4941706012475811</v>
      </c>
      <c r="D731" s="32">
        <v>-1.2069087563456744</v>
      </c>
      <c r="E731" s="32">
        <v>-1.8007932414178933</v>
      </c>
      <c r="F731" s="24">
        <v>28823.5</v>
      </c>
      <c r="G731" s="52" t="s">
        <v>2</v>
      </c>
      <c r="H731" s="32">
        <v>26.177098393559366</v>
      </c>
      <c r="I731" s="32">
        <v>34.126614336472286</v>
      </c>
      <c r="J731" s="12" t="s">
        <v>715</v>
      </c>
      <c r="K731" s="12" t="s">
        <v>716</v>
      </c>
      <c r="L731" s="14" t="s">
        <v>4965</v>
      </c>
      <c r="M731" s="12" t="s">
        <v>717</v>
      </c>
      <c r="N731" s="15" t="s">
        <v>718</v>
      </c>
      <c r="O731" s="12" t="s">
        <v>719</v>
      </c>
      <c r="P731" s="12" t="s">
        <v>720</v>
      </c>
      <c r="Q731" s="14">
        <v>2</v>
      </c>
      <c r="R731" s="21">
        <v>555.79870000000005</v>
      </c>
      <c r="S731" s="14">
        <v>2</v>
      </c>
      <c r="T731" s="52" t="s">
        <v>2</v>
      </c>
      <c r="U731" s="53">
        <v>22.939937499999999</v>
      </c>
      <c r="V731" s="24">
        <v>18980</v>
      </c>
      <c r="W731" s="24">
        <v>27936</v>
      </c>
      <c r="X731" s="24">
        <v>27408</v>
      </c>
      <c r="Y731" s="24">
        <v>30239</v>
      </c>
      <c r="Z731" s="24">
        <v>25288</v>
      </c>
      <c r="AA731" s="24">
        <v>15456</v>
      </c>
      <c r="AB731" s="24">
        <v>15631</v>
      </c>
      <c r="AC731" s="24">
        <v>23883</v>
      </c>
      <c r="AD731" s="24">
        <v>26140.75</v>
      </c>
      <c r="AE731" s="24">
        <v>20064.5</v>
      </c>
      <c r="AF731" s="24">
        <v>23458</v>
      </c>
      <c r="AG731" s="24">
        <v>28823.5</v>
      </c>
      <c r="AH731" s="24">
        <v>20372</v>
      </c>
      <c r="AI731" s="24">
        <v>19757</v>
      </c>
      <c r="AJ731" s="32">
        <v>18.857650892309103</v>
      </c>
      <c r="AK731" s="32">
        <v>26.177098393559366</v>
      </c>
      <c r="AL731" s="32">
        <v>26.996539910933237</v>
      </c>
      <c r="AM731" s="32">
        <v>6.9450944456402448</v>
      </c>
      <c r="AN731" s="32">
        <v>34.126614336472286</v>
      </c>
      <c r="AO731" s="32">
        <v>29.534064677589665</v>
      </c>
      <c r="AP731" s="19">
        <v>0.76755640140393833</v>
      </c>
      <c r="AQ731" s="19">
        <v>0.86844573279904513</v>
      </c>
      <c r="AR731" s="19">
        <v>0.68544763821187571</v>
      </c>
      <c r="AS731" s="19">
        <v>-0.38165532872235514</v>
      </c>
      <c r="AT731" s="19">
        <v>-0.20349239387082335</v>
      </c>
      <c r="AU731" s="19">
        <v>-0.54488163308029391</v>
      </c>
      <c r="AV731" s="19">
        <v>-0.57934488140845564</v>
      </c>
      <c r="AW731" s="19">
        <v>-0.27131661085397307</v>
      </c>
      <c r="AX731" s="19">
        <v>-0.84863254731608684</v>
      </c>
      <c r="AY731" s="19">
        <v>-1.3028358543696579</v>
      </c>
      <c r="AZ731" s="19">
        <v>-1.1514824268603965</v>
      </c>
      <c r="BA731" s="19">
        <v>-1.4589006428101432</v>
      </c>
      <c r="BB731" s="19">
        <v>-1.4941706012475811</v>
      </c>
      <c r="BC731" s="19">
        <v>-1.2069087563456744</v>
      </c>
      <c r="BD731" s="19">
        <v>-1.8007932414178933</v>
      </c>
      <c r="BE731" s="14" t="s">
        <v>4857</v>
      </c>
    </row>
    <row r="732" spans="1:57" s="30" customFormat="1" ht="17.100000000000001" customHeight="1">
      <c r="A732" s="14">
        <v>721</v>
      </c>
      <c r="B732" s="14" t="s">
        <v>721</v>
      </c>
      <c r="C732" s="32">
        <v>1.33913574313383</v>
      </c>
      <c r="D732" s="32">
        <v>1.0540899726223401</v>
      </c>
      <c r="E732" s="32">
        <v>1.5380861675704689</v>
      </c>
      <c r="F732" s="24">
        <v>169282</v>
      </c>
      <c r="G732" s="52" t="s">
        <v>2</v>
      </c>
      <c r="H732" s="32">
        <v>39.640038365255485</v>
      </c>
      <c r="I732" s="32">
        <v>29.022746576366242</v>
      </c>
      <c r="J732" s="12" t="s">
        <v>722</v>
      </c>
      <c r="K732" s="12" t="s">
        <v>722</v>
      </c>
      <c r="L732" s="14" t="s">
        <v>3917</v>
      </c>
      <c r="M732" s="12" t="s">
        <v>588</v>
      </c>
      <c r="N732" s="15" t="s">
        <v>589</v>
      </c>
      <c r="O732" s="12" t="s">
        <v>590</v>
      </c>
      <c r="P732" s="12" t="s">
        <v>591</v>
      </c>
      <c r="Q732" s="14">
        <v>3</v>
      </c>
      <c r="R732" s="21">
        <v>542.65769999999998</v>
      </c>
      <c r="S732" s="14">
        <v>1</v>
      </c>
      <c r="T732" s="52" t="s">
        <v>2</v>
      </c>
      <c r="U732" s="53">
        <v>39.5808125</v>
      </c>
      <c r="V732" s="24">
        <v>76335</v>
      </c>
      <c r="W732" s="24">
        <v>73758</v>
      </c>
      <c r="X732" s="24">
        <v>107463</v>
      </c>
      <c r="Y732" s="24">
        <v>70866</v>
      </c>
      <c r="Z732" s="24">
        <v>85229</v>
      </c>
      <c r="AA732" s="24">
        <v>80598</v>
      </c>
      <c r="AB732" s="24">
        <v>165724</v>
      </c>
      <c r="AC732" s="24">
        <v>172840</v>
      </c>
      <c r="AD732" s="24">
        <v>82105.5</v>
      </c>
      <c r="AE732" s="24">
        <v>126097.75</v>
      </c>
      <c r="AF732" s="24">
        <v>75046.5</v>
      </c>
      <c r="AG732" s="24">
        <v>89164.5</v>
      </c>
      <c r="AH732" s="24">
        <v>82913.5</v>
      </c>
      <c r="AI732" s="24">
        <v>169282</v>
      </c>
      <c r="AJ732" s="32">
        <v>20.768359738595965</v>
      </c>
      <c r="AK732" s="32">
        <v>39.640038365255485</v>
      </c>
      <c r="AL732" s="32">
        <v>2.4281134698056981</v>
      </c>
      <c r="AM732" s="32">
        <v>29.022746576366242</v>
      </c>
      <c r="AN732" s="32">
        <v>3.9494310379792208</v>
      </c>
      <c r="AO732" s="32">
        <v>2.9724198998850868</v>
      </c>
      <c r="AP732" s="19">
        <v>1.5358014992905469</v>
      </c>
      <c r="AQ732" s="19">
        <v>1.1048283397626806</v>
      </c>
      <c r="AR732" s="19">
        <v>1.8985358522730458</v>
      </c>
      <c r="AS732" s="19">
        <v>0.61899176130956424</v>
      </c>
      <c r="AT732" s="19">
        <v>0.14382223150684512</v>
      </c>
      <c r="AU732" s="19">
        <v>0.92488724331209482</v>
      </c>
      <c r="AV732" s="19">
        <v>0.42130220862346368</v>
      </c>
      <c r="AW732" s="19">
        <v>7.5998014523695409E-2</v>
      </c>
      <c r="AX732" s="19">
        <v>0.6211363290763019</v>
      </c>
      <c r="AY732" s="19">
        <v>1.5358014992905469</v>
      </c>
      <c r="AZ732" s="19">
        <v>1.1048283397626806</v>
      </c>
      <c r="BA732" s="19">
        <v>1.8985358522730458</v>
      </c>
      <c r="BB732" s="19">
        <v>1.33913574313383</v>
      </c>
      <c r="BC732" s="19">
        <v>1.0540899726223401</v>
      </c>
      <c r="BD732" s="19">
        <v>1.5380861675704689</v>
      </c>
      <c r="BE732" s="14" t="s">
        <v>4857</v>
      </c>
    </row>
    <row r="733" spans="1:57" s="30" customFormat="1" ht="17.100000000000001" customHeight="1">
      <c r="A733" s="14">
        <v>722</v>
      </c>
      <c r="B733" s="14" t="s">
        <v>592</v>
      </c>
      <c r="C733" s="32">
        <v>1.2182041147465299</v>
      </c>
      <c r="D733" s="32">
        <v>1.1845184769098229</v>
      </c>
      <c r="E733" s="32">
        <v>1.2641691618558073</v>
      </c>
      <c r="F733" s="24">
        <v>6585000</v>
      </c>
      <c r="G733" s="52" t="s">
        <v>2</v>
      </c>
      <c r="H733" s="32">
        <v>12.481669496509159</v>
      </c>
      <c r="I733" s="32">
        <v>9.7717110232309512</v>
      </c>
      <c r="J733" s="12" t="s">
        <v>593</v>
      </c>
      <c r="K733" s="12" t="s">
        <v>594</v>
      </c>
      <c r="L733" s="14" t="s">
        <v>5181</v>
      </c>
      <c r="M733" s="12" t="s">
        <v>595</v>
      </c>
      <c r="N733" s="15" t="s">
        <v>596</v>
      </c>
      <c r="O733" s="12" t="s">
        <v>597</v>
      </c>
      <c r="P733" s="12" t="s">
        <v>598</v>
      </c>
      <c r="Q733" s="14">
        <v>2</v>
      </c>
      <c r="R733" s="21">
        <v>591.3193</v>
      </c>
      <c r="S733" s="14">
        <v>2</v>
      </c>
      <c r="T733" s="52" t="s">
        <v>2</v>
      </c>
      <c r="U733" s="53">
        <v>66.20714285714287</v>
      </c>
      <c r="V733" s="24">
        <v>4410000</v>
      </c>
      <c r="W733" s="24">
        <v>4450000</v>
      </c>
      <c r="X733" s="24">
        <v>4040000</v>
      </c>
      <c r="Y733" s="24">
        <v>4400000</v>
      </c>
      <c r="Z733" s="24">
        <v>5260000</v>
      </c>
      <c r="AA733" s="24">
        <v>5740000</v>
      </c>
      <c r="AB733" s="24">
        <v>6130000</v>
      </c>
      <c r="AC733" s="24">
        <v>7040000</v>
      </c>
      <c r="AD733" s="24">
        <v>4325000</v>
      </c>
      <c r="AE733" s="24">
        <v>6042500</v>
      </c>
      <c r="AF733" s="24">
        <v>4430000</v>
      </c>
      <c r="AG733" s="24">
        <v>4220000</v>
      </c>
      <c r="AH733" s="24">
        <v>5500000</v>
      </c>
      <c r="AI733" s="24">
        <v>6585000</v>
      </c>
      <c r="AJ733" s="32">
        <v>4.4213670934145561</v>
      </c>
      <c r="AK733" s="32">
        <v>12.481669496509159</v>
      </c>
      <c r="AL733" s="32">
        <v>0.63847113425421897</v>
      </c>
      <c r="AM733" s="32">
        <v>6.0321905504065665</v>
      </c>
      <c r="AN733" s="32">
        <v>6.1711137267189597</v>
      </c>
      <c r="AO733" s="32">
        <v>9.7717110232309512</v>
      </c>
      <c r="AP733" s="19">
        <v>1.3971098265895954</v>
      </c>
      <c r="AQ733" s="19">
        <v>1.2415349887133182</v>
      </c>
      <c r="AR733" s="19">
        <v>1.5604265402843602</v>
      </c>
      <c r="AS733" s="19">
        <v>0.48244543524149563</v>
      </c>
      <c r="AT733" s="19">
        <v>0.31212491985700364</v>
      </c>
      <c r="AU733" s="19">
        <v>0.64194044154932928</v>
      </c>
      <c r="AV733" s="19">
        <v>0.28475588255539508</v>
      </c>
      <c r="AW733" s="19">
        <v>0.24430070287385391</v>
      </c>
      <c r="AX733" s="19">
        <v>0.33818952731353635</v>
      </c>
      <c r="AY733" s="19">
        <v>1.3971098265895954</v>
      </c>
      <c r="AZ733" s="19">
        <v>1.2415349887133182</v>
      </c>
      <c r="BA733" s="19">
        <v>1.5604265402843602</v>
      </c>
      <c r="BB733" s="19">
        <v>1.2182041147465299</v>
      </c>
      <c r="BC733" s="19">
        <v>1.1845184769098229</v>
      </c>
      <c r="BD733" s="19">
        <v>1.2641691618558073</v>
      </c>
      <c r="BE733" s="14" t="s">
        <v>4857</v>
      </c>
    </row>
    <row r="734" spans="1:57" s="30" customFormat="1" ht="17.100000000000001" customHeight="1">
      <c r="A734" s="14">
        <v>723</v>
      </c>
      <c r="B734" s="14" t="s">
        <v>599</v>
      </c>
      <c r="C734" s="32">
        <v>1.0078818396110225</v>
      </c>
      <c r="D734" s="32">
        <v>1.4124271984391517</v>
      </c>
      <c r="E734" s="32">
        <v>-1.2939725335969738</v>
      </c>
      <c r="F734" s="24">
        <v>194335.5</v>
      </c>
      <c r="G734" s="52" t="s">
        <v>2</v>
      </c>
      <c r="H734" s="32">
        <v>31.14079030562899</v>
      </c>
      <c r="I734" s="32">
        <v>40.687605462228021</v>
      </c>
      <c r="J734" s="12" t="s">
        <v>600</v>
      </c>
      <c r="K734" s="12" t="s">
        <v>601</v>
      </c>
      <c r="L734" s="14" t="s">
        <v>5079</v>
      </c>
      <c r="M734" s="12" t="s">
        <v>602</v>
      </c>
      <c r="N734" s="15" t="s">
        <v>603</v>
      </c>
      <c r="O734" s="12" t="s">
        <v>604</v>
      </c>
      <c r="P734" s="12" t="s">
        <v>605</v>
      </c>
      <c r="Q734" s="14">
        <v>3</v>
      </c>
      <c r="R734" s="21">
        <v>756.40210000000002</v>
      </c>
      <c r="S734" s="14">
        <v>2</v>
      </c>
      <c r="T734" s="52" t="s">
        <v>2</v>
      </c>
      <c r="U734" s="53">
        <v>86.601249999999993</v>
      </c>
      <c r="V734" s="24">
        <v>115462</v>
      </c>
      <c r="W734" s="24">
        <v>126446</v>
      </c>
      <c r="X734" s="24">
        <v>164462</v>
      </c>
      <c r="Y734" s="24">
        <v>224209</v>
      </c>
      <c r="Z734" s="24">
        <v>230579</v>
      </c>
      <c r="AA734" s="24">
        <v>127545</v>
      </c>
      <c r="AB734" s="24">
        <v>210765</v>
      </c>
      <c r="AC734" s="24">
        <v>159997</v>
      </c>
      <c r="AD734" s="24">
        <v>157644.75</v>
      </c>
      <c r="AE734" s="24">
        <v>182221.5</v>
      </c>
      <c r="AF734" s="24">
        <v>120954</v>
      </c>
      <c r="AG734" s="24">
        <v>194335.5</v>
      </c>
      <c r="AH734" s="24">
        <v>179062</v>
      </c>
      <c r="AI734" s="24">
        <v>185381</v>
      </c>
      <c r="AJ734" s="32">
        <v>31.14079030562899</v>
      </c>
      <c r="AK734" s="32">
        <v>25.811513349507901</v>
      </c>
      <c r="AL734" s="32">
        <v>6.4213344614920036</v>
      </c>
      <c r="AM734" s="32">
        <v>21.739470583373937</v>
      </c>
      <c r="AN734" s="32">
        <v>40.687605462228021</v>
      </c>
      <c r="AO734" s="32">
        <v>19.364658226721534</v>
      </c>
      <c r="AP734" s="19">
        <v>1.1558995780068795</v>
      </c>
      <c r="AQ734" s="19">
        <v>1.4804140417018039</v>
      </c>
      <c r="AR734" s="19">
        <v>0.95392246913199086</v>
      </c>
      <c r="AS734" s="19">
        <v>0.20901606513561413</v>
      </c>
      <c r="AT734" s="19">
        <v>0.56600072475339536</v>
      </c>
      <c r="AU734" s="19">
        <v>-6.8056080170370042E-2</v>
      </c>
      <c r="AV734" s="19">
        <v>1.1326512449513576E-2</v>
      </c>
      <c r="AW734" s="19">
        <v>0.49817650777024564</v>
      </c>
      <c r="AX734" s="19">
        <v>-0.37180699440616294</v>
      </c>
      <c r="AY734" s="19">
        <v>1.1558995780068795</v>
      </c>
      <c r="AZ734" s="19">
        <v>1.4804140417018039</v>
      </c>
      <c r="BA734" s="19">
        <v>-1.0483032241707617</v>
      </c>
      <c r="BB734" s="19">
        <v>1.0078818396110225</v>
      </c>
      <c r="BC734" s="19">
        <v>1.4124271984391517</v>
      </c>
      <c r="BD734" s="19">
        <v>-1.2939725335969738</v>
      </c>
      <c r="BE734" s="14" t="s">
        <v>4857</v>
      </c>
    </row>
    <row r="735" spans="1:57" s="30" customFormat="1" ht="17.100000000000001" customHeight="1">
      <c r="A735" s="14">
        <v>724</v>
      </c>
      <c r="B735" s="14" t="s">
        <v>606</v>
      </c>
      <c r="C735" s="32">
        <v>1.0449519882402585</v>
      </c>
      <c r="D735" s="32">
        <v>-1.1954116839452846</v>
      </c>
      <c r="E735" s="32">
        <v>1.2544226065460824</v>
      </c>
      <c r="F735" s="24">
        <v>215978</v>
      </c>
      <c r="G735" s="52" t="s">
        <v>2</v>
      </c>
      <c r="H735" s="32">
        <v>29.746112871406773</v>
      </c>
      <c r="I735" s="32">
        <v>18.805245751513418</v>
      </c>
      <c r="J735" s="12" t="s">
        <v>607</v>
      </c>
      <c r="K735" s="12" t="s">
        <v>608</v>
      </c>
      <c r="L735" s="14" t="s">
        <v>5137</v>
      </c>
      <c r="M735" s="12" t="s">
        <v>609</v>
      </c>
      <c r="N735" s="15" t="s">
        <v>610</v>
      </c>
      <c r="O735" s="12" t="s">
        <v>611</v>
      </c>
      <c r="P735" s="12" t="s">
        <v>612</v>
      </c>
      <c r="Q735" s="14">
        <v>2</v>
      </c>
      <c r="R735" s="21">
        <v>558.31899999999996</v>
      </c>
      <c r="S735" s="14">
        <v>1</v>
      </c>
      <c r="T735" s="52" t="s">
        <v>2</v>
      </c>
      <c r="U735" s="53">
        <v>37.1355</v>
      </c>
      <c r="V735" s="24">
        <v>156763</v>
      </c>
      <c r="W735" s="24">
        <v>146812</v>
      </c>
      <c r="X735" s="24">
        <v>122081</v>
      </c>
      <c r="Y735" s="24">
        <v>156889</v>
      </c>
      <c r="Z735" s="24">
        <v>150784</v>
      </c>
      <c r="AA735" s="24">
        <v>115390</v>
      </c>
      <c r="AB735" s="24">
        <v>233135</v>
      </c>
      <c r="AC735" s="24">
        <v>198821</v>
      </c>
      <c r="AD735" s="24">
        <v>145636.25</v>
      </c>
      <c r="AE735" s="24">
        <v>174532.5</v>
      </c>
      <c r="AF735" s="24">
        <v>151787.5</v>
      </c>
      <c r="AG735" s="24">
        <v>139485</v>
      </c>
      <c r="AH735" s="24">
        <v>133087</v>
      </c>
      <c r="AI735" s="24">
        <v>215978</v>
      </c>
      <c r="AJ735" s="32">
        <v>11.259405298790163</v>
      </c>
      <c r="AK735" s="32">
        <v>29.746112871406773</v>
      </c>
      <c r="AL735" s="32">
        <v>4.6357042441487835</v>
      </c>
      <c r="AM735" s="32">
        <v>17.645605505639566</v>
      </c>
      <c r="AN735" s="32">
        <v>18.805245751513418</v>
      </c>
      <c r="AO735" s="32">
        <v>11.234321129760991</v>
      </c>
      <c r="AP735" s="19">
        <v>1.1984138564402751</v>
      </c>
      <c r="AQ735" s="19">
        <v>0.87679815531581984</v>
      </c>
      <c r="AR735" s="19">
        <v>1.5483958848621715</v>
      </c>
      <c r="AS735" s="19">
        <v>0.26112620990237567</v>
      </c>
      <c r="AT735" s="19">
        <v>-0.18968333185297181</v>
      </c>
      <c r="AU735" s="19">
        <v>0.63077437852894613</v>
      </c>
      <c r="AV735" s="19">
        <v>6.3436657216275116E-2</v>
      </c>
      <c r="AW735" s="19">
        <v>-0.25750754883612154</v>
      </c>
      <c r="AX735" s="19">
        <v>0.32702346429315321</v>
      </c>
      <c r="AY735" s="19">
        <v>1.1984138564402751</v>
      </c>
      <c r="AZ735" s="19">
        <v>-1.1405133484111896</v>
      </c>
      <c r="BA735" s="19">
        <v>1.5483958848621715</v>
      </c>
      <c r="BB735" s="19">
        <v>1.0449519882402585</v>
      </c>
      <c r="BC735" s="19">
        <v>-1.1954116839452846</v>
      </c>
      <c r="BD735" s="19">
        <v>1.2544226065460824</v>
      </c>
      <c r="BE735" s="14" t="s">
        <v>4857</v>
      </c>
    </row>
    <row r="736" spans="1:57" s="30" customFormat="1" ht="17.100000000000001" customHeight="1">
      <c r="A736" s="14">
        <v>725</v>
      </c>
      <c r="B736" s="14" t="s">
        <v>613</v>
      </c>
      <c r="C736" s="32">
        <v>-1.0692706655824824</v>
      </c>
      <c r="D736" s="32">
        <v>1.3041662559205984</v>
      </c>
      <c r="E736" s="32">
        <v>-1.3880408088699565</v>
      </c>
      <c r="F736" s="24">
        <v>161882.5</v>
      </c>
      <c r="G736" s="52" t="s">
        <v>2</v>
      </c>
      <c r="H736" s="32">
        <v>27.575027473099095</v>
      </c>
      <c r="I736" s="32">
        <v>10.640149970173935</v>
      </c>
      <c r="J736" s="12" t="s">
        <v>607</v>
      </c>
      <c r="K736" s="12" t="s">
        <v>608</v>
      </c>
      <c r="L736" s="14" t="s">
        <v>5045</v>
      </c>
      <c r="M736" s="12" t="s">
        <v>609</v>
      </c>
      <c r="N736" s="15" t="s">
        <v>610</v>
      </c>
      <c r="O736" s="12" t="s">
        <v>611</v>
      </c>
      <c r="P736" s="12" t="s">
        <v>614</v>
      </c>
      <c r="Q736" s="14">
        <v>2</v>
      </c>
      <c r="R736" s="21">
        <v>558.82420000000002</v>
      </c>
      <c r="S736" s="14">
        <v>2</v>
      </c>
      <c r="T736" s="52" t="s">
        <v>2</v>
      </c>
      <c r="U736" s="53">
        <v>56.323899999999995</v>
      </c>
      <c r="V736" s="24">
        <v>108025</v>
      </c>
      <c r="W736" s="24">
        <v>93560</v>
      </c>
      <c r="X736" s="24">
        <v>168892</v>
      </c>
      <c r="Y736" s="24">
        <v>154873</v>
      </c>
      <c r="Z736" s="24">
        <v>133776</v>
      </c>
      <c r="AA736" s="24">
        <v>141779</v>
      </c>
      <c r="AB736" s="24">
        <v>133127</v>
      </c>
      <c r="AC736" s="24">
        <v>154789</v>
      </c>
      <c r="AD736" s="24">
        <v>131337.5</v>
      </c>
      <c r="AE736" s="24">
        <v>140867.75</v>
      </c>
      <c r="AF736" s="24">
        <v>100792.5</v>
      </c>
      <c r="AG736" s="24">
        <v>161882.5</v>
      </c>
      <c r="AH736" s="24">
        <v>137777.5</v>
      </c>
      <c r="AI736" s="24">
        <v>143958</v>
      </c>
      <c r="AJ736" s="32">
        <v>27.575027473099095</v>
      </c>
      <c r="AK736" s="32">
        <v>7.1559354047010011</v>
      </c>
      <c r="AL736" s="32">
        <v>10.147877659412567</v>
      </c>
      <c r="AM736" s="32">
        <v>6.1235340234146429</v>
      </c>
      <c r="AN736" s="32">
        <v>4.107329259012495</v>
      </c>
      <c r="AO736" s="32">
        <v>10.640149970173935</v>
      </c>
      <c r="AP736" s="19">
        <v>1.0725630532026269</v>
      </c>
      <c r="AQ736" s="19">
        <v>1.3669419847706923</v>
      </c>
      <c r="AR736" s="19">
        <v>0.88927462820255432</v>
      </c>
      <c r="AS736" s="19">
        <v>0.10106246252094767</v>
      </c>
      <c r="AT736" s="19">
        <v>0.45095201393172829</v>
      </c>
      <c r="AU736" s="19">
        <v>-0.16929907002680245</v>
      </c>
      <c r="AV736" s="19">
        <v>-9.662709016515289E-2</v>
      </c>
      <c r="AW736" s="19">
        <v>0.38312779694857857</v>
      </c>
      <c r="AX736" s="19">
        <v>-0.47304998426259537</v>
      </c>
      <c r="AY736" s="19">
        <v>1.0725630532026269</v>
      </c>
      <c r="AZ736" s="19">
        <v>1.3669419847706923</v>
      </c>
      <c r="BA736" s="19">
        <v>-1.1245120104474917</v>
      </c>
      <c r="BB736" s="19">
        <v>-1.0692706655824824</v>
      </c>
      <c r="BC736" s="19">
        <v>1.3041662559205984</v>
      </c>
      <c r="BD736" s="19">
        <v>-1.3880408088699565</v>
      </c>
      <c r="BE736" s="14" t="s">
        <v>4857</v>
      </c>
    </row>
    <row r="737" spans="1:105" s="30" customFormat="1" ht="17.100000000000001" customHeight="1">
      <c r="A737" s="14">
        <v>726</v>
      </c>
      <c r="B737" s="14" t="s">
        <v>615</v>
      </c>
      <c r="C737" s="32">
        <v>1.0811445301598945</v>
      </c>
      <c r="D737" s="32">
        <v>-1.0647018297337856</v>
      </c>
      <c r="E737" s="32">
        <v>1.1915478131167596</v>
      </c>
      <c r="F737" s="24">
        <v>445285</v>
      </c>
      <c r="G737" s="52" t="s">
        <v>2</v>
      </c>
      <c r="H737" s="32">
        <v>29.818882338228221</v>
      </c>
      <c r="I737" s="32">
        <v>10.723040862908654</v>
      </c>
      <c r="J737" s="12" t="s">
        <v>616</v>
      </c>
      <c r="K737" s="12" t="s">
        <v>617</v>
      </c>
      <c r="L737" s="14" t="s">
        <v>5225</v>
      </c>
      <c r="M737" s="12" t="s">
        <v>618</v>
      </c>
      <c r="N737" s="15" t="s">
        <v>619</v>
      </c>
      <c r="O737" s="12" t="s">
        <v>620</v>
      </c>
      <c r="P737" s="12" t="s">
        <v>621</v>
      </c>
      <c r="Q737" s="14">
        <v>2</v>
      </c>
      <c r="R737" s="21">
        <v>613.84259999999995</v>
      </c>
      <c r="S737" s="14">
        <v>6</v>
      </c>
      <c r="T737" s="52" t="s">
        <v>2</v>
      </c>
      <c r="U737" s="53">
        <v>52.760349999999995</v>
      </c>
      <c r="V737" s="24">
        <v>293756</v>
      </c>
      <c r="W737" s="24">
        <v>253406</v>
      </c>
      <c r="X737" s="24">
        <v>318345</v>
      </c>
      <c r="Y737" s="24">
        <v>287161</v>
      </c>
      <c r="Z737" s="24">
        <v>249164</v>
      </c>
      <c r="AA737" s="24">
        <v>289484</v>
      </c>
      <c r="AB737" s="24">
        <v>479048</v>
      </c>
      <c r="AC737" s="24">
        <v>411522</v>
      </c>
      <c r="AD737" s="24">
        <v>288167</v>
      </c>
      <c r="AE737" s="24">
        <v>357304.5</v>
      </c>
      <c r="AF737" s="24">
        <v>273581</v>
      </c>
      <c r="AG737" s="24">
        <v>302753</v>
      </c>
      <c r="AH737" s="24">
        <v>269324</v>
      </c>
      <c r="AI737" s="24">
        <v>445285</v>
      </c>
      <c r="AJ737" s="32">
        <v>9.2927527196249819</v>
      </c>
      <c r="AK737" s="32">
        <v>29.818882338228221</v>
      </c>
      <c r="AL737" s="32">
        <v>10.428998585748715</v>
      </c>
      <c r="AM737" s="32">
        <v>7.2833028457261531</v>
      </c>
      <c r="AN737" s="32">
        <v>10.58596538646448</v>
      </c>
      <c r="AO737" s="32">
        <v>10.723040862908654</v>
      </c>
      <c r="AP737" s="19">
        <v>1.2399216426585973</v>
      </c>
      <c r="AQ737" s="19">
        <v>0.98443970889791321</v>
      </c>
      <c r="AR737" s="19">
        <v>1.4707864166498763</v>
      </c>
      <c r="AS737" s="19">
        <v>0.31024895180588502</v>
      </c>
      <c r="AT737" s="19">
        <v>-2.2625242582262332E-2</v>
      </c>
      <c r="AU737" s="19">
        <v>0.55658775780128134</v>
      </c>
      <c r="AV737" s="19">
        <v>0.11255939911978446</v>
      </c>
      <c r="AW737" s="19">
        <v>-9.0449459565412033E-2</v>
      </c>
      <c r="AX737" s="19">
        <v>0.25283684356548841</v>
      </c>
      <c r="AY737" s="19">
        <v>1.2399216426585973</v>
      </c>
      <c r="AZ737" s="19">
        <v>-1.0158062408103252</v>
      </c>
      <c r="BA737" s="19">
        <v>1.4707864166498763</v>
      </c>
      <c r="BB737" s="19">
        <v>1.0811445301598945</v>
      </c>
      <c r="BC737" s="19">
        <v>-1.0647018297337856</v>
      </c>
      <c r="BD737" s="19">
        <v>1.1915478131167596</v>
      </c>
      <c r="BE737" s="14" t="s">
        <v>4857</v>
      </c>
    </row>
    <row r="738" spans="1:105" s="30" customFormat="1" ht="17.100000000000001" customHeight="1">
      <c r="A738" s="14">
        <v>727</v>
      </c>
      <c r="B738" s="14" t="s">
        <v>622</v>
      </c>
      <c r="C738" s="32">
        <v>-1.1966671973930716</v>
      </c>
      <c r="D738" s="32">
        <v>-1.4997216691135375</v>
      </c>
      <c r="E738" s="32">
        <v>-1.0230357083050576</v>
      </c>
      <c r="F738" s="24">
        <v>141129</v>
      </c>
      <c r="G738" s="52" t="s">
        <v>2</v>
      </c>
      <c r="H738" s="32">
        <v>33.148908676824895</v>
      </c>
      <c r="I738" s="32">
        <v>18.942870079107166</v>
      </c>
      <c r="J738" s="12" t="s">
        <v>623</v>
      </c>
      <c r="K738" s="12" t="s">
        <v>624</v>
      </c>
      <c r="L738" s="14" t="s">
        <v>5007</v>
      </c>
      <c r="M738" s="12" t="s">
        <v>625</v>
      </c>
      <c r="N738" s="15" t="s">
        <v>626</v>
      </c>
      <c r="O738" s="12" t="s">
        <v>627</v>
      </c>
      <c r="P738" s="12" t="s">
        <v>628</v>
      </c>
      <c r="Q738" s="14">
        <v>2</v>
      </c>
      <c r="R738" s="21">
        <v>832.41790000000003</v>
      </c>
      <c r="S738" s="14">
        <v>8</v>
      </c>
      <c r="T738" s="52" t="s">
        <v>2</v>
      </c>
      <c r="U738" s="53">
        <v>59.753774999999997</v>
      </c>
      <c r="V738" s="24">
        <v>114552</v>
      </c>
      <c r="W738" s="24">
        <v>109184</v>
      </c>
      <c r="X738" s="24">
        <v>101301</v>
      </c>
      <c r="Y738" s="24">
        <v>132636</v>
      </c>
      <c r="Z738" s="24">
        <v>79037</v>
      </c>
      <c r="AA738" s="24">
        <v>77329</v>
      </c>
      <c r="AB738" s="24">
        <v>141489</v>
      </c>
      <c r="AC738" s="24">
        <v>140769</v>
      </c>
      <c r="AD738" s="24">
        <v>114418.25</v>
      </c>
      <c r="AE738" s="24">
        <v>109656</v>
      </c>
      <c r="AF738" s="24">
        <v>111868</v>
      </c>
      <c r="AG738" s="24">
        <v>116968.5</v>
      </c>
      <c r="AH738" s="24">
        <v>78183</v>
      </c>
      <c r="AI738" s="24">
        <v>141129</v>
      </c>
      <c r="AJ738" s="32">
        <v>11.631617297055341</v>
      </c>
      <c r="AK738" s="32">
        <v>33.148908676824895</v>
      </c>
      <c r="AL738" s="32">
        <v>3.3930607514297093</v>
      </c>
      <c r="AM738" s="32">
        <v>18.942870079107166</v>
      </c>
      <c r="AN738" s="32">
        <v>1.544758300738809</v>
      </c>
      <c r="AO738" s="32">
        <v>0.36074575916665902</v>
      </c>
      <c r="AP738" s="19">
        <v>0.95837858034011181</v>
      </c>
      <c r="AQ738" s="19">
        <v>0.69888618729216578</v>
      </c>
      <c r="AR738" s="19">
        <v>1.2065556111260725</v>
      </c>
      <c r="AS738" s="19">
        <v>-6.1332430481891069E-2</v>
      </c>
      <c r="AT738" s="19">
        <v>-0.51687056117233499</v>
      </c>
      <c r="AU738" s="19">
        <v>0.27089441206990478</v>
      </c>
      <c r="AV738" s="19">
        <v>-0.25902198316799163</v>
      </c>
      <c r="AW738" s="19">
        <v>-0.58469477815548465</v>
      </c>
      <c r="AX738" s="19">
        <v>-3.2856502165888146E-2</v>
      </c>
      <c r="AY738" s="19">
        <v>-1.0434289961333625</v>
      </c>
      <c r="AZ738" s="19">
        <v>-1.4308481383420948</v>
      </c>
      <c r="BA738" s="19">
        <v>1.2065556111260725</v>
      </c>
      <c r="BB738" s="19">
        <v>-1.1966671973930716</v>
      </c>
      <c r="BC738" s="19">
        <v>-1.4997216691135375</v>
      </c>
      <c r="BD738" s="19">
        <v>-1.0230357083050576</v>
      </c>
      <c r="BE738" s="14" t="s">
        <v>4857</v>
      </c>
    </row>
    <row r="739" spans="1:105" s="30" customFormat="1" ht="17.100000000000001" customHeight="1">
      <c r="A739" s="14">
        <v>728</v>
      </c>
      <c r="B739" s="14" t="s">
        <v>629</v>
      </c>
      <c r="C739" s="32">
        <v>-1.0006142372185052</v>
      </c>
      <c r="D739" s="32">
        <v>1.1103358643360381</v>
      </c>
      <c r="E739" s="32">
        <v>-1.0894939868207605</v>
      </c>
      <c r="F739" s="24">
        <v>95348.5</v>
      </c>
      <c r="G739" s="52" t="s">
        <v>2</v>
      </c>
      <c r="H739" s="32">
        <v>39.785101131489526</v>
      </c>
      <c r="I739" s="32">
        <v>49.378946316770147</v>
      </c>
      <c r="J739" s="12" t="s">
        <v>630</v>
      </c>
      <c r="K739" s="12" t="s">
        <v>631</v>
      </c>
      <c r="L739" s="14" t="s">
        <v>5205</v>
      </c>
      <c r="M739" s="12" t="s">
        <v>632</v>
      </c>
      <c r="N739" s="15" t="s">
        <v>633</v>
      </c>
      <c r="O739" s="12" t="s">
        <v>634</v>
      </c>
      <c r="P739" s="12" t="s">
        <v>635</v>
      </c>
      <c r="Q739" s="14">
        <v>3</v>
      </c>
      <c r="R739" s="21">
        <v>505.25970000000001</v>
      </c>
      <c r="S739" s="14">
        <v>2</v>
      </c>
      <c r="T739" s="52" t="s">
        <v>2</v>
      </c>
      <c r="U739" s="53">
        <v>35.691612499999998</v>
      </c>
      <c r="V739" s="24">
        <v>74632</v>
      </c>
      <c r="W739" s="24">
        <v>51420</v>
      </c>
      <c r="X739" s="24">
        <v>82967</v>
      </c>
      <c r="Y739" s="24">
        <v>85351</v>
      </c>
      <c r="Z739" s="24">
        <v>47738</v>
      </c>
      <c r="AA739" s="24">
        <v>98959</v>
      </c>
      <c r="AB739" s="24">
        <v>123479</v>
      </c>
      <c r="AC739" s="24">
        <v>67218</v>
      </c>
      <c r="AD739" s="24">
        <v>73592.5</v>
      </c>
      <c r="AE739" s="24">
        <v>84348.5</v>
      </c>
      <c r="AF739" s="24">
        <v>63026</v>
      </c>
      <c r="AG739" s="24">
        <v>84159</v>
      </c>
      <c r="AH739" s="24">
        <v>73348.5</v>
      </c>
      <c r="AI739" s="24">
        <v>95348.5</v>
      </c>
      <c r="AJ739" s="32">
        <v>21.034060011451448</v>
      </c>
      <c r="AK739" s="32">
        <v>39.785101131489526</v>
      </c>
      <c r="AL739" s="32">
        <v>26.042208937426047</v>
      </c>
      <c r="AM739" s="32">
        <v>2.0030449106438164</v>
      </c>
      <c r="AN739" s="32">
        <v>49.378946316770147</v>
      </c>
      <c r="AO739" s="32">
        <v>41.723293619025313</v>
      </c>
      <c r="AP739" s="19">
        <v>1.1461561979821313</v>
      </c>
      <c r="AQ739" s="19">
        <v>1.1637816139371053</v>
      </c>
      <c r="AR739" s="19">
        <v>1.1329566653596168</v>
      </c>
      <c r="AS739" s="19">
        <v>0.19680366774094185</v>
      </c>
      <c r="AT739" s="19">
        <v>0.21882035889108947</v>
      </c>
      <c r="AU739" s="19">
        <v>0.18009268034076964</v>
      </c>
      <c r="AV739" s="19">
        <v>-8.8588494515870475E-4</v>
      </c>
      <c r="AW739" s="19">
        <v>0.15099614190793975</v>
      </c>
      <c r="AX739" s="19">
        <v>-0.12365823389502328</v>
      </c>
      <c r="AY739" s="19">
        <v>1.1461561979821313</v>
      </c>
      <c r="AZ739" s="19">
        <v>1.1637816139371053</v>
      </c>
      <c r="BA739" s="19">
        <v>1.1329566653596168</v>
      </c>
      <c r="BB739" s="19">
        <v>-1.0006142372185052</v>
      </c>
      <c r="BC739" s="19">
        <v>1.1103358643360381</v>
      </c>
      <c r="BD739" s="19">
        <v>-1.0894939868207605</v>
      </c>
      <c r="BE739" s="14" t="s">
        <v>4857</v>
      </c>
    </row>
    <row r="740" spans="1:105" s="30" customFormat="1" ht="17.100000000000001" customHeight="1">
      <c r="A740" s="14">
        <v>729</v>
      </c>
      <c r="B740" s="14" t="s">
        <v>636</v>
      </c>
      <c r="C740" s="32">
        <v>-1.029459670384048</v>
      </c>
      <c r="D740" s="32">
        <v>-1.3369893245273459</v>
      </c>
      <c r="E740" s="32">
        <v>1.2390432939440796</v>
      </c>
      <c r="F740" s="24">
        <v>1335330</v>
      </c>
      <c r="G740" s="52" t="s">
        <v>2</v>
      </c>
      <c r="H740" s="32">
        <v>31.039296313278786</v>
      </c>
      <c r="I740" s="32">
        <v>25.173134853591318</v>
      </c>
      <c r="J740" s="12" t="s">
        <v>630</v>
      </c>
      <c r="K740" s="12" t="s">
        <v>631</v>
      </c>
      <c r="L740" s="14" t="s">
        <v>5028</v>
      </c>
      <c r="M740" s="12" t="s">
        <v>632</v>
      </c>
      <c r="N740" s="15" t="s">
        <v>633</v>
      </c>
      <c r="O740" s="12" t="s">
        <v>634</v>
      </c>
      <c r="P740" s="12" t="s">
        <v>637</v>
      </c>
      <c r="Q740" s="14">
        <v>2</v>
      </c>
      <c r="R740" s="21">
        <v>888.87310000000002</v>
      </c>
      <c r="S740" s="14">
        <v>13</v>
      </c>
      <c r="T740" s="52" t="s">
        <v>2</v>
      </c>
      <c r="U740" s="53">
        <v>55.431499999999993</v>
      </c>
      <c r="V740" s="24">
        <v>1271930</v>
      </c>
      <c r="W740" s="24">
        <v>925419</v>
      </c>
      <c r="X740" s="24">
        <v>1005790</v>
      </c>
      <c r="Y740" s="24">
        <v>740410</v>
      </c>
      <c r="Z740" s="24">
        <v>935366</v>
      </c>
      <c r="AA740" s="24">
        <v>787249</v>
      </c>
      <c r="AB740" s="24">
        <v>1573020</v>
      </c>
      <c r="AC740" s="24">
        <v>1097640</v>
      </c>
      <c r="AD740" s="24">
        <v>985887.25</v>
      </c>
      <c r="AE740" s="24">
        <v>1098318.75</v>
      </c>
      <c r="AF740" s="24">
        <v>1098674.5</v>
      </c>
      <c r="AG740" s="24">
        <v>873100</v>
      </c>
      <c r="AH740" s="24">
        <v>861307.5</v>
      </c>
      <c r="AI740" s="24">
        <v>1335330</v>
      </c>
      <c r="AJ740" s="32">
        <v>22.386432060181509</v>
      </c>
      <c r="AK740" s="32">
        <v>31.039296313278786</v>
      </c>
      <c r="AL740" s="32">
        <v>22.301443954122153</v>
      </c>
      <c r="AM740" s="32">
        <v>21.492612254184628</v>
      </c>
      <c r="AN740" s="32">
        <v>12.159946953789195</v>
      </c>
      <c r="AO740" s="32">
        <v>25.173134853591318</v>
      </c>
      <c r="AP740" s="19">
        <v>1.1140409311511028</v>
      </c>
      <c r="AQ740" s="19">
        <v>0.78395147971487456</v>
      </c>
      <c r="AR740" s="19">
        <v>1.5294124384377505</v>
      </c>
      <c r="AS740" s="19">
        <v>0.15580223993458434</v>
      </c>
      <c r="AT740" s="19">
        <v>-0.35116372899191167</v>
      </c>
      <c r="AU740" s="19">
        <v>0.6129775124222907</v>
      </c>
      <c r="AV740" s="19">
        <v>-4.188731275151622E-2</v>
      </c>
      <c r="AW740" s="19">
        <v>-0.41898794597506139</v>
      </c>
      <c r="AX740" s="19">
        <v>0.30922659818649778</v>
      </c>
      <c r="AY740" s="19">
        <v>1.1140409311511028</v>
      </c>
      <c r="AZ740" s="19">
        <v>-1.2755891478943351</v>
      </c>
      <c r="BA740" s="19">
        <v>1.5294124384377505</v>
      </c>
      <c r="BB740" s="19">
        <v>-1.029459670384048</v>
      </c>
      <c r="BC740" s="19">
        <v>-1.3369893245273459</v>
      </c>
      <c r="BD740" s="19">
        <v>1.2390432939440796</v>
      </c>
      <c r="BE740" s="14" t="s">
        <v>4857</v>
      </c>
    </row>
    <row r="741" spans="1:105" s="30" customFormat="1" ht="17.100000000000001" customHeight="1">
      <c r="A741" s="14">
        <v>730</v>
      </c>
      <c r="B741" s="14" t="s">
        <v>640</v>
      </c>
      <c r="C741" s="32">
        <v>1.3447622326008459</v>
      </c>
      <c r="D741" s="32">
        <v>1.810709396209462</v>
      </c>
      <c r="E741" s="32">
        <v>1.1083035625626843</v>
      </c>
      <c r="F741" s="24">
        <v>29200</v>
      </c>
      <c r="G741" s="52" t="s">
        <v>2</v>
      </c>
      <c r="H741" s="32">
        <v>41.988306308316616</v>
      </c>
      <c r="I741" s="32">
        <v>37.204757675130381</v>
      </c>
      <c r="J741" s="12" t="s">
        <v>641</v>
      </c>
      <c r="K741" s="15" t="s">
        <v>642</v>
      </c>
      <c r="L741" s="14" t="s">
        <v>5298</v>
      </c>
      <c r="M741" s="12" t="s">
        <v>643</v>
      </c>
      <c r="N741" s="15" t="s">
        <v>644</v>
      </c>
      <c r="O741" s="12" t="s">
        <v>645</v>
      </c>
      <c r="P741" s="12" t="s">
        <v>646</v>
      </c>
      <c r="Q741" s="14">
        <v>2</v>
      </c>
      <c r="R741" s="21">
        <v>597.78549999999996</v>
      </c>
      <c r="S741" s="14">
        <v>1</v>
      </c>
      <c r="T741" s="52" t="s">
        <v>2</v>
      </c>
      <c r="U741" s="53">
        <v>28.831037500000001</v>
      </c>
      <c r="V741" s="24">
        <v>7706</v>
      </c>
      <c r="W741" s="24">
        <v>13208</v>
      </c>
      <c r="X741" s="24">
        <v>21184</v>
      </c>
      <c r="Y741" s="24">
        <v>21505</v>
      </c>
      <c r="Z741" s="24">
        <v>18549</v>
      </c>
      <c r="AA741" s="24">
        <v>21143</v>
      </c>
      <c r="AB741" s="24">
        <v>24686</v>
      </c>
      <c r="AC741" s="24">
        <v>33714</v>
      </c>
      <c r="AD741" s="24">
        <v>15900.75</v>
      </c>
      <c r="AE741" s="24">
        <v>24523</v>
      </c>
      <c r="AF741" s="24">
        <v>10457</v>
      </c>
      <c r="AG741" s="24">
        <v>21344.5</v>
      </c>
      <c r="AH741" s="24">
        <v>19846</v>
      </c>
      <c r="AI741" s="24">
        <v>29200</v>
      </c>
      <c r="AJ741" s="32">
        <v>41.988306308316616</v>
      </c>
      <c r="AK741" s="32">
        <v>27.009529974472301</v>
      </c>
      <c r="AL741" s="32">
        <v>37.204757675130381</v>
      </c>
      <c r="AM741" s="32">
        <v>1.0634181019039179</v>
      </c>
      <c r="AN741" s="32">
        <v>9.2423409775163972</v>
      </c>
      <c r="AO741" s="32">
        <v>21.862191851205999</v>
      </c>
      <c r="AP741" s="19">
        <v>1.5422542961809977</v>
      </c>
      <c r="AQ741" s="19">
        <v>1.8978674572056995</v>
      </c>
      <c r="AR741" s="19">
        <v>1.3680339197451334</v>
      </c>
      <c r="AS741" s="19">
        <v>0.62504066511777234</v>
      </c>
      <c r="AT741" s="19">
        <v>0.92437924130052185</v>
      </c>
      <c r="AU741" s="19">
        <v>0.45210400159911551</v>
      </c>
      <c r="AV741" s="19">
        <v>0.42735111243167179</v>
      </c>
      <c r="AW741" s="19">
        <v>0.85655502431737218</v>
      </c>
      <c r="AX741" s="19">
        <v>0.14835308736332259</v>
      </c>
      <c r="AY741" s="19">
        <v>1.5422542961809977</v>
      </c>
      <c r="AZ741" s="19">
        <v>1.8978674572056995</v>
      </c>
      <c r="BA741" s="19">
        <v>1.3680339197451334</v>
      </c>
      <c r="BB741" s="19">
        <v>1.3447622326008459</v>
      </c>
      <c r="BC741" s="19">
        <v>1.810709396209462</v>
      </c>
      <c r="BD741" s="19">
        <v>1.1083035625626843</v>
      </c>
      <c r="BE741" s="14" t="s">
        <v>4857</v>
      </c>
    </row>
    <row r="742" spans="1:105" s="30" customFormat="1" ht="17.100000000000001" customHeight="1">
      <c r="A742" s="14">
        <v>731</v>
      </c>
      <c r="B742" s="14" t="s">
        <v>647</v>
      </c>
      <c r="C742" s="32">
        <v>1.0747972096636571</v>
      </c>
      <c r="D742" s="32">
        <v>-1.5347661162533937</v>
      </c>
      <c r="E742" s="32">
        <v>1.6699390646836489</v>
      </c>
      <c r="F742" s="42">
        <v>1832304</v>
      </c>
      <c r="G742" s="52" t="s">
        <v>4894</v>
      </c>
      <c r="H742" s="32">
        <v>38.836951179413965</v>
      </c>
      <c r="I742" s="32">
        <v>12.663475903600272</v>
      </c>
      <c r="J742" s="12" t="s">
        <v>648</v>
      </c>
      <c r="K742" s="12" t="s">
        <v>649</v>
      </c>
      <c r="L742" s="14" t="s">
        <v>5001</v>
      </c>
      <c r="M742" s="12" t="s">
        <v>650</v>
      </c>
      <c r="N742" s="15" t="s">
        <v>651</v>
      </c>
      <c r="O742" s="12" t="s">
        <v>652</v>
      </c>
      <c r="P742" s="12" t="s">
        <v>653</v>
      </c>
      <c r="Q742" s="14">
        <v>2</v>
      </c>
      <c r="R742" s="21">
        <v>1094.0884000000001</v>
      </c>
      <c r="S742" s="14">
        <v>2</v>
      </c>
      <c r="T742" s="52" t="s">
        <v>4894</v>
      </c>
      <c r="U742" s="53">
        <v>100.98276000000001</v>
      </c>
      <c r="V742" s="42">
        <v>1362791</v>
      </c>
      <c r="W742" s="42">
        <v>1317124</v>
      </c>
      <c r="X742" s="42">
        <v>968509</v>
      </c>
      <c r="Y742" s="42">
        <v>809315</v>
      </c>
      <c r="Z742" s="42">
        <v>836882</v>
      </c>
      <c r="AA742" s="42">
        <v>993307</v>
      </c>
      <c r="AB742" s="42">
        <v>1818732</v>
      </c>
      <c r="AC742" s="42">
        <v>1845876</v>
      </c>
      <c r="AD742" s="42">
        <v>1114434.75</v>
      </c>
      <c r="AE742" s="42">
        <v>1373699.25</v>
      </c>
      <c r="AF742" s="42">
        <v>1339957.5</v>
      </c>
      <c r="AG742" s="42">
        <v>888912</v>
      </c>
      <c r="AH742" s="42">
        <v>915094.5</v>
      </c>
      <c r="AI742" s="42">
        <v>1832304</v>
      </c>
      <c r="AJ742" s="32">
        <v>24.141863439944657</v>
      </c>
      <c r="AK742" s="32">
        <v>38.836951179413965</v>
      </c>
      <c r="AL742" s="32">
        <v>2.4098857893960117</v>
      </c>
      <c r="AM742" s="32">
        <v>12.663475903600272</v>
      </c>
      <c r="AN742" s="32">
        <v>12.087186432341763</v>
      </c>
      <c r="AO742" s="32">
        <v>1.0475175772430583</v>
      </c>
      <c r="AP742" s="19">
        <v>1.2326421533427596</v>
      </c>
      <c r="AQ742" s="19">
        <v>0.68292800331353798</v>
      </c>
      <c r="AR742" s="19">
        <v>2.061288406501431</v>
      </c>
      <c r="AS742" s="19">
        <v>0.30175403369984521</v>
      </c>
      <c r="AT742" s="19">
        <v>-0.5501946023712051</v>
      </c>
      <c r="AU742" s="19">
        <v>1.0435463746102027</v>
      </c>
      <c r="AV742" s="19">
        <v>0.10406448101374466</v>
      </c>
      <c r="AW742" s="19">
        <v>-0.61801881935435476</v>
      </c>
      <c r="AX742" s="19">
        <v>0.7397954603744098</v>
      </c>
      <c r="AY742" s="19">
        <v>1.2326421533427596</v>
      </c>
      <c r="AZ742" s="19">
        <v>-1.4642831969812953</v>
      </c>
      <c r="BA742" s="19">
        <v>2.061288406501431</v>
      </c>
      <c r="BB742" s="19">
        <v>1.0747972096636571</v>
      </c>
      <c r="BC742" s="19">
        <v>-1.5347661162533937</v>
      </c>
      <c r="BD742" s="19">
        <v>1.6699390646836489</v>
      </c>
      <c r="BE742" s="14" t="s">
        <v>4857</v>
      </c>
    </row>
    <row r="743" spans="1:105" s="30" customFormat="1" ht="17.100000000000001" customHeight="1">
      <c r="A743" s="14">
        <v>732</v>
      </c>
      <c r="B743" s="14" t="s">
        <v>522</v>
      </c>
      <c r="C743" s="32">
        <v>1.0605888475584864</v>
      </c>
      <c r="D743" s="32">
        <v>1.0493172153259092</v>
      </c>
      <c r="E743" s="32">
        <v>1.0740233764129605</v>
      </c>
      <c r="F743" s="24">
        <v>42982.5</v>
      </c>
      <c r="G743" s="52" t="s">
        <v>2</v>
      </c>
      <c r="H743" s="32">
        <v>15.94174316111642</v>
      </c>
      <c r="I743" s="32">
        <v>10.960144545414863</v>
      </c>
      <c r="J743" s="12" t="s">
        <v>523</v>
      </c>
      <c r="K743" s="12" t="s">
        <v>524</v>
      </c>
      <c r="L743" s="14" t="s">
        <v>2858</v>
      </c>
      <c r="M743" s="12" t="s">
        <v>525</v>
      </c>
      <c r="N743" s="15" t="s">
        <v>526</v>
      </c>
      <c r="O743" s="12" t="s">
        <v>527</v>
      </c>
      <c r="P743" s="12" t="s">
        <v>528</v>
      </c>
      <c r="Q743" s="14">
        <v>3</v>
      </c>
      <c r="R743" s="21">
        <v>725.34799999999996</v>
      </c>
      <c r="S743" s="14">
        <v>1</v>
      </c>
      <c r="T743" s="52" t="s">
        <v>2</v>
      </c>
      <c r="U743" s="53">
        <v>53.972974999999998</v>
      </c>
      <c r="V743" s="24">
        <v>29866</v>
      </c>
      <c r="W743" s="24">
        <v>31000</v>
      </c>
      <c r="X743" s="24">
        <v>30752</v>
      </c>
      <c r="Y743" s="24">
        <v>34092</v>
      </c>
      <c r="Z743" s="24">
        <v>30877</v>
      </c>
      <c r="AA743" s="24">
        <v>36065</v>
      </c>
      <c r="AB743" s="24">
        <v>44917</v>
      </c>
      <c r="AC743" s="24">
        <v>41048</v>
      </c>
      <c r="AD743" s="24">
        <v>31427.5</v>
      </c>
      <c r="AE743" s="24">
        <v>38226.75</v>
      </c>
      <c r="AF743" s="24">
        <v>30433</v>
      </c>
      <c r="AG743" s="24">
        <v>32422</v>
      </c>
      <c r="AH743" s="24">
        <v>33471</v>
      </c>
      <c r="AI743" s="24">
        <v>42982.5</v>
      </c>
      <c r="AJ743" s="32">
        <v>5.860535078577616</v>
      </c>
      <c r="AK743" s="32">
        <v>15.94174316111642</v>
      </c>
      <c r="AL743" s="32">
        <v>2.6348341927037917</v>
      </c>
      <c r="AM743" s="32">
        <v>7.2843644721580061</v>
      </c>
      <c r="AN743" s="32">
        <v>10.960144545414863</v>
      </c>
      <c r="AO743" s="32">
        <v>6.3649069654179078</v>
      </c>
      <c r="AP743" s="19">
        <v>1.216347148198234</v>
      </c>
      <c r="AQ743" s="19">
        <v>1.0998258469424638</v>
      </c>
      <c r="AR743" s="19">
        <v>1.3257201899944482</v>
      </c>
      <c r="AS743" s="19">
        <v>0.28255503594300269</v>
      </c>
      <c r="AT743" s="19">
        <v>0.13727509680119507</v>
      </c>
      <c r="AU743" s="19">
        <v>0.40677630855356178</v>
      </c>
      <c r="AV743" s="19">
        <v>8.486548325690213E-2</v>
      </c>
      <c r="AW743" s="19">
        <v>6.9450879818045361E-2</v>
      </c>
      <c r="AX743" s="19">
        <v>0.10302539431776886</v>
      </c>
      <c r="AY743" s="19">
        <v>1.216347148198234</v>
      </c>
      <c r="AZ743" s="19">
        <v>1.0998258469424638</v>
      </c>
      <c r="BA743" s="19">
        <v>1.3257201899944482</v>
      </c>
      <c r="BB743" s="19">
        <v>1.0605888475584864</v>
      </c>
      <c r="BC743" s="19">
        <v>1.0493172153259092</v>
      </c>
      <c r="BD743" s="19">
        <v>1.0740233764129605</v>
      </c>
      <c r="BE743" s="14" t="s">
        <v>4857</v>
      </c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T743" s="28"/>
      <c r="BU743" s="28"/>
      <c r="BV743" s="28"/>
      <c r="BW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</row>
    <row r="744" spans="1:105" ht="17.100000000000001" customHeight="1">
      <c r="A744" s="31">
        <v>733</v>
      </c>
      <c r="B744" s="11" t="s">
        <v>529</v>
      </c>
      <c r="C744" s="57"/>
      <c r="D744" s="57"/>
      <c r="E744" s="57"/>
      <c r="F744" s="27"/>
      <c r="G744" s="54"/>
      <c r="H744" s="57"/>
      <c r="I744" s="57"/>
      <c r="J744" s="13"/>
      <c r="K744" s="13"/>
      <c r="L744" s="13"/>
      <c r="M744" s="13"/>
      <c r="N744" s="13"/>
      <c r="O744" s="13"/>
      <c r="P744" s="13"/>
      <c r="Q744" s="13"/>
      <c r="R744" s="22"/>
      <c r="S744" s="18"/>
      <c r="T744" s="54"/>
      <c r="U744" s="5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57"/>
      <c r="AK744" s="57"/>
      <c r="AL744" s="57"/>
      <c r="AM744" s="57"/>
      <c r="AN744" s="57"/>
      <c r="AO744" s="5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/>
      <c r="BC744" s="27"/>
      <c r="BD744" s="27"/>
      <c r="BE744" s="13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s="30" customFormat="1" ht="17.100000000000001" customHeight="1">
      <c r="A745" s="14">
        <v>734</v>
      </c>
      <c r="B745" s="14" t="s">
        <v>530</v>
      </c>
      <c r="C745" s="32">
        <v>1.2462542131049263</v>
      </c>
      <c r="D745" s="32">
        <v>1.0957749345045629</v>
      </c>
      <c r="E745" s="32">
        <v>1.3373022936696815</v>
      </c>
      <c r="F745" s="24">
        <v>284932</v>
      </c>
      <c r="G745" s="52" t="s">
        <v>2</v>
      </c>
      <c r="H745" s="32">
        <v>34.644946571080681</v>
      </c>
      <c r="I745" s="32">
        <v>12.7294213753256</v>
      </c>
      <c r="J745" s="12" t="s">
        <v>531</v>
      </c>
      <c r="K745" s="15" t="s">
        <v>532</v>
      </c>
      <c r="L745" s="14" t="s">
        <v>1229</v>
      </c>
      <c r="M745" s="12" t="s">
        <v>533</v>
      </c>
      <c r="N745" s="15" t="s">
        <v>534</v>
      </c>
      <c r="O745" s="12" t="s">
        <v>535</v>
      </c>
      <c r="P745" s="12" t="s">
        <v>536</v>
      </c>
      <c r="Q745" s="14">
        <v>2</v>
      </c>
      <c r="R745" s="21">
        <v>477.24560000000002</v>
      </c>
      <c r="S745" s="14">
        <v>8</v>
      </c>
      <c r="T745" s="52" t="s">
        <v>2</v>
      </c>
      <c r="U745" s="53">
        <v>35.810200000000002</v>
      </c>
      <c r="V745" s="24">
        <v>147330</v>
      </c>
      <c r="W745" s="24">
        <v>124930</v>
      </c>
      <c r="X745" s="24">
        <v>188150</v>
      </c>
      <c r="Y745" s="24">
        <v>157076</v>
      </c>
      <c r="Z745" s="24">
        <v>148478</v>
      </c>
      <c r="AA745" s="24">
        <v>164218</v>
      </c>
      <c r="AB745" s="24">
        <v>305810</v>
      </c>
      <c r="AC745" s="24">
        <v>264054</v>
      </c>
      <c r="AD745" s="24">
        <v>154371.5</v>
      </c>
      <c r="AE745" s="24">
        <v>220640</v>
      </c>
      <c r="AF745" s="24">
        <v>136130</v>
      </c>
      <c r="AG745" s="24">
        <v>172613</v>
      </c>
      <c r="AH745" s="24">
        <v>156348</v>
      </c>
      <c r="AI745" s="24">
        <v>284932</v>
      </c>
      <c r="AJ745" s="32">
        <v>16.994142587253513</v>
      </c>
      <c r="AK745" s="32">
        <v>34.644946571080681</v>
      </c>
      <c r="AL745" s="32">
        <v>11.635342612634</v>
      </c>
      <c r="AM745" s="32">
        <v>12.7294213753256</v>
      </c>
      <c r="AN745" s="32">
        <v>7.1186460561543843</v>
      </c>
      <c r="AO745" s="32">
        <v>10.362455166575</v>
      </c>
      <c r="AP745" s="19">
        <v>1.4292793682771756</v>
      </c>
      <c r="AQ745" s="19">
        <v>1.1485197972526262</v>
      </c>
      <c r="AR745" s="19">
        <v>1.6506983830881798</v>
      </c>
      <c r="AS745" s="19">
        <v>0.51528793451343124</v>
      </c>
      <c r="AT745" s="19">
        <v>0.19977572493701795</v>
      </c>
      <c r="AU745" s="19">
        <v>0.72307653395487537</v>
      </c>
      <c r="AV745" s="19">
        <v>0.31759838182733069</v>
      </c>
      <c r="AW745" s="19">
        <v>0.13195150795386823</v>
      </c>
      <c r="AX745" s="19">
        <v>0.41932561971908244</v>
      </c>
      <c r="AY745" s="19">
        <v>1.4292793682771756</v>
      </c>
      <c r="AZ745" s="19">
        <v>1.1485197972526262</v>
      </c>
      <c r="BA745" s="19">
        <v>1.6506983830881798</v>
      </c>
      <c r="BB745" s="19">
        <v>1.2462542131049263</v>
      </c>
      <c r="BC745" s="19">
        <v>1.0957749345045629</v>
      </c>
      <c r="BD745" s="19">
        <v>1.3373022936696815</v>
      </c>
      <c r="BE745" s="14" t="s">
        <v>4857</v>
      </c>
    </row>
    <row r="746" spans="1:105" s="30" customFormat="1" ht="17.100000000000001" customHeight="1">
      <c r="A746" s="14">
        <v>735</v>
      </c>
      <c r="B746" s="14" t="s">
        <v>537</v>
      </c>
      <c r="C746" s="32">
        <v>-1.4041850201531429</v>
      </c>
      <c r="D746" s="32">
        <v>-1.2862059008433764</v>
      </c>
      <c r="E746" s="32">
        <v>-1.5075960093522356</v>
      </c>
      <c r="F746" s="24">
        <v>2453515</v>
      </c>
      <c r="G746" s="52" t="s">
        <v>2</v>
      </c>
      <c r="H746" s="32">
        <v>18.191332554570028</v>
      </c>
      <c r="I746" s="32">
        <v>31.672178961864262</v>
      </c>
      <c r="J746" s="12" t="s">
        <v>538</v>
      </c>
      <c r="K746" s="12" t="s">
        <v>539</v>
      </c>
      <c r="L746" s="14" t="s">
        <v>540</v>
      </c>
      <c r="M746" s="12" t="s">
        <v>541</v>
      </c>
      <c r="N746" s="15" t="s">
        <v>542</v>
      </c>
      <c r="O746" s="12" t="s">
        <v>543</v>
      </c>
      <c r="P746" s="12" t="s">
        <v>544</v>
      </c>
      <c r="Q746" s="14">
        <v>2</v>
      </c>
      <c r="R746" s="21">
        <v>721.91430000000003</v>
      </c>
      <c r="S746" s="14">
        <v>2</v>
      </c>
      <c r="T746" s="52" t="s">
        <v>2</v>
      </c>
      <c r="U746" s="53">
        <v>33.328600000000002</v>
      </c>
      <c r="V746" s="24">
        <v>2607460</v>
      </c>
      <c r="W746" s="24">
        <v>2299570</v>
      </c>
      <c r="X746" s="24">
        <v>2548500</v>
      </c>
      <c r="Y746" s="24">
        <v>1945600</v>
      </c>
      <c r="Z746" s="24">
        <v>2019460</v>
      </c>
      <c r="AA746" s="24">
        <v>1979300</v>
      </c>
      <c r="AB746" s="24">
        <v>1427750</v>
      </c>
      <c r="AC746" s="24">
        <v>2251810</v>
      </c>
      <c r="AD746" s="24">
        <v>2350282.5</v>
      </c>
      <c r="AE746" s="24">
        <v>1919580</v>
      </c>
      <c r="AF746" s="24">
        <v>2453515</v>
      </c>
      <c r="AG746" s="24">
        <v>2247050</v>
      </c>
      <c r="AH746" s="24">
        <v>1999380</v>
      </c>
      <c r="AI746" s="24">
        <v>1839780</v>
      </c>
      <c r="AJ746" s="32">
        <v>12.806196595421568</v>
      </c>
      <c r="AK746" s="32">
        <v>18.191332554570028</v>
      </c>
      <c r="AL746" s="32">
        <v>8.8734369612383102</v>
      </c>
      <c r="AM746" s="32">
        <v>18.972193692947172</v>
      </c>
      <c r="AN746" s="32">
        <v>1.4203107129435999</v>
      </c>
      <c r="AO746" s="32">
        <v>31.672178961864262</v>
      </c>
      <c r="AP746" s="19">
        <v>0.81674437009168044</v>
      </c>
      <c r="AQ746" s="19">
        <v>0.81490433113308869</v>
      </c>
      <c r="AR746" s="19">
        <v>0.81875347678066801</v>
      </c>
      <c r="AS746" s="19">
        <v>-0.29204348984454065</v>
      </c>
      <c r="AT746" s="19">
        <v>-0.2952973964041376</v>
      </c>
      <c r="AU746" s="19">
        <v>-0.28849896703103811</v>
      </c>
      <c r="AV746" s="19">
        <v>-0.4897330425306412</v>
      </c>
      <c r="AW746" s="19">
        <v>-0.36312161338728732</v>
      </c>
      <c r="AX746" s="19">
        <v>-0.59224988126683109</v>
      </c>
      <c r="AY746" s="19">
        <v>-1.2243733004094646</v>
      </c>
      <c r="AZ746" s="19">
        <v>-1.2271379127529534</v>
      </c>
      <c r="BA746" s="19">
        <v>-1.2213688593201362</v>
      </c>
      <c r="BB746" s="19">
        <v>-1.4041850201531429</v>
      </c>
      <c r="BC746" s="19">
        <v>-1.2862059008433764</v>
      </c>
      <c r="BD746" s="19">
        <v>-1.5075960093522356</v>
      </c>
      <c r="BE746" s="14" t="s">
        <v>4857</v>
      </c>
    </row>
    <row r="747" spans="1:105" ht="17.100000000000001" customHeight="1">
      <c r="A747" s="31">
        <v>736</v>
      </c>
      <c r="B747" s="11" t="s">
        <v>546</v>
      </c>
      <c r="C747" s="57"/>
      <c r="D747" s="57"/>
      <c r="E747" s="57"/>
      <c r="F747" s="27"/>
      <c r="G747" s="54"/>
      <c r="H747" s="57"/>
      <c r="I747" s="57"/>
      <c r="J747" s="13"/>
      <c r="K747" s="13"/>
      <c r="L747" s="13"/>
      <c r="M747" s="13"/>
      <c r="N747" s="13"/>
      <c r="O747" s="13"/>
      <c r="P747" s="13"/>
      <c r="Q747" s="13"/>
      <c r="R747" s="22"/>
      <c r="S747" s="18"/>
      <c r="T747" s="54"/>
      <c r="U747" s="5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57"/>
      <c r="AK747" s="57"/>
      <c r="AL747" s="57"/>
      <c r="AM747" s="57"/>
      <c r="AN747" s="57"/>
      <c r="AO747" s="5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/>
      <c r="BC747" s="27"/>
      <c r="BD747" s="27"/>
      <c r="BE747" s="13"/>
    </row>
    <row r="748" spans="1:105" s="30" customFormat="1" ht="17.100000000000001" customHeight="1">
      <c r="A748" s="14">
        <v>737</v>
      </c>
      <c r="B748" s="14" t="s">
        <v>547</v>
      </c>
      <c r="C748" s="32">
        <v>-1.1136690384463908</v>
      </c>
      <c r="D748" s="32">
        <v>-1.2492364953069284</v>
      </c>
      <c r="E748" s="32">
        <v>-1.0040558018843257</v>
      </c>
      <c r="F748" s="24">
        <v>206648</v>
      </c>
      <c r="G748" s="52" t="s">
        <v>2</v>
      </c>
      <c r="H748" s="32">
        <v>25.645698769541507</v>
      </c>
      <c r="I748" s="32">
        <v>45.030688043069098</v>
      </c>
      <c r="J748" s="12" t="s">
        <v>548</v>
      </c>
      <c r="K748" s="12" t="s">
        <v>549</v>
      </c>
      <c r="L748" s="14" t="s">
        <v>2509</v>
      </c>
      <c r="M748" s="12" t="s">
        <v>550</v>
      </c>
      <c r="N748" s="15" t="s">
        <v>551</v>
      </c>
      <c r="O748" s="12" t="s">
        <v>552</v>
      </c>
      <c r="P748" s="12" t="s">
        <v>553</v>
      </c>
      <c r="Q748" s="14">
        <v>2</v>
      </c>
      <c r="R748" s="21">
        <v>770.83849999999995</v>
      </c>
      <c r="S748" s="14">
        <v>8</v>
      </c>
      <c r="T748" s="52" t="s">
        <v>2</v>
      </c>
      <c r="U748" s="53">
        <v>36.335024999999995</v>
      </c>
      <c r="V748" s="24">
        <v>171073</v>
      </c>
      <c r="W748" s="24">
        <v>180580</v>
      </c>
      <c r="X748" s="24">
        <v>114570</v>
      </c>
      <c r="Y748" s="24">
        <v>221617</v>
      </c>
      <c r="Z748" s="24">
        <v>148643</v>
      </c>
      <c r="AA748" s="24">
        <v>146401</v>
      </c>
      <c r="AB748" s="24">
        <v>231582</v>
      </c>
      <c r="AC748" s="24">
        <v>181714</v>
      </c>
      <c r="AD748" s="24">
        <v>171960</v>
      </c>
      <c r="AE748" s="24">
        <v>177085</v>
      </c>
      <c r="AF748" s="24">
        <v>175826.5</v>
      </c>
      <c r="AG748" s="24">
        <v>168093.5</v>
      </c>
      <c r="AH748" s="24">
        <v>147522</v>
      </c>
      <c r="AI748" s="24">
        <v>206648</v>
      </c>
      <c r="AJ748" s="32">
        <v>25.645698769541507</v>
      </c>
      <c r="AK748" s="32">
        <v>22.450679074664656</v>
      </c>
      <c r="AL748" s="32">
        <v>3.8233509560507133</v>
      </c>
      <c r="AM748" s="32">
        <v>45.030688043069098</v>
      </c>
      <c r="AN748" s="32">
        <v>1.0746420218138579</v>
      </c>
      <c r="AO748" s="32">
        <v>17.063799777501238</v>
      </c>
      <c r="AP748" s="19">
        <v>1.029803442661084</v>
      </c>
      <c r="AQ748" s="19">
        <v>0.83902028420061825</v>
      </c>
      <c r="AR748" s="19">
        <v>1.2293634197634056</v>
      </c>
      <c r="AS748" s="19">
        <v>4.2368998225062883E-2</v>
      </c>
      <c r="AT748" s="19">
        <v>-0.25322240512584604</v>
      </c>
      <c r="AU748" s="19">
        <v>0.29791146281099967</v>
      </c>
      <c r="AV748" s="19">
        <v>-0.15532055446103768</v>
      </c>
      <c r="AW748" s="19">
        <v>-0.32104662210899576</v>
      </c>
      <c r="AX748" s="19">
        <v>-5.8394514247932516E-3</v>
      </c>
      <c r="AY748" s="19">
        <v>1.029803442661084</v>
      </c>
      <c r="AZ748" s="19">
        <v>-1.1918662979081085</v>
      </c>
      <c r="BA748" s="19">
        <v>1.2293634197634056</v>
      </c>
      <c r="BB748" s="19">
        <v>-1.1136690384463908</v>
      </c>
      <c r="BC748" s="19">
        <v>-1.2492364953069284</v>
      </c>
      <c r="BD748" s="19">
        <v>-1.0040558018843257</v>
      </c>
      <c r="BE748" s="14" t="s">
        <v>4857</v>
      </c>
    </row>
    <row r="749" spans="1:105" s="30" customFormat="1" ht="17.100000000000001" customHeight="1">
      <c r="A749" s="14">
        <v>738</v>
      </c>
      <c r="B749" s="14" t="s">
        <v>554</v>
      </c>
      <c r="C749" s="32">
        <v>-1.1250488707643218</v>
      </c>
      <c r="D749" s="32">
        <v>1.0489928627615952</v>
      </c>
      <c r="E749" s="32">
        <v>-1.2761755429637203</v>
      </c>
      <c r="F749" s="24">
        <v>105585</v>
      </c>
      <c r="G749" s="52" t="s">
        <v>2</v>
      </c>
      <c r="H749" s="32">
        <v>26.625436322077011</v>
      </c>
      <c r="I749" s="32">
        <v>14.326526274874807</v>
      </c>
      <c r="J749" s="12" t="s">
        <v>555</v>
      </c>
      <c r="K749" s="15" t="s">
        <v>556</v>
      </c>
      <c r="L749" s="14" t="s">
        <v>5086</v>
      </c>
      <c r="M749" s="12" t="s">
        <v>557</v>
      </c>
      <c r="N749" s="15" t="s">
        <v>558</v>
      </c>
      <c r="O749" s="12" t="s">
        <v>559</v>
      </c>
      <c r="P749" s="12" t="s">
        <v>560</v>
      </c>
      <c r="Q749" s="14">
        <v>3</v>
      </c>
      <c r="R749" s="21">
        <v>1011.8606</v>
      </c>
      <c r="S749" s="14">
        <v>1</v>
      </c>
      <c r="T749" s="52" t="s">
        <v>2</v>
      </c>
      <c r="U749" s="53">
        <v>81.008775</v>
      </c>
      <c r="V749" s="24">
        <v>61793</v>
      </c>
      <c r="W749" s="24">
        <v>75724</v>
      </c>
      <c r="X749" s="24">
        <v>114609</v>
      </c>
      <c r="Y749" s="24">
        <v>96561</v>
      </c>
      <c r="Z749" s="24">
        <v>78101</v>
      </c>
      <c r="AA749" s="24">
        <v>73097</v>
      </c>
      <c r="AB749" s="24">
        <v>93951</v>
      </c>
      <c r="AC749" s="24">
        <v>110298</v>
      </c>
      <c r="AD749" s="24">
        <v>87171.75</v>
      </c>
      <c r="AE749" s="24">
        <v>88861.75</v>
      </c>
      <c r="AF749" s="24">
        <v>68758.5</v>
      </c>
      <c r="AG749" s="24">
        <v>105585</v>
      </c>
      <c r="AH749" s="24">
        <v>75599</v>
      </c>
      <c r="AI749" s="24">
        <v>102124.5</v>
      </c>
      <c r="AJ749" s="32">
        <v>26.625436322077011</v>
      </c>
      <c r="AK749" s="32">
        <v>18.939394986451806</v>
      </c>
      <c r="AL749" s="32">
        <v>14.326526274874807</v>
      </c>
      <c r="AM749" s="32">
        <v>12.086814591897342</v>
      </c>
      <c r="AN749" s="32">
        <v>4.6804353669459697</v>
      </c>
      <c r="AO749" s="32">
        <v>11.318610668406203</v>
      </c>
      <c r="AP749" s="19">
        <v>1.0193870147152031</v>
      </c>
      <c r="AQ749" s="19">
        <v>1.0994858817455297</v>
      </c>
      <c r="AR749" s="19">
        <v>0.96722545816167071</v>
      </c>
      <c r="AS749" s="19">
        <v>2.7701880952259301E-2</v>
      </c>
      <c r="AT749" s="19">
        <v>0.1368290789846206</v>
      </c>
      <c r="AU749" s="19">
        <v>-4.8075876892315059E-2</v>
      </c>
      <c r="AV749" s="19">
        <v>-0.16998767173384124</v>
      </c>
      <c r="AW749" s="19">
        <v>6.9004862001470893E-2</v>
      </c>
      <c r="AX749" s="19">
        <v>-0.351826791128108</v>
      </c>
      <c r="AY749" s="19">
        <v>1.0193870147152031</v>
      </c>
      <c r="AZ749" s="19">
        <v>1.0994858817455297</v>
      </c>
      <c r="BA749" s="19">
        <v>-1.033885110820616</v>
      </c>
      <c r="BB749" s="19">
        <v>-1.1250488707643218</v>
      </c>
      <c r="BC749" s="19">
        <v>1.0489928627615952</v>
      </c>
      <c r="BD749" s="19">
        <v>-1.2761755429637203</v>
      </c>
      <c r="BE749" s="14" t="s">
        <v>4857</v>
      </c>
    </row>
    <row r="750" spans="1:105" s="30" customFormat="1" ht="17.100000000000001" customHeight="1">
      <c r="A750" s="14">
        <v>739</v>
      </c>
      <c r="B750" s="14" t="s">
        <v>561</v>
      </c>
      <c r="C750" s="32">
        <v>-1.1088274561198863</v>
      </c>
      <c r="D750" s="32">
        <v>-1.3072811089547085</v>
      </c>
      <c r="E750" s="32">
        <v>1.0313127585065778</v>
      </c>
      <c r="F750" s="24">
        <v>33478</v>
      </c>
      <c r="G750" s="52" t="s">
        <v>2</v>
      </c>
      <c r="H750" s="32">
        <v>25.236899806681873</v>
      </c>
      <c r="I750" s="32">
        <v>15.371711192818951</v>
      </c>
      <c r="J750" s="12" t="s">
        <v>562</v>
      </c>
      <c r="K750" s="12" t="s">
        <v>563</v>
      </c>
      <c r="L750" s="14" t="s">
        <v>4088</v>
      </c>
      <c r="M750" s="12" t="s">
        <v>564</v>
      </c>
      <c r="N750" s="15" t="s">
        <v>565</v>
      </c>
      <c r="O750" s="12" t="s">
        <v>566</v>
      </c>
      <c r="P750" s="12" t="s">
        <v>567</v>
      </c>
      <c r="Q750" s="14">
        <v>2</v>
      </c>
      <c r="R750" s="21">
        <v>707.35209999999995</v>
      </c>
      <c r="S750" s="14">
        <v>6</v>
      </c>
      <c r="T750" s="52" t="s">
        <v>2</v>
      </c>
      <c r="U750" s="53">
        <v>28.036950000000001</v>
      </c>
      <c r="V750" s="24">
        <v>27855</v>
      </c>
      <c r="W750" s="24">
        <v>26137</v>
      </c>
      <c r="X750" s="24">
        <v>23440</v>
      </c>
      <c r="Y750" s="24">
        <v>29157</v>
      </c>
      <c r="Z750" s="24">
        <v>22148</v>
      </c>
      <c r="AA750" s="24">
        <v>21141</v>
      </c>
      <c r="AB750" s="24">
        <v>34995</v>
      </c>
      <c r="AC750" s="24">
        <v>31961</v>
      </c>
      <c r="AD750" s="24">
        <v>26647.25</v>
      </c>
      <c r="AE750" s="24">
        <v>27561.25</v>
      </c>
      <c r="AF750" s="24">
        <v>26996</v>
      </c>
      <c r="AG750" s="24">
        <v>26298.5</v>
      </c>
      <c r="AH750" s="24">
        <v>21644.5</v>
      </c>
      <c r="AI750" s="24">
        <v>33478</v>
      </c>
      <c r="AJ750" s="32">
        <v>9.2696575449248293</v>
      </c>
      <c r="AK750" s="32">
        <v>25.236899806681873</v>
      </c>
      <c r="AL750" s="32">
        <v>4.4999609204270579</v>
      </c>
      <c r="AM750" s="32">
        <v>15.371711192818951</v>
      </c>
      <c r="AN750" s="32">
        <v>3.2897804460941731</v>
      </c>
      <c r="AO750" s="32">
        <v>6.4082740131429148</v>
      </c>
      <c r="AP750" s="19">
        <v>1.034299974669056</v>
      </c>
      <c r="AQ750" s="19">
        <v>0.80176692843384201</v>
      </c>
      <c r="AR750" s="19">
        <v>1.2730003612373328</v>
      </c>
      <c r="AS750" s="19">
        <v>4.8654666507437425E-2</v>
      </c>
      <c r="AT750" s="19">
        <v>-0.31874518496727638</v>
      </c>
      <c r="AU750" s="19">
        <v>0.34823282863065719</v>
      </c>
      <c r="AV750" s="19">
        <v>-0.14903488617866312</v>
      </c>
      <c r="AW750" s="19">
        <v>-0.38656940195042611</v>
      </c>
      <c r="AX750" s="19">
        <v>4.4481914394864264E-2</v>
      </c>
      <c r="AY750" s="19">
        <v>1.034299974669056</v>
      </c>
      <c r="AZ750" s="19">
        <v>-1.2472452586107325</v>
      </c>
      <c r="BA750" s="19">
        <v>1.2730003612373328</v>
      </c>
      <c r="BB750" s="19">
        <v>-1.1088274561198863</v>
      </c>
      <c r="BC750" s="19">
        <v>-1.3072811089547085</v>
      </c>
      <c r="BD750" s="19">
        <v>1.0313127585065778</v>
      </c>
      <c r="BE750" s="14" t="s">
        <v>4857</v>
      </c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T750" s="28"/>
      <c r="BU750" s="28"/>
      <c r="BV750" s="28"/>
      <c r="BW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</row>
    <row r="751" spans="1:105" s="30" customFormat="1" ht="17.100000000000001" customHeight="1">
      <c r="A751" s="14">
        <v>740</v>
      </c>
      <c r="B751" s="14" t="s">
        <v>568</v>
      </c>
      <c r="C751" s="32">
        <v>-1.0592561469338233</v>
      </c>
      <c r="D751" s="32">
        <v>1.1346529175579851</v>
      </c>
      <c r="E751" s="32">
        <v>-1.2644805052605328</v>
      </c>
      <c r="F751" s="24">
        <v>5614730</v>
      </c>
      <c r="G751" s="52" t="s">
        <v>2</v>
      </c>
      <c r="H751" s="32">
        <v>16.333252377779662</v>
      </c>
      <c r="I751" s="32">
        <v>23.264234581686843</v>
      </c>
      <c r="J751" s="12" t="s">
        <v>569</v>
      </c>
      <c r="K751" s="12" t="s">
        <v>570</v>
      </c>
      <c r="L751" s="14" t="s">
        <v>571</v>
      </c>
      <c r="M751" s="12" t="s">
        <v>572</v>
      </c>
      <c r="N751" s="15" t="s">
        <v>573</v>
      </c>
      <c r="O751" s="12" t="s">
        <v>574</v>
      </c>
      <c r="P751" s="12" t="s">
        <v>575</v>
      </c>
      <c r="Q751" s="14">
        <v>3</v>
      </c>
      <c r="R751" s="21">
        <v>494.61099999999999</v>
      </c>
      <c r="S751" s="14">
        <v>1</v>
      </c>
      <c r="T751" s="52" t="s">
        <v>2</v>
      </c>
      <c r="U751" s="53">
        <v>41.832825</v>
      </c>
      <c r="V751" s="24">
        <v>4183890</v>
      </c>
      <c r="W751" s="24">
        <v>5258430</v>
      </c>
      <c r="X751" s="24">
        <v>5499540</v>
      </c>
      <c r="Y751" s="24">
        <v>3945760</v>
      </c>
      <c r="Z751" s="24">
        <v>5690860</v>
      </c>
      <c r="AA751" s="24">
        <v>5538600</v>
      </c>
      <c r="AB751" s="24">
        <v>5223880</v>
      </c>
      <c r="AC751" s="24">
        <v>3996350</v>
      </c>
      <c r="AD751" s="24">
        <v>4721905</v>
      </c>
      <c r="AE751" s="24">
        <v>5112422.5</v>
      </c>
      <c r="AF751" s="24">
        <v>4721160</v>
      </c>
      <c r="AG751" s="24">
        <v>4722650</v>
      </c>
      <c r="AH751" s="24">
        <v>5614730</v>
      </c>
      <c r="AI751" s="24">
        <v>4610115</v>
      </c>
      <c r="AJ751" s="32">
        <v>16.333252377779662</v>
      </c>
      <c r="AK751" s="32">
        <v>15.042533834047964</v>
      </c>
      <c r="AL751" s="32">
        <v>16.093810009747454</v>
      </c>
      <c r="AM751" s="32">
        <v>23.264234581686843</v>
      </c>
      <c r="AN751" s="32">
        <v>1.9175290442009452</v>
      </c>
      <c r="AO751" s="32">
        <v>18.828050647541826</v>
      </c>
      <c r="AP751" s="19">
        <v>1.0827033792505356</v>
      </c>
      <c r="AQ751" s="19">
        <v>1.1892691626634133</v>
      </c>
      <c r="AR751" s="19">
        <v>0.97617121743089152</v>
      </c>
      <c r="AS751" s="19">
        <v>0.11463805190479569</v>
      </c>
      <c r="AT751" s="19">
        <v>0.25007527159571896</v>
      </c>
      <c r="AU751" s="19">
        <v>-3.4793880629529726E-2</v>
      </c>
      <c r="AV751" s="19">
        <v>-8.3051500781304868E-2</v>
      </c>
      <c r="AW751" s="19">
        <v>0.18225105461256924</v>
      </c>
      <c r="AX751" s="19">
        <v>-0.33854479486532263</v>
      </c>
      <c r="AY751" s="19">
        <v>1.0827033792505356</v>
      </c>
      <c r="AZ751" s="19">
        <v>1.1892691626634133</v>
      </c>
      <c r="BA751" s="19">
        <v>-1.0244104539691525</v>
      </c>
      <c r="BB751" s="19">
        <v>-1.0592561469338233</v>
      </c>
      <c r="BC751" s="19">
        <v>1.1346529175579851</v>
      </c>
      <c r="BD751" s="19">
        <v>-1.2644805052605328</v>
      </c>
      <c r="BE751" s="14" t="s">
        <v>4857</v>
      </c>
    </row>
    <row r="752" spans="1:105" s="30" customFormat="1" ht="17.100000000000001" customHeight="1">
      <c r="A752" s="14">
        <v>741</v>
      </c>
      <c r="B752" s="14" t="s">
        <v>576</v>
      </c>
      <c r="C752" s="32">
        <v>-1.1793912996675684</v>
      </c>
      <c r="D752" s="32">
        <v>1.0964437342324971</v>
      </c>
      <c r="E752" s="32">
        <v>-1.4768570849115292</v>
      </c>
      <c r="F752" s="24">
        <v>81794</v>
      </c>
      <c r="G752" s="52" t="s">
        <v>2</v>
      </c>
      <c r="H752" s="32">
        <v>20.967958180412161</v>
      </c>
      <c r="I752" s="32">
        <v>32.426601509878537</v>
      </c>
      <c r="J752" s="12" t="s">
        <v>577</v>
      </c>
      <c r="K752" s="15" t="s">
        <v>578</v>
      </c>
      <c r="L752" s="14" t="s">
        <v>5011</v>
      </c>
      <c r="M752" s="12" t="s">
        <v>579</v>
      </c>
      <c r="N752" s="15" t="s">
        <v>580</v>
      </c>
      <c r="O752" s="12" t="s">
        <v>581</v>
      </c>
      <c r="P752" s="12" t="s">
        <v>582</v>
      </c>
      <c r="Q752" s="14">
        <v>3</v>
      </c>
      <c r="R752" s="21">
        <v>727.35879999999997</v>
      </c>
      <c r="S752" s="14">
        <v>1</v>
      </c>
      <c r="T752" s="52" t="s">
        <v>2</v>
      </c>
      <c r="U752" s="53">
        <v>68.142762500000003</v>
      </c>
      <c r="V752" s="24">
        <v>64452</v>
      </c>
      <c r="W752" s="24">
        <v>61958</v>
      </c>
      <c r="X752" s="24">
        <v>74651</v>
      </c>
      <c r="Y752" s="24">
        <v>88937</v>
      </c>
      <c r="Z752" s="24">
        <v>81177</v>
      </c>
      <c r="AA752" s="24">
        <v>64096</v>
      </c>
      <c r="AB752" s="24">
        <v>84038</v>
      </c>
      <c r="AC752" s="24">
        <v>52688</v>
      </c>
      <c r="AD752" s="24">
        <v>72499.5</v>
      </c>
      <c r="AE752" s="24">
        <v>70499.75</v>
      </c>
      <c r="AF752" s="24">
        <v>63205</v>
      </c>
      <c r="AG752" s="24">
        <v>81794</v>
      </c>
      <c r="AH752" s="24">
        <v>72636.5</v>
      </c>
      <c r="AI752" s="24">
        <v>68363</v>
      </c>
      <c r="AJ752" s="32">
        <v>16.906392699683821</v>
      </c>
      <c r="AK752" s="32">
        <v>20.967958180412161</v>
      </c>
      <c r="AL752" s="32">
        <v>2.7901658290946116</v>
      </c>
      <c r="AM752" s="32">
        <v>12.35020597602638</v>
      </c>
      <c r="AN752" s="32">
        <v>16.628129011512698</v>
      </c>
      <c r="AO752" s="32">
        <v>32.426601509878537</v>
      </c>
      <c r="AP752" s="19">
        <v>0.97241705115207688</v>
      </c>
      <c r="AQ752" s="19">
        <v>1.1492207894945021</v>
      </c>
      <c r="AR752" s="19">
        <v>0.83579480157468766</v>
      </c>
      <c r="AS752" s="19">
        <v>-4.0352903909792258E-2</v>
      </c>
      <c r="AT752" s="19">
        <v>0.20065599668593911</v>
      </c>
      <c r="AU752" s="19">
        <v>-0.25877930938538163</v>
      </c>
      <c r="AV752" s="19">
        <v>-0.23804245659589282</v>
      </c>
      <c r="AW752" s="19">
        <v>0.13283177970278942</v>
      </c>
      <c r="AX752" s="19">
        <v>-0.56253022362117455</v>
      </c>
      <c r="AY752" s="19">
        <v>-1.0283653488132938</v>
      </c>
      <c r="AZ752" s="19">
        <v>1.1492207894945021</v>
      </c>
      <c r="BA752" s="19">
        <v>-1.1964659245498295</v>
      </c>
      <c r="BB752" s="19">
        <v>-1.1793912996675684</v>
      </c>
      <c r="BC752" s="19">
        <v>1.0964437342324971</v>
      </c>
      <c r="BD752" s="19">
        <v>-1.4768570849115292</v>
      </c>
      <c r="BE752" s="14" t="s">
        <v>4857</v>
      </c>
    </row>
    <row r="753" spans="1:105" s="30" customFormat="1" ht="17.100000000000001" customHeight="1">
      <c r="A753" s="14">
        <v>742</v>
      </c>
      <c r="B753" s="14" t="s">
        <v>583</v>
      </c>
      <c r="C753" s="32">
        <v>1.1087636805001697</v>
      </c>
      <c r="D753" s="32">
        <v>1.3415309264273774</v>
      </c>
      <c r="E753" s="32">
        <v>-1.0144379406179038</v>
      </c>
      <c r="F753" s="24">
        <v>73456.5</v>
      </c>
      <c r="G753" s="52" t="s">
        <v>2</v>
      </c>
      <c r="H753" s="32">
        <v>49.483143194787331</v>
      </c>
      <c r="I753" s="32">
        <v>23.068201877096293</v>
      </c>
      <c r="J753" s="12" t="s">
        <v>584</v>
      </c>
      <c r="K753" s="12" t="s">
        <v>585</v>
      </c>
      <c r="L753" s="14" t="s">
        <v>5186</v>
      </c>
      <c r="M753" s="12" t="s">
        <v>586</v>
      </c>
      <c r="N753" s="15" t="s">
        <v>587</v>
      </c>
      <c r="O753" s="12" t="s">
        <v>461</v>
      </c>
      <c r="P753" s="12" t="s">
        <v>462</v>
      </c>
      <c r="Q753" s="14">
        <v>3</v>
      </c>
      <c r="R753" s="21">
        <v>581.29079999999999</v>
      </c>
      <c r="S753" s="14">
        <v>1</v>
      </c>
      <c r="T753" s="52" t="s">
        <v>2</v>
      </c>
      <c r="U753" s="53">
        <v>47.045699999999997</v>
      </c>
      <c r="V753" s="24">
        <v>28615</v>
      </c>
      <c r="W753" s="24">
        <v>20589</v>
      </c>
      <c r="X753" s="24">
        <v>63054</v>
      </c>
      <c r="Y753" s="24">
        <v>57685</v>
      </c>
      <c r="Z753" s="24">
        <v>33509</v>
      </c>
      <c r="AA753" s="24">
        <v>35677</v>
      </c>
      <c r="AB753" s="24">
        <v>80639</v>
      </c>
      <c r="AC753" s="24">
        <v>66274</v>
      </c>
      <c r="AD753" s="24">
        <v>42485.75</v>
      </c>
      <c r="AE753" s="24">
        <v>54024.75</v>
      </c>
      <c r="AF753" s="24">
        <v>24602</v>
      </c>
      <c r="AG753" s="24">
        <v>60369.5</v>
      </c>
      <c r="AH753" s="24">
        <v>34593</v>
      </c>
      <c r="AI753" s="24">
        <v>73456.5</v>
      </c>
      <c r="AJ753" s="32">
        <v>49.483143194787331</v>
      </c>
      <c r="AK753" s="32">
        <v>42.958946895099118</v>
      </c>
      <c r="AL753" s="32">
        <v>23.068201877096293</v>
      </c>
      <c r="AM753" s="32">
        <v>6.2886992739555128</v>
      </c>
      <c r="AN753" s="32">
        <v>4.4315540762941499</v>
      </c>
      <c r="AO753" s="32">
        <v>13.828032797294664</v>
      </c>
      <c r="AP753" s="19">
        <v>1.2715969472117121</v>
      </c>
      <c r="AQ753" s="19">
        <v>1.4061051946996179</v>
      </c>
      <c r="AR753" s="19">
        <v>1.2167816529870217</v>
      </c>
      <c r="AS753" s="19">
        <v>0.34664145804039009</v>
      </c>
      <c r="AT753" s="19">
        <v>0.49170453053732099</v>
      </c>
      <c r="AU753" s="19">
        <v>0.28307030493360008</v>
      </c>
      <c r="AV753" s="19">
        <v>0.14895190535428954</v>
      </c>
      <c r="AW753" s="19">
        <v>0.42388031355417127</v>
      </c>
      <c r="AX753" s="19">
        <v>-2.0680609302192843E-2</v>
      </c>
      <c r="AY753" s="19">
        <v>1.2715969472117121</v>
      </c>
      <c r="AZ753" s="19">
        <v>1.4061051946996179</v>
      </c>
      <c r="BA753" s="19">
        <v>1.2167816529870217</v>
      </c>
      <c r="BB753" s="19">
        <v>1.1087636805001697</v>
      </c>
      <c r="BC753" s="19">
        <v>1.3415309264273774</v>
      </c>
      <c r="BD753" s="19">
        <v>-1.0144379406179038</v>
      </c>
      <c r="BE753" s="14" t="s">
        <v>4857</v>
      </c>
    </row>
    <row r="754" spans="1:105" s="30" customFormat="1" ht="17.100000000000001" customHeight="1">
      <c r="A754" s="14">
        <v>743</v>
      </c>
      <c r="B754" s="14" t="s">
        <v>463</v>
      </c>
      <c r="C754" s="32">
        <v>1.0061504901917908</v>
      </c>
      <c r="D754" s="32">
        <v>-1.1174376390009155</v>
      </c>
      <c r="E754" s="32">
        <v>1.0926923537139948</v>
      </c>
      <c r="F754" s="42">
        <v>2083528.5</v>
      </c>
      <c r="G754" s="52" t="s">
        <v>4894</v>
      </c>
      <c r="H754" s="32">
        <v>27.936633422185725</v>
      </c>
      <c r="I754" s="32">
        <v>11.495940639183628</v>
      </c>
      <c r="J754" s="12" t="s">
        <v>464</v>
      </c>
      <c r="K754" s="12" t="s">
        <v>465</v>
      </c>
      <c r="L754" s="14" t="s">
        <v>4448</v>
      </c>
      <c r="M754" s="12" t="s">
        <v>466</v>
      </c>
      <c r="N754" s="15" t="s">
        <v>467</v>
      </c>
      <c r="O754" s="12" t="s">
        <v>468</v>
      </c>
      <c r="P754" s="12" t="s">
        <v>469</v>
      </c>
      <c r="Q754" s="14">
        <v>4</v>
      </c>
      <c r="R754" s="21">
        <v>686.58230000000003</v>
      </c>
      <c r="S754" s="14">
        <v>1</v>
      </c>
      <c r="T754" s="52" t="s">
        <v>4894</v>
      </c>
      <c r="U754" s="53">
        <v>48.5</v>
      </c>
      <c r="V754" s="42">
        <v>1327952</v>
      </c>
      <c r="W754" s="42">
        <v>1459931</v>
      </c>
      <c r="X754" s="42">
        <v>1645135</v>
      </c>
      <c r="Y754" s="42">
        <v>1444402</v>
      </c>
      <c r="Z754" s="42">
        <v>1201206</v>
      </c>
      <c r="AA754" s="42">
        <v>1413774</v>
      </c>
      <c r="AB754" s="42">
        <v>2238861</v>
      </c>
      <c r="AC754" s="42">
        <v>1928196</v>
      </c>
      <c r="AD754" s="42">
        <v>1469355</v>
      </c>
      <c r="AE754" s="42">
        <v>1695509.25</v>
      </c>
      <c r="AF754" s="42">
        <v>1393941.5</v>
      </c>
      <c r="AG754" s="42">
        <v>1544768.5</v>
      </c>
      <c r="AH754" s="42">
        <v>1307490</v>
      </c>
      <c r="AI754" s="42">
        <v>2083528.5</v>
      </c>
      <c r="AJ754" s="32">
        <v>8.9260235243988753</v>
      </c>
      <c r="AK754" s="32">
        <v>27.936633422185725</v>
      </c>
      <c r="AL754" s="32">
        <v>6.694918393219468</v>
      </c>
      <c r="AM754" s="32">
        <v>9.1884101409317473</v>
      </c>
      <c r="AN754" s="32">
        <v>11.495940639183628</v>
      </c>
      <c r="AO754" s="32">
        <v>10.543332053164562</v>
      </c>
      <c r="AP754" s="19">
        <v>1.1539139622487418</v>
      </c>
      <c r="AQ754" s="19">
        <v>0.93798053935548942</v>
      </c>
      <c r="AR754" s="19">
        <v>1.3487642323105371</v>
      </c>
      <c r="AS754" s="19">
        <v>0.20653565824294121</v>
      </c>
      <c r="AT754" s="19">
        <v>-9.2370103987409219E-2</v>
      </c>
      <c r="AU754" s="19">
        <v>0.43163818327251319</v>
      </c>
      <c r="AV754" s="19">
        <v>8.8461055568406499E-3</v>
      </c>
      <c r="AW754" s="19">
        <v>-0.16019432097055891</v>
      </c>
      <c r="AX754" s="19">
        <v>0.12788726903672026</v>
      </c>
      <c r="AY754" s="19">
        <v>1.1539139622487418</v>
      </c>
      <c r="AZ754" s="19">
        <v>-1.0661201997720824</v>
      </c>
      <c r="BA754" s="19">
        <v>1.3487642323105371</v>
      </c>
      <c r="BB754" s="19">
        <v>1.0061504901917908</v>
      </c>
      <c r="BC754" s="19">
        <v>-1.1174376390009155</v>
      </c>
      <c r="BD754" s="19">
        <v>1.0926923537139948</v>
      </c>
      <c r="BE754" s="14" t="s">
        <v>4857</v>
      </c>
    </row>
    <row r="755" spans="1:105" ht="17.100000000000001" customHeight="1">
      <c r="A755" s="31">
        <v>744</v>
      </c>
      <c r="B755" s="11" t="s">
        <v>470</v>
      </c>
      <c r="C755" s="57"/>
      <c r="D755" s="57"/>
      <c r="E755" s="57"/>
      <c r="F755" s="27"/>
      <c r="G755" s="54"/>
      <c r="H755" s="57"/>
      <c r="I755" s="57"/>
      <c r="J755" s="13"/>
      <c r="K755" s="13"/>
      <c r="L755" s="13"/>
      <c r="M755" s="13"/>
      <c r="N755" s="13"/>
      <c r="O755" s="13"/>
      <c r="P755" s="13"/>
      <c r="Q755" s="13"/>
      <c r="R755" s="22"/>
      <c r="S755" s="18"/>
      <c r="T755" s="54"/>
      <c r="U755" s="5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57"/>
      <c r="AK755" s="57"/>
      <c r="AL755" s="57"/>
      <c r="AM755" s="57"/>
      <c r="AN755" s="57"/>
      <c r="AO755" s="5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/>
      <c r="BD755" s="27"/>
      <c r="BE755" s="13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s="30" customFormat="1" ht="17.100000000000001" customHeight="1">
      <c r="A756" s="14">
        <v>745</v>
      </c>
      <c r="B756" s="14" t="s">
        <v>471</v>
      </c>
      <c r="C756" s="32">
        <v>-1.2689040376343661</v>
      </c>
      <c r="D756" s="32">
        <v>-1.7879337386082548</v>
      </c>
      <c r="E756" s="32">
        <v>1.1134481860144929</v>
      </c>
      <c r="F756" s="24">
        <v>68270.5</v>
      </c>
      <c r="G756" s="52" t="s">
        <v>2</v>
      </c>
      <c r="H756" s="32">
        <v>26.577845375123371</v>
      </c>
      <c r="I756" s="32">
        <v>18.169898841610181</v>
      </c>
      <c r="J756" s="12" t="s">
        <v>472</v>
      </c>
      <c r="K756" s="12" t="s">
        <v>473</v>
      </c>
      <c r="L756" s="14" t="s">
        <v>4967</v>
      </c>
      <c r="M756" s="12" t="s">
        <v>474</v>
      </c>
      <c r="N756" s="15" t="s">
        <v>475</v>
      </c>
      <c r="O756" s="12" t="s">
        <v>476</v>
      </c>
      <c r="P756" s="12" t="s">
        <v>477</v>
      </c>
      <c r="Q756" s="14">
        <v>2</v>
      </c>
      <c r="R756" s="21">
        <v>803.42780000000005</v>
      </c>
      <c r="S756" s="14">
        <v>2</v>
      </c>
      <c r="T756" s="52" t="s">
        <v>2</v>
      </c>
      <c r="U756" s="53">
        <v>54.617512500000004</v>
      </c>
      <c r="V756" s="24">
        <v>71895</v>
      </c>
      <c r="W756" s="24">
        <v>64646</v>
      </c>
      <c r="X756" s="24">
        <v>40157</v>
      </c>
      <c r="Y756" s="24">
        <v>51997</v>
      </c>
      <c r="Z756" s="24">
        <v>39897</v>
      </c>
      <c r="AA756" s="24">
        <v>40147</v>
      </c>
      <c r="AB756" s="24">
        <v>66696</v>
      </c>
      <c r="AC756" s="24">
        <v>59959</v>
      </c>
      <c r="AD756" s="24">
        <v>57173.75</v>
      </c>
      <c r="AE756" s="24">
        <v>51674.75</v>
      </c>
      <c r="AF756" s="24">
        <v>68270.5</v>
      </c>
      <c r="AG756" s="24">
        <v>46077</v>
      </c>
      <c r="AH756" s="24">
        <v>40022</v>
      </c>
      <c r="AI756" s="24">
        <v>63327.5</v>
      </c>
      <c r="AJ756" s="32">
        <v>24.505874106375909</v>
      </c>
      <c r="AK756" s="32">
        <v>26.577845375123371</v>
      </c>
      <c r="AL756" s="32">
        <v>7.5080994819450311</v>
      </c>
      <c r="AM756" s="32">
        <v>18.169898841610181</v>
      </c>
      <c r="AN756" s="32">
        <v>0.44169880389944755</v>
      </c>
      <c r="AO756" s="32">
        <v>7.5224482015771521</v>
      </c>
      <c r="AP756" s="19">
        <v>0.90381949758411861</v>
      </c>
      <c r="AQ756" s="19">
        <v>0.58622684761353727</v>
      </c>
      <c r="AR756" s="19">
        <v>1.374384182998025</v>
      </c>
      <c r="AS756" s="19">
        <v>-0.14589341510293269</v>
      </c>
      <c r="AT756" s="19">
        <v>-0.77046905379275588</v>
      </c>
      <c r="AU756" s="19">
        <v>0.45878533853195902</v>
      </c>
      <c r="AV756" s="19">
        <v>-0.34358296778903324</v>
      </c>
      <c r="AW756" s="19">
        <v>-0.83829327077590554</v>
      </c>
      <c r="AX756" s="19">
        <v>0.1550344242961661</v>
      </c>
      <c r="AY756" s="19">
        <v>-1.1064156091708233</v>
      </c>
      <c r="AZ756" s="19">
        <v>-1.70582429663685</v>
      </c>
      <c r="BA756" s="19">
        <v>1.374384182998025</v>
      </c>
      <c r="BB756" s="19">
        <v>-1.2689040376343661</v>
      </c>
      <c r="BC756" s="19">
        <v>-1.7879337386082548</v>
      </c>
      <c r="BD756" s="19">
        <v>1.1134481860144929</v>
      </c>
      <c r="BE756" s="14" t="s">
        <v>4857</v>
      </c>
    </row>
    <row r="757" spans="1:105" s="30" customFormat="1" ht="17.100000000000001" customHeight="1">
      <c r="A757" s="14">
        <v>746</v>
      </c>
      <c r="B757" s="14" t="s">
        <v>965</v>
      </c>
      <c r="C757" s="32">
        <v>1.1821312860226483</v>
      </c>
      <c r="D757" s="32">
        <v>-1.0247140195410902</v>
      </c>
      <c r="E757" s="32">
        <v>1.3448937088834338</v>
      </c>
      <c r="F757" s="24">
        <v>328433</v>
      </c>
      <c r="G757" s="52" t="s">
        <v>2</v>
      </c>
      <c r="H757" s="32">
        <v>38.306695264413612</v>
      </c>
      <c r="I757" s="32">
        <v>26.520298906187538</v>
      </c>
      <c r="J757" s="12" t="s">
        <v>479</v>
      </c>
      <c r="K757" s="12" t="s">
        <v>480</v>
      </c>
      <c r="L757" s="14" t="s">
        <v>5252</v>
      </c>
      <c r="M757" s="12" t="s">
        <v>481</v>
      </c>
      <c r="N757" s="15" t="s">
        <v>482</v>
      </c>
      <c r="O757" s="12" t="s">
        <v>483</v>
      </c>
      <c r="P757" s="12" t="s">
        <v>486</v>
      </c>
      <c r="Q757" s="14">
        <v>3</v>
      </c>
      <c r="R757" s="21">
        <v>852.72019999999998</v>
      </c>
      <c r="S757" s="14">
        <v>14</v>
      </c>
      <c r="T757" s="52" t="s">
        <v>2</v>
      </c>
      <c r="U757" s="53">
        <v>60.401575000000008</v>
      </c>
      <c r="V757" s="24">
        <v>182850</v>
      </c>
      <c r="W757" s="24">
        <v>178895</v>
      </c>
      <c r="X757" s="24">
        <v>188717</v>
      </c>
      <c r="Y757" s="24">
        <v>206969</v>
      </c>
      <c r="Z757" s="24">
        <v>205682</v>
      </c>
      <c r="AA757" s="24">
        <v>164331</v>
      </c>
      <c r="AB757" s="24">
        <v>266843</v>
      </c>
      <c r="AC757" s="24">
        <v>390023</v>
      </c>
      <c r="AD757" s="24">
        <v>189357.75</v>
      </c>
      <c r="AE757" s="24">
        <v>256719.75</v>
      </c>
      <c r="AF757" s="24">
        <v>180872.5</v>
      </c>
      <c r="AG757" s="24">
        <v>197843</v>
      </c>
      <c r="AH757" s="24">
        <v>185006.5</v>
      </c>
      <c r="AI757" s="24">
        <v>328433</v>
      </c>
      <c r="AJ757" s="32">
        <v>6.55630161042777</v>
      </c>
      <c r="AK757" s="32">
        <v>38.306695264413612</v>
      </c>
      <c r="AL757" s="32">
        <v>1.5461760740813533</v>
      </c>
      <c r="AM757" s="32">
        <v>6.5234114778975574</v>
      </c>
      <c r="AN757" s="32">
        <v>15.804619031679929</v>
      </c>
      <c r="AO757" s="32">
        <v>26.520298906187538</v>
      </c>
      <c r="AP757" s="19">
        <v>1.3557393346720692</v>
      </c>
      <c r="AQ757" s="19">
        <v>1.0228558791413842</v>
      </c>
      <c r="AR757" s="19">
        <v>1.6600688424659957</v>
      </c>
      <c r="AS757" s="19">
        <v>0.43907982100682813</v>
      </c>
      <c r="AT757" s="19">
        <v>3.2602883015294896E-2</v>
      </c>
      <c r="AU757" s="19">
        <v>0.73124307086431495</v>
      </c>
      <c r="AV757" s="19">
        <v>0.24139026832072757</v>
      </c>
      <c r="AW757" s="19">
        <v>-3.5221333967854811E-2</v>
      </c>
      <c r="AX757" s="19">
        <v>0.42749215662852202</v>
      </c>
      <c r="AY757" s="19">
        <v>1.3557393346720692</v>
      </c>
      <c r="AZ757" s="19">
        <v>1.0228558791413842</v>
      </c>
      <c r="BA757" s="19">
        <v>1.6600688424659957</v>
      </c>
      <c r="BB757" s="19">
        <v>1.1821312860226483</v>
      </c>
      <c r="BC757" s="19">
        <v>-1.0247140195410902</v>
      </c>
      <c r="BD757" s="19">
        <v>1.3448937088834338</v>
      </c>
      <c r="BE757" s="14" t="s">
        <v>4857</v>
      </c>
    </row>
    <row r="758" spans="1:105" s="30" customFormat="1" ht="17.100000000000001" customHeight="1">
      <c r="A758" s="14">
        <v>747</v>
      </c>
      <c r="B758" s="14" t="s">
        <v>487</v>
      </c>
      <c r="C758" s="32">
        <v>1.1694988645317372</v>
      </c>
      <c r="D758" s="32">
        <v>1.4974758137225574</v>
      </c>
      <c r="E758" s="32">
        <v>-1.0714404065719001</v>
      </c>
      <c r="F758" s="24">
        <v>77850</v>
      </c>
      <c r="G758" s="52" t="s">
        <v>2</v>
      </c>
      <c r="H758" s="32">
        <v>16.869738509132166</v>
      </c>
      <c r="I758" s="32">
        <v>24.235514677764733</v>
      </c>
      <c r="J758" s="12" t="s">
        <v>488</v>
      </c>
      <c r="K758" s="12" t="s">
        <v>489</v>
      </c>
      <c r="L758" s="14" t="s">
        <v>490</v>
      </c>
      <c r="M758" s="12" t="s">
        <v>491</v>
      </c>
      <c r="N758" s="15" t="s">
        <v>492</v>
      </c>
      <c r="O758" s="12" t="s">
        <v>493</v>
      </c>
      <c r="P758" s="12" t="s">
        <v>495</v>
      </c>
      <c r="Q758" s="14">
        <v>2</v>
      </c>
      <c r="R758" s="21">
        <v>396.2423</v>
      </c>
      <c r="S758" s="14">
        <v>1</v>
      </c>
      <c r="T758" s="52" t="s">
        <v>2</v>
      </c>
      <c r="U758" s="53">
        <v>34.200000000000003</v>
      </c>
      <c r="V758" s="24">
        <v>58100</v>
      </c>
      <c r="W758" s="24">
        <v>41100</v>
      </c>
      <c r="X758" s="24">
        <v>58100</v>
      </c>
      <c r="Y758" s="24">
        <v>61600</v>
      </c>
      <c r="Z758" s="24">
        <v>68300</v>
      </c>
      <c r="AA758" s="24">
        <v>87400</v>
      </c>
      <c r="AB758" s="24">
        <v>67500</v>
      </c>
      <c r="AC758" s="24">
        <v>70400</v>
      </c>
      <c r="AD758" s="24">
        <v>54725</v>
      </c>
      <c r="AE758" s="24">
        <v>73400</v>
      </c>
      <c r="AF758" s="24">
        <v>49600</v>
      </c>
      <c r="AG758" s="24">
        <v>59850</v>
      </c>
      <c r="AH758" s="24">
        <v>77850</v>
      </c>
      <c r="AI758" s="24">
        <v>68950</v>
      </c>
      <c r="AJ758" s="32">
        <v>16.869738509132166</v>
      </c>
      <c r="AK758" s="32">
        <v>12.824402484002464</v>
      </c>
      <c r="AL758" s="32">
        <v>24.235514677764733</v>
      </c>
      <c r="AM758" s="32">
        <v>4.1351273753599269</v>
      </c>
      <c r="AN758" s="32">
        <v>17.348413000209451</v>
      </c>
      <c r="AO758" s="32">
        <v>2.9740531768542247</v>
      </c>
      <c r="AP758" s="19">
        <v>1.3412517131110095</v>
      </c>
      <c r="AQ758" s="19">
        <v>1.5695564516129032</v>
      </c>
      <c r="AR758" s="19">
        <v>1.1520467836257311</v>
      </c>
      <c r="AS758" s="19">
        <v>0.42358001366226666</v>
      </c>
      <c r="AT758" s="19">
        <v>0.65035691869216183</v>
      </c>
      <c r="AU758" s="19">
        <v>0.20419930457047855</v>
      </c>
      <c r="AV758" s="19">
        <v>0.22589046097616611</v>
      </c>
      <c r="AW758" s="19">
        <v>0.58253270170901217</v>
      </c>
      <c r="AX758" s="19">
        <v>-9.9551609665314372E-2</v>
      </c>
      <c r="AY758" s="19">
        <v>1.3412517131110095</v>
      </c>
      <c r="AZ758" s="19">
        <v>1.5695564516129032</v>
      </c>
      <c r="BA758" s="19">
        <v>1.1520467836257311</v>
      </c>
      <c r="BB758" s="19">
        <v>1.1694988645317372</v>
      </c>
      <c r="BC758" s="19">
        <v>1.4974758137225574</v>
      </c>
      <c r="BD758" s="19">
        <v>-1.0714404065719001</v>
      </c>
      <c r="BE758" s="14" t="s">
        <v>4857</v>
      </c>
    </row>
    <row r="759" spans="1:105" s="30" customFormat="1" ht="17.100000000000001" customHeight="1">
      <c r="A759" s="14">
        <v>748</v>
      </c>
      <c r="B759" s="14" t="s">
        <v>496</v>
      </c>
      <c r="C759" s="32">
        <v>1.2782862834472031</v>
      </c>
      <c r="D759" s="32">
        <v>1.8216609575102691</v>
      </c>
      <c r="E759" s="32">
        <v>1.0184221511959937</v>
      </c>
      <c r="F759" s="42">
        <v>332500</v>
      </c>
      <c r="G759" s="52" t="s">
        <v>2</v>
      </c>
      <c r="H759" s="32">
        <v>58.798468591597185</v>
      </c>
      <c r="I759" s="32">
        <v>49.992048424152884</v>
      </c>
      <c r="J759" s="12" t="s">
        <v>497</v>
      </c>
      <c r="K759" s="12" t="s">
        <v>498</v>
      </c>
      <c r="L759" s="14" t="s">
        <v>4592</v>
      </c>
      <c r="M759" s="12" t="s">
        <v>491</v>
      </c>
      <c r="N759" s="15" t="s">
        <v>499</v>
      </c>
      <c r="O759" s="12" t="s">
        <v>493</v>
      </c>
      <c r="P759" s="12" t="s">
        <v>500</v>
      </c>
      <c r="Q759" s="14">
        <v>4</v>
      </c>
      <c r="R759" s="21">
        <v>888.43359999999996</v>
      </c>
      <c r="S759" s="14">
        <v>1</v>
      </c>
      <c r="T759" s="52" t="s">
        <v>2</v>
      </c>
      <c r="U759" s="53">
        <v>97</v>
      </c>
      <c r="V759" s="42">
        <v>91300</v>
      </c>
      <c r="W759" s="42">
        <v>158000</v>
      </c>
      <c r="X759" s="42">
        <v>358000</v>
      </c>
      <c r="Y759" s="42">
        <v>171000</v>
      </c>
      <c r="Z759" s="42">
        <v>291000</v>
      </c>
      <c r="AA759" s="42">
        <v>185000</v>
      </c>
      <c r="AB759" s="42">
        <v>385000</v>
      </c>
      <c r="AC759" s="42">
        <v>280000</v>
      </c>
      <c r="AD759" s="42">
        <v>194575</v>
      </c>
      <c r="AE759" s="42">
        <v>285250</v>
      </c>
      <c r="AF759" s="42">
        <v>124650</v>
      </c>
      <c r="AG759" s="42">
        <v>264500</v>
      </c>
      <c r="AH759" s="42">
        <v>238000</v>
      </c>
      <c r="AI759" s="42">
        <v>332500</v>
      </c>
      <c r="AJ759" s="32">
        <v>58.798468591597185</v>
      </c>
      <c r="AK759" s="32">
        <v>28.66733373781986</v>
      </c>
      <c r="AL759" s="32">
        <v>37.837161897426967</v>
      </c>
      <c r="AM759" s="32">
        <v>49.992048424152884</v>
      </c>
      <c r="AN759" s="32">
        <v>31.492991094863036</v>
      </c>
      <c r="AO759" s="32">
        <v>22.329687826943605</v>
      </c>
      <c r="AP759" s="19">
        <v>1.4660156751895157</v>
      </c>
      <c r="AQ759" s="19">
        <v>1.9093461692739671</v>
      </c>
      <c r="AR759" s="19">
        <v>1.2570888468809074</v>
      </c>
      <c r="AS759" s="19">
        <v>0.55190052939074086</v>
      </c>
      <c r="AT759" s="19">
        <v>0.93307869070380511</v>
      </c>
      <c r="AU759" s="19">
        <v>0.33008661827452623</v>
      </c>
      <c r="AV759" s="19">
        <v>0.3542109767046403</v>
      </c>
      <c r="AW759" s="19">
        <v>0.86525447372065545</v>
      </c>
      <c r="AX759" s="19">
        <v>2.633570403873331E-2</v>
      </c>
      <c r="AY759" s="19">
        <v>1.4660156751895157</v>
      </c>
      <c r="AZ759" s="19">
        <v>1.9093461692739671</v>
      </c>
      <c r="BA759" s="19">
        <v>1.2570888468809074</v>
      </c>
      <c r="BB759" s="19">
        <v>1.2782862834472031</v>
      </c>
      <c r="BC759" s="19">
        <v>1.8216609575102691</v>
      </c>
      <c r="BD759" s="19">
        <v>1.0184221511959937</v>
      </c>
      <c r="BE759" s="14" t="s">
        <v>4857</v>
      </c>
    </row>
    <row r="760" spans="1:105" s="30" customFormat="1" ht="17.100000000000001" customHeight="1">
      <c r="A760" s="14">
        <v>749</v>
      </c>
      <c r="B760" s="14" t="s">
        <v>501</v>
      </c>
      <c r="C760" s="32">
        <v>1.2672772305797271</v>
      </c>
      <c r="D760" s="32">
        <v>1.8645010563998148</v>
      </c>
      <c r="E760" s="32">
        <v>-1.0825617198651731</v>
      </c>
      <c r="F760" s="42">
        <v>299000</v>
      </c>
      <c r="G760" s="52" t="s">
        <v>2</v>
      </c>
      <c r="H760" s="32">
        <v>37.867635537189699</v>
      </c>
      <c r="I760" s="32">
        <v>58.07791195824543</v>
      </c>
      <c r="J760" s="12" t="s">
        <v>502</v>
      </c>
      <c r="K760" s="12" t="s">
        <v>503</v>
      </c>
      <c r="L760" s="14" t="s">
        <v>504</v>
      </c>
      <c r="M760" s="12" t="s">
        <v>505</v>
      </c>
      <c r="N760" s="15" t="s">
        <v>506</v>
      </c>
      <c r="O760" s="12" t="s">
        <v>507</v>
      </c>
      <c r="P760" s="12" t="s">
        <v>509</v>
      </c>
      <c r="Q760" s="14">
        <v>4</v>
      </c>
      <c r="R760" s="21">
        <v>888.43119999999999</v>
      </c>
      <c r="S760" s="14">
        <v>1</v>
      </c>
      <c r="T760" s="52" t="s">
        <v>2</v>
      </c>
      <c r="U760" s="53">
        <v>95</v>
      </c>
      <c r="V760" s="42"/>
      <c r="W760" s="42">
        <v>153000</v>
      </c>
      <c r="X760" s="42">
        <v>201000</v>
      </c>
      <c r="Y760" s="42">
        <v>177000</v>
      </c>
      <c r="Z760" s="42">
        <v>245000</v>
      </c>
      <c r="AA760" s="42">
        <v>353000</v>
      </c>
      <c r="AB760" s="42">
        <v>304000</v>
      </c>
      <c r="AC760" s="42">
        <v>127000</v>
      </c>
      <c r="AD760" s="42">
        <v>177000</v>
      </c>
      <c r="AE760" s="42">
        <v>257250</v>
      </c>
      <c r="AF760" s="42">
        <v>153000</v>
      </c>
      <c r="AG760" s="42">
        <v>189000</v>
      </c>
      <c r="AH760" s="42">
        <v>299000</v>
      </c>
      <c r="AI760" s="42">
        <v>215500</v>
      </c>
      <c r="AJ760" s="32">
        <v>13.559322033898304</v>
      </c>
      <c r="AK760" s="32">
        <v>37.867635537189699</v>
      </c>
      <c r="AL760" s="32" t="s">
        <v>4854</v>
      </c>
      <c r="AM760" s="32">
        <v>8.9791337293529843</v>
      </c>
      <c r="AN760" s="32">
        <v>25.540980725132822</v>
      </c>
      <c r="AO760" s="32">
        <v>58.07791195824543</v>
      </c>
      <c r="AP760" s="19">
        <v>1.4533898305084745</v>
      </c>
      <c r="AQ760" s="19">
        <v>1.9542483660130718</v>
      </c>
      <c r="AR760" s="19">
        <v>1.1402116402116402</v>
      </c>
      <c r="AS760" s="19">
        <v>0.53942171681097095</v>
      </c>
      <c r="AT760" s="19">
        <v>0.96661383150545321</v>
      </c>
      <c r="AU760" s="19">
        <v>0.18930163486802554</v>
      </c>
      <c r="AV760" s="19">
        <v>0.3417321641248704</v>
      </c>
      <c r="AW760" s="19">
        <v>0.89878961452230355</v>
      </c>
      <c r="AX760" s="19">
        <v>-0.11444927936776739</v>
      </c>
      <c r="AY760" s="19">
        <v>1.4533898305084745</v>
      </c>
      <c r="AZ760" s="19">
        <v>1.9542483660130718</v>
      </c>
      <c r="BA760" s="19">
        <v>1.1402116402116402</v>
      </c>
      <c r="BB760" s="19">
        <v>1.2672772305797271</v>
      </c>
      <c r="BC760" s="19">
        <v>1.8645010563998148</v>
      </c>
      <c r="BD760" s="19">
        <v>-1.0825617198651731</v>
      </c>
      <c r="BE760" s="14" t="s">
        <v>4857</v>
      </c>
    </row>
    <row r="761" spans="1:105" s="30" customFormat="1" ht="17.100000000000001" customHeight="1">
      <c r="A761" s="14">
        <v>750</v>
      </c>
      <c r="B761" s="14" t="s">
        <v>510</v>
      </c>
      <c r="C761" s="32">
        <v>-1.2129447969672742</v>
      </c>
      <c r="D761" s="32">
        <v>-1.2013518532096552</v>
      </c>
      <c r="E761" s="32">
        <v>-1.1991341475486919</v>
      </c>
      <c r="F761" s="24">
        <v>52000.5</v>
      </c>
      <c r="G761" s="52" t="s">
        <v>2</v>
      </c>
      <c r="H761" s="32">
        <v>17.849155437845795</v>
      </c>
      <c r="I761" s="32">
        <v>29.34805484314009</v>
      </c>
      <c r="J761" s="12" t="s">
        <v>511</v>
      </c>
      <c r="K761" s="12" t="s">
        <v>512</v>
      </c>
      <c r="L761" s="14" t="s">
        <v>5088</v>
      </c>
      <c r="M761" s="12" t="s">
        <v>513</v>
      </c>
      <c r="N761" s="15" t="s">
        <v>514</v>
      </c>
      <c r="O761" s="12" t="s">
        <v>515</v>
      </c>
      <c r="P761" s="12" t="s">
        <v>516</v>
      </c>
      <c r="Q761" s="14">
        <v>2</v>
      </c>
      <c r="R761" s="21">
        <v>711.8433</v>
      </c>
      <c r="S761" s="14">
        <v>3</v>
      </c>
      <c r="T761" s="52" t="s">
        <v>2</v>
      </c>
      <c r="U761" s="53">
        <v>33.543300000000002</v>
      </c>
      <c r="V761" s="24">
        <v>50894</v>
      </c>
      <c r="W761" s="24">
        <v>53107</v>
      </c>
      <c r="X761" s="24">
        <v>40834</v>
      </c>
      <c r="Y761" s="24">
        <v>49777</v>
      </c>
      <c r="Z761" s="24">
        <v>47950</v>
      </c>
      <c r="AA761" s="24">
        <v>42787</v>
      </c>
      <c r="AB761" s="24">
        <v>56314</v>
      </c>
      <c r="AC761" s="24">
        <v>36958</v>
      </c>
      <c r="AD761" s="24">
        <v>48653</v>
      </c>
      <c r="AE761" s="24">
        <v>46002.25</v>
      </c>
      <c r="AF761" s="24">
        <v>52000.5</v>
      </c>
      <c r="AG761" s="24">
        <v>45305.5</v>
      </c>
      <c r="AH761" s="24">
        <v>45368.5</v>
      </c>
      <c r="AI761" s="24">
        <v>46636</v>
      </c>
      <c r="AJ761" s="32">
        <v>11.085063456996142</v>
      </c>
      <c r="AK761" s="32">
        <v>17.849155437845795</v>
      </c>
      <c r="AL761" s="32">
        <v>3.0092543471040272</v>
      </c>
      <c r="AM761" s="32">
        <v>13.957810738544534</v>
      </c>
      <c r="AN761" s="32">
        <v>8.0469760103731556</v>
      </c>
      <c r="AO761" s="32">
        <v>29.34805484314009</v>
      </c>
      <c r="AP761" s="19">
        <v>0.94551723429182166</v>
      </c>
      <c r="AQ761" s="19">
        <v>0.87246276478110785</v>
      </c>
      <c r="AR761" s="19">
        <v>1.0293672953614903</v>
      </c>
      <c r="AS761" s="19">
        <v>-8.0824339937347361E-2</v>
      </c>
      <c r="AT761" s="19">
        <v>-0.19683453400856216</v>
      </c>
      <c r="AU761" s="19">
        <v>4.1757851665905017E-2</v>
      </c>
      <c r="AV761" s="19">
        <v>-0.27851389262344795</v>
      </c>
      <c r="AW761" s="19">
        <v>-0.26465875099171188</v>
      </c>
      <c r="AX761" s="19">
        <v>-0.26199306256988791</v>
      </c>
      <c r="AY761" s="19">
        <v>-1.0576221815237299</v>
      </c>
      <c r="AZ761" s="19">
        <v>-1.1461807201031553</v>
      </c>
      <c r="BA761" s="19">
        <v>1.0293672953614903</v>
      </c>
      <c r="BB761" s="19">
        <v>-1.2129447969672742</v>
      </c>
      <c r="BC761" s="19">
        <v>-1.2013518532096552</v>
      </c>
      <c r="BD761" s="19">
        <v>-1.1991341475486919</v>
      </c>
      <c r="BE761" s="14" t="s">
        <v>4857</v>
      </c>
    </row>
    <row r="762" spans="1:105" s="30" customFormat="1" ht="17.100000000000001" customHeight="1">
      <c r="A762" s="14">
        <v>751</v>
      </c>
      <c r="B762" s="14" t="s">
        <v>518</v>
      </c>
      <c r="C762" s="32">
        <v>1.1062403439055211</v>
      </c>
      <c r="D762" s="32">
        <v>1.0311856416998868</v>
      </c>
      <c r="E762" s="32">
        <v>1.1700156149158716</v>
      </c>
      <c r="F762" s="24">
        <v>330734.5</v>
      </c>
      <c r="G762" s="52" t="s">
        <v>2</v>
      </c>
      <c r="H762" s="32">
        <v>21.934028388781226</v>
      </c>
      <c r="I762" s="32">
        <v>26.38718749971995</v>
      </c>
      <c r="J762" s="12" t="s">
        <v>519</v>
      </c>
      <c r="K762" s="12" t="s">
        <v>519</v>
      </c>
      <c r="L762" s="14" t="s">
        <v>554</v>
      </c>
      <c r="M762" s="12" t="s">
        <v>520</v>
      </c>
      <c r="N762" s="15" t="s">
        <v>521</v>
      </c>
      <c r="O762" s="12" t="s">
        <v>398</v>
      </c>
      <c r="P762" s="12" t="s">
        <v>399</v>
      </c>
      <c r="Q762" s="14">
        <v>3</v>
      </c>
      <c r="R762" s="21">
        <v>524.31029999999998</v>
      </c>
      <c r="S762" s="14">
        <v>2</v>
      </c>
      <c r="T762" s="52" t="s">
        <v>2</v>
      </c>
      <c r="U762" s="53">
        <v>28.044162499999995</v>
      </c>
      <c r="V762" s="24">
        <v>220029</v>
      </c>
      <c r="W762" s="24">
        <v>207815</v>
      </c>
      <c r="X762" s="24">
        <v>186278</v>
      </c>
      <c r="Y762" s="24">
        <v>271737</v>
      </c>
      <c r="Z762" s="24">
        <v>214613</v>
      </c>
      <c r="AA762" s="24">
        <v>247810</v>
      </c>
      <c r="AB762" s="24">
        <v>352396</v>
      </c>
      <c r="AC762" s="24">
        <v>309073</v>
      </c>
      <c r="AD762" s="24">
        <v>221464.75</v>
      </c>
      <c r="AE762" s="24">
        <v>280973</v>
      </c>
      <c r="AF762" s="24">
        <v>213922</v>
      </c>
      <c r="AG762" s="24">
        <v>229007.5</v>
      </c>
      <c r="AH762" s="24">
        <v>231211.5</v>
      </c>
      <c r="AI762" s="24">
        <v>330734.5</v>
      </c>
      <c r="AJ762" s="32">
        <v>16.392349580342703</v>
      </c>
      <c r="AK762" s="32">
        <v>21.934028388781226</v>
      </c>
      <c r="AL762" s="32">
        <v>4.0372669596453337</v>
      </c>
      <c r="AM762" s="32">
        <v>26.38718749971995</v>
      </c>
      <c r="AN762" s="32">
        <v>10.152532990378859</v>
      </c>
      <c r="AO762" s="32">
        <v>9.2624105079285055</v>
      </c>
      <c r="AP762" s="19">
        <v>1.268703032875435</v>
      </c>
      <c r="AQ762" s="19">
        <v>1.0808215143837474</v>
      </c>
      <c r="AR762" s="19">
        <v>1.4442081591214262</v>
      </c>
      <c r="AS762" s="19">
        <v>0.34335441501356101</v>
      </c>
      <c r="AT762" s="19">
        <v>0.11212829774978846</v>
      </c>
      <c r="AU762" s="19">
        <v>0.5302786982422214</v>
      </c>
      <c r="AV762" s="19">
        <v>0.14566486232746045</v>
      </c>
      <c r="AW762" s="19">
        <v>4.4304080766638748E-2</v>
      </c>
      <c r="AX762" s="19">
        <v>0.22652778400642848</v>
      </c>
      <c r="AY762" s="19">
        <v>1.268703032875435</v>
      </c>
      <c r="AZ762" s="19">
        <v>1.0808215143837474</v>
      </c>
      <c r="BA762" s="19">
        <v>1.4442081591214262</v>
      </c>
      <c r="BB762" s="19">
        <v>1.1062403439055211</v>
      </c>
      <c r="BC762" s="19">
        <v>1.0311856416998868</v>
      </c>
      <c r="BD762" s="19">
        <v>1.1700156149158716</v>
      </c>
      <c r="BE762" s="14" t="s">
        <v>4857</v>
      </c>
    </row>
    <row r="763" spans="1:105" s="30" customFormat="1" ht="17.100000000000001" customHeight="1">
      <c r="A763" s="14">
        <v>752</v>
      </c>
      <c r="B763" s="14" t="s">
        <v>400</v>
      </c>
      <c r="C763" s="32" t="s">
        <v>5330</v>
      </c>
      <c r="D763" s="32" t="s">
        <v>5330</v>
      </c>
      <c r="E763" s="32" t="s">
        <v>5330</v>
      </c>
      <c r="F763" s="42">
        <v>20466.5</v>
      </c>
      <c r="G763" s="52" t="s">
        <v>2</v>
      </c>
      <c r="H763" s="32">
        <v>20.498202099918338</v>
      </c>
      <c r="I763" s="32">
        <v>20.498202099918338</v>
      </c>
      <c r="J763" s="12" t="s">
        <v>401</v>
      </c>
      <c r="K763" s="12" t="s">
        <v>402</v>
      </c>
      <c r="L763" s="14" t="s">
        <v>403</v>
      </c>
      <c r="M763" s="12" t="s">
        <v>404</v>
      </c>
      <c r="N763" s="15" t="s">
        <v>405</v>
      </c>
      <c r="O763" s="12" t="s">
        <v>406</v>
      </c>
      <c r="P763" s="12" t="s">
        <v>408</v>
      </c>
      <c r="Q763" s="14">
        <v>2</v>
      </c>
      <c r="R763" s="21">
        <v>564.33019999999999</v>
      </c>
      <c r="S763" s="14">
        <v>1</v>
      </c>
      <c r="T763" s="52" t="s">
        <v>2</v>
      </c>
      <c r="U763" s="53">
        <v>29.412166666666664</v>
      </c>
      <c r="V763" s="42"/>
      <c r="W763" s="42"/>
      <c r="X763" s="42"/>
      <c r="Y763" s="42"/>
      <c r="Z763" s="42"/>
      <c r="AA763" s="42"/>
      <c r="AB763" s="42">
        <v>23433</v>
      </c>
      <c r="AC763" s="42">
        <v>17500</v>
      </c>
      <c r="AD763" s="42" t="s">
        <v>4854</v>
      </c>
      <c r="AE763" s="42">
        <v>20466.5</v>
      </c>
      <c r="AF763" s="42" t="s">
        <v>4854</v>
      </c>
      <c r="AG763" s="42" t="s">
        <v>4854</v>
      </c>
      <c r="AH763" s="42" t="s">
        <v>4854</v>
      </c>
      <c r="AI763" s="42">
        <v>20466.5</v>
      </c>
      <c r="AJ763" s="32" t="s">
        <v>4854</v>
      </c>
      <c r="AK763" s="32">
        <v>20.498202099918338</v>
      </c>
      <c r="AL763" s="32" t="s">
        <v>4854</v>
      </c>
      <c r="AM763" s="32" t="s">
        <v>4854</v>
      </c>
      <c r="AN763" s="32" t="s">
        <v>4854</v>
      </c>
      <c r="AO763" s="32">
        <v>20.498202099918338</v>
      </c>
      <c r="AP763" s="19" t="s">
        <v>4854</v>
      </c>
      <c r="AQ763" s="19" t="s">
        <v>4854</v>
      </c>
      <c r="AR763" s="19" t="s">
        <v>4854</v>
      </c>
      <c r="AS763" s="19" t="s">
        <v>4854</v>
      </c>
      <c r="AT763" s="19" t="s">
        <v>4854</v>
      </c>
      <c r="AU763" s="19" t="s">
        <v>4854</v>
      </c>
      <c r="AV763" s="19" t="s">
        <v>4854</v>
      </c>
      <c r="AW763" s="19" t="s">
        <v>4854</v>
      </c>
      <c r="AX763" s="19" t="s">
        <v>4854</v>
      </c>
      <c r="AY763" s="19" t="s">
        <v>4854</v>
      </c>
      <c r="AZ763" s="19" t="s">
        <v>4854</v>
      </c>
      <c r="BA763" s="19" t="s">
        <v>4854</v>
      </c>
      <c r="BB763" s="19" t="s">
        <v>4854</v>
      </c>
      <c r="BC763" s="19" t="s">
        <v>4854</v>
      </c>
      <c r="BD763" s="19" t="s">
        <v>4854</v>
      </c>
      <c r="BE763" s="14" t="s">
        <v>4857</v>
      </c>
    </row>
    <row r="764" spans="1:105" s="30" customFormat="1" ht="17.100000000000001" customHeight="1">
      <c r="A764" s="14">
        <v>753</v>
      </c>
      <c r="B764" s="14" t="s">
        <v>409</v>
      </c>
      <c r="C764" s="32">
        <v>-1.1383640561194512</v>
      </c>
      <c r="D764" s="32">
        <v>-1.6826027803553651</v>
      </c>
      <c r="E764" s="32">
        <v>1.2011241571063072</v>
      </c>
      <c r="F764" s="42">
        <v>1136780</v>
      </c>
      <c r="G764" s="52" t="s">
        <v>4894</v>
      </c>
      <c r="H764" s="32">
        <v>38.597256620642497</v>
      </c>
      <c r="I764" s="32">
        <v>23.00924727828162</v>
      </c>
      <c r="J764" s="12" t="s">
        <v>410</v>
      </c>
      <c r="K764" s="12" t="s">
        <v>411</v>
      </c>
      <c r="L764" s="14" t="s">
        <v>2915</v>
      </c>
      <c r="M764" s="12" t="s">
        <v>412</v>
      </c>
      <c r="N764" s="15" t="s">
        <v>413</v>
      </c>
      <c r="O764" s="12" t="s">
        <v>414</v>
      </c>
      <c r="P764" s="12" t="s">
        <v>415</v>
      </c>
      <c r="Q764" s="14">
        <v>2</v>
      </c>
      <c r="R764" s="21">
        <v>882.45519999999999</v>
      </c>
      <c r="S764" s="14">
        <v>1</v>
      </c>
      <c r="T764" s="52" t="s">
        <v>4894</v>
      </c>
      <c r="U764" s="53">
        <v>53.2</v>
      </c>
      <c r="V764" s="42">
        <v>1101546</v>
      </c>
      <c r="W764" s="42">
        <v>793261</v>
      </c>
      <c r="X764" s="42">
        <v>809772</v>
      </c>
      <c r="Y764" s="42">
        <v>723716</v>
      </c>
      <c r="Z764" s="42">
        <v>655965</v>
      </c>
      <c r="AA764" s="42">
        <v>524357</v>
      </c>
      <c r="AB764" s="42">
        <v>1023277</v>
      </c>
      <c r="AC764" s="42">
        <v>1250283</v>
      </c>
      <c r="AD764" s="42">
        <v>857073.75</v>
      </c>
      <c r="AE764" s="42">
        <v>863470.5</v>
      </c>
      <c r="AF764" s="42">
        <v>947403.5</v>
      </c>
      <c r="AG764" s="42">
        <v>766744</v>
      </c>
      <c r="AH764" s="42">
        <v>590161</v>
      </c>
      <c r="AI764" s="42">
        <v>1136780</v>
      </c>
      <c r="AJ764" s="32">
        <v>19.507422247888659</v>
      </c>
      <c r="AK764" s="32">
        <v>38.597256620642497</v>
      </c>
      <c r="AL764" s="32">
        <v>23.00924727828162</v>
      </c>
      <c r="AM764" s="32">
        <v>7.9362578855249648</v>
      </c>
      <c r="AN764" s="32">
        <v>15.768732474426326</v>
      </c>
      <c r="AO764" s="32">
        <v>14.120364711732561</v>
      </c>
      <c r="AP764" s="19">
        <v>1.0074634767428123</v>
      </c>
      <c r="AQ764" s="19">
        <v>0.62292465670646135</v>
      </c>
      <c r="AR764" s="19">
        <v>1.4826069718184949</v>
      </c>
      <c r="AS764" s="19">
        <v>1.0727538130789008E-2</v>
      </c>
      <c r="AT764" s="19">
        <v>-0.68287041633986856</v>
      </c>
      <c r="AU764" s="19">
        <v>0.56813620065287196</v>
      </c>
      <c r="AV764" s="19">
        <v>-0.18696201455531156</v>
      </c>
      <c r="AW764" s="19">
        <v>-0.75069463332301822</v>
      </c>
      <c r="AX764" s="19">
        <v>0.26438528641707904</v>
      </c>
      <c r="AY764" s="19">
        <v>1.0074634767428123</v>
      </c>
      <c r="AZ764" s="19">
        <v>-1.6053305792826027</v>
      </c>
      <c r="BA764" s="19">
        <v>1.4826069718184949</v>
      </c>
      <c r="BB764" s="19">
        <v>-1.1383640561194512</v>
      </c>
      <c r="BC764" s="19">
        <v>-1.6826027803553651</v>
      </c>
      <c r="BD764" s="19">
        <v>1.2011241571063072</v>
      </c>
      <c r="BE764" s="14" t="s">
        <v>4857</v>
      </c>
    </row>
    <row r="765" spans="1:105" s="30" customFormat="1" ht="17.100000000000001" customHeight="1">
      <c r="A765" s="14">
        <v>754</v>
      </c>
      <c r="B765" s="14" t="s">
        <v>416</v>
      </c>
      <c r="C765" s="32">
        <v>1.0995800684758774</v>
      </c>
      <c r="D765" s="32">
        <v>1.2977421118353138</v>
      </c>
      <c r="E765" s="32">
        <v>-1.0569112417155142</v>
      </c>
      <c r="F765" s="24">
        <v>25559</v>
      </c>
      <c r="G765" s="52" t="s">
        <v>2</v>
      </c>
      <c r="H765" s="32">
        <v>27.88881945359795</v>
      </c>
      <c r="I765" s="32">
        <v>48.886806007385324</v>
      </c>
      <c r="J765" s="12" t="s">
        <v>417</v>
      </c>
      <c r="K765" s="12" t="s">
        <v>418</v>
      </c>
      <c r="L765" s="14" t="s">
        <v>4088</v>
      </c>
      <c r="M765" s="12" t="s">
        <v>419</v>
      </c>
      <c r="N765" s="15" t="s">
        <v>420</v>
      </c>
      <c r="O765" s="12" t="s">
        <v>421</v>
      </c>
      <c r="P765" s="12" t="s">
        <v>422</v>
      </c>
      <c r="Q765" s="14">
        <v>2</v>
      </c>
      <c r="R765" s="21">
        <v>463.77449999999999</v>
      </c>
      <c r="S765" s="14">
        <v>1</v>
      </c>
      <c r="T765" s="52" t="s">
        <v>2</v>
      </c>
      <c r="U765" s="53">
        <v>35.157487500000002</v>
      </c>
      <c r="V765" s="24">
        <v>15904</v>
      </c>
      <c r="W765" s="24">
        <v>21677</v>
      </c>
      <c r="X765" s="24">
        <v>20014</v>
      </c>
      <c r="Y765" s="24">
        <v>19972</v>
      </c>
      <c r="Z765" s="24">
        <v>27035</v>
      </c>
      <c r="AA765" s="24">
        <v>24083</v>
      </c>
      <c r="AB765" s="24">
        <v>31421</v>
      </c>
      <c r="AC765" s="24">
        <v>15278</v>
      </c>
      <c r="AD765" s="24">
        <v>19391.75</v>
      </c>
      <c r="AE765" s="24">
        <v>24454.25</v>
      </c>
      <c r="AF765" s="24">
        <v>18790.5</v>
      </c>
      <c r="AG765" s="24">
        <v>19993</v>
      </c>
      <c r="AH765" s="24">
        <v>25559</v>
      </c>
      <c r="AI765" s="24">
        <v>23349.5</v>
      </c>
      <c r="AJ765" s="32">
        <v>12.670373604092989</v>
      </c>
      <c r="AK765" s="32">
        <v>27.88881945359795</v>
      </c>
      <c r="AL765" s="32">
        <v>21.724421637476059</v>
      </c>
      <c r="AM765" s="32">
        <v>0.14854441459428297</v>
      </c>
      <c r="AN765" s="32">
        <v>8.1669048791528951</v>
      </c>
      <c r="AO765" s="32">
        <v>48.886806007385324</v>
      </c>
      <c r="AP765" s="19">
        <v>1.2610646279990203</v>
      </c>
      <c r="AQ765" s="19">
        <v>1.3602086160559856</v>
      </c>
      <c r="AR765" s="19">
        <v>1.1678837593157605</v>
      </c>
      <c r="AS765" s="19">
        <v>0.33464221389330945</v>
      </c>
      <c r="AT765" s="19">
        <v>0.44382793549643129</v>
      </c>
      <c r="AU765" s="19">
        <v>0.22389668842675245</v>
      </c>
      <c r="AV765" s="19">
        <v>0.13695266120720889</v>
      </c>
      <c r="AW765" s="19">
        <v>0.37600371851328157</v>
      </c>
      <c r="AX765" s="19">
        <v>-7.9854225809040474E-2</v>
      </c>
      <c r="AY765" s="19">
        <v>1.2610646279990203</v>
      </c>
      <c r="AZ765" s="19">
        <v>1.3602086160559856</v>
      </c>
      <c r="BA765" s="19">
        <v>1.1678837593157605</v>
      </c>
      <c r="BB765" s="19">
        <v>1.0995800684758774</v>
      </c>
      <c r="BC765" s="19">
        <v>1.2977421118353138</v>
      </c>
      <c r="BD765" s="19">
        <v>-1.0569112417155142</v>
      </c>
      <c r="BE765" s="14" t="s">
        <v>4857</v>
      </c>
    </row>
    <row r="766" spans="1:105" s="30" customFormat="1" ht="17.100000000000001" customHeight="1">
      <c r="A766" s="14">
        <v>755</v>
      </c>
      <c r="B766" s="14" t="s">
        <v>423</v>
      </c>
      <c r="C766" s="32">
        <v>1.2019143886786605</v>
      </c>
      <c r="D766" s="32">
        <v>1.2468035910365896</v>
      </c>
      <c r="E766" s="32">
        <v>1.170843194850641</v>
      </c>
      <c r="F766" s="24">
        <v>204500</v>
      </c>
      <c r="G766" s="52" t="s">
        <v>2</v>
      </c>
      <c r="H766" s="32">
        <v>14.755896091104081</v>
      </c>
      <c r="I766" s="32">
        <v>15.166928060233195</v>
      </c>
      <c r="J766" s="12" t="s">
        <v>424</v>
      </c>
      <c r="K766" s="12" t="s">
        <v>425</v>
      </c>
      <c r="L766" s="14" t="s">
        <v>4863</v>
      </c>
      <c r="M766" s="12" t="s">
        <v>426</v>
      </c>
      <c r="N766" s="15" t="s">
        <v>427</v>
      </c>
      <c r="O766" s="12" t="s">
        <v>428</v>
      </c>
      <c r="P766" s="12" t="s">
        <v>429</v>
      </c>
      <c r="Q766" s="14">
        <v>2</v>
      </c>
      <c r="R766" s="21">
        <v>432.75049999999999</v>
      </c>
      <c r="S766" s="14">
        <v>2</v>
      </c>
      <c r="T766" s="52" t="s">
        <v>2</v>
      </c>
      <c r="U766" s="53">
        <v>31.97</v>
      </c>
      <c r="V766" s="24">
        <v>144000</v>
      </c>
      <c r="W766" s="24">
        <v>120000</v>
      </c>
      <c r="X766" s="24">
        <v>142000</v>
      </c>
      <c r="Y766" s="24">
        <v>141000</v>
      </c>
      <c r="Z766" s="24">
        <v>191000</v>
      </c>
      <c r="AA766" s="24">
        <v>154000</v>
      </c>
      <c r="AB766" s="24">
        <v>187000</v>
      </c>
      <c r="AC766" s="24">
        <v>222000</v>
      </c>
      <c r="AD766" s="24">
        <v>136750</v>
      </c>
      <c r="AE766" s="24">
        <v>188500</v>
      </c>
      <c r="AF766" s="24">
        <v>132000</v>
      </c>
      <c r="AG766" s="24">
        <v>141500</v>
      </c>
      <c r="AH766" s="24">
        <v>172500</v>
      </c>
      <c r="AI766" s="24">
        <v>204500</v>
      </c>
      <c r="AJ766" s="32">
        <v>8.2165283562136118</v>
      </c>
      <c r="AK766" s="32">
        <v>14.755896091104081</v>
      </c>
      <c r="AL766" s="32">
        <v>12.856486930664499</v>
      </c>
      <c r="AM766" s="32">
        <v>0.49972210684561663</v>
      </c>
      <c r="AN766" s="32">
        <v>15.166928060233195</v>
      </c>
      <c r="AO766" s="32">
        <v>12.102072049647512</v>
      </c>
      <c r="AP766" s="19">
        <v>1.3784277879341864</v>
      </c>
      <c r="AQ766" s="19">
        <v>1.3068181818181819</v>
      </c>
      <c r="AR766" s="19">
        <v>1.4452296819787986</v>
      </c>
      <c r="AS766" s="19">
        <v>0.46302369047610764</v>
      </c>
      <c r="AT766" s="19">
        <v>0.38605843230707804</v>
      </c>
      <c r="AU766" s="19">
        <v>0.53129879010986658</v>
      </c>
      <c r="AV766" s="19">
        <v>0.26533413779000709</v>
      </c>
      <c r="AW766" s="19">
        <v>0.31823421532392832</v>
      </c>
      <c r="AX766" s="19">
        <v>0.22754787587407366</v>
      </c>
      <c r="AY766" s="19">
        <v>1.3784277879341864</v>
      </c>
      <c r="AZ766" s="19">
        <v>1.3068181818181819</v>
      </c>
      <c r="BA766" s="19">
        <v>1.4452296819787986</v>
      </c>
      <c r="BB766" s="19">
        <v>1.2019143886786605</v>
      </c>
      <c r="BC766" s="19">
        <v>1.2468035910365896</v>
      </c>
      <c r="BD766" s="19">
        <v>1.170843194850641</v>
      </c>
      <c r="BE766" s="14" t="s">
        <v>4857</v>
      </c>
    </row>
    <row r="767" spans="1:105" s="30" customFormat="1" ht="17.100000000000001" customHeight="1">
      <c r="A767" s="14">
        <v>756</v>
      </c>
      <c r="B767" s="14" t="s">
        <v>438</v>
      </c>
      <c r="C767" s="32">
        <v>1.9571895407403539</v>
      </c>
      <c r="D767" s="32">
        <v>18.798150724430648</v>
      </c>
      <c r="E767" s="32">
        <v>1.3746165847183676</v>
      </c>
      <c r="F767" s="42">
        <v>31511604</v>
      </c>
      <c r="G767" s="52" t="s">
        <v>4894</v>
      </c>
      <c r="H767" s="32">
        <v>108.50798924494465</v>
      </c>
      <c r="I767" s="32">
        <v>19.159761712872442</v>
      </c>
      <c r="J767" s="12" t="s">
        <v>439</v>
      </c>
      <c r="K767" s="12" t="s">
        <v>439</v>
      </c>
      <c r="L767" s="14" t="s">
        <v>4270</v>
      </c>
      <c r="M767" s="12" t="s">
        <v>433</v>
      </c>
      <c r="N767" s="15" t="s">
        <v>440</v>
      </c>
      <c r="O767" s="12" t="s">
        <v>435</v>
      </c>
      <c r="P767" s="12" t="s">
        <v>441</v>
      </c>
      <c r="Q767" s="14">
        <v>2</v>
      </c>
      <c r="R767" s="21">
        <v>724.90409999999997</v>
      </c>
      <c r="S767" s="14">
        <v>15</v>
      </c>
      <c r="T767" s="52" t="s">
        <v>4894</v>
      </c>
      <c r="U767" s="53">
        <v>58.242800000000003</v>
      </c>
      <c r="V767" s="42">
        <v>661760</v>
      </c>
      <c r="W767" s="42">
        <v>503844</v>
      </c>
      <c r="X767" s="42">
        <v>18139636</v>
      </c>
      <c r="Y767" s="42">
        <v>19003690</v>
      </c>
      <c r="Z767" s="42">
        <v>11535323</v>
      </c>
      <c r="AA767" s="42">
        <v>11430567</v>
      </c>
      <c r="AB767" s="42">
        <v>31370844</v>
      </c>
      <c r="AC767" s="42">
        <v>31652364</v>
      </c>
      <c r="AD767" s="42">
        <v>9577232.5</v>
      </c>
      <c r="AE767" s="42">
        <v>21497274.5</v>
      </c>
      <c r="AF767" s="42">
        <v>582802</v>
      </c>
      <c r="AG767" s="42">
        <v>18571663</v>
      </c>
      <c r="AH767" s="42">
        <v>11482945</v>
      </c>
      <c r="AI767" s="42">
        <v>31511604</v>
      </c>
      <c r="AJ767" s="32">
        <v>108.50798924494465</v>
      </c>
      <c r="AK767" s="32">
        <v>53.793804767195311</v>
      </c>
      <c r="AL767" s="32">
        <v>19.159761712872442</v>
      </c>
      <c r="AM767" s="32">
        <v>3.2898423943583355</v>
      </c>
      <c r="AN767" s="32">
        <v>0.64507561405177827</v>
      </c>
      <c r="AO767" s="32">
        <v>0.63171871872862095</v>
      </c>
      <c r="AP767" s="19">
        <v>2.2446228072671306</v>
      </c>
      <c r="AQ767" s="19">
        <v>19.70299518532881</v>
      </c>
      <c r="AR767" s="19">
        <v>1.6967572586256816</v>
      </c>
      <c r="AS767" s="19">
        <v>1.1664730307994373</v>
      </c>
      <c r="AT767" s="19">
        <v>4.3003430550543449</v>
      </c>
      <c r="AU767" s="19">
        <v>0.76278018490059707</v>
      </c>
      <c r="AV767" s="19">
        <v>0.96878347811333676</v>
      </c>
      <c r="AW767" s="19">
        <v>4.2325188380711953</v>
      </c>
      <c r="AX767" s="19">
        <v>0.45902927066480415</v>
      </c>
      <c r="AY767" s="19">
        <v>2.2446228072671306</v>
      </c>
      <c r="AZ767" s="19">
        <v>19.70299518532881</v>
      </c>
      <c r="BA767" s="19">
        <v>1.6967572586256816</v>
      </c>
      <c r="BB767" s="19">
        <v>1.9571895407403539</v>
      </c>
      <c r="BC767" s="19">
        <v>18.798150724430648</v>
      </c>
      <c r="BD767" s="19">
        <v>1.3746165847183676</v>
      </c>
      <c r="BE767" s="14" t="s">
        <v>4857</v>
      </c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T767" s="28"/>
      <c r="BU767" s="28"/>
      <c r="BV767" s="28"/>
      <c r="BW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</row>
    <row r="768" spans="1:105" s="30" customFormat="1" ht="17.100000000000001" customHeight="1">
      <c r="A768" s="14">
        <v>757</v>
      </c>
      <c r="B768" s="14" t="s">
        <v>445</v>
      </c>
      <c r="C768" s="32">
        <v>1.1206777328406865</v>
      </c>
      <c r="D768" s="32">
        <v>-1.2183920025307242</v>
      </c>
      <c r="E768" s="32">
        <v>1.4865290936893447</v>
      </c>
      <c r="F768" s="24">
        <v>101934</v>
      </c>
      <c r="G768" s="52" t="s">
        <v>2</v>
      </c>
      <c r="H768" s="32">
        <v>34.065419834050594</v>
      </c>
      <c r="I768" s="32">
        <v>36.322669831098636</v>
      </c>
      <c r="J768" s="12" t="s">
        <v>431</v>
      </c>
      <c r="K768" s="12" t="s">
        <v>432</v>
      </c>
      <c r="L768" s="14" t="s">
        <v>5119</v>
      </c>
      <c r="M768" s="12" t="s">
        <v>433</v>
      </c>
      <c r="N768" s="15" t="s">
        <v>434</v>
      </c>
      <c r="O768" s="12" t="s">
        <v>435</v>
      </c>
      <c r="P768" s="12" t="s">
        <v>446</v>
      </c>
      <c r="Q768" s="14">
        <v>3</v>
      </c>
      <c r="R768" s="21">
        <v>872.08330000000001</v>
      </c>
      <c r="S768" s="14">
        <v>2</v>
      </c>
      <c r="T768" s="52" t="s">
        <v>2</v>
      </c>
      <c r="U768" s="53">
        <v>70.521549999999991</v>
      </c>
      <c r="V768" s="24">
        <v>58345</v>
      </c>
      <c r="W768" s="24">
        <v>85344</v>
      </c>
      <c r="X768" s="24">
        <v>54715</v>
      </c>
      <c r="Y768" s="24">
        <v>56391</v>
      </c>
      <c r="Z768" s="24">
        <v>77679</v>
      </c>
      <c r="AA768" s="24">
        <v>45931</v>
      </c>
      <c r="AB768" s="24">
        <v>91467</v>
      </c>
      <c r="AC768" s="24">
        <v>112401</v>
      </c>
      <c r="AD768" s="24">
        <v>63698.75</v>
      </c>
      <c r="AE768" s="24">
        <v>81869.5</v>
      </c>
      <c r="AF768" s="24">
        <v>71844.5</v>
      </c>
      <c r="AG768" s="24">
        <v>55553</v>
      </c>
      <c r="AH768" s="24">
        <v>61805</v>
      </c>
      <c r="AI768" s="24">
        <v>101934</v>
      </c>
      <c r="AJ768" s="32">
        <v>22.773148393591445</v>
      </c>
      <c r="AK768" s="32">
        <v>34.065419834050594</v>
      </c>
      <c r="AL768" s="32">
        <v>26.572912310971049</v>
      </c>
      <c r="AM768" s="32">
        <v>2.1332978691855593</v>
      </c>
      <c r="AN768" s="32">
        <v>36.322669831098636</v>
      </c>
      <c r="AO768" s="32">
        <v>14.521723230089259</v>
      </c>
      <c r="AP768" s="19">
        <v>1.2852606997782532</v>
      </c>
      <c r="AQ768" s="19">
        <v>0.86026070193264625</v>
      </c>
      <c r="AR768" s="19">
        <v>1.8348964052346408</v>
      </c>
      <c r="AS768" s="19">
        <v>0.36206102255528511</v>
      </c>
      <c r="AT768" s="19">
        <v>-0.21715416020163106</v>
      </c>
      <c r="AU768" s="19">
        <v>0.87569861354633138</v>
      </c>
      <c r="AV768" s="19">
        <v>0.16437146986918455</v>
      </c>
      <c r="AW768" s="19">
        <v>-0.28497837718478075</v>
      </c>
      <c r="AX768" s="19">
        <v>0.57194769931053846</v>
      </c>
      <c r="AY768" s="19">
        <v>1.2852606997782532</v>
      </c>
      <c r="AZ768" s="19">
        <v>-1.1624383140522612</v>
      </c>
      <c r="BA768" s="19">
        <v>1.8348964052346408</v>
      </c>
      <c r="BB768" s="19">
        <v>1.1206777328406865</v>
      </c>
      <c r="BC768" s="19">
        <v>-1.2183920025307242</v>
      </c>
      <c r="BD768" s="19">
        <v>1.4865290936893447</v>
      </c>
      <c r="BE768" s="14" t="s">
        <v>4857</v>
      </c>
    </row>
    <row r="769" spans="1:57" s="30" customFormat="1" ht="17.100000000000001" customHeight="1">
      <c r="A769" s="14">
        <v>758</v>
      </c>
      <c r="B769" s="14" t="s">
        <v>447</v>
      </c>
      <c r="C769" s="32">
        <v>-1.3650047233722902</v>
      </c>
      <c r="D769" s="32">
        <v>-1.3688767673673001</v>
      </c>
      <c r="E769" s="32">
        <v>-1.3358986533371779</v>
      </c>
      <c r="F769" s="42">
        <v>497103.5</v>
      </c>
      <c r="G769" s="52" t="s">
        <v>4894</v>
      </c>
      <c r="H769" s="32">
        <v>19.105916498546733</v>
      </c>
      <c r="I769" s="32">
        <v>32.651674174808306</v>
      </c>
      <c r="J769" s="12" t="s">
        <v>448</v>
      </c>
      <c r="K769" s="12" t="s">
        <v>449</v>
      </c>
      <c r="L769" s="14" t="s">
        <v>3131</v>
      </c>
      <c r="M769" s="12" t="s">
        <v>450</v>
      </c>
      <c r="N769" s="15" t="s">
        <v>451</v>
      </c>
      <c r="O769" s="12" t="s">
        <v>452</v>
      </c>
      <c r="P769" s="12" t="s">
        <v>453</v>
      </c>
      <c r="Q769" s="14">
        <v>2</v>
      </c>
      <c r="R769" s="21">
        <v>599.82489999999996</v>
      </c>
      <c r="S769" s="14">
        <v>7</v>
      </c>
      <c r="T769" s="52" t="s">
        <v>4894</v>
      </c>
      <c r="U769" s="53">
        <v>23.193750000000001</v>
      </c>
      <c r="V769" s="42">
        <v>535914</v>
      </c>
      <c r="W769" s="42">
        <v>458293</v>
      </c>
      <c r="X769" s="42">
        <v>439902</v>
      </c>
      <c r="Y769" s="42">
        <v>443982</v>
      </c>
      <c r="Z769" s="42">
        <v>468507</v>
      </c>
      <c r="AA769" s="42">
        <v>292747</v>
      </c>
      <c r="AB769" s="42">
        <v>388002</v>
      </c>
      <c r="AC769" s="42">
        <v>428693</v>
      </c>
      <c r="AD769" s="42">
        <v>469522.75</v>
      </c>
      <c r="AE769" s="42">
        <v>394487.25</v>
      </c>
      <c r="AF769" s="42">
        <v>497103.5</v>
      </c>
      <c r="AG769" s="42">
        <v>441942</v>
      </c>
      <c r="AH769" s="42">
        <v>380627</v>
      </c>
      <c r="AI769" s="42">
        <v>408347.5</v>
      </c>
      <c r="AJ769" s="32">
        <v>9.5752223517278559</v>
      </c>
      <c r="AK769" s="32">
        <v>19.105916498546733</v>
      </c>
      <c r="AL769" s="32">
        <v>11.041228931697527</v>
      </c>
      <c r="AM769" s="32">
        <v>0.65279961335223036</v>
      </c>
      <c r="AN769" s="32">
        <v>32.651674174808306</v>
      </c>
      <c r="AO769" s="32">
        <v>7.0461756306238685</v>
      </c>
      <c r="AP769" s="19">
        <v>0.84018772253314666</v>
      </c>
      <c r="AQ769" s="19">
        <v>0.7656896400850125</v>
      </c>
      <c r="AR769" s="19">
        <v>0.92398436898959591</v>
      </c>
      <c r="AS769" s="19">
        <v>-0.25121639067440388</v>
      </c>
      <c r="AT769" s="19">
        <v>-0.38516835736252286</v>
      </c>
      <c r="AU769" s="19">
        <v>-0.11405964905981562</v>
      </c>
      <c r="AV769" s="19">
        <v>-0.44890594336050443</v>
      </c>
      <c r="AW769" s="19">
        <v>-0.45299257434567258</v>
      </c>
      <c r="AX769" s="19">
        <v>-0.41781056329560856</v>
      </c>
      <c r="AY769" s="19">
        <v>-1.1902102032448452</v>
      </c>
      <c r="AZ769" s="19">
        <v>-1.3060121851576478</v>
      </c>
      <c r="BA769" s="19">
        <v>-1.0822693906537937</v>
      </c>
      <c r="BB769" s="19">
        <v>-1.3650047233722902</v>
      </c>
      <c r="BC769" s="19">
        <v>-1.3688767673673001</v>
      </c>
      <c r="BD769" s="19">
        <v>-1.3358986533371779</v>
      </c>
      <c r="BE769" s="14" t="s">
        <v>4857</v>
      </c>
    </row>
    <row r="770" spans="1:57" s="30" customFormat="1" ht="17.100000000000001" customHeight="1">
      <c r="A770" s="14">
        <v>759</v>
      </c>
      <c r="B770" s="14" t="s">
        <v>455</v>
      </c>
      <c r="C770" s="32">
        <v>1.2755479569359258</v>
      </c>
      <c r="D770" s="32">
        <v>1.3286388798782183</v>
      </c>
      <c r="E770" s="32">
        <v>1.2274899019883359</v>
      </c>
      <c r="F770" s="24">
        <v>2750000</v>
      </c>
      <c r="G770" s="52" t="s">
        <v>2</v>
      </c>
      <c r="H770" s="32">
        <v>23.118560200135509</v>
      </c>
      <c r="I770" s="32">
        <v>12.035860105302937</v>
      </c>
      <c r="J770" s="12" t="s">
        <v>456</v>
      </c>
      <c r="K770" s="12" t="s">
        <v>457</v>
      </c>
      <c r="L770" s="14" t="s">
        <v>4456</v>
      </c>
      <c r="M770" s="12" t="s">
        <v>458</v>
      </c>
      <c r="N770" s="15" t="s">
        <v>459</v>
      </c>
      <c r="O770" s="12" t="s">
        <v>460</v>
      </c>
      <c r="P770" s="12" t="s">
        <v>345</v>
      </c>
      <c r="Q770" s="14">
        <v>2</v>
      </c>
      <c r="R770" s="21">
        <v>401.24509999999998</v>
      </c>
      <c r="S770" s="14">
        <v>2</v>
      </c>
      <c r="T770" s="52" t="s">
        <v>2</v>
      </c>
      <c r="U770" s="53">
        <v>49.12</v>
      </c>
      <c r="V770" s="24">
        <v>1310000</v>
      </c>
      <c r="W770" s="24">
        <v>1390000</v>
      </c>
      <c r="X770" s="24">
        <v>1790000</v>
      </c>
      <c r="Y770" s="24">
        <v>1840000</v>
      </c>
      <c r="Z770" s="24">
        <v>1720000</v>
      </c>
      <c r="AA770" s="24">
        <v>2040000</v>
      </c>
      <c r="AB770" s="24">
        <v>2910000</v>
      </c>
      <c r="AC770" s="24">
        <v>2590000</v>
      </c>
      <c r="AD770" s="24">
        <v>1582500</v>
      </c>
      <c r="AE770" s="24">
        <v>2315000</v>
      </c>
      <c r="AF770" s="24">
        <v>1350000</v>
      </c>
      <c r="AG770" s="24">
        <v>1815000</v>
      </c>
      <c r="AH770" s="24">
        <v>1880000</v>
      </c>
      <c r="AI770" s="24">
        <v>2750000</v>
      </c>
      <c r="AJ770" s="32">
        <v>17.138476825776038</v>
      </c>
      <c r="AK770" s="32">
        <v>23.118560200135509</v>
      </c>
      <c r="AL770" s="32">
        <v>4.1902624070313932</v>
      </c>
      <c r="AM770" s="32">
        <v>1.9479525652521972</v>
      </c>
      <c r="AN770" s="32">
        <v>12.035860105302937</v>
      </c>
      <c r="AO770" s="32">
        <v>8.2281516356252808</v>
      </c>
      <c r="AP770" s="19">
        <v>1.4628751974723539</v>
      </c>
      <c r="AQ770" s="19">
        <v>1.3925925925925926</v>
      </c>
      <c r="AR770" s="19">
        <v>1.5151515151515151</v>
      </c>
      <c r="AS770" s="19">
        <v>0.54880669383189518</v>
      </c>
      <c r="AT770" s="19">
        <v>0.47777325462680653</v>
      </c>
      <c r="AU770" s="19">
        <v>0.5994620704162712</v>
      </c>
      <c r="AV770" s="19">
        <v>0.35111714114579462</v>
      </c>
      <c r="AW770" s="19">
        <v>0.40994903764365681</v>
      </c>
      <c r="AX770" s="19">
        <v>0.29571115618047827</v>
      </c>
      <c r="AY770" s="19">
        <v>1.4628751974723539</v>
      </c>
      <c r="AZ770" s="19">
        <v>1.3925925925925926</v>
      </c>
      <c r="BA770" s="19">
        <v>1.5151515151515151</v>
      </c>
      <c r="BB770" s="19">
        <v>1.2755479569359258</v>
      </c>
      <c r="BC770" s="19">
        <v>1.3286388798782183</v>
      </c>
      <c r="BD770" s="19">
        <v>1.2274899019883359</v>
      </c>
      <c r="BE770" s="14" t="s">
        <v>4857</v>
      </c>
    </row>
    <row r="771" spans="1:57" s="30" customFormat="1" ht="17.100000000000001" customHeight="1">
      <c r="A771" s="14">
        <v>760</v>
      </c>
      <c r="B771" s="14" t="s">
        <v>346</v>
      </c>
      <c r="C771" s="32">
        <v>1.1203728724461233</v>
      </c>
      <c r="D771" s="32">
        <v>1.1310150356305189</v>
      </c>
      <c r="E771" s="32">
        <v>1.1050273170161093</v>
      </c>
      <c r="F771" s="24">
        <v>285687</v>
      </c>
      <c r="G771" s="52" t="s">
        <v>2</v>
      </c>
      <c r="H771" s="32">
        <v>24.305654314558591</v>
      </c>
      <c r="I771" s="32">
        <v>21.704286373496704</v>
      </c>
      <c r="J771" s="12" t="s">
        <v>347</v>
      </c>
      <c r="K771" s="12" t="s">
        <v>348</v>
      </c>
      <c r="L771" s="14" t="s">
        <v>1229</v>
      </c>
      <c r="M771" s="12" t="s">
        <v>349</v>
      </c>
      <c r="N771" s="15" t="s">
        <v>350</v>
      </c>
      <c r="O771" s="12" t="s">
        <v>351</v>
      </c>
      <c r="P771" s="12" t="s">
        <v>353</v>
      </c>
      <c r="Q771" s="14">
        <v>2</v>
      </c>
      <c r="R771" s="21">
        <v>527.7441</v>
      </c>
      <c r="S771" s="14">
        <v>7</v>
      </c>
      <c r="T771" s="52" t="s">
        <v>2</v>
      </c>
      <c r="U771" s="53">
        <v>42.2190625</v>
      </c>
      <c r="V771" s="24">
        <v>192097</v>
      </c>
      <c r="W771" s="24">
        <v>140979</v>
      </c>
      <c r="X771" s="24">
        <v>236834</v>
      </c>
      <c r="Y771" s="24">
        <v>182065</v>
      </c>
      <c r="Z771" s="24">
        <v>174113</v>
      </c>
      <c r="AA771" s="24">
        <v>220734</v>
      </c>
      <c r="AB771" s="24">
        <v>312742</v>
      </c>
      <c r="AC771" s="24">
        <v>258632</v>
      </c>
      <c r="AD771" s="24">
        <v>187993.75</v>
      </c>
      <c r="AE771" s="24">
        <v>241555.25</v>
      </c>
      <c r="AF771" s="24">
        <v>166538</v>
      </c>
      <c r="AG771" s="24">
        <v>209449.5</v>
      </c>
      <c r="AH771" s="24">
        <v>197423.5</v>
      </c>
      <c r="AI771" s="24">
        <v>285687</v>
      </c>
      <c r="AJ771" s="32">
        <v>20.937124546829398</v>
      </c>
      <c r="AK771" s="32">
        <v>24.305654314558591</v>
      </c>
      <c r="AL771" s="32">
        <v>21.704286373496704</v>
      </c>
      <c r="AM771" s="32">
        <v>18.490152184085431</v>
      </c>
      <c r="AN771" s="32">
        <v>16.698126234059284</v>
      </c>
      <c r="AO771" s="32">
        <v>13.392820789886867</v>
      </c>
      <c r="AP771" s="19">
        <v>1.2849110675221915</v>
      </c>
      <c r="AQ771" s="19">
        <v>1.1854561721649113</v>
      </c>
      <c r="AR771" s="19">
        <v>1.3639898877772447</v>
      </c>
      <c r="AS771" s="19">
        <v>0.36166850970343295</v>
      </c>
      <c r="AT771" s="19">
        <v>0.24544232551990247</v>
      </c>
      <c r="AU771" s="19">
        <v>0.4478329486819535</v>
      </c>
      <c r="AV771" s="19">
        <v>0.16397895701733239</v>
      </c>
      <c r="AW771" s="19">
        <v>0.17761810853675275</v>
      </c>
      <c r="AX771" s="19">
        <v>0.14408203444616058</v>
      </c>
      <c r="AY771" s="19">
        <v>1.2849110675221915</v>
      </c>
      <c r="AZ771" s="19">
        <v>1.1854561721649113</v>
      </c>
      <c r="BA771" s="19">
        <v>1.3639898877772447</v>
      </c>
      <c r="BB771" s="19">
        <v>1.1203728724461233</v>
      </c>
      <c r="BC771" s="19">
        <v>1.1310150356305189</v>
      </c>
      <c r="BD771" s="19">
        <v>1.1050273170161093</v>
      </c>
      <c r="BE771" s="14" t="s">
        <v>4857</v>
      </c>
    </row>
    <row r="772" spans="1:57" s="30" customFormat="1" ht="17.100000000000001" customHeight="1">
      <c r="A772" s="14">
        <v>761</v>
      </c>
      <c r="B772" s="14" t="s">
        <v>354</v>
      </c>
      <c r="C772" s="32">
        <v>-1.2760539393723964</v>
      </c>
      <c r="D772" s="32">
        <v>-1.3745050191039889</v>
      </c>
      <c r="E772" s="32">
        <v>-1.19763644796403</v>
      </c>
      <c r="F772" s="24">
        <v>41623.5</v>
      </c>
      <c r="G772" s="52" t="s">
        <v>2</v>
      </c>
      <c r="H772" s="32">
        <v>27.231195561210619</v>
      </c>
      <c r="I772" s="32">
        <v>40.029117262469136</v>
      </c>
      <c r="J772" s="12" t="s">
        <v>355</v>
      </c>
      <c r="K772" s="12" t="s">
        <v>356</v>
      </c>
      <c r="L772" s="14" t="s">
        <v>357</v>
      </c>
      <c r="M772" s="12" t="s">
        <v>358</v>
      </c>
      <c r="N772" s="15" t="s">
        <v>359</v>
      </c>
      <c r="O772" s="12" t="s">
        <v>360</v>
      </c>
      <c r="P772" s="12" t="s">
        <v>362</v>
      </c>
      <c r="Q772" s="14">
        <v>3</v>
      </c>
      <c r="R772" s="21">
        <v>502.90879999999999</v>
      </c>
      <c r="S772" s="14">
        <v>2</v>
      </c>
      <c r="T772" s="52" t="s">
        <v>2</v>
      </c>
      <c r="U772" s="53">
        <v>21.926387499999997</v>
      </c>
      <c r="V772" s="24">
        <v>34154</v>
      </c>
      <c r="W772" s="24">
        <v>44066</v>
      </c>
      <c r="X772" s="24">
        <v>39239</v>
      </c>
      <c r="Y772" s="24">
        <v>41532</v>
      </c>
      <c r="Z772" s="24">
        <v>38265</v>
      </c>
      <c r="AA772" s="24">
        <v>21382</v>
      </c>
      <c r="AB772" s="24">
        <v>40589</v>
      </c>
      <c r="AC772" s="24">
        <v>42658</v>
      </c>
      <c r="AD772" s="24">
        <v>39747.75</v>
      </c>
      <c r="AE772" s="24">
        <v>35723.5</v>
      </c>
      <c r="AF772" s="24">
        <v>39110</v>
      </c>
      <c r="AG772" s="24">
        <v>40385.5</v>
      </c>
      <c r="AH772" s="24">
        <v>29823.5</v>
      </c>
      <c r="AI772" s="24">
        <v>41623.5</v>
      </c>
      <c r="AJ772" s="32">
        <v>10.612430868157348</v>
      </c>
      <c r="AK772" s="32">
        <v>27.231195561210619</v>
      </c>
      <c r="AL772" s="32">
        <v>17.920844835390078</v>
      </c>
      <c r="AM772" s="32">
        <v>4.014797016901495</v>
      </c>
      <c r="AN772" s="32">
        <v>40.029117262469136</v>
      </c>
      <c r="AO772" s="32">
        <v>3.5148508181074805</v>
      </c>
      <c r="AP772" s="19">
        <v>0.89875527545584344</v>
      </c>
      <c r="AQ772" s="19">
        <v>0.76255433392994121</v>
      </c>
      <c r="AR772" s="19">
        <v>1.030654566614255</v>
      </c>
      <c r="AS772" s="19">
        <v>-0.15399976107212029</v>
      </c>
      <c r="AT772" s="19">
        <v>-0.39108795798209545</v>
      </c>
      <c r="AU772" s="19">
        <v>4.3560881166364328E-2</v>
      </c>
      <c r="AV772" s="19">
        <v>-0.35168931375822088</v>
      </c>
      <c r="AW772" s="19">
        <v>-0.45891217496524517</v>
      </c>
      <c r="AX772" s="19">
        <v>-0.26019003306942862</v>
      </c>
      <c r="AY772" s="19">
        <v>-1.1126499363164304</v>
      </c>
      <c r="AZ772" s="19">
        <v>-1.3113819638875384</v>
      </c>
      <c r="BA772" s="19">
        <v>1.030654566614255</v>
      </c>
      <c r="BB772" s="19">
        <v>-1.2760539393723964</v>
      </c>
      <c r="BC772" s="19">
        <v>-1.3745050191039889</v>
      </c>
      <c r="BD772" s="19">
        <v>-1.19763644796403</v>
      </c>
      <c r="BE772" s="14" t="s">
        <v>4857</v>
      </c>
    </row>
    <row r="773" spans="1:57" s="30" customFormat="1" ht="17.100000000000001" customHeight="1">
      <c r="A773" s="14">
        <v>762</v>
      </c>
      <c r="B773" s="14" t="s">
        <v>363</v>
      </c>
      <c r="C773" s="32">
        <v>1.0078232471708595</v>
      </c>
      <c r="D773" s="32">
        <v>1.1787629382235909</v>
      </c>
      <c r="E773" s="32">
        <v>-1.1476189892018125</v>
      </c>
      <c r="F773" s="42">
        <v>2938768.5</v>
      </c>
      <c r="G773" s="52" t="s">
        <v>4894</v>
      </c>
      <c r="H773" s="32">
        <v>9.3953618136033281</v>
      </c>
      <c r="I773" s="32">
        <v>6.8919604798882084</v>
      </c>
      <c r="J773" s="12" t="s">
        <v>364</v>
      </c>
      <c r="K773" s="12" t="s">
        <v>365</v>
      </c>
      <c r="L773" s="14" t="s">
        <v>4444</v>
      </c>
      <c r="M773" s="12" t="s">
        <v>366</v>
      </c>
      <c r="N773" s="15" t="s">
        <v>367</v>
      </c>
      <c r="O773" s="12" t="s">
        <v>368</v>
      </c>
      <c r="P773" s="12" t="s">
        <v>369</v>
      </c>
      <c r="Q773" s="14">
        <v>3</v>
      </c>
      <c r="R773" s="21">
        <v>497.30360000000002</v>
      </c>
      <c r="S773" s="14">
        <v>1</v>
      </c>
      <c r="T773" s="52" t="s">
        <v>4894</v>
      </c>
      <c r="U773" s="53">
        <v>15.486225000000001</v>
      </c>
      <c r="V773" s="42">
        <v>2382989</v>
      </c>
      <c r="W773" s="42">
        <v>2374215</v>
      </c>
      <c r="X773" s="42">
        <v>2396470</v>
      </c>
      <c r="Y773" s="42">
        <v>2325877</v>
      </c>
      <c r="Z773" s="42">
        <v>3004879</v>
      </c>
      <c r="AA773" s="42">
        <v>2872658</v>
      </c>
      <c r="AB773" s="42">
        <v>2415853</v>
      </c>
      <c r="AC773" s="42">
        <v>2663382</v>
      </c>
      <c r="AD773" s="42">
        <v>2369887.75</v>
      </c>
      <c r="AE773" s="42">
        <v>2739193</v>
      </c>
      <c r="AF773" s="42">
        <v>2378602</v>
      </c>
      <c r="AG773" s="42">
        <v>2361173.5</v>
      </c>
      <c r="AH773" s="42">
        <v>2938768.5</v>
      </c>
      <c r="AI773" s="42">
        <v>2539617.5</v>
      </c>
      <c r="AJ773" s="32">
        <v>1.2968989957312347</v>
      </c>
      <c r="AK773" s="32">
        <v>9.3953618136033281</v>
      </c>
      <c r="AL773" s="32">
        <v>0.26083198862738566</v>
      </c>
      <c r="AM773" s="32">
        <v>2.1140669673068055</v>
      </c>
      <c r="AN773" s="32">
        <v>3.1814130890291801</v>
      </c>
      <c r="AO773" s="32">
        <v>6.8919604798882084</v>
      </c>
      <c r="AP773" s="19">
        <v>1.1558323806686626</v>
      </c>
      <c r="AQ773" s="19">
        <v>1.2355024085576318</v>
      </c>
      <c r="AR773" s="19">
        <v>1.0755742854135877</v>
      </c>
      <c r="AS773" s="19">
        <v>0.20893219272448102</v>
      </c>
      <c r="AT773" s="19">
        <v>0.30509782313999895</v>
      </c>
      <c r="AU773" s="19">
        <v>0.10510716910943983</v>
      </c>
      <c r="AV773" s="19">
        <v>1.1242640038380464E-2</v>
      </c>
      <c r="AW773" s="19">
        <v>0.23727360615684923</v>
      </c>
      <c r="AX773" s="19">
        <v>-0.19864374512635308</v>
      </c>
      <c r="AY773" s="19">
        <v>1.1558323806686626</v>
      </c>
      <c r="AZ773" s="19">
        <v>1.2355024085576318</v>
      </c>
      <c r="BA773" s="19">
        <v>1.0755742854135877</v>
      </c>
      <c r="BB773" s="19">
        <v>1.0078232471708595</v>
      </c>
      <c r="BC773" s="19">
        <v>1.1787629382235909</v>
      </c>
      <c r="BD773" s="19">
        <v>-1.1476189892018125</v>
      </c>
      <c r="BE773" s="14" t="s">
        <v>4857</v>
      </c>
    </row>
    <row r="774" spans="1:57" s="30" customFormat="1" ht="17.100000000000001" customHeight="1">
      <c r="A774" s="14">
        <v>763</v>
      </c>
      <c r="B774" s="14" t="s">
        <v>370</v>
      </c>
      <c r="C774" s="32">
        <v>1.1271337119937879</v>
      </c>
      <c r="D774" s="32">
        <v>1.3290938354643933</v>
      </c>
      <c r="E774" s="32">
        <v>-1.0166637398593035</v>
      </c>
      <c r="F774" s="24">
        <v>251677.5</v>
      </c>
      <c r="G774" s="52" t="s">
        <v>2</v>
      </c>
      <c r="H774" s="32">
        <v>18.028073409126179</v>
      </c>
      <c r="I774" s="32">
        <v>30.42573195131585</v>
      </c>
      <c r="J774" s="12" t="s">
        <v>371</v>
      </c>
      <c r="K774" s="12" t="s">
        <v>372</v>
      </c>
      <c r="L774" s="14" t="s">
        <v>4301</v>
      </c>
      <c r="M774" s="12" t="s">
        <v>373</v>
      </c>
      <c r="N774" s="15" t="s">
        <v>374</v>
      </c>
      <c r="O774" s="12" t="s">
        <v>375</v>
      </c>
      <c r="P774" s="12" t="s">
        <v>376</v>
      </c>
      <c r="Q774" s="14">
        <v>3</v>
      </c>
      <c r="R774" s="21">
        <v>472.5856</v>
      </c>
      <c r="S774" s="14">
        <v>1</v>
      </c>
      <c r="T774" s="52" t="s">
        <v>2</v>
      </c>
      <c r="U774" s="53">
        <v>77.079175000000006</v>
      </c>
      <c r="V774" s="24">
        <v>180542</v>
      </c>
      <c r="W774" s="24">
        <v>143790</v>
      </c>
      <c r="X774" s="24">
        <v>215509</v>
      </c>
      <c r="Y774" s="24">
        <v>199076</v>
      </c>
      <c r="Z774" s="24">
        <v>274511</v>
      </c>
      <c r="AA774" s="24">
        <v>177306</v>
      </c>
      <c r="AB774" s="24">
        <v>242420</v>
      </c>
      <c r="AC774" s="24">
        <v>260935</v>
      </c>
      <c r="AD774" s="24">
        <v>184729.25</v>
      </c>
      <c r="AE774" s="24">
        <v>238793</v>
      </c>
      <c r="AF774" s="24">
        <v>162166</v>
      </c>
      <c r="AG774" s="24">
        <v>207292.5</v>
      </c>
      <c r="AH774" s="24">
        <v>225908.5</v>
      </c>
      <c r="AI774" s="24">
        <v>251677.5</v>
      </c>
      <c r="AJ774" s="32">
        <v>16.675561555777133</v>
      </c>
      <c r="AK774" s="32">
        <v>18.028073409126179</v>
      </c>
      <c r="AL774" s="32">
        <v>16.025300261564073</v>
      </c>
      <c r="AM774" s="32">
        <v>5.605550483128205</v>
      </c>
      <c r="AN774" s="32">
        <v>30.42573195131585</v>
      </c>
      <c r="AO774" s="32">
        <v>5.2019278853568265</v>
      </c>
      <c r="AP774" s="19">
        <v>1.2926648053840959</v>
      </c>
      <c r="AQ774" s="19">
        <v>1.3930694473564125</v>
      </c>
      <c r="AR774" s="19">
        <v>1.2141177321900214</v>
      </c>
      <c r="AS774" s="19">
        <v>0.37034822541689549</v>
      </c>
      <c r="AT774" s="19">
        <v>0.47826718102551602</v>
      </c>
      <c r="AU774" s="19">
        <v>0.27990832555671691</v>
      </c>
      <c r="AV774" s="19">
        <v>0.17265867273079494</v>
      </c>
      <c r="AW774" s="19">
        <v>0.4104429640423663</v>
      </c>
      <c r="AX774" s="19">
        <v>-2.3842588679076016E-2</v>
      </c>
      <c r="AY774" s="19">
        <v>1.2926648053840959</v>
      </c>
      <c r="AZ774" s="19">
        <v>1.3930694473564125</v>
      </c>
      <c r="BA774" s="19">
        <v>1.2141177321900214</v>
      </c>
      <c r="BB774" s="19">
        <v>1.1271337119937879</v>
      </c>
      <c r="BC774" s="19">
        <v>1.3290938354643933</v>
      </c>
      <c r="BD774" s="19">
        <v>-1.0166637398593035</v>
      </c>
      <c r="BE774" s="14" t="s">
        <v>4857</v>
      </c>
    </row>
    <row r="775" spans="1:57" s="30" customFormat="1" ht="17.100000000000001" customHeight="1">
      <c r="A775" s="14">
        <v>764</v>
      </c>
      <c r="B775" s="14" t="s">
        <v>377</v>
      </c>
      <c r="C775" s="32">
        <v>-1.0343658006845629</v>
      </c>
      <c r="D775" s="32">
        <v>-1.1021532618490217</v>
      </c>
      <c r="E775" s="32">
        <v>1.0282061220939585</v>
      </c>
      <c r="F775" s="24">
        <v>135380</v>
      </c>
      <c r="G775" s="52" t="s">
        <v>2</v>
      </c>
      <c r="H775" s="32">
        <v>26.571423524784919</v>
      </c>
      <c r="I775" s="32">
        <v>44.356708915505003</v>
      </c>
      <c r="J775" s="12" t="s">
        <v>378</v>
      </c>
      <c r="K775" s="12" t="s">
        <v>379</v>
      </c>
      <c r="L775" s="14" t="s">
        <v>3986</v>
      </c>
      <c r="M775" s="12" t="s">
        <v>380</v>
      </c>
      <c r="N775" s="15" t="s">
        <v>381</v>
      </c>
      <c r="O775" s="12" t="s">
        <v>382</v>
      </c>
      <c r="P775" s="12" t="s">
        <v>383</v>
      </c>
      <c r="Q775" s="14">
        <v>3</v>
      </c>
      <c r="R775" s="21">
        <v>665.35950000000003</v>
      </c>
      <c r="S775" s="14">
        <v>1</v>
      </c>
      <c r="T775" s="52" t="s">
        <v>2</v>
      </c>
      <c r="U775" s="53">
        <v>56.752949999999998</v>
      </c>
      <c r="V775" s="24">
        <v>98239</v>
      </c>
      <c r="W775" s="24">
        <v>118668</v>
      </c>
      <c r="X775" s="24">
        <v>140125</v>
      </c>
      <c r="Y775" s="24">
        <v>73212</v>
      </c>
      <c r="Z775" s="24">
        <v>100494</v>
      </c>
      <c r="AA775" s="24">
        <v>105782</v>
      </c>
      <c r="AB775" s="24">
        <v>125191</v>
      </c>
      <c r="AC775" s="24">
        <v>145569</v>
      </c>
      <c r="AD775" s="24">
        <v>107561</v>
      </c>
      <c r="AE775" s="24">
        <v>119259</v>
      </c>
      <c r="AF775" s="24">
        <v>108453.5</v>
      </c>
      <c r="AG775" s="24">
        <v>106668.5</v>
      </c>
      <c r="AH775" s="24">
        <v>103138</v>
      </c>
      <c r="AI775" s="24">
        <v>135380</v>
      </c>
      <c r="AJ775" s="32">
        <v>26.571423524784919</v>
      </c>
      <c r="AK775" s="32">
        <v>17.192269614168907</v>
      </c>
      <c r="AL775" s="32">
        <v>13.31951890244204</v>
      </c>
      <c r="AM775" s="32">
        <v>44.356708915505003</v>
      </c>
      <c r="AN775" s="32">
        <v>3.6254151320701036</v>
      </c>
      <c r="AO775" s="32">
        <v>10.643685911522725</v>
      </c>
      <c r="AP775" s="19">
        <v>1.1087568914383465</v>
      </c>
      <c r="AQ775" s="19">
        <v>0.95098821153766355</v>
      </c>
      <c r="AR775" s="19">
        <v>1.2691656862147682</v>
      </c>
      <c r="AS775" s="19">
        <v>0.14894307157303976</v>
      </c>
      <c r="AT775" s="19">
        <v>-7.2500637357320166E-2</v>
      </c>
      <c r="AU775" s="19">
        <v>0.34388042148559017</v>
      </c>
      <c r="AV775" s="19">
        <v>-4.8746481113060791E-2</v>
      </c>
      <c r="AW775" s="19">
        <v>-0.14032485434046987</v>
      </c>
      <c r="AX775" s="19">
        <v>4.0129507249797247E-2</v>
      </c>
      <c r="AY775" s="19">
        <v>1.1087568914383465</v>
      </c>
      <c r="AZ775" s="19">
        <v>-1.0515377455448041</v>
      </c>
      <c r="BA775" s="19">
        <v>1.2691656862147682</v>
      </c>
      <c r="BB775" s="19">
        <v>-1.0343658006845629</v>
      </c>
      <c r="BC775" s="19">
        <v>-1.1021532618490217</v>
      </c>
      <c r="BD775" s="19">
        <v>1.0282061220939585</v>
      </c>
      <c r="BE775" s="14" t="s">
        <v>4857</v>
      </c>
    </row>
    <row r="776" spans="1:57" s="30" customFormat="1" ht="17.100000000000001" customHeight="1">
      <c r="A776" s="14">
        <v>765</v>
      </c>
      <c r="B776" s="14" t="s">
        <v>384</v>
      </c>
      <c r="C776" s="32">
        <v>1.3505427632169016</v>
      </c>
      <c r="D776" s="32">
        <v>1.3916890676234499</v>
      </c>
      <c r="E776" s="32">
        <v>1.3185257885234076</v>
      </c>
      <c r="F776" s="24">
        <v>1129500</v>
      </c>
      <c r="G776" s="52" t="s">
        <v>2</v>
      </c>
      <c r="H776" s="32">
        <v>20.859756676985466</v>
      </c>
      <c r="I776" s="32">
        <v>21.347801007933839</v>
      </c>
      <c r="J776" s="12" t="s">
        <v>385</v>
      </c>
      <c r="K776" s="12" t="s">
        <v>386</v>
      </c>
      <c r="L776" s="14" t="s">
        <v>4377</v>
      </c>
      <c r="M776" s="12" t="s">
        <v>387</v>
      </c>
      <c r="N776" s="15" t="s">
        <v>388</v>
      </c>
      <c r="O776" s="12" t="s">
        <v>389</v>
      </c>
      <c r="P776" s="12" t="s">
        <v>390</v>
      </c>
      <c r="Q776" s="14">
        <v>3</v>
      </c>
      <c r="R776" s="21">
        <v>470.92950000000002</v>
      </c>
      <c r="S776" s="14">
        <v>1</v>
      </c>
      <c r="T776" s="52" t="s">
        <v>2</v>
      </c>
      <c r="U776" s="53">
        <v>60</v>
      </c>
      <c r="V776" s="24">
        <v>613000</v>
      </c>
      <c r="W776" s="24">
        <v>597000</v>
      </c>
      <c r="X776" s="24">
        <v>737000</v>
      </c>
      <c r="Y776" s="24">
        <v>651000</v>
      </c>
      <c r="Z776" s="24">
        <v>802000</v>
      </c>
      <c r="AA776" s="24">
        <v>963000</v>
      </c>
      <c r="AB776" s="24">
        <v>1300000</v>
      </c>
      <c r="AC776" s="24">
        <v>959000</v>
      </c>
      <c r="AD776" s="24">
        <v>649500</v>
      </c>
      <c r="AE776" s="24">
        <v>1006000</v>
      </c>
      <c r="AF776" s="24">
        <v>605000</v>
      </c>
      <c r="AG776" s="24">
        <v>694000</v>
      </c>
      <c r="AH776" s="24">
        <v>882500</v>
      </c>
      <c r="AI776" s="24">
        <v>1129500</v>
      </c>
      <c r="AJ776" s="32">
        <v>9.6343784429692594</v>
      </c>
      <c r="AK776" s="32">
        <v>20.859756676985466</v>
      </c>
      <c r="AL776" s="32">
        <v>1.8700344626421093</v>
      </c>
      <c r="AM776" s="32">
        <v>8.762418325942809</v>
      </c>
      <c r="AN776" s="32">
        <v>12.900191702100186</v>
      </c>
      <c r="AO776" s="32">
        <v>21.347801007933839</v>
      </c>
      <c r="AP776" s="19">
        <v>1.5488837567359508</v>
      </c>
      <c r="AQ776" s="19">
        <v>1.4586776859504131</v>
      </c>
      <c r="AR776" s="19">
        <v>1.627521613832853</v>
      </c>
      <c r="AS776" s="19">
        <v>0.63122887435764607</v>
      </c>
      <c r="AT776" s="19">
        <v>0.54466113599658572</v>
      </c>
      <c r="AU776" s="19">
        <v>0.70267670281482342</v>
      </c>
      <c r="AV776" s="19">
        <v>0.43353932167154552</v>
      </c>
      <c r="AW776" s="19">
        <v>0.476836919013436</v>
      </c>
      <c r="AX776" s="19">
        <v>0.39892578857903049</v>
      </c>
      <c r="AY776" s="19">
        <v>1.5488837567359508</v>
      </c>
      <c r="AZ776" s="19">
        <v>1.4586776859504131</v>
      </c>
      <c r="BA776" s="19">
        <v>1.627521613832853</v>
      </c>
      <c r="BB776" s="19">
        <v>1.3505427632169016</v>
      </c>
      <c r="BC776" s="19">
        <v>1.3916890676234499</v>
      </c>
      <c r="BD776" s="19">
        <v>1.3185257885234076</v>
      </c>
      <c r="BE776" s="14" t="s">
        <v>4857</v>
      </c>
    </row>
    <row r="777" spans="1:57" s="30" customFormat="1" ht="17.100000000000001" customHeight="1">
      <c r="A777" s="14">
        <v>766</v>
      </c>
      <c r="B777" s="14" t="s">
        <v>391</v>
      </c>
      <c r="C777" s="32">
        <v>-1.0371348483398171</v>
      </c>
      <c r="D777" s="32">
        <v>1.6234441995870936</v>
      </c>
      <c r="E777" s="32">
        <v>-1.9418931223315923</v>
      </c>
      <c r="F777" s="24">
        <v>4620110</v>
      </c>
      <c r="G777" s="52" t="s">
        <v>2</v>
      </c>
      <c r="H777" s="32">
        <v>47.33308947525456</v>
      </c>
      <c r="I777" s="32">
        <v>51.758703297916483</v>
      </c>
      <c r="J777" s="12" t="s">
        <v>392</v>
      </c>
      <c r="K777" s="15" t="s">
        <v>393</v>
      </c>
      <c r="L777" s="16" t="s">
        <v>4956</v>
      </c>
      <c r="M777" s="12" t="s">
        <v>394</v>
      </c>
      <c r="N777" s="15" t="s">
        <v>395</v>
      </c>
      <c r="O777" s="12" t="s">
        <v>396</v>
      </c>
      <c r="P777" s="12" t="s">
        <v>327</v>
      </c>
      <c r="Q777" s="14">
        <v>2</v>
      </c>
      <c r="R777" s="21">
        <v>493.2749</v>
      </c>
      <c r="S777" s="14">
        <v>5</v>
      </c>
      <c r="T777" s="52" t="s">
        <v>2</v>
      </c>
      <c r="U777" s="53">
        <v>22.126525000000001</v>
      </c>
      <c r="V777" s="24">
        <v>3708900</v>
      </c>
      <c r="W777" s="24">
        <v>1721450</v>
      </c>
      <c r="X777" s="24">
        <v>2524870</v>
      </c>
      <c r="Y777" s="24">
        <v>4356610</v>
      </c>
      <c r="Z777" s="24">
        <v>5538410</v>
      </c>
      <c r="AA777" s="24">
        <v>3701810</v>
      </c>
      <c r="AB777" s="24">
        <v>2487110</v>
      </c>
      <c r="AC777" s="24">
        <v>1887050</v>
      </c>
      <c r="AD777" s="24">
        <v>3077957.5</v>
      </c>
      <c r="AE777" s="24">
        <v>3403595</v>
      </c>
      <c r="AF777" s="24">
        <v>2715175</v>
      </c>
      <c r="AG777" s="24">
        <v>3440740</v>
      </c>
      <c r="AH777" s="24">
        <v>4620110</v>
      </c>
      <c r="AI777" s="24">
        <v>2187080</v>
      </c>
      <c r="AJ777" s="32">
        <v>38.345641427950724</v>
      </c>
      <c r="AK777" s="32">
        <v>47.33308947525456</v>
      </c>
      <c r="AL777" s="32">
        <v>51.758703297916483</v>
      </c>
      <c r="AM777" s="32">
        <v>37.644104912624798</v>
      </c>
      <c r="AN777" s="32">
        <v>28.109121088615058</v>
      </c>
      <c r="AO777" s="32">
        <v>19.400593262194331</v>
      </c>
      <c r="AP777" s="19">
        <v>1.1057966199988141</v>
      </c>
      <c r="AQ777" s="19">
        <v>1.7015882954137393</v>
      </c>
      <c r="AR777" s="19">
        <v>0.63564233275400062</v>
      </c>
      <c r="AS777" s="19">
        <v>0.14508606703718063</v>
      </c>
      <c r="AT777" s="19">
        <v>0.76688201468847339</v>
      </c>
      <c r="AU777" s="19">
        <v>-0.65371288583886522</v>
      </c>
      <c r="AV777" s="19">
        <v>-5.2603485648919923E-2</v>
      </c>
      <c r="AW777" s="19">
        <v>0.69905779770532372</v>
      </c>
      <c r="AX777" s="19">
        <v>-0.95746380007465814</v>
      </c>
      <c r="AY777" s="19">
        <v>1.1057966199988141</v>
      </c>
      <c r="AZ777" s="19">
        <v>1.7015882954137393</v>
      </c>
      <c r="BA777" s="19">
        <v>-1.5732117709457358</v>
      </c>
      <c r="BB777" s="19">
        <v>-1.0371348483398171</v>
      </c>
      <c r="BC777" s="19">
        <v>1.6234441995870936</v>
      </c>
      <c r="BD777" s="19">
        <v>-1.9418931223315923</v>
      </c>
      <c r="BE777" s="14" t="s">
        <v>4857</v>
      </c>
    </row>
    <row r="778" spans="1:57" s="30" customFormat="1" ht="17.100000000000001" customHeight="1">
      <c r="A778" s="14">
        <v>767</v>
      </c>
      <c r="B778" s="14" t="s">
        <v>328</v>
      </c>
      <c r="C778" s="32">
        <v>1.4038062746221971</v>
      </c>
      <c r="D778" s="32">
        <v>1.143760379290903</v>
      </c>
      <c r="E778" s="32">
        <v>1.7605459315623511</v>
      </c>
      <c r="F778" s="40">
        <v>12050</v>
      </c>
      <c r="G778" s="52" t="s">
        <v>2</v>
      </c>
      <c r="H778" s="32">
        <v>23.255167785161678</v>
      </c>
      <c r="I778" s="32">
        <v>20.538371237783537</v>
      </c>
      <c r="J778" s="12" t="s">
        <v>392</v>
      </c>
      <c r="K778" s="15" t="s">
        <v>393</v>
      </c>
      <c r="L778" s="16" t="s">
        <v>5309</v>
      </c>
      <c r="M778" s="12" t="s">
        <v>394</v>
      </c>
      <c r="N778" s="15" t="s">
        <v>395</v>
      </c>
      <c r="O778" s="12" t="s">
        <v>396</v>
      </c>
      <c r="P778" s="12" t="s">
        <v>329</v>
      </c>
      <c r="Q778" s="14">
        <v>2</v>
      </c>
      <c r="R778" s="21">
        <v>472.26960000000003</v>
      </c>
      <c r="S778" s="14">
        <v>3</v>
      </c>
      <c r="T778" s="52" t="s">
        <v>2</v>
      </c>
      <c r="U778" s="53">
        <v>13</v>
      </c>
      <c r="V778" s="40">
        <v>7760</v>
      </c>
      <c r="W778" s="40">
        <v>7430</v>
      </c>
      <c r="X778" s="40">
        <v>5140</v>
      </c>
      <c r="Y778" s="40">
        <v>5950</v>
      </c>
      <c r="Z778" s="40">
        <v>10400</v>
      </c>
      <c r="AA778" s="40">
        <v>7810</v>
      </c>
      <c r="AB778" s="40">
        <v>10300</v>
      </c>
      <c r="AC778" s="40">
        <v>13800</v>
      </c>
      <c r="AD778" s="40">
        <v>6570</v>
      </c>
      <c r="AE778" s="40">
        <v>10577.5</v>
      </c>
      <c r="AF778" s="40">
        <v>7595</v>
      </c>
      <c r="AG778" s="40">
        <v>5545</v>
      </c>
      <c r="AH778" s="40">
        <v>9105</v>
      </c>
      <c r="AI778" s="40">
        <v>12050</v>
      </c>
      <c r="AJ778" s="32">
        <v>18.816709193965192</v>
      </c>
      <c r="AK778" s="32">
        <v>23.255167785161678</v>
      </c>
      <c r="AL778" s="32">
        <v>3.0723533613108716</v>
      </c>
      <c r="AM778" s="32">
        <v>10.329242430317466</v>
      </c>
      <c r="AN778" s="32">
        <v>20.114295038694763</v>
      </c>
      <c r="AO778" s="32">
        <v>20.538371237783537</v>
      </c>
      <c r="AP778" s="19">
        <v>1.6099695585996956</v>
      </c>
      <c r="AQ778" s="19">
        <v>1.1988150098749177</v>
      </c>
      <c r="AR778" s="19">
        <v>2.1731289449954914</v>
      </c>
      <c r="AS778" s="19">
        <v>0.68703341003402074</v>
      </c>
      <c r="AT778" s="19">
        <v>0.26160905247475486</v>
      </c>
      <c r="AU778" s="19">
        <v>1.1197737809556141</v>
      </c>
      <c r="AV778" s="19">
        <v>0.48934385734792019</v>
      </c>
      <c r="AW778" s="19">
        <v>0.19378483549160513</v>
      </c>
      <c r="AX778" s="19">
        <v>0.81602286671982116</v>
      </c>
      <c r="AY778" s="19">
        <v>1.6099695585996956</v>
      </c>
      <c r="AZ778" s="19">
        <v>1.1988150098749177</v>
      </c>
      <c r="BA778" s="19">
        <v>2.1731289449954914</v>
      </c>
      <c r="BB778" s="19">
        <v>1.4038062746221971</v>
      </c>
      <c r="BC778" s="19">
        <v>1.143760379290903</v>
      </c>
      <c r="BD778" s="19">
        <v>1.7605459315623511</v>
      </c>
      <c r="BE778" s="14" t="s">
        <v>4857</v>
      </c>
    </row>
    <row r="779" spans="1:57" s="30" customFormat="1" ht="17.100000000000001" customHeight="1">
      <c r="A779" s="14">
        <v>768</v>
      </c>
      <c r="B779" s="14" t="s">
        <v>330</v>
      </c>
      <c r="C779" s="32">
        <v>-1.0676043336616956</v>
      </c>
      <c r="D779" s="32">
        <v>1.068239987568931</v>
      </c>
      <c r="E779" s="32">
        <v>-1.1915388249718233</v>
      </c>
      <c r="F779" s="24">
        <v>19939300</v>
      </c>
      <c r="G779" s="52" t="s">
        <v>2</v>
      </c>
      <c r="H779" s="32">
        <v>11.462065653394978</v>
      </c>
      <c r="I779" s="32">
        <v>8.4065537394717662</v>
      </c>
      <c r="J779" s="12" t="s">
        <v>331</v>
      </c>
      <c r="K779" s="15" t="s">
        <v>332</v>
      </c>
      <c r="L779" s="16" t="s">
        <v>5140</v>
      </c>
      <c r="M779" s="12" t="s">
        <v>394</v>
      </c>
      <c r="N779" s="15" t="s">
        <v>333</v>
      </c>
      <c r="O779" s="12" t="s">
        <v>396</v>
      </c>
      <c r="P779" s="12" t="s">
        <v>335</v>
      </c>
      <c r="Q779" s="14">
        <v>2</v>
      </c>
      <c r="R779" s="21">
        <v>535.81949999999995</v>
      </c>
      <c r="S779" s="14">
        <v>8</v>
      </c>
      <c r="T779" s="52" t="s">
        <v>2</v>
      </c>
      <c r="U779" s="53">
        <v>29.290962499999999</v>
      </c>
      <c r="V779" s="24">
        <v>16824100</v>
      </c>
      <c r="W779" s="24">
        <v>15642200</v>
      </c>
      <c r="X779" s="24">
        <v>18103600</v>
      </c>
      <c r="Y779" s="24">
        <v>20391900</v>
      </c>
      <c r="Z779" s="24">
        <v>18233800</v>
      </c>
      <c r="AA779" s="24">
        <v>18117400</v>
      </c>
      <c r="AB779" s="24">
        <v>18776800</v>
      </c>
      <c r="AC779" s="24">
        <v>21101800</v>
      </c>
      <c r="AD779" s="24">
        <v>17740450</v>
      </c>
      <c r="AE779" s="24">
        <v>19057450</v>
      </c>
      <c r="AF779" s="24">
        <v>16233150</v>
      </c>
      <c r="AG779" s="24">
        <v>19247750</v>
      </c>
      <c r="AH779" s="24">
        <v>18175600</v>
      </c>
      <c r="AI779" s="24">
        <v>19939300</v>
      </c>
      <c r="AJ779" s="32">
        <v>11.462065653394978</v>
      </c>
      <c r="AK779" s="32">
        <v>7.3087727445288619</v>
      </c>
      <c r="AL779" s="32">
        <v>5.1482891779129769</v>
      </c>
      <c r="AM779" s="32">
        <v>8.4065537394717662</v>
      </c>
      <c r="AN779" s="32">
        <v>0.45284463418051746</v>
      </c>
      <c r="AO779" s="32">
        <v>8.2451403322018493</v>
      </c>
      <c r="AP779" s="19">
        <v>1.0742371247629006</v>
      </c>
      <c r="AQ779" s="19">
        <v>1.1196594622731879</v>
      </c>
      <c r="AR779" s="19">
        <v>1.0359288748035484</v>
      </c>
      <c r="AS779" s="19">
        <v>0.10331248583698209</v>
      </c>
      <c r="AT779" s="19">
        <v>0.16306001193117486</v>
      </c>
      <c r="AU779" s="19">
        <v>5.0924953323011293E-2</v>
      </c>
      <c r="AV779" s="19">
        <v>-9.4377066849118466E-2</v>
      </c>
      <c r="AW779" s="19">
        <v>9.5235794948025157E-2</v>
      </c>
      <c r="AX779" s="19">
        <v>-0.25282596091278164</v>
      </c>
      <c r="AY779" s="19">
        <v>1.0742371247629006</v>
      </c>
      <c r="AZ779" s="19">
        <v>1.1196594622731879</v>
      </c>
      <c r="BA779" s="19">
        <v>1.0359288748035484</v>
      </c>
      <c r="BB779" s="19">
        <v>-1.0676043336616956</v>
      </c>
      <c r="BC779" s="19">
        <v>1.068239987568931</v>
      </c>
      <c r="BD779" s="19">
        <v>-1.1915388249718233</v>
      </c>
      <c r="BE779" s="14" t="s">
        <v>4857</v>
      </c>
    </row>
    <row r="780" spans="1:57" s="30" customFormat="1" ht="17.100000000000001" customHeight="1">
      <c r="A780" s="14">
        <v>769</v>
      </c>
      <c r="B780" s="14" t="s">
        <v>336</v>
      </c>
      <c r="C780" s="32">
        <v>-1.6364923741242496</v>
      </c>
      <c r="D780" s="32">
        <v>-1.513124249046127</v>
      </c>
      <c r="E780" s="32">
        <v>-1.7378345305254452</v>
      </c>
      <c r="F780" s="24">
        <v>5646245</v>
      </c>
      <c r="G780" s="52" t="s">
        <v>2</v>
      </c>
      <c r="H780" s="32">
        <v>27.909523028258199</v>
      </c>
      <c r="I780" s="32">
        <v>48.921649488872823</v>
      </c>
      <c r="J780" s="12" t="s">
        <v>331</v>
      </c>
      <c r="K780" s="15" t="s">
        <v>332</v>
      </c>
      <c r="L780" s="16" t="s">
        <v>4972</v>
      </c>
      <c r="M780" s="12" t="s">
        <v>394</v>
      </c>
      <c r="N780" s="15" t="s">
        <v>333</v>
      </c>
      <c r="O780" s="12" t="s">
        <v>396</v>
      </c>
      <c r="P780" s="12" t="s">
        <v>337</v>
      </c>
      <c r="Q780" s="14">
        <v>2</v>
      </c>
      <c r="R780" s="21">
        <v>514.81420000000003</v>
      </c>
      <c r="S780" s="14">
        <v>5</v>
      </c>
      <c r="T780" s="52" t="s">
        <v>2</v>
      </c>
      <c r="U780" s="53">
        <v>21.958024999999996</v>
      </c>
      <c r="V780" s="24">
        <v>5361030</v>
      </c>
      <c r="W780" s="24">
        <v>5931460</v>
      </c>
      <c r="X780" s="24">
        <v>6502220</v>
      </c>
      <c r="Y780" s="24">
        <v>3159840</v>
      </c>
      <c r="Z780" s="24">
        <v>4358200</v>
      </c>
      <c r="AA780" s="24">
        <v>3464060</v>
      </c>
      <c r="AB780" s="24">
        <v>3802800</v>
      </c>
      <c r="AC780" s="24">
        <v>3059970</v>
      </c>
      <c r="AD780" s="24">
        <v>5238637.5</v>
      </c>
      <c r="AE780" s="24">
        <v>3671257.5</v>
      </c>
      <c r="AF780" s="24">
        <v>5646245</v>
      </c>
      <c r="AG780" s="24">
        <v>4831030</v>
      </c>
      <c r="AH780" s="24">
        <v>3911130</v>
      </c>
      <c r="AI780" s="24">
        <v>3431385</v>
      </c>
      <c r="AJ780" s="32">
        <v>27.909523028258199</v>
      </c>
      <c r="AK780" s="32">
        <v>14.967176441461982</v>
      </c>
      <c r="AL780" s="32">
        <v>7.1437729179701259</v>
      </c>
      <c r="AM780" s="32">
        <v>48.921649488872823</v>
      </c>
      <c r="AN780" s="32">
        <v>16.165467712148139</v>
      </c>
      <c r="AO780" s="32">
        <v>15.30752539481297</v>
      </c>
      <c r="AP780" s="19">
        <v>0.70080388268896254</v>
      </c>
      <c r="AQ780" s="19">
        <v>0.69269576506155861</v>
      </c>
      <c r="AR780" s="19">
        <v>0.71028020939633996</v>
      </c>
      <c r="AS780" s="19">
        <v>-0.5129173269108982</v>
      </c>
      <c r="AT780" s="19">
        <v>-0.5297062412409318</v>
      </c>
      <c r="AU780" s="19">
        <v>-0.49353980695273281</v>
      </c>
      <c r="AV780" s="19">
        <v>-0.71060687959699875</v>
      </c>
      <c r="AW780" s="19">
        <v>-0.59753045822408146</v>
      </c>
      <c r="AX780" s="19">
        <v>-0.79729072118852573</v>
      </c>
      <c r="AY780" s="19">
        <v>-1.4269327335388486</v>
      </c>
      <c r="AZ780" s="19">
        <v>-1.4436352153981074</v>
      </c>
      <c r="BA780" s="19">
        <v>-1.407895062780772</v>
      </c>
      <c r="BB780" s="19">
        <v>-1.6364923741242496</v>
      </c>
      <c r="BC780" s="19">
        <v>-1.513124249046127</v>
      </c>
      <c r="BD780" s="19">
        <v>-1.7378345305254452</v>
      </c>
      <c r="BE780" s="14" t="s">
        <v>4857</v>
      </c>
    </row>
    <row r="781" spans="1:57" s="30" customFormat="1" ht="17.100000000000001" customHeight="1">
      <c r="A781" s="14">
        <v>770</v>
      </c>
      <c r="B781" s="14" t="s">
        <v>340</v>
      </c>
      <c r="C781" s="32">
        <v>-1.0957896541790437</v>
      </c>
      <c r="D781" s="32">
        <v>-1.2835467467893547</v>
      </c>
      <c r="E781" s="32">
        <v>1.0653076408584659</v>
      </c>
      <c r="F781" s="24">
        <v>3713630</v>
      </c>
      <c r="G781" s="52" t="s">
        <v>2</v>
      </c>
      <c r="H781" s="32">
        <v>18.807595953835126</v>
      </c>
      <c r="I781" s="32">
        <v>12.088977403299763</v>
      </c>
      <c r="J781" s="12" t="s">
        <v>341</v>
      </c>
      <c r="K781" s="15" t="s">
        <v>342</v>
      </c>
      <c r="L781" s="14" t="s">
        <v>5083</v>
      </c>
      <c r="M781" s="12" t="s">
        <v>394</v>
      </c>
      <c r="N781" s="15" t="s">
        <v>343</v>
      </c>
      <c r="O781" s="12" t="s">
        <v>396</v>
      </c>
      <c r="P781" s="12" t="s">
        <v>274</v>
      </c>
      <c r="Q781" s="14">
        <v>2</v>
      </c>
      <c r="R781" s="21">
        <v>689.35410000000002</v>
      </c>
      <c r="S781" s="14">
        <v>11</v>
      </c>
      <c r="T781" s="52" t="s">
        <v>2</v>
      </c>
      <c r="U781" s="53">
        <v>59.903300000000002</v>
      </c>
      <c r="V781" s="24">
        <v>3576560</v>
      </c>
      <c r="W781" s="24">
        <v>3013250</v>
      </c>
      <c r="X781" s="24">
        <v>2992800</v>
      </c>
      <c r="Y781" s="24">
        <v>2655470</v>
      </c>
      <c r="Z781" s="24">
        <v>2676580</v>
      </c>
      <c r="AA781" s="24">
        <v>2704610</v>
      </c>
      <c r="AB781" s="24">
        <v>3570300</v>
      </c>
      <c r="AC781" s="24">
        <v>3856960</v>
      </c>
      <c r="AD781" s="24">
        <v>3059520</v>
      </c>
      <c r="AE781" s="24">
        <v>3202112.5</v>
      </c>
      <c r="AF781" s="24">
        <v>3294905</v>
      </c>
      <c r="AG781" s="24">
        <v>2824135</v>
      </c>
      <c r="AH781" s="24">
        <v>2690595</v>
      </c>
      <c r="AI781" s="24">
        <v>3713630</v>
      </c>
      <c r="AJ781" s="32">
        <v>12.477162727980689</v>
      </c>
      <c r="AK781" s="32">
        <v>18.807595953835126</v>
      </c>
      <c r="AL781" s="32">
        <v>12.088977403299763</v>
      </c>
      <c r="AM781" s="32">
        <v>8.4460668664089376</v>
      </c>
      <c r="AN781" s="32">
        <v>0.7366475845178827</v>
      </c>
      <c r="AO781" s="32">
        <v>5.4582505498645721</v>
      </c>
      <c r="AP781" s="19">
        <v>1.0466061669804414</v>
      </c>
      <c r="AQ781" s="19">
        <v>0.81659258764668485</v>
      </c>
      <c r="AR781" s="19">
        <v>1.3149619263951617</v>
      </c>
      <c r="AS781" s="19">
        <v>6.5718664969037624E-2</v>
      </c>
      <c r="AT781" s="19">
        <v>-0.2923116228593261</v>
      </c>
      <c r="AU781" s="19">
        <v>0.39502102811370943</v>
      </c>
      <c r="AV781" s="19">
        <v>-0.13197088771706295</v>
      </c>
      <c r="AW781" s="19">
        <v>-0.36013583984247582</v>
      </c>
      <c r="AX781" s="19">
        <v>9.1270113877916503E-2</v>
      </c>
      <c r="AY781" s="19">
        <v>1.0466061669804414</v>
      </c>
      <c r="AZ781" s="19">
        <v>-1.2246008782444031</v>
      </c>
      <c r="BA781" s="19">
        <v>1.3149619263951617</v>
      </c>
      <c r="BB781" s="19">
        <v>-1.0957896541790437</v>
      </c>
      <c r="BC781" s="19">
        <v>-1.2835467467893547</v>
      </c>
      <c r="BD781" s="19">
        <v>1.0653076408584659</v>
      </c>
      <c r="BE781" s="14" t="s">
        <v>4857</v>
      </c>
    </row>
    <row r="782" spans="1:57" s="30" customFormat="1" ht="17.100000000000001" customHeight="1">
      <c r="A782" s="14">
        <v>771</v>
      </c>
      <c r="B782" s="14" t="s">
        <v>276</v>
      </c>
      <c r="C782" s="32">
        <v>1.1146796686881899</v>
      </c>
      <c r="D782" s="32">
        <v>1.7835468898187432</v>
      </c>
      <c r="E782" s="32">
        <v>-1.4836880311440894</v>
      </c>
      <c r="F782" s="40">
        <v>2839669</v>
      </c>
      <c r="G782" s="52" t="s">
        <v>4894</v>
      </c>
      <c r="H782" s="32">
        <v>30.044393059899306</v>
      </c>
      <c r="I782" s="32">
        <v>6.6007199202060853</v>
      </c>
      <c r="J782" s="12" t="s">
        <v>277</v>
      </c>
      <c r="K782" s="12" t="s">
        <v>278</v>
      </c>
      <c r="L782" s="14" t="s">
        <v>3540</v>
      </c>
      <c r="M782" s="12" t="s">
        <v>279</v>
      </c>
      <c r="N782" s="15" t="s">
        <v>280</v>
      </c>
      <c r="O782" s="12" t="s">
        <v>281</v>
      </c>
      <c r="P782" s="12" t="s">
        <v>282</v>
      </c>
      <c r="Q782" s="14">
        <v>2</v>
      </c>
      <c r="R782" s="21">
        <v>408.74489999999997</v>
      </c>
      <c r="S782" s="14">
        <v>1</v>
      </c>
      <c r="T782" s="52" t="s">
        <v>4894</v>
      </c>
      <c r="U782" s="53">
        <v>22.713637500000001</v>
      </c>
      <c r="V782" s="40">
        <v>1578290</v>
      </c>
      <c r="W782" s="40">
        <v>1459768</v>
      </c>
      <c r="X782" s="40">
        <v>1995474</v>
      </c>
      <c r="Y782" s="40">
        <v>2026478</v>
      </c>
      <c r="Z782" s="40">
        <v>2787634</v>
      </c>
      <c r="AA782" s="40">
        <v>2891704</v>
      </c>
      <c r="AB782" s="40">
        <v>1594938</v>
      </c>
      <c r="AC782" s="40">
        <v>1751112</v>
      </c>
      <c r="AD782" s="40">
        <v>1765002.5</v>
      </c>
      <c r="AE782" s="40">
        <v>2256347</v>
      </c>
      <c r="AF782" s="40">
        <v>1519029</v>
      </c>
      <c r="AG782" s="40">
        <v>2010976</v>
      </c>
      <c r="AH782" s="40">
        <v>2839669</v>
      </c>
      <c r="AI782" s="40">
        <v>1673025</v>
      </c>
      <c r="AJ782" s="32">
        <v>16.339675515876888</v>
      </c>
      <c r="AK782" s="32">
        <v>30.044393059899306</v>
      </c>
      <c r="AL782" s="32">
        <v>5.5171895941283537</v>
      </c>
      <c r="AM782" s="32">
        <v>1.0901740569707306</v>
      </c>
      <c r="AN782" s="32">
        <v>2.5914500147053756</v>
      </c>
      <c r="AO782" s="32">
        <v>6.6007199202060853</v>
      </c>
      <c r="AP782" s="19">
        <v>1.2783817586660642</v>
      </c>
      <c r="AQ782" s="19">
        <v>1.869397490107167</v>
      </c>
      <c r="AR782" s="19">
        <v>0.83194677609280265</v>
      </c>
      <c r="AS782" s="19">
        <v>0.35431872759179012</v>
      </c>
      <c r="AT782" s="19">
        <v>0.90257336203919236</v>
      </c>
      <c r="AU782" s="19">
        <v>-0.26543686017858031</v>
      </c>
      <c r="AV782" s="19">
        <v>0.15662917490568956</v>
      </c>
      <c r="AW782" s="19">
        <v>0.8347491450560427</v>
      </c>
      <c r="AX782" s="19">
        <v>-0.56918777441437318</v>
      </c>
      <c r="AY782" s="19">
        <v>1.2783817586660642</v>
      </c>
      <c r="AZ782" s="19">
        <v>1.869397490107167</v>
      </c>
      <c r="BA782" s="19">
        <v>-1.2019999701140152</v>
      </c>
      <c r="BB782" s="19">
        <v>1.1146796686881899</v>
      </c>
      <c r="BC782" s="19">
        <v>1.7835468898187432</v>
      </c>
      <c r="BD782" s="19">
        <v>-1.4836880311440894</v>
      </c>
      <c r="BE782" s="14" t="s">
        <v>4857</v>
      </c>
    </row>
    <row r="783" spans="1:57" s="30" customFormat="1" ht="17.100000000000001" customHeight="1">
      <c r="A783" s="14">
        <v>772</v>
      </c>
      <c r="B783" s="14" t="s">
        <v>283</v>
      </c>
      <c r="C783" s="32">
        <v>1.1123141948855437</v>
      </c>
      <c r="D783" s="32">
        <v>1.1617350321401332</v>
      </c>
      <c r="E783" s="32">
        <v>1.0725413083021103</v>
      </c>
      <c r="F783" s="24">
        <v>767202</v>
      </c>
      <c r="G783" s="52" t="s">
        <v>2</v>
      </c>
      <c r="H783" s="32">
        <v>16.304595410352935</v>
      </c>
      <c r="I783" s="32">
        <v>12.786718506607283</v>
      </c>
      <c r="J783" s="12" t="s">
        <v>284</v>
      </c>
      <c r="K783" s="12" t="s">
        <v>284</v>
      </c>
      <c r="L783" s="14" t="s">
        <v>5288</v>
      </c>
      <c r="M783" s="12" t="s">
        <v>285</v>
      </c>
      <c r="N783" s="15" t="s">
        <v>286</v>
      </c>
      <c r="O783" s="12" t="s">
        <v>287</v>
      </c>
      <c r="P783" s="12" t="s">
        <v>289</v>
      </c>
      <c r="Q783" s="14">
        <v>2</v>
      </c>
      <c r="R783" s="21">
        <v>409.7604</v>
      </c>
      <c r="S783" s="14">
        <v>7</v>
      </c>
      <c r="T783" s="52" t="s">
        <v>2</v>
      </c>
      <c r="U783" s="53">
        <v>40.883212499999999</v>
      </c>
      <c r="V783" s="24">
        <v>438139</v>
      </c>
      <c r="W783" s="24">
        <v>525244</v>
      </c>
      <c r="X783" s="24">
        <v>600273</v>
      </c>
      <c r="Y783" s="24">
        <v>558738</v>
      </c>
      <c r="Z783" s="24">
        <v>576377</v>
      </c>
      <c r="AA783" s="24">
        <v>596691</v>
      </c>
      <c r="AB783" s="24">
        <v>724242</v>
      </c>
      <c r="AC783" s="24">
        <v>810162</v>
      </c>
      <c r="AD783" s="24">
        <v>530598.5</v>
      </c>
      <c r="AE783" s="24">
        <v>676868</v>
      </c>
      <c r="AF783" s="24">
        <v>481691.5</v>
      </c>
      <c r="AG783" s="24">
        <v>579505.5</v>
      </c>
      <c r="AH783" s="24">
        <v>586534</v>
      </c>
      <c r="AI783" s="24">
        <v>767202</v>
      </c>
      <c r="AJ783" s="32">
        <v>12.97720397351072</v>
      </c>
      <c r="AK783" s="32">
        <v>16.304595410352935</v>
      </c>
      <c r="AL783" s="32">
        <v>12.786718506607283</v>
      </c>
      <c r="AM783" s="32">
        <v>5.0680589151583977</v>
      </c>
      <c r="AN783" s="32">
        <v>2.4489913889090023</v>
      </c>
      <c r="AO783" s="32">
        <v>7.9189854353283966</v>
      </c>
      <c r="AP783" s="19">
        <v>1.2756688908845388</v>
      </c>
      <c r="AQ783" s="19">
        <v>1.2176548683130177</v>
      </c>
      <c r="AR783" s="19">
        <v>1.3238908000010354</v>
      </c>
      <c r="AS783" s="19">
        <v>0.35125391572708414</v>
      </c>
      <c r="AT783" s="19">
        <v>0.28410527418701748</v>
      </c>
      <c r="AU783" s="19">
        <v>0.40478412758760546</v>
      </c>
      <c r="AV783" s="19">
        <v>0.15356436304098359</v>
      </c>
      <c r="AW783" s="19">
        <v>0.21628105720386775</v>
      </c>
      <c r="AX783" s="19">
        <v>0.10103321335181253</v>
      </c>
      <c r="AY783" s="19">
        <v>1.2756688908845388</v>
      </c>
      <c r="AZ783" s="19">
        <v>1.2176548683130177</v>
      </c>
      <c r="BA783" s="19">
        <v>1.3238908000010354</v>
      </c>
      <c r="BB783" s="19">
        <v>1.1123141948855437</v>
      </c>
      <c r="BC783" s="19">
        <v>1.1617350321401332</v>
      </c>
      <c r="BD783" s="19">
        <v>1.0725413083021103</v>
      </c>
      <c r="BE783" s="14" t="s">
        <v>4857</v>
      </c>
    </row>
    <row r="784" spans="1:57" s="30" customFormat="1" ht="17.100000000000001" customHeight="1">
      <c r="A784" s="14">
        <v>773</v>
      </c>
      <c r="B784" s="14" t="s">
        <v>290</v>
      </c>
      <c r="C784" s="32">
        <v>1.3010161744227666</v>
      </c>
      <c r="D784" s="32">
        <v>1.7865502149186669</v>
      </c>
      <c r="E784" s="32">
        <v>1.0468047510808809</v>
      </c>
      <c r="F784" s="24">
        <v>59594</v>
      </c>
      <c r="G784" s="52" t="s">
        <v>2</v>
      </c>
      <c r="H784" s="32">
        <v>38.880537811705921</v>
      </c>
      <c r="I784" s="32">
        <v>30.157054059020332</v>
      </c>
      <c r="J784" s="12" t="s">
        <v>291</v>
      </c>
      <c r="K784" s="12" t="s">
        <v>291</v>
      </c>
      <c r="L784" s="14" t="s">
        <v>4299</v>
      </c>
      <c r="M784" s="12" t="s">
        <v>292</v>
      </c>
      <c r="N784" s="15" t="s">
        <v>293</v>
      </c>
      <c r="O784" s="12" t="s">
        <v>294</v>
      </c>
      <c r="P784" s="12" t="s">
        <v>295</v>
      </c>
      <c r="Q784" s="14">
        <v>3</v>
      </c>
      <c r="R784" s="21">
        <v>398.21910000000003</v>
      </c>
      <c r="S784" s="14">
        <v>1</v>
      </c>
      <c r="T784" s="52" t="s">
        <v>2</v>
      </c>
      <c r="U784" s="53">
        <v>38.201712499999999</v>
      </c>
      <c r="V784" s="24">
        <v>29409</v>
      </c>
      <c r="W784" s="24">
        <v>19071</v>
      </c>
      <c r="X784" s="24">
        <v>49934</v>
      </c>
      <c r="Y784" s="24">
        <v>42308</v>
      </c>
      <c r="Z784" s="24">
        <v>37592</v>
      </c>
      <c r="AA784" s="24">
        <v>53189</v>
      </c>
      <c r="AB784" s="24">
        <v>68568</v>
      </c>
      <c r="AC784" s="24">
        <v>50620</v>
      </c>
      <c r="AD784" s="24">
        <v>35180.5</v>
      </c>
      <c r="AE784" s="24">
        <v>52492.25</v>
      </c>
      <c r="AF784" s="24">
        <v>24240</v>
      </c>
      <c r="AG784" s="24">
        <v>46121</v>
      </c>
      <c r="AH784" s="24">
        <v>45390.5</v>
      </c>
      <c r="AI784" s="24">
        <v>59594</v>
      </c>
      <c r="AJ784" s="32">
        <v>38.880537811705921</v>
      </c>
      <c r="AK784" s="32">
        <v>24.208243068519689</v>
      </c>
      <c r="AL784" s="32">
        <v>30.157054059020332</v>
      </c>
      <c r="AM784" s="32">
        <v>11.691846042645675</v>
      </c>
      <c r="AN784" s="32">
        <v>24.297472964974126</v>
      </c>
      <c r="AO784" s="32">
        <v>21.296023943242869</v>
      </c>
      <c r="AP784" s="19">
        <v>1.4920836827219623</v>
      </c>
      <c r="AQ784" s="19">
        <v>1.8725453795379539</v>
      </c>
      <c r="AR784" s="19">
        <v>1.2921228941263199</v>
      </c>
      <c r="AS784" s="19">
        <v>0.57732845064839122</v>
      </c>
      <c r="AT784" s="19">
        <v>0.90500068158980307</v>
      </c>
      <c r="AU784" s="19">
        <v>0.36974329163777053</v>
      </c>
      <c r="AV784" s="19">
        <v>0.37963889796229067</v>
      </c>
      <c r="AW784" s="19">
        <v>0.8371764646066534</v>
      </c>
      <c r="AX784" s="19">
        <v>6.5992377401977609E-2</v>
      </c>
      <c r="AY784" s="19">
        <v>1.4920836827219623</v>
      </c>
      <c r="AZ784" s="19">
        <v>1.8725453795379539</v>
      </c>
      <c r="BA784" s="19">
        <v>1.2921228941263199</v>
      </c>
      <c r="BB784" s="19">
        <v>1.3010161744227666</v>
      </c>
      <c r="BC784" s="19">
        <v>1.7865502149186669</v>
      </c>
      <c r="BD784" s="19">
        <v>1.0468047510808809</v>
      </c>
      <c r="BE784" s="14" t="s">
        <v>4857</v>
      </c>
    </row>
    <row r="785" spans="1:57" s="30" customFormat="1" ht="17.100000000000001" customHeight="1">
      <c r="A785" s="14">
        <v>774</v>
      </c>
      <c r="B785" s="14" t="s">
        <v>296</v>
      </c>
      <c r="C785" s="32">
        <v>1.2089445375550574</v>
      </c>
      <c r="D785" s="32">
        <v>1.1080277124761777</v>
      </c>
      <c r="E785" s="32">
        <v>1.3103006724151713</v>
      </c>
      <c r="F785" s="24">
        <v>57556.5</v>
      </c>
      <c r="G785" s="52" t="s">
        <v>2</v>
      </c>
      <c r="H785" s="32">
        <v>22.718875106984481</v>
      </c>
      <c r="I785" s="32">
        <v>21.065807844949298</v>
      </c>
      <c r="J785" s="12" t="s">
        <v>297</v>
      </c>
      <c r="K785" s="12" t="s">
        <v>298</v>
      </c>
      <c r="L785" s="14" t="s">
        <v>5297</v>
      </c>
      <c r="M785" s="12" t="s">
        <v>299</v>
      </c>
      <c r="N785" s="15" t="s">
        <v>300</v>
      </c>
      <c r="O785" s="12" t="s">
        <v>301</v>
      </c>
      <c r="P785" s="12" t="s">
        <v>303</v>
      </c>
      <c r="Q785" s="14">
        <v>2</v>
      </c>
      <c r="R785" s="21">
        <v>666.83240000000001</v>
      </c>
      <c r="S785" s="14">
        <v>2</v>
      </c>
      <c r="T785" s="52" t="s">
        <v>2</v>
      </c>
      <c r="U785" s="53">
        <v>41.990674999999996</v>
      </c>
      <c r="V785" s="24">
        <v>31410</v>
      </c>
      <c r="W785" s="24">
        <v>41581</v>
      </c>
      <c r="X785" s="24">
        <v>37786</v>
      </c>
      <c r="Y785" s="24">
        <v>33387</v>
      </c>
      <c r="Z785" s="24">
        <v>48698</v>
      </c>
      <c r="AA785" s="24">
        <v>36071</v>
      </c>
      <c r="AB785" s="24">
        <v>51362</v>
      </c>
      <c r="AC785" s="24">
        <v>63751</v>
      </c>
      <c r="AD785" s="24">
        <v>36041</v>
      </c>
      <c r="AE785" s="24">
        <v>49970.5</v>
      </c>
      <c r="AF785" s="24">
        <v>36495.5</v>
      </c>
      <c r="AG785" s="24">
        <v>35586.5</v>
      </c>
      <c r="AH785" s="24">
        <v>42384.5</v>
      </c>
      <c r="AI785" s="24">
        <v>57556.5</v>
      </c>
      <c r="AJ785" s="32">
        <v>12.63659987670308</v>
      </c>
      <c r="AK785" s="32">
        <v>22.718875106984481</v>
      </c>
      <c r="AL785" s="32">
        <v>19.706492777050251</v>
      </c>
      <c r="AM785" s="32">
        <v>8.7408504079907345</v>
      </c>
      <c r="AN785" s="32">
        <v>21.065807844949298</v>
      </c>
      <c r="AO785" s="32">
        <v>15.220428469625737</v>
      </c>
      <c r="AP785" s="19">
        <v>1.3864903859493354</v>
      </c>
      <c r="AQ785" s="19">
        <v>1.1613623597429821</v>
      </c>
      <c r="AR785" s="19">
        <v>1.6173689460891068</v>
      </c>
      <c r="AS785" s="19">
        <v>0.47143761263321204</v>
      </c>
      <c r="AT785" s="19">
        <v>0.21581818153990559</v>
      </c>
      <c r="AU785" s="19">
        <v>0.69364881670789413</v>
      </c>
      <c r="AV785" s="19">
        <v>0.27374805994711149</v>
      </c>
      <c r="AW785" s="19">
        <v>0.1479939645567559</v>
      </c>
      <c r="AX785" s="19">
        <v>0.38989790247210121</v>
      </c>
      <c r="AY785" s="19">
        <v>1.3864903859493354</v>
      </c>
      <c r="AZ785" s="19">
        <v>1.1613623597429821</v>
      </c>
      <c r="BA785" s="19">
        <v>1.6173689460891068</v>
      </c>
      <c r="BB785" s="19">
        <v>1.2089445375550574</v>
      </c>
      <c r="BC785" s="19">
        <v>1.1080277124761777</v>
      </c>
      <c r="BD785" s="19">
        <v>1.3103006724151713</v>
      </c>
      <c r="BE785" s="14" t="s">
        <v>4857</v>
      </c>
    </row>
    <row r="786" spans="1:57" s="30" customFormat="1" ht="17.100000000000001" customHeight="1">
      <c r="A786" s="14">
        <v>775</v>
      </c>
      <c r="B786" s="14" t="s">
        <v>304</v>
      </c>
      <c r="C786" s="32">
        <v>-1.2383536959003758</v>
      </c>
      <c r="D786" s="32">
        <v>1.1313989687937827</v>
      </c>
      <c r="E786" s="32">
        <v>-1.6818325830246241</v>
      </c>
      <c r="F786" s="24">
        <v>334500</v>
      </c>
      <c r="G786" s="52" t="s">
        <v>2</v>
      </c>
      <c r="H786" s="32">
        <v>17.434571675554395</v>
      </c>
      <c r="I786" s="32">
        <v>7.7767344570414592</v>
      </c>
      <c r="J786" s="12" t="s">
        <v>305</v>
      </c>
      <c r="K786" s="12" t="s">
        <v>305</v>
      </c>
      <c r="L786" s="14" t="s">
        <v>3411</v>
      </c>
      <c r="M786" s="12" t="s">
        <v>306</v>
      </c>
      <c r="N786" s="15" t="s">
        <v>307</v>
      </c>
      <c r="O786" s="12" t="s">
        <v>308</v>
      </c>
      <c r="P786" s="12" t="s">
        <v>309</v>
      </c>
      <c r="Q786" s="14">
        <v>2</v>
      </c>
      <c r="R786" s="21">
        <v>505.27859999999998</v>
      </c>
      <c r="S786" s="14">
        <v>1</v>
      </c>
      <c r="T786" s="52" t="s">
        <v>2</v>
      </c>
      <c r="U786" s="53">
        <v>60.8</v>
      </c>
      <c r="V786" s="24">
        <v>243000</v>
      </c>
      <c r="W786" s="24">
        <v>252000</v>
      </c>
      <c r="X786" s="24">
        <v>327000</v>
      </c>
      <c r="Y786" s="24">
        <v>342000</v>
      </c>
      <c r="Z786" s="24">
        <v>308000</v>
      </c>
      <c r="AA786" s="24">
        <v>279000</v>
      </c>
      <c r="AB786" s="24">
        <v>259000</v>
      </c>
      <c r="AC786" s="24">
        <v>232000</v>
      </c>
      <c r="AD786" s="24">
        <v>291000</v>
      </c>
      <c r="AE786" s="24">
        <v>269500</v>
      </c>
      <c r="AF786" s="24">
        <v>247500</v>
      </c>
      <c r="AG786" s="24">
        <v>334500</v>
      </c>
      <c r="AH786" s="24">
        <v>293500</v>
      </c>
      <c r="AI786" s="24">
        <v>245500</v>
      </c>
      <c r="AJ786" s="32">
        <v>17.434571675554395</v>
      </c>
      <c r="AK786" s="32">
        <v>11.906649168928986</v>
      </c>
      <c r="AL786" s="32">
        <v>2.5712973861328998</v>
      </c>
      <c r="AM786" s="32">
        <v>3.1708824268455045</v>
      </c>
      <c r="AN786" s="32">
        <v>6.9867450270561768</v>
      </c>
      <c r="AO786" s="32">
        <v>7.7767344570414592</v>
      </c>
      <c r="AP786" s="19">
        <v>0.92611683848797255</v>
      </c>
      <c r="AQ786" s="19">
        <v>1.1858585858585859</v>
      </c>
      <c r="AR786" s="19">
        <v>0.7339312406576981</v>
      </c>
      <c r="AS786" s="19">
        <v>-0.11073388015577834</v>
      </c>
      <c r="AT786" s="19">
        <v>0.24593197814308035</v>
      </c>
      <c r="AU786" s="19">
        <v>-0.44628318632676778</v>
      </c>
      <c r="AV786" s="19">
        <v>-0.3084234328418789</v>
      </c>
      <c r="AW786" s="19">
        <v>0.17810776115993066</v>
      </c>
      <c r="AX786" s="19">
        <v>-0.7500341005625607</v>
      </c>
      <c r="AY786" s="19">
        <v>-1.0797773654916512</v>
      </c>
      <c r="AZ786" s="19">
        <v>1.1858585858585859</v>
      </c>
      <c r="BA786" s="19">
        <v>-1.3625254582484725</v>
      </c>
      <c r="BB786" s="19">
        <v>-1.2383536959003758</v>
      </c>
      <c r="BC786" s="19">
        <v>1.1313989687937827</v>
      </c>
      <c r="BD786" s="19">
        <v>-1.6818325830246241</v>
      </c>
      <c r="BE786" s="14" t="s">
        <v>4857</v>
      </c>
    </row>
    <row r="787" spans="1:57" s="30" customFormat="1" ht="17.100000000000001" customHeight="1">
      <c r="A787" s="14">
        <v>776</v>
      </c>
      <c r="B787" s="14" t="s">
        <v>310</v>
      </c>
      <c r="C787" s="32">
        <v>1.3318861960824409</v>
      </c>
      <c r="D787" s="32">
        <v>-1.1556806747685586</v>
      </c>
      <c r="E787" s="32">
        <v>1.6208982955450835</v>
      </c>
      <c r="F787" s="24">
        <v>237188.5</v>
      </c>
      <c r="G787" s="52" t="s">
        <v>2</v>
      </c>
      <c r="H787" s="32">
        <v>30.175104843006917</v>
      </c>
      <c r="I787" s="32">
        <v>35.737938637451009</v>
      </c>
      <c r="J787" s="12" t="s">
        <v>311</v>
      </c>
      <c r="K787" s="12" t="s">
        <v>311</v>
      </c>
      <c r="L787" s="14" t="s">
        <v>312</v>
      </c>
      <c r="M787" s="12" t="s">
        <v>313</v>
      </c>
      <c r="N787" s="15" t="s">
        <v>314</v>
      </c>
      <c r="O787" s="12" t="s">
        <v>315</v>
      </c>
      <c r="P787" s="12" t="s">
        <v>316</v>
      </c>
      <c r="Q787" s="14">
        <v>4</v>
      </c>
      <c r="R787" s="21">
        <v>860.91859999999997</v>
      </c>
      <c r="S787" s="14">
        <v>1</v>
      </c>
      <c r="T787" s="52" t="s">
        <v>2</v>
      </c>
      <c r="U787" s="53">
        <v>96.185228571428567</v>
      </c>
      <c r="V787" s="24">
        <v>109454</v>
      </c>
      <c r="W787" s="24">
        <v>183480</v>
      </c>
      <c r="X787" s="24">
        <v>108605</v>
      </c>
      <c r="Y787" s="24">
        <v>128494</v>
      </c>
      <c r="Z787" s="24"/>
      <c r="AA787" s="24">
        <v>132837</v>
      </c>
      <c r="AB787" s="24">
        <v>227163</v>
      </c>
      <c r="AC787" s="24">
        <v>247214</v>
      </c>
      <c r="AD787" s="24">
        <v>132508.25</v>
      </c>
      <c r="AE787" s="24">
        <v>202404.66666666666</v>
      </c>
      <c r="AF787" s="24">
        <v>146467</v>
      </c>
      <c r="AG787" s="24">
        <v>118549.5</v>
      </c>
      <c r="AH787" s="24">
        <v>132837</v>
      </c>
      <c r="AI787" s="24">
        <v>237188.5</v>
      </c>
      <c r="AJ787" s="32">
        <v>26.564302631168928</v>
      </c>
      <c r="AK787" s="32">
        <v>30.175104843006917</v>
      </c>
      <c r="AL787" s="32">
        <v>35.737938637451009</v>
      </c>
      <c r="AM787" s="32">
        <v>11.863100874334554</v>
      </c>
      <c r="AN787" s="32" t="s">
        <v>4854</v>
      </c>
      <c r="AO787" s="32">
        <v>5.9776077126721843</v>
      </c>
      <c r="AP787" s="19">
        <v>1.5274872822384014</v>
      </c>
      <c r="AQ787" s="19">
        <v>0.90694149535390223</v>
      </c>
      <c r="AR787" s="19">
        <v>2.0007549588990252</v>
      </c>
      <c r="AS787" s="19">
        <v>0.61116036830719911</v>
      </c>
      <c r="AT787" s="19">
        <v>-0.14091860596939523</v>
      </c>
      <c r="AU787" s="19">
        <v>1.00054448497037</v>
      </c>
      <c r="AV787" s="19">
        <v>0.41347081562109855</v>
      </c>
      <c r="AW787" s="19">
        <v>-0.20874282295254493</v>
      </c>
      <c r="AX787" s="19">
        <v>0.69679357073457704</v>
      </c>
      <c r="AY787" s="19">
        <v>1.5274872822384014</v>
      </c>
      <c r="AZ787" s="19">
        <v>-1.1026069543877082</v>
      </c>
      <c r="BA787" s="19">
        <v>2.0007549588990252</v>
      </c>
      <c r="BB787" s="19">
        <v>1.3318861960824409</v>
      </c>
      <c r="BC787" s="19">
        <v>-1.1556806747685586</v>
      </c>
      <c r="BD787" s="19">
        <v>1.6208982955450835</v>
      </c>
      <c r="BE787" s="14" t="s">
        <v>4857</v>
      </c>
    </row>
    <row r="788" spans="1:57" s="30" customFormat="1" ht="17.100000000000001" customHeight="1">
      <c r="A788" s="14">
        <v>777</v>
      </c>
      <c r="B788" s="14" t="s">
        <v>317</v>
      </c>
      <c r="C788" s="32">
        <v>1.0143232109297942</v>
      </c>
      <c r="D788" s="32">
        <v>-1.2131434163229513</v>
      </c>
      <c r="E788" s="32">
        <v>1.2397828808061464</v>
      </c>
      <c r="F788" s="24">
        <v>263382</v>
      </c>
      <c r="G788" s="52" t="s">
        <v>2</v>
      </c>
      <c r="H788" s="32">
        <v>22.303419615734089</v>
      </c>
      <c r="I788" s="32">
        <v>9.62661285757647</v>
      </c>
      <c r="J788" s="12" t="s">
        <v>318</v>
      </c>
      <c r="K788" s="12" t="s">
        <v>319</v>
      </c>
      <c r="L788" s="14" t="s">
        <v>5124</v>
      </c>
      <c r="M788" s="12" t="s">
        <v>320</v>
      </c>
      <c r="N788" s="15" t="s">
        <v>321</v>
      </c>
      <c r="O788" s="12" t="s">
        <v>322</v>
      </c>
      <c r="P788" s="12" t="s">
        <v>324</v>
      </c>
      <c r="Q788" s="14">
        <v>2</v>
      </c>
      <c r="R788" s="21">
        <v>655.31389999999999</v>
      </c>
      <c r="S788" s="14">
        <v>8</v>
      </c>
      <c r="T788" s="52" t="s">
        <v>2</v>
      </c>
      <c r="U788" s="53">
        <v>30.009050000000002</v>
      </c>
      <c r="V788" s="24">
        <v>208853</v>
      </c>
      <c r="W788" s="24">
        <v>213262</v>
      </c>
      <c r="X788" s="24">
        <v>183824</v>
      </c>
      <c r="Y788" s="24">
        <v>160393</v>
      </c>
      <c r="Z788" s="24">
        <v>171708</v>
      </c>
      <c r="AA788" s="24">
        <v>192992</v>
      </c>
      <c r="AB788" s="24">
        <v>280983</v>
      </c>
      <c r="AC788" s="24">
        <v>245781</v>
      </c>
      <c r="AD788" s="24">
        <v>191583</v>
      </c>
      <c r="AE788" s="24">
        <v>222866</v>
      </c>
      <c r="AF788" s="24">
        <v>211057.5</v>
      </c>
      <c r="AG788" s="24">
        <v>172108.5</v>
      </c>
      <c r="AH788" s="24">
        <v>182350</v>
      </c>
      <c r="AI788" s="24">
        <v>263382</v>
      </c>
      <c r="AJ788" s="32">
        <v>12.789966726842433</v>
      </c>
      <c r="AK788" s="32">
        <v>22.303419615734089</v>
      </c>
      <c r="AL788" s="32">
        <v>1.4771490225419557</v>
      </c>
      <c r="AM788" s="32">
        <v>9.62661285757647</v>
      </c>
      <c r="AN788" s="32">
        <v>8.2533922296542244</v>
      </c>
      <c r="AO788" s="32">
        <v>9.4507494480749816</v>
      </c>
      <c r="AP788" s="19">
        <v>1.1632869304687785</v>
      </c>
      <c r="AQ788" s="19">
        <v>0.86398256399322459</v>
      </c>
      <c r="AR788" s="19">
        <v>1.5303253470920959</v>
      </c>
      <c r="AS788" s="19">
        <v>0.21820698856383314</v>
      </c>
      <c r="AT788" s="19">
        <v>-0.21092589719113081</v>
      </c>
      <c r="AU788" s="19">
        <v>0.61383840241993592</v>
      </c>
      <c r="AV788" s="19">
        <v>2.0517435877732582E-2</v>
      </c>
      <c r="AW788" s="19">
        <v>-0.27875011417428053</v>
      </c>
      <c r="AX788" s="19">
        <v>0.310087488184143</v>
      </c>
      <c r="AY788" s="19">
        <v>1.1632869304687785</v>
      </c>
      <c r="AZ788" s="19">
        <v>-1.157430765012339</v>
      </c>
      <c r="BA788" s="19">
        <v>1.5303253470920959</v>
      </c>
      <c r="BB788" s="19">
        <v>1.0143232109297942</v>
      </c>
      <c r="BC788" s="19">
        <v>-1.2131434163229513</v>
      </c>
      <c r="BD788" s="19">
        <v>1.2397828808061464</v>
      </c>
      <c r="BE788" s="14" t="s">
        <v>4857</v>
      </c>
    </row>
    <row r="789" spans="1:57" s="30" customFormat="1" ht="17.100000000000001" customHeight="1">
      <c r="A789" s="14">
        <v>778</v>
      </c>
      <c r="B789" s="14" t="s">
        <v>325</v>
      </c>
      <c r="C789" s="32">
        <v>-1.0068158233019897</v>
      </c>
      <c r="D789" s="32">
        <v>1.2401065280171797</v>
      </c>
      <c r="E789" s="32">
        <v>-1.2072755462414009</v>
      </c>
      <c r="F789" s="24">
        <v>2795690</v>
      </c>
      <c r="G789" s="52" t="s">
        <v>2</v>
      </c>
      <c r="H789" s="32">
        <v>22.77348140860088</v>
      </c>
      <c r="I789" s="32">
        <v>25.591706639154289</v>
      </c>
      <c r="J789" s="12" t="s">
        <v>326</v>
      </c>
      <c r="K789" s="15" t="s">
        <v>214</v>
      </c>
      <c r="L789" s="14" t="s">
        <v>215</v>
      </c>
      <c r="M789" s="12" t="s">
        <v>4854</v>
      </c>
      <c r="N789" s="15" t="s">
        <v>216</v>
      </c>
      <c r="O789" s="12" t="s">
        <v>217</v>
      </c>
      <c r="P789" s="12" t="s">
        <v>219</v>
      </c>
      <c r="Q789" s="14">
        <v>2</v>
      </c>
      <c r="R789" s="21">
        <v>459.72140000000002</v>
      </c>
      <c r="S789" s="14">
        <v>1</v>
      </c>
      <c r="T789" s="52" t="s">
        <v>2</v>
      </c>
      <c r="U789" s="53">
        <v>70.04706250000001</v>
      </c>
      <c r="V789" s="24">
        <v>2040860</v>
      </c>
      <c r="W789" s="24">
        <v>1929470</v>
      </c>
      <c r="X789" s="24">
        <v>3120950</v>
      </c>
      <c r="Y789" s="24">
        <v>2347790</v>
      </c>
      <c r="Z789" s="24">
        <v>2862030</v>
      </c>
      <c r="AA789" s="24">
        <v>2298600</v>
      </c>
      <c r="AB789" s="24">
        <v>3301600</v>
      </c>
      <c r="AC789" s="24">
        <v>2289780</v>
      </c>
      <c r="AD789" s="24">
        <v>2359767.5</v>
      </c>
      <c r="AE789" s="24">
        <v>2688002.5</v>
      </c>
      <c r="AF789" s="24">
        <v>1985165</v>
      </c>
      <c r="AG789" s="24">
        <v>2734370</v>
      </c>
      <c r="AH789" s="24">
        <v>2580315</v>
      </c>
      <c r="AI789" s="24">
        <v>2795690</v>
      </c>
      <c r="AJ789" s="32">
        <v>22.77348140860088</v>
      </c>
      <c r="AK789" s="32">
        <v>18.187381191217707</v>
      </c>
      <c r="AL789" s="32">
        <v>3.967661345851329</v>
      </c>
      <c r="AM789" s="32">
        <v>19.993880818696486</v>
      </c>
      <c r="AN789" s="32">
        <v>15.440175859301538</v>
      </c>
      <c r="AO789" s="32">
        <v>25.591706639154289</v>
      </c>
      <c r="AP789" s="19">
        <v>1.1390963304647597</v>
      </c>
      <c r="AQ789" s="19">
        <v>1.2997987572821403</v>
      </c>
      <c r="AR789" s="19">
        <v>1.0224256410068864</v>
      </c>
      <c r="AS789" s="19">
        <v>0.18788975723674381</v>
      </c>
      <c r="AT789" s="19">
        <v>0.37828827375728297</v>
      </c>
      <c r="AU789" s="19">
        <v>3.19959226276103E-2</v>
      </c>
      <c r="AV789" s="19">
        <v>-9.7997954493567463E-3</v>
      </c>
      <c r="AW789" s="19">
        <v>0.31046405677413325</v>
      </c>
      <c r="AX789" s="19">
        <v>-0.27175499160818262</v>
      </c>
      <c r="AY789" s="19">
        <v>1.1390963304647597</v>
      </c>
      <c r="AZ789" s="19">
        <v>1.2997987572821403</v>
      </c>
      <c r="BA789" s="19">
        <v>1.0224256410068864</v>
      </c>
      <c r="BB789" s="19">
        <v>-1.0068158233019897</v>
      </c>
      <c r="BC789" s="19">
        <v>1.2401065280171797</v>
      </c>
      <c r="BD789" s="19">
        <v>-1.2072755462414009</v>
      </c>
      <c r="BE789" s="14" t="s">
        <v>4857</v>
      </c>
    </row>
    <row r="790" spans="1:57" s="30" customFormat="1" ht="17.100000000000001" customHeight="1">
      <c r="A790" s="14">
        <v>779</v>
      </c>
      <c r="B790" s="14" t="s">
        <v>220</v>
      </c>
      <c r="C790" s="32">
        <v>1.1609009019551355</v>
      </c>
      <c r="D790" s="32">
        <v>-1.0692791063852103</v>
      </c>
      <c r="E790" s="32">
        <v>1.3581615392133111</v>
      </c>
      <c r="F790" s="24">
        <v>1056023.5</v>
      </c>
      <c r="G790" s="52" t="s">
        <v>2</v>
      </c>
      <c r="H790" s="32">
        <v>33.690103586119228</v>
      </c>
      <c r="I790" s="32">
        <v>22.659047663050718</v>
      </c>
      <c r="J790" s="12" t="s">
        <v>221</v>
      </c>
      <c r="K790" s="15" t="s">
        <v>222</v>
      </c>
      <c r="L790" s="14" t="s">
        <v>5218</v>
      </c>
      <c r="M790" s="12" t="s">
        <v>223</v>
      </c>
      <c r="N790" s="15" t="s">
        <v>224</v>
      </c>
      <c r="O790" s="12" t="s">
        <v>225</v>
      </c>
      <c r="P790" s="12" t="s">
        <v>227</v>
      </c>
      <c r="Q790" s="14">
        <v>2</v>
      </c>
      <c r="R790" s="21">
        <v>937.46460000000002</v>
      </c>
      <c r="S790" s="14">
        <v>9</v>
      </c>
      <c r="T790" s="52" t="s">
        <v>2</v>
      </c>
      <c r="U790" s="53">
        <v>79.026724999999999</v>
      </c>
      <c r="V790" s="24">
        <v>575925</v>
      </c>
      <c r="W790" s="24">
        <v>661989</v>
      </c>
      <c r="X790" s="24">
        <v>629108</v>
      </c>
      <c r="Y790" s="24">
        <v>630728</v>
      </c>
      <c r="Z790" s="24">
        <v>703928</v>
      </c>
      <c r="AA790" s="24">
        <v>509507</v>
      </c>
      <c r="AB790" s="24">
        <v>1141390</v>
      </c>
      <c r="AC790" s="24">
        <v>970657</v>
      </c>
      <c r="AD790" s="24">
        <v>624437.5</v>
      </c>
      <c r="AE790" s="24">
        <v>831370.5</v>
      </c>
      <c r="AF790" s="24">
        <v>618957</v>
      </c>
      <c r="AG790" s="24">
        <v>629918</v>
      </c>
      <c r="AH790" s="24">
        <v>606717.5</v>
      </c>
      <c r="AI790" s="24">
        <v>1056023.5</v>
      </c>
      <c r="AJ790" s="32">
        <v>5.7182606258019488</v>
      </c>
      <c r="AK790" s="32">
        <v>33.690103586119228</v>
      </c>
      <c r="AL790" s="32">
        <v>9.8320946392138762</v>
      </c>
      <c r="AM790" s="32">
        <v>0.18185112753123533</v>
      </c>
      <c r="AN790" s="32">
        <v>22.659047663050718</v>
      </c>
      <c r="AO790" s="32">
        <v>11.432175711271842</v>
      </c>
      <c r="AP790" s="19">
        <v>1.331391051946752</v>
      </c>
      <c r="AQ790" s="19">
        <v>0.9802256053328422</v>
      </c>
      <c r="AR790" s="19">
        <v>1.676445981857956</v>
      </c>
      <c r="AS790" s="19">
        <v>0.41293437729283788</v>
      </c>
      <c r="AT790" s="19">
        <v>-2.8814261744847504E-2</v>
      </c>
      <c r="AU790" s="19">
        <v>0.74540599761950999</v>
      </c>
      <c r="AV790" s="19">
        <v>0.21524482460673733</v>
      </c>
      <c r="AW790" s="19">
        <v>-9.6638478727997218E-2</v>
      </c>
      <c r="AX790" s="19">
        <v>0.44165508338371706</v>
      </c>
      <c r="AY790" s="19">
        <v>1.331391051946752</v>
      </c>
      <c r="AZ790" s="19">
        <v>-1.0201733096539987</v>
      </c>
      <c r="BA790" s="19">
        <v>1.676445981857956</v>
      </c>
      <c r="BB790" s="19">
        <v>1.1609009019551355</v>
      </c>
      <c r="BC790" s="19">
        <v>-1.0692791063852103</v>
      </c>
      <c r="BD790" s="19">
        <v>1.3581615392133111</v>
      </c>
      <c r="BE790" s="14" t="s">
        <v>4857</v>
      </c>
    </row>
    <row r="791" spans="1:57" s="30" customFormat="1" ht="17.100000000000001" customHeight="1">
      <c r="A791" s="14">
        <v>780</v>
      </c>
      <c r="B791" s="14" t="s">
        <v>229</v>
      </c>
      <c r="C791" s="32">
        <v>-1.2764006289375169</v>
      </c>
      <c r="D791" s="32">
        <v>-1.0120692595324154</v>
      </c>
      <c r="E791" s="32">
        <v>-1.5984317429241053</v>
      </c>
      <c r="F791" s="24">
        <v>238933.5</v>
      </c>
      <c r="G791" s="52" t="s">
        <v>2</v>
      </c>
      <c r="H791" s="32">
        <v>47.257136503650763</v>
      </c>
      <c r="I791" s="32">
        <v>83.736989925257276</v>
      </c>
      <c r="J791" s="12" t="s">
        <v>221</v>
      </c>
      <c r="K791" s="15" t="s">
        <v>222</v>
      </c>
      <c r="L791" s="14" t="s">
        <v>4987</v>
      </c>
      <c r="M791" s="12" t="s">
        <v>223</v>
      </c>
      <c r="N791" s="15" t="s">
        <v>224</v>
      </c>
      <c r="O791" s="12" t="s">
        <v>225</v>
      </c>
      <c r="P791" s="12" t="s">
        <v>230</v>
      </c>
      <c r="Q791" s="14">
        <v>2</v>
      </c>
      <c r="R791" s="21">
        <v>711.38739999999996</v>
      </c>
      <c r="S791" s="14">
        <v>4</v>
      </c>
      <c r="T791" s="52" t="s">
        <v>2</v>
      </c>
      <c r="U791" s="53">
        <v>80.022837500000009</v>
      </c>
      <c r="V791" s="24">
        <v>208008</v>
      </c>
      <c r="W791" s="24">
        <v>232088</v>
      </c>
      <c r="X791" s="24">
        <v>226533</v>
      </c>
      <c r="Y791" s="24">
        <v>251334</v>
      </c>
      <c r="Z791" s="24">
        <v>190923</v>
      </c>
      <c r="AA791" s="24">
        <v>264856</v>
      </c>
      <c r="AB791" s="24">
        <v>293761</v>
      </c>
      <c r="AC791" s="24">
        <v>75260</v>
      </c>
      <c r="AD791" s="24">
        <v>229490.75</v>
      </c>
      <c r="AE791" s="24">
        <v>206200</v>
      </c>
      <c r="AF791" s="24">
        <v>220048</v>
      </c>
      <c r="AG791" s="24">
        <v>238933.5</v>
      </c>
      <c r="AH791" s="24">
        <v>227889.5</v>
      </c>
      <c r="AI791" s="24">
        <v>184510.5</v>
      </c>
      <c r="AJ791" s="32">
        <v>7.771019311276536</v>
      </c>
      <c r="AK791" s="32">
        <v>47.257136503650763</v>
      </c>
      <c r="AL791" s="32">
        <v>7.737916859490686</v>
      </c>
      <c r="AM791" s="32">
        <v>7.339680404885697</v>
      </c>
      <c r="AN791" s="32">
        <v>22.940295912477325</v>
      </c>
      <c r="AO791" s="32">
        <v>83.736989925257276</v>
      </c>
      <c r="AP791" s="19">
        <v>0.89851116003586207</v>
      </c>
      <c r="AQ791" s="19">
        <v>1.0356354068203302</v>
      </c>
      <c r="AR791" s="19">
        <v>0.77222532629371776</v>
      </c>
      <c r="AS791" s="19">
        <v>-0.15439167192186704</v>
      </c>
      <c r="AT791" s="19">
        <v>5.0516194772155125E-2</v>
      </c>
      <c r="AU791" s="19">
        <v>-0.37290622447293353</v>
      </c>
      <c r="AV791" s="19">
        <v>-0.35208122460796759</v>
      </c>
      <c r="AW791" s="19">
        <v>-1.7308022210994582E-2</v>
      </c>
      <c r="AX791" s="19">
        <v>-0.67665713870872646</v>
      </c>
      <c r="AY791" s="19">
        <v>-1.1129522308438409</v>
      </c>
      <c r="AZ791" s="19">
        <v>1.0356354068203302</v>
      </c>
      <c r="BA791" s="19">
        <v>-1.2949588234815903</v>
      </c>
      <c r="BB791" s="19">
        <v>-1.2764006289375169</v>
      </c>
      <c r="BC791" s="19">
        <v>-1.0120692595324154</v>
      </c>
      <c r="BD791" s="19">
        <v>-1.5984317429241053</v>
      </c>
      <c r="BE791" s="14" t="s">
        <v>4857</v>
      </c>
    </row>
    <row r="792" spans="1:57" s="30" customFormat="1" ht="17.100000000000001" customHeight="1">
      <c r="A792" s="14">
        <v>781</v>
      </c>
      <c r="B792" s="14" t="s">
        <v>231</v>
      </c>
      <c r="C792" s="32">
        <v>1.1543789460524274</v>
      </c>
      <c r="D792" s="32">
        <v>1.0744392560068274</v>
      </c>
      <c r="E792" s="32">
        <v>1.2318797141998514</v>
      </c>
      <c r="F792" s="42">
        <v>28421617</v>
      </c>
      <c r="G792" s="52" t="s">
        <v>4894</v>
      </c>
      <c r="H792" s="32">
        <v>19.359105502099943</v>
      </c>
      <c r="I792" s="32">
        <v>11.387637705732065</v>
      </c>
      <c r="J792" s="12" t="s">
        <v>232</v>
      </c>
      <c r="K792" s="12" t="s">
        <v>233</v>
      </c>
      <c r="L792" s="14" t="s">
        <v>2473</v>
      </c>
      <c r="M792" s="12" t="s">
        <v>234</v>
      </c>
      <c r="N792" s="15" t="s">
        <v>235</v>
      </c>
      <c r="O792" s="12" t="s">
        <v>236</v>
      </c>
      <c r="P792" s="12" t="s">
        <v>237</v>
      </c>
      <c r="Q792" s="14">
        <v>3</v>
      </c>
      <c r="R792" s="21">
        <v>758.71600000000001</v>
      </c>
      <c r="S792" s="14">
        <v>1</v>
      </c>
      <c r="T792" s="52" t="s">
        <v>4894</v>
      </c>
      <c r="U792" s="53">
        <v>100</v>
      </c>
      <c r="V792" s="42">
        <v>19397246</v>
      </c>
      <c r="W792" s="42">
        <v>17778536</v>
      </c>
      <c r="X792" s="42">
        <v>19389859</v>
      </c>
      <c r="Y792" s="42">
        <v>17992985</v>
      </c>
      <c r="Z792" s="42">
        <v>21910458</v>
      </c>
      <c r="AA792" s="42">
        <v>19955314</v>
      </c>
      <c r="AB792" s="42">
        <v>30710204</v>
      </c>
      <c r="AC792" s="42">
        <v>26133030</v>
      </c>
      <c r="AD792" s="42">
        <v>18639656.5</v>
      </c>
      <c r="AE792" s="42">
        <v>24677251.5</v>
      </c>
      <c r="AF792" s="42">
        <v>18587891</v>
      </c>
      <c r="AG792" s="42">
        <v>18691422</v>
      </c>
      <c r="AH792" s="42">
        <v>20932886</v>
      </c>
      <c r="AI792" s="42">
        <v>28421617</v>
      </c>
      <c r="AJ792" s="32">
        <v>4.6938665594252322</v>
      </c>
      <c r="AK792" s="32">
        <v>19.359105502099943</v>
      </c>
      <c r="AL792" s="32">
        <v>6.1577766825428242</v>
      </c>
      <c r="AM792" s="32">
        <v>5.2844512197262326</v>
      </c>
      <c r="AN792" s="32">
        <v>6.6044193839119529</v>
      </c>
      <c r="AO792" s="32">
        <v>11.387637705732065</v>
      </c>
      <c r="AP792" s="19">
        <v>1.323911280232015</v>
      </c>
      <c r="AQ792" s="19">
        <v>1.1261571310053411</v>
      </c>
      <c r="AR792" s="19">
        <v>1.5205700775468018</v>
      </c>
      <c r="AS792" s="19">
        <v>0.40480644551528716</v>
      </c>
      <c r="AT792" s="19">
        <v>0.17140813852510081</v>
      </c>
      <c r="AU792" s="19">
        <v>0.60461230647034503</v>
      </c>
      <c r="AV792" s="19">
        <v>0.20711689282918661</v>
      </c>
      <c r="AW792" s="19">
        <v>0.1035839215419511</v>
      </c>
      <c r="AX792" s="19">
        <v>0.30086139223455211</v>
      </c>
      <c r="AY792" s="19">
        <v>1.323911280232015</v>
      </c>
      <c r="AZ792" s="19">
        <v>1.1261571310053411</v>
      </c>
      <c r="BA792" s="19">
        <v>1.5205700775468018</v>
      </c>
      <c r="BB792" s="19">
        <v>1.1543789460524274</v>
      </c>
      <c r="BC792" s="19">
        <v>1.0744392560068274</v>
      </c>
      <c r="BD792" s="19">
        <v>1.2318797141998514</v>
      </c>
      <c r="BE792" s="14" t="s">
        <v>4857</v>
      </c>
    </row>
    <row r="793" spans="1:57" s="30" customFormat="1" ht="17.100000000000001" customHeight="1">
      <c r="A793" s="14">
        <v>782</v>
      </c>
      <c r="B793" s="14" t="s">
        <v>245</v>
      </c>
      <c r="C793" s="32">
        <v>-1.0754943079249029</v>
      </c>
      <c r="D793" s="32">
        <v>1.5872179031342597</v>
      </c>
      <c r="E793" s="32">
        <v>-1.5922217098243678</v>
      </c>
      <c r="F793" s="24">
        <v>288384</v>
      </c>
      <c r="G793" s="52" t="s">
        <v>2</v>
      </c>
      <c r="H793" s="32">
        <v>50.809979657458456</v>
      </c>
      <c r="I793" s="32">
        <v>39.929230085269822</v>
      </c>
      <c r="J793" s="12" t="s">
        <v>238</v>
      </c>
      <c r="K793" s="12" t="s">
        <v>239</v>
      </c>
      <c r="L793" s="14" t="s">
        <v>2851</v>
      </c>
      <c r="M793" s="12" t="s">
        <v>240</v>
      </c>
      <c r="N793" s="15" t="s">
        <v>241</v>
      </c>
      <c r="O793" s="12" t="s">
        <v>242</v>
      </c>
      <c r="P793" s="12" t="s">
        <v>243</v>
      </c>
      <c r="Q793" s="14">
        <v>3</v>
      </c>
      <c r="R793" s="21">
        <v>578.95039999999995</v>
      </c>
      <c r="S793" s="14">
        <v>14</v>
      </c>
      <c r="T793" s="52" t="s">
        <v>2</v>
      </c>
      <c r="U793" s="53">
        <v>83.225700000000003</v>
      </c>
      <c r="V793" s="24">
        <v>124496</v>
      </c>
      <c r="W793" s="24">
        <v>156634</v>
      </c>
      <c r="X793" s="24">
        <v>206961</v>
      </c>
      <c r="Y793" s="24">
        <v>369807</v>
      </c>
      <c r="Z793" s="24">
        <v>252006</v>
      </c>
      <c r="AA793" s="24">
        <v>215687</v>
      </c>
      <c r="AB793" s="24">
        <v>250292</v>
      </c>
      <c r="AC793" s="24">
        <v>196840</v>
      </c>
      <c r="AD793" s="24">
        <v>214474.5</v>
      </c>
      <c r="AE793" s="24">
        <v>228706.25</v>
      </c>
      <c r="AF793" s="24">
        <v>140565</v>
      </c>
      <c r="AG793" s="24">
        <v>288384</v>
      </c>
      <c r="AH793" s="24">
        <v>233846.5</v>
      </c>
      <c r="AI793" s="24">
        <v>223566</v>
      </c>
      <c r="AJ793" s="32">
        <v>50.809979657458456</v>
      </c>
      <c r="AK793" s="32">
        <v>11.823826424328962</v>
      </c>
      <c r="AL793" s="32">
        <v>16.166896264200378</v>
      </c>
      <c r="AM793" s="32">
        <v>39.929230085269822</v>
      </c>
      <c r="AN793" s="32">
        <v>10.982166158533149</v>
      </c>
      <c r="AO793" s="32">
        <v>16.906091117604348</v>
      </c>
      <c r="AP793" s="19">
        <v>1.0663563733683958</v>
      </c>
      <c r="AQ793" s="19">
        <v>1.6636182548998684</v>
      </c>
      <c r="AR793" s="19">
        <v>0.7752371837549934</v>
      </c>
      <c r="AS793" s="19">
        <v>9.2689663397228728E-2</v>
      </c>
      <c r="AT793" s="19">
        <v>0.73432442089097849</v>
      </c>
      <c r="AU793" s="19">
        <v>-0.3672903245311816</v>
      </c>
      <c r="AV793" s="19">
        <v>-0.10499988928887183</v>
      </c>
      <c r="AW793" s="19">
        <v>0.66650020390782883</v>
      </c>
      <c r="AX793" s="19">
        <v>-0.67104123876697452</v>
      </c>
      <c r="AY793" s="19">
        <v>1.0663563733683958</v>
      </c>
      <c r="AZ793" s="19">
        <v>1.6636182548998684</v>
      </c>
      <c r="BA793" s="19">
        <v>-1.2899278065537694</v>
      </c>
      <c r="BB793" s="19">
        <v>-1.0754943079249029</v>
      </c>
      <c r="BC793" s="19">
        <v>1.5872179031342597</v>
      </c>
      <c r="BD793" s="19">
        <v>-1.5922217098243678</v>
      </c>
      <c r="BE793" s="14" t="s">
        <v>4857</v>
      </c>
    </row>
    <row r="794" spans="1:57" s="30" customFormat="1" ht="17.100000000000001" customHeight="1">
      <c r="A794" s="14">
        <v>783</v>
      </c>
      <c r="B794" s="14" t="s">
        <v>246</v>
      </c>
      <c r="C794" s="32">
        <v>1.4532430826861791</v>
      </c>
      <c r="D794" s="32">
        <v>1.6917177227172793</v>
      </c>
      <c r="E794" s="32">
        <v>1.2788469507611813</v>
      </c>
      <c r="F794" s="42">
        <v>206000</v>
      </c>
      <c r="G794" s="52" t="s">
        <v>2</v>
      </c>
      <c r="H794" s="32">
        <v>35.40264179226002</v>
      </c>
      <c r="I794" s="32">
        <v>52.802229613407988</v>
      </c>
      <c r="J794" s="12" t="s">
        <v>247</v>
      </c>
      <c r="K794" s="12" t="s">
        <v>248</v>
      </c>
      <c r="L794" s="14" t="s">
        <v>249</v>
      </c>
      <c r="M794" s="12" t="s">
        <v>250</v>
      </c>
      <c r="N794" s="15" t="s">
        <v>251</v>
      </c>
      <c r="O794" s="12" t="s">
        <v>252</v>
      </c>
      <c r="P794" s="12" t="s">
        <v>253</v>
      </c>
      <c r="Q794" s="14">
        <v>2</v>
      </c>
      <c r="R794" s="21">
        <v>976.47550000000001</v>
      </c>
      <c r="S794" s="14">
        <v>1</v>
      </c>
      <c r="T794" s="52" t="s">
        <v>2</v>
      </c>
      <c r="U794" s="53">
        <v>91</v>
      </c>
      <c r="V794" s="42">
        <v>112000</v>
      </c>
      <c r="W794" s="42">
        <v>104000</v>
      </c>
      <c r="X794" s="42">
        <v>155000</v>
      </c>
      <c r="Y794" s="42">
        <v>106000</v>
      </c>
      <c r="Z794" s="42">
        <v>263000</v>
      </c>
      <c r="AA794" s="42">
        <v>120000</v>
      </c>
      <c r="AB794" s="42">
        <v>159000</v>
      </c>
      <c r="AC794" s="42">
        <v>253000</v>
      </c>
      <c r="AD794" s="42">
        <v>119250</v>
      </c>
      <c r="AE794" s="42">
        <v>198750</v>
      </c>
      <c r="AF794" s="42">
        <v>108000</v>
      </c>
      <c r="AG794" s="42">
        <v>130500</v>
      </c>
      <c r="AH794" s="42">
        <v>191500</v>
      </c>
      <c r="AI794" s="42">
        <v>206000</v>
      </c>
      <c r="AJ794" s="32">
        <v>20.18829101265036</v>
      </c>
      <c r="AK794" s="32">
        <v>35.40264179226002</v>
      </c>
      <c r="AL794" s="32">
        <v>5.2378280087892408</v>
      </c>
      <c r="AM794" s="32">
        <v>26.55036956179374</v>
      </c>
      <c r="AN794" s="32">
        <v>52.802229613407988</v>
      </c>
      <c r="AO794" s="32">
        <v>32.266037588124014</v>
      </c>
      <c r="AP794" s="19">
        <v>1.6666666666666667</v>
      </c>
      <c r="AQ794" s="19">
        <v>1.7731481481481481</v>
      </c>
      <c r="AR794" s="19">
        <v>1.578544061302682</v>
      </c>
      <c r="AS794" s="19">
        <v>0.73696559416620622</v>
      </c>
      <c r="AT794" s="19">
        <v>0.8263130797614886</v>
      </c>
      <c r="AU794" s="19">
        <v>0.65859453061333395</v>
      </c>
      <c r="AV794" s="19">
        <v>0.53927604148010566</v>
      </c>
      <c r="AW794" s="19">
        <v>0.75848886277833893</v>
      </c>
      <c r="AX794" s="19">
        <v>0.35484361637754103</v>
      </c>
      <c r="AY794" s="19">
        <v>1.6666666666666667</v>
      </c>
      <c r="AZ794" s="19">
        <v>1.7731481481481481</v>
      </c>
      <c r="BA794" s="19">
        <v>1.578544061302682</v>
      </c>
      <c r="BB794" s="19">
        <v>1.4532430826861791</v>
      </c>
      <c r="BC794" s="19">
        <v>1.6917177227172793</v>
      </c>
      <c r="BD794" s="19">
        <v>1.2788469507611813</v>
      </c>
      <c r="BE794" s="14" t="s">
        <v>4857</v>
      </c>
    </row>
    <row r="795" spans="1:57" s="30" customFormat="1" ht="17.100000000000001" customHeight="1">
      <c r="A795" s="14">
        <v>784</v>
      </c>
      <c r="B795" s="14" t="s">
        <v>254</v>
      </c>
      <c r="C795" s="32">
        <v>1.2041156970828339</v>
      </c>
      <c r="D795" s="32">
        <v>1.2049126191883301</v>
      </c>
      <c r="E795" s="32">
        <v>1.2081084824832571</v>
      </c>
      <c r="F795" s="40">
        <v>1700000</v>
      </c>
      <c r="G795" s="52" t="s">
        <v>2</v>
      </c>
      <c r="H795" s="32">
        <v>15.957347275213586</v>
      </c>
      <c r="I795" s="32">
        <v>17.367534976511692</v>
      </c>
      <c r="J795" s="12" t="s">
        <v>255</v>
      </c>
      <c r="K795" s="12" t="s">
        <v>256</v>
      </c>
      <c r="L795" s="14" t="s">
        <v>3988</v>
      </c>
      <c r="M795" s="12" t="s">
        <v>257</v>
      </c>
      <c r="N795" s="15" t="s">
        <v>258</v>
      </c>
      <c r="O795" s="12" t="s">
        <v>259</v>
      </c>
      <c r="P795" s="12" t="s">
        <v>260</v>
      </c>
      <c r="Q795" s="14">
        <v>3</v>
      </c>
      <c r="R795" s="21">
        <v>474.2647</v>
      </c>
      <c r="S795" s="14">
        <v>1</v>
      </c>
      <c r="T795" s="52" t="s">
        <v>2</v>
      </c>
      <c r="U795" s="53">
        <v>38</v>
      </c>
      <c r="V795" s="40">
        <v>1020000</v>
      </c>
      <c r="W795" s="40">
        <v>1110000</v>
      </c>
      <c r="X795" s="40">
        <v>1280000</v>
      </c>
      <c r="Y795" s="40">
        <v>1000000</v>
      </c>
      <c r="Z795" s="40">
        <v>1290000</v>
      </c>
      <c r="AA795" s="40">
        <v>1400000</v>
      </c>
      <c r="AB795" s="40">
        <v>1550000</v>
      </c>
      <c r="AC795" s="40">
        <v>1850000</v>
      </c>
      <c r="AD795" s="40">
        <v>1102500</v>
      </c>
      <c r="AE795" s="40">
        <v>1522500</v>
      </c>
      <c r="AF795" s="40">
        <v>1065000</v>
      </c>
      <c r="AG795" s="40">
        <v>1140000</v>
      </c>
      <c r="AH795" s="40">
        <v>1345000</v>
      </c>
      <c r="AI795" s="40">
        <v>1700000</v>
      </c>
      <c r="AJ795" s="32">
        <v>11.577216627994433</v>
      </c>
      <c r="AK795" s="32">
        <v>15.957347275213586</v>
      </c>
      <c r="AL795" s="32">
        <v>5.9755502635482891</v>
      </c>
      <c r="AM795" s="32">
        <v>17.367534976511692</v>
      </c>
      <c r="AN795" s="32">
        <v>5.7830294372133997</v>
      </c>
      <c r="AO795" s="32">
        <v>12.478354962115544</v>
      </c>
      <c r="AP795" s="19">
        <v>1.3809523809523809</v>
      </c>
      <c r="AQ795" s="19">
        <v>1.2629107981220657</v>
      </c>
      <c r="AR795" s="19">
        <v>1.4912280701754386</v>
      </c>
      <c r="AS795" s="19">
        <v>0.46566357234881184</v>
      </c>
      <c r="AT795" s="19">
        <v>0.33675274233078595</v>
      </c>
      <c r="AU795" s="19">
        <v>0.5765009219729601</v>
      </c>
      <c r="AV795" s="19">
        <v>0.26797401966271128</v>
      </c>
      <c r="AW795" s="19">
        <v>0.26892852534763623</v>
      </c>
      <c r="AX795" s="19">
        <v>0.27275000773716718</v>
      </c>
      <c r="AY795" s="19">
        <v>1.3809523809523809</v>
      </c>
      <c r="AZ795" s="19">
        <v>1.2629107981220657</v>
      </c>
      <c r="BA795" s="19">
        <v>1.4912280701754386</v>
      </c>
      <c r="BB795" s="19">
        <v>1.2041156970828339</v>
      </c>
      <c r="BC795" s="19">
        <v>1.2049126191883301</v>
      </c>
      <c r="BD795" s="19">
        <v>1.2081084824832571</v>
      </c>
      <c r="BE795" s="14" t="s">
        <v>4857</v>
      </c>
    </row>
    <row r="796" spans="1:57" s="30" customFormat="1" ht="17.100000000000001" customHeight="1">
      <c r="A796" s="14">
        <v>785</v>
      </c>
      <c r="B796" s="14" t="s">
        <v>261</v>
      </c>
      <c r="C796" s="32">
        <v>-1.6224871830506453</v>
      </c>
      <c r="D796" s="32">
        <v>-1.7754450919745837</v>
      </c>
      <c r="E796" s="32">
        <v>-1.4866722253495677</v>
      </c>
      <c r="F796" s="24">
        <v>162846.5</v>
      </c>
      <c r="G796" s="52" t="s">
        <v>2</v>
      </c>
      <c r="H796" s="32">
        <v>17.467055484271892</v>
      </c>
      <c r="I796" s="32">
        <v>8.9241095485443935</v>
      </c>
      <c r="J796" s="12" t="s">
        <v>262</v>
      </c>
      <c r="K796" s="12" t="s">
        <v>262</v>
      </c>
      <c r="L796" s="14" t="s">
        <v>263</v>
      </c>
      <c r="M796" s="12" t="s">
        <v>4854</v>
      </c>
      <c r="N796" s="15" t="s">
        <v>264</v>
      </c>
      <c r="O796" s="12" t="s">
        <v>265</v>
      </c>
      <c r="P796" s="12" t="s">
        <v>266</v>
      </c>
      <c r="Q796" s="14">
        <v>2</v>
      </c>
      <c r="R796" s="21">
        <v>652.36149999999998</v>
      </c>
      <c r="S796" s="14">
        <v>1</v>
      </c>
      <c r="T796" s="52" t="s">
        <v>2</v>
      </c>
      <c r="U796" s="53">
        <v>74.291049999999998</v>
      </c>
      <c r="V796" s="24">
        <v>161734</v>
      </c>
      <c r="W796" s="24">
        <v>163959</v>
      </c>
      <c r="X796" s="24">
        <v>145562</v>
      </c>
      <c r="Y796" s="24">
        <v>161868</v>
      </c>
      <c r="Z796" s="24">
        <v>102203</v>
      </c>
      <c r="AA796" s="24">
        <v>90070</v>
      </c>
      <c r="AB796" s="24">
        <v>121281</v>
      </c>
      <c r="AC796" s="24">
        <v>133971</v>
      </c>
      <c r="AD796" s="24">
        <v>158280.75</v>
      </c>
      <c r="AE796" s="24">
        <v>111881.25</v>
      </c>
      <c r="AF796" s="24">
        <v>162846.5</v>
      </c>
      <c r="AG796" s="24">
        <v>153715</v>
      </c>
      <c r="AH796" s="24">
        <v>96136.5</v>
      </c>
      <c r="AI796" s="24">
        <v>127626</v>
      </c>
      <c r="AJ796" s="32">
        <v>5.3955700641531505</v>
      </c>
      <c r="AK796" s="32">
        <v>17.467055484271892</v>
      </c>
      <c r="AL796" s="32">
        <v>0.96613227065983509</v>
      </c>
      <c r="AM796" s="32">
        <v>7.5009486218181989</v>
      </c>
      <c r="AN796" s="32">
        <v>8.9241095485443935</v>
      </c>
      <c r="AO796" s="32">
        <v>7.0308440703753847</v>
      </c>
      <c r="AP796" s="19">
        <v>0.70685317071090448</v>
      </c>
      <c r="AQ796" s="19">
        <v>0.59035042202319366</v>
      </c>
      <c r="AR796" s="19">
        <v>0.83027681098136163</v>
      </c>
      <c r="AS796" s="19">
        <v>-0.50051752891439438</v>
      </c>
      <c r="AT796" s="19">
        <v>-0.7603565267827278</v>
      </c>
      <c r="AU796" s="19">
        <v>-0.26833568945046676</v>
      </c>
      <c r="AV796" s="19">
        <v>-0.69820708160049494</v>
      </c>
      <c r="AW796" s="19">
        <v>-0.82818074376587747</v>
      </c>
      <c r="AX796" s="19">
        <v>-0.57208660368625974</v>
      </c>
      <c r="AY796" s="19">
        <v>-1.4147209653092008</v>
      </c>
      <c r="AZ796" s="19">
        <v>-1.6939091812162914</v>
      </c>
      <c r="BA796" s="19">
        <v>-1.2044175951608607</v>
      </c>
      <c r="BB796" s="19">
        <v>-1.6224871830506453</v>
      </c>
      <c r="BC796" s="19">
        <v>-1.7754450919745837</v>
      </c>
      <c r="BD796" s="19">
        <v>-1.4866722253495677</v>
      </c>
      <c r="BE796" s="14" t="s">
        <v>4857</v>
      </c>
    </row>
    <row r="797" spans="1:57" s="30" customFormat="1" ht="17.100000000000001" customHeight="1">
      <c r="A797" s="14">
        <v>786</v>
      </c>
      <c r="B797" s="14" t="s">
        <v>267</v>
      </c>
      <c r="C797" s="32">
        <v>1.0598775208498397</v>
      </c>
      <c r="D797" s="32">
        <v>-1.1486329248440355</v>
      </c>
      <c r="E797" s="32">
        <v>1.2839775120602781</v>
      </c>
      <c r="F797" s="24">
        <v>37518</v>
      </c>
      <c r="G797" s="52" t="s">
        <v>2</v>
      </c>
      <c r="H797" s="32">
        <v>31.522505939812362</v>
      </c>
      <c r="I797" s="32">
        <v>32.062744713325728</v>
      </c>
      <c r="J797" s="12" t="s">
        <v>268</v>
      </c>
      <c r="K797" s="12" t="s">
        <v>269</v>
      </c>
      <c r="L797" s="14" t="s">
        <v>5162</v>
      </c>
      <c r="M797" s="12" t="s">
        <v>270</v>
      </c>
      <c r="N797" s="15" t="s">
        <v>271</v>
      </c>
      <c r="O797" s="12" t="s">
        <v>272</v>
      </c>
      <c r="P797" s="12" t="s">
        <v>145</v>
      </c>
      <c r="Q797" s="14">
        <v>3</v>
      </c>
      <c r="R797" s="21">
        <v>641.32069999999999</v>
      </c>
      <c r="S797" s="14">
        <v>1</v>
      </c>
      <c r="T797" s="52" t="s">
        <v>2</v>
      </c>
      <c r="U797" s="53">
        <v>24.802187499999995</v>
      </c>
      <c r="V797" s="24">
        <v>23487</v>
      </c>
      <c r="W797" s="24">
        <v>34220</v>
      </c>
      <c r="X797" s="24">
        <v>18962</v>
      </c>
      <c r="Y797" s="24">
        <v>28383</v>
      </c>
      <c r="Z797" s="24">
        <v>22212</v>
      </c>
      <c r="AA797" s="24">
        <v>30446</v>
      </c>
      <c r="AB797" s="24">
        <v>29012</v>
      </c>
      <c r="AC797" s="24">
        <v>46024</v>
      </c>
      <c r="AD797" s="24">
        <v>26263</v>
      </c>
      <c r="AE797" s="24">
        <v>31923.5</v>
      </c>
      <c r="AF797" s="24">
        <v>28853.5</v>
      </c>
      <c r="AG797" s="24">
        <v>23672.5</v>
      </c>
      <c r="AH797" s="24">
        <v>26329</v>
      </c>
      <c r="AI797" s="24">
        <v>37518</v>
      </c>
      <c r="AJ797" s="32">
        <v>24.950832719890446</v>
      </c>
      <c r="AK797" s="32">
        <v>31.522505939812362</v>
      </c>
      <c r="AL797" s="32">
        <v>26.303142019079885</v>
      </c>
      <c r="AM797" s="32">
        <v>28.140893380751773</v>
      </c>
      <c r="AN797" s="32">
        <v>22.113704418284144</v>
      </c>
      <c r="AO797" s="32">
        <v>32.062744713325728</v>
      </c>
      <c r="AP797" s="19">
        <v>1.2155313558999352</v>
      </c>
      <c r="AQ797" s="19">
        <v>0.91250628173358517</v>
      </c>
      <c r="AR797" s="19">
        <v>1.5848769669447671</v>
      </c>
      <c r="AS797" s="19">
        <v>0.28158710967093326</v>
      </c>
      <c r="AT797" s="19">
        <v>-0.13209360439671752</v>
      </c>
      <c r="AU797" s="19">
        <v>0.66437084915455669</v>
      </c>
      <c r="AV797" s="19">
        <v>8.38975569848327E-2</v>
      </c>
      <c r="AW797" s="19">
        <v>-0.19991782137986724</v>
      </c>
      <c r="AX797" s="19">
        <v>0.36061993491876376</v>
      </c>
      <c r="AY797" s="19">
        <v>1.2155313558999352</v>
      </c>
      <c r="AZ797" s="19">
        <v>-1.095882866800866</v>
      </c>
      <c r="BA797" s="19">
        <v>1.5848769669447671</v>
      </c>
      <c r="BB797" s="19">
        <v>1.0598775208498397</v>
      </c>
      <c r="BC797" s="19">
        <v>-1.1486329248440355</v>
      </c>
      <c r="BD797" s="19">
        <v>1.2839775120602781</v>
      </c>
      <c r="BE797" s="14" t="s">
        <v>4857</v>
      </c>
    </row>
    <row r="798" spans="1:57" s="30" customFormat="1" ht="17.100000000000001" customHeight="1">
      <c r="A798" s="14">
        <v>787</v>
      </c>
      <c r="B798" s="14" t="s">
        <v>146</v>
      </c>
      <c r="C798" s="32">
        <v>-1.0010342758187329</v>
      </c>
      <c r="D798" s="32">
        <v>-1.135479322603387</v>
      </c>
      <c r="E798" s="32">
        <v>1.1180482789512451</v>
      </c>
      <c r="F798" s="24">
        <v>221500</v>
      </c>
      <c r="G798" s="52" t="s">
        <v>2</v>
      </c>
      <c r="H798" s="32">
        <v>24.761893965563889</v>
      </c>
      <c r="I798" s="32">
        <v>34.804632843450008</v>
      </c>
      <c r="J798" s="12" t="s">
        <v>147</v>
      </c>
      <c r="K798" s="12" t="s">
        <v>148</v>
      </c>
      <c r="L798" s="14" t="s">
        <v>1949</v>
      </c>
      <c r="M798" s="12" t="s">
        <v>149</v>
      </c>
      <c r="N798" s="15" t="s">
        <v>150</v>
      </c>
      <c r="O798" s="12" t="s">
        <v>151</v>
      </c>
      <c r="P798" s="12" t="s">
        <v>152</v>
      </c>
      <c r="Q798" s="14">
        <v>3</v>
      </c>
      <c r="R798" s="21">
        <v>638.97659999999996</v>
      </c>
      <c r="S798" s="14">
        <v>1</v>
      </c>
      <c r="T798" s="52" t="s">
        <v>2</v>
      </c>
      <c r="U798" s="53">
        <v>79.5</v>
      </c>
      <c r="V798" s="24">
        <v>199000</v>
      </c>
      <c r="W798" s="24">
        <v>139000</v>
      </c>
      <c r="X798" s="24">
        <v>200000</v>
      </c>
      <c r="Y798" s="24">
        <v>121000</v>
      </c>
      <c r="Z798" s="24">
        <v>169000</v>
      </c>
      <c r="AA798" s="24">
        <v>143000</v>
      </c>
      <c r="AB798" s="24">
        <v>252000</v>
      </c>
      <c r="AC798" s="24">
        <v>191000</v>
      </c>
      <c r="AD798" s="24">
        <v>164750</v>
      </c>
      <c r="AE798" s="24">
        <v>188750</v>
      </c>
      <c r="AF798" s="24">
        <v>169000</v>
      </c>
      <c r="AG798" s="24">
        <v>160500</v>
      </c>
      <c r="AH798" s="24">
        <v>156000</v>
      </c>
      <c r="AI798" s="24">
        <v>221500</v>
      </c>
      <c r="AJ798" s="32">
        <v>24.761893965563889</v>
      </c>
      <c r="AK798" s="32">
        <v>24.639559155666372</v>
      </c>
      <c r="AL798" s="32">
        <v>25.104382764019441</v>
      </c>
      <c r="AM798" s="32">
        <v>34.804632843450008</v>
      </c>
      <c r="AN798" s="32">
        <v>11.785113019775793</v>
      </c>
      <c r="AO798" s="32">
        <v>19.473369594753677</v>
      </c>
      <c r="AP798" s="19">
        <v>1.1456752655538696</v>
      </c>
      <c r="AQ798" s="19">
        <v>0.92307692307692313</v>
      </c>
      <c r="AR798" s="19">
        <v>1.3800623052959502</v>
      </c>
      <c r="AS798" s="19">
        <v>0.19619817920438962</v>
      </c>
      <c r="AT798" s="19">
        <v>-0.1154772174199359</v>
      </c>
      <c r="AU798" s="19">
        <v>0.46473340143271519</v>
      </c>
      <c r="AV798" s="19">
        <v>-1.4913734817109392E-3</v>
      </c>
      <c r="AW798" s="19">
        <v>-0.18330143440308561</v>
      </c>
      <c r="AX798" s="19">
        <v>0.16098248719692226</v>
      </c>
      <c r="AY798" s="19">
        <v>1.1456752655538696</v>
      </c>
      <c r="AZ798" s="19">
        <v>-1.0833333333333333</v>
      </c>
      <c r="BA798" s="19">
        <v>1.3800623052959502</v>
      </c>
      <c r="BB798" s="19">
        <v>-1.0010342758187329</v>
      </c>
      <c r="BC798" s="19">
        <v>-1.135479322603387</v>
      </c>
      <c r="BD798" s="19">
        <v>1.1180482789512451</v>
      </c>
      <c r="BE798" s="14" t="s">
        <v>4857</v>
      </c>
    </row>
    <row r="799" spans="1:57" s="30" customFormat="1" ht="17.100000000000001" customHeight="1">
      <c r="A799" s="14">
        <v>788</v>
      </c>
      <c r="B799" s="14" t="s">
        <v>153</v>
      </c>
      <c r="C799" s="32">
        <v>-1.0994085344308948</v>
      </c>
      <c r="D799" s="32">
        <v>1.0751890395332429</v>
      </c>
      <c r="E799" s="32">
        <v>-1.2737436063943288</v>
      </c>
      <c r="F799" s="24">
        <v>43650</v>
      </c>
      <c r="G799" s="52" t="s">
        <v>2</v>
      </c>
      <c r="H799" s="32">
        <v>27.719209346866457</v>
      </c>
      <c r="I799" s="32">
        <v>47.995330743750117</v>
      </c>
      <c r="J799" s="12" t="s">
        <v>154</v>
      </c>
      <c r="K799" s="12" t="s">
        <v>155</v>
      </c>
      <c r="L799" s="14" t="s">
        <v>3252</v>
      </c>
      <c r="M799" s="12" t="s">
        <v>156</v>
      </c>
      <c r="N799" s="15" t="s">
        <v>157</v>
      </c>
      <c r="O799" s="12" t="s">
        <v>158</v>
      </c>
      <c r="P799" s="12" t="s">
        <v>159</v>
      </c>
      <c r="Q799" s="14">
        <v>3</v>
      </c>
      <c r="R799" s="21">
        <v>468.2439</v>
      </c>
      <c r="S799" s="14">
        <v>1</v>
      </c>
      <c r="T799" s="52" t="s">
        <v>2</v>
      </c>
      <c r="U799" s="53">
        <v>23</v>
      </c>
      <c r="V799" s="24">
        <v>25500</v>
      </c>
      <c r="W799" s="24">
        <v>51700</v>
      </c>
      <c r="X799" s="24">
        <v>40400</v>
      </c>
      <c r="Y799" s="24">
        <v>46900</v>
      </c>
      <c r="Z799" s="24">
        <v>50400</v>
      </c>
      <c r="AA799" s="24">
        <v>36600</v>
      </c>
      <c r="AB799" s="24">
        <v>45600</v>
      </c>
      <c r="AC799" s="24">
        <v>39000</v>
      </c>
      <c r="AD799" s="24">
        <v>41125</v>
      </c>
      <c r="AE799" s="24">
        <v>42900</v>
      </c>
      <c r="AF799" s="24">
        <v>38600</v>
      </c>
      <c r="AG799" s="24">
        <v>43650</v>
      </c>
      <c r="AH799" s="24">
        <v>43500</v>
      </c>
      <c r="AI799" s="24">
        <v>42300</v>
      </c>
      <c r="AJ799" s="32">
        <v>27.719209346866457</v>
      </c>
      <c r="AK799" s="32">
        <v>14.646413121123549</v>
      </c>
      <c r="AL799" s="32">
        <v>47.995330743750117</v>
      </c>
      <c r="AM799" s="32">
        <v>10.529654244473218</v>
      </c>
      <c r="AN799" s="32">
        <v>22.432353058331852</v>
      </c>
      <c r="AO799" s="32">
        <v>11.032871763194359</v>
      </c>
      <c r="AP799" s="19">
        <v>1.0431610942249241</v>
      </c>
      <c r="AQ799" s="19">
        <v>1.1269430051813472</v>
      </c>
      <c r="AR799" s="19">
        <v>0.96907216494845361</v>
      </c>
      <c r="AS799" s="19">
        <v>6.0961968876941885E-2</v>
      </c>
      <c r="AT799" s="19">
        <v>0.17241455346801024</v>
      </c>
      <c r="AU799" s="19">
        <v>-4.5323990509490313E-2</v>
      </c>
      <c r="AV799" s="19">
        <v>-0.13672758380915867</v>
      </c>
      <c r="AW799" s="19">
        <v>0.10459033648486053</v>
      </c>
      <c r="AX799" s="19">
        <v>-0.34907490474528324</v>
      </c>
      <c r="AY799" s="19">
        <v>1.0431610942249241</v>
      </c>
      <c r="AZ799" s="19">
        <v>1.1269430051813472</v>
      </c>
      <c r="BA799" s="19">
        <v>-1.0319148936170213</v>
      </c>
      <c r="BB799" s="19">
        <v>-1.0994085344308948</v>
      </c>
      <c r="BC799" s="19">
        <v>1.0751890395332429</v>
      </c>
      <c r="BD799" s="19">
        <v>-1.2737436063943288</v>
      </c>
      <c r="BE799" s="14" t="s">
        <v>4857</v>
      </c>
    </row>
    <row r="800" spans="1:57" s="30" customFormat="1" ht="17.100000000000001" customHeight="1">
      <c r="A800" s="14">
        <v>789</v>
      </c>
      <c r="B800" s="14" t="s">
        <v>160</v>
      </c>
      <c r="C800" s="32">
        <v>-1.2259071095685088</v>
      </c>
      <c r="D800" s="32">
        <v>-1.0934860925902237</v>
      </c>
      <c r="E800" s="32">
        <v>-1.3469268506477903</v>
      </c>
      <c r="F800" s="24">
        <v>427639.5</v>
      </c>
      <c r="G800" s="52" t="s">
        <v>2</v>
      </c>
      <c r="H800" s="32">
        <v>15.612044552974764</v>
      </c>
      <c r="I800" s="32">
        <v>16.140751367805088</v>
      </c>
      <c r="J800" s="12" t="s">
        <v>161</v>
      </c>
      <c r="K800" s="12" t="s">
        <v>162</v>
      </c>
      <c r="L800" s="14" t="s">
        <v>5058</v>
      </c>
      <c r="M800" s="12" t="s">
        <v>163</v>
      </c>
      <c r="N800" s="15" t="s">
        <v>164</v>
      </c>
      <c r="O800" s="12" t="s">
        <v>165</v>
      </c>
      <c r="P800" s="12" t="s">
        <v>166</v>
      </c>
      <c r="Q800" s="14">
        <v>3</v>
      </c>
      <c r="R800" s="21">
        <v>726.68179999999995</v>
      </c>
      <c r="S800" s="14">
        <v>8</v>
      </c>
      <c r="T800" s="52" t="s">
        <v>2</v>
      </c>
      <c r="U800" s="53">
        <v>63.218512500000003</v>
      </c>
      <c r="V800" s="24">
        <v>379159</v>
      </c>
      <c r="W800" s="24">
        <v>330923</v>
      </c>
      <c r="X800" s="24">
        <v>378832</v>
      </c>
      <c r="Y800" s="24">
        <v>476447</v>
      </c>
      <c r="Z800" s="24">
        <v>309496</v>
      </c>
      <c r="AA800" s="24">
        <v>371136</v>
      </c>
      <c r="AB800" s="24">
        <v>374079</v>
      </c>
      <c r="AC800" s="24">
        <v>409715</v>
      </c>
      <c r="AD800" s="24">
        <v>391340.25</v>
      </c>
      <c r="AE800" s="24">
        <v>366106.5</v>
      </c>
      <c r="AF800" s="24">
        <v>355041</v>
      </c>
      <c r="AG800" s="24">
        <v>427639.5</v>
      </c>
      <c r="AH800" s="24">
        <v>340316</v>
      </c>
      <c r="AI800" s="24">
        <v>391897</v>
      </c>
      <c r="AJ800" s="32">
        <v>15.612044552974764</v>
      </c>
      <c r="AK800" s="32">
        <v>11.366781837246586</v>
      </c>
      <c r="AL800" s="32">
        <v>9.6067785684792177</v>
      </c>
      <c r="AM800" s="32">
        <v>16.140751367805088</v>
      </c>
      <c r="AN800" s="32">
        <v>12.807526531911162</v>
      </c>
      <c r="AO800" s="32">
        <v>6.4298673514632174</v>
      </c>
      <c r="AP800" s="19">
        <v>0.93551966607063797</v>
      </c>
      <c r="AQ800" s="19">
        <v>0.95852591672511067</v>
      </c>
      <c r="AR800" s="19">
        <v>0.91641908663722593</v>
      </c>
      <c r="AS800" s="19">
        <v>-9.6160113420909701E-2</v>
      </c>
      <c r="AT800" s="19">
        <v>-6.1110654725483396E-2</v>
      </c>
      <c r="AU800" s="19">
        <v>-0.12592058832888908</v>
      </c>
      <c r="AV800" s="19">
        <v>-0.29384966610701024</v>
      </c>
      <c r="AW800" s="19">
        <v>-0.1289348717086331</v>
      </c>
      <c r="AX800" s="19">
        <v>-0.42967150256468201</v>
      </c>
      <c r="AY800" s="19">
        <v>-1.0689246161977457</v>
      </c>
      <c r="AZ800" s="19">
        <v>-1.0432686091750021</v>
      </c>
      <c r="BA800" s="19">
        <v>-1.0912038112054954</v>
      </c>
      <c r="BB800" s="19">
        <v>-1.2259071095685088</v>
      </c>
      <c r="BC800" s="19">
        <v>-1.0934860925902237</v>
      </c>
      <c r="BD800" s="19">
        <v>-1.3469268506477903</v>
      </c>
      <c r="BE800" s="14" t="s">
        <v>4857</v>
      </c>
    </row>
    <row r="801" spans="1:105" s="30" customFormat="1" ht="17.100000000000001" customHeight="1">
      <c r="A801" s="14">
        <v>790</v>
      </c>
      <c r="B801" s="14" t="s">
        <v>167</v>
      </c>
      <c r="C801" s="32">
        <v>1.421490135510546</v>
      </c>
      <c r="D801" s="32">
        <v>1.3714324476618629</v>
      </c>
      <c r="E801" s="32">
        <v>1.4525601191441309</v>
      </c>
      <c r="F801" s="24">
        <v>756376.5</v>
      </c>
      <c r="G801" s="52" t="s">
        <v>2</v>
      </c>
      <c r="H801" s="32">
        <v>22.83468798035274</v>
      </c>
      <c r="I801" s="32">
        <v>10.743105178073019</v>
      </c>
      <c r="J801" s="12" t="s">
        <v>168</v>
      </c>
      <c r="K801" s="12" t="s">
        <v>168</v>
      </c>
      <c r="L801" s="14" t="s">
        <v>4738</v>
      </c>
      <c r="M801" s="12" t="s">
        <v>169</v>
      </c>
      <c r="N801" s="15" t="s">
        <v>170</v>
      </c>
      <c r="O801" s="12" t="s">
        <v>171</v>
      </c>
      <c r="P801" s="12" t="s">
        <v>172</v>
      </c>
      <c r="Q801" s="14">
        <v>4</v>
      </c>
      <c r="R801" s="21">
        <v>390.49650000000003</v>
      </c>
      <c r="S801" s="14">
        <v>1</v>
      </c>
      <c r="T801" s="52" t="s">
        <v>2</v>
      </c>
      <c r="U801" s="53">
        <v>57.198824999999992</v>
      </c>
      <c r="V801" s="24">
        <v>344825</v>
      </c>
      <c r="W801" s="24">
        <v>367224</v>
      </c>
      <c r="X801" s="24">
        <v>453904</v>
      </c>
      <c r="Y801" s="24">
        <v>389811</v>
      </c>
      <c r="Z801" s="24">
        <v>478120</v>
      </c>
      <c r="AA801" s="24">
        <v>545412</v>
      </c>
      <c r="AB801" s="24">
        <v>776282</v>
      </c>
      <c r="AC801" s="24">
        <v>736471</v>
      </c>
      <c r="AD801" s="24">
        <v>388941</v>
      </c>
      <c r="AE801" s="24">
        <v>634071.25</v>
      </c>
      <c r="AF801" s="24">
        <v>356024.5</v>
      </c>
      <c r="AG801" s="24">
        <v>421857.5</v>
      </c>
      <c r="AH801" s="24">
        <v>511766</v>
      </c>
      <c r="AI801" s="24">
        <v>756376.5</v>
      </c>
      <c r="AJ801" s="32">
        <v>12.094846677652345</v>
      </c>
      <c r="AK801" s="32">
        <v>22.83468798035274</v>
      </c>
      <c r="AL801" s="32">
        <v>4.448706420989982</v>
      </c>
      <c r="AM801" s="32">
        <v>10.743105178073019</v>
      </c>
      <c r="AN801" s="32">
        <v>9.2977316819806628</v>
      </c>
      <c r="AO801" s="32">
        <v>3.7217745482332734</v>
      </c>
      <c r="AP801" s="19">
        <v>1.6302504750077775</v>
      </c>
      <c r="AQ801" s="19">
        <v>1.4374460184622126</v>
      </c>
      <c r="AR801" s="19">
        <v>1.7929668193643589</v>
      </c>
      <c r="AS801" s="19">
        <v>0.70509364009450903</v>
      </c>
      <c r="AT801" s="19">
        <v>0.52350777841585061</v>
      </c>
      <c r="AU801" s="19">
        <v>0.84234878994559226</v>
      </c>
      <c r="AV801" s="19">
        <v>0.50740408740840848</v>
      </c>
      <c r="AW801" s="19">
        <v>0.45568356143270089</v>
      </c>
      <c r="AX801" s="19">
        <v>0.53859787570979933</v>
      </c>
      <c r="AY801" s="19">
        <v>1.6302504750077775</v>
      </c>
      <c r="AZ801" s="19">
        <v>1.4374460184622126</v>
      </c>
      <c r="BA801" s="19">
        <v>1.7929668193643589</v>
      </c>
      <c r="BB801" s="19">
        <v>1.421490135510546</v>
      </c>
      <c r="BC801" s="19">
        <v>1.3714324476618629</v>
      </c>
      <c r="BD801" s="19">
        <v>1.4525601191441309</v>
      </c>
      <c r="BE801" s="14" t="s">
        <v>4857</v>
      </c>
    </row>
    <row r="802" spans="1:105" s="30" customFormat="1" ht="17.100000000000001" customHeight="1">
      <c r="A802" s="14">
        <v>791</v>
      </c>
      <c r="B802" s="14" t="s">
        <v>173</v>
      </c>
      <c r="C802" s="32">
        <v>1.1195439068210207</v>
      </c>
      <c r="D802" s="32">
        <v>-1.0118073126796163</v>
      </c>
      <c r="E802" s="32">
        <v>1.227521628404401</v>
      </c>
      <c r="F802" s="24">
        <v>3259410</v>
      </c>
      <c r="G802" s="52" t="s">
        <v>2</v>
      </c>
      <c r="H802" s="32">
        <v>26.870740571275114</v>
      </c>
      <c r="I802" s="32">
        <v>10.224532230471768</v>
      </c>
      <c r="J802" s="12" t="s">
        <v>174</v>
      </c>
      <c r="K802" s="12" t="s">
        <v>175</v>
      </c>
      <c r="L802" s="14" t="s">
        <v>4339</v>
      </c>
      <c r="M802" s="12" t="s">
        <v>176</v>
      </c>
      <c r="N802" s="15" t="s">
        <v>177</v>
      </c>
      <c r="O802" s="12" t="s">
        <v>178</v>
      </c>
      <c r="P802" s="12" t="s">
        <v>179</v>
      </c>
      <c r="Q802" s="14">
        <v>2</v>
      </c>
      <c r="R802" s="21">
        <v>524.77080000000001</v>
      </c>
      <c r="S802" s="14">
        <v>9</v>
      </c>
      <c r="T802" s="52" t="s">
        <v>2</v>
      </c>
      <c r="U802" s="53">
        <v>46.238012500000004</v>
      </c>
      <c r="V802" s="24">
        <v>1937280</v>
      </c>
      <c r="W802" s="24">
        <v>2073190</v>
      </c>
      <c r="X802" s="24">
        <v>2063220</v>
      </c>
      <c r="Y802" s="24">
        <v>2239090</v>
      </c>
      <c r="Z802" s="24">
        <v>2206930</v>
      </c>
      <c r="AA802" s="24">
        <v>1947530</v>
      </c>
      <c r="AB802" s="24">
        <v>3495060</v>
      </c>
      <c r="AC802" s="24">
        <v>3023760</v>
      </c>
      <c r="AD802" s="24">
        <v>2078195</v>
      </c>
      <c r="AE802" s="24">
        <v>2668320</v>
      </c>
      <c r="AF802" s="24">
        <v>2005235</v>
      </c>
      <c r="AG802" s="24">
        <v>2151155</v>
      </c>
      <c r="AH802" s="24">
        <v>2077230</v>
      </c>
      <c r="AI802" s="24">
        <v>3259410</v>
      </c>
      <c r="AJ802" s="32">
        <v>5.9580136040996496</v>
      </c>
      <c r="AK802" s="32">
        <v>26.870740571275114</v>
      </c>
      <c r="AL802" s="32">
        <v>4.7925995023557677</v>
      </c>
      <c r="AM802" s="32">
        <v>5.7810278481689199</v>
      </c>
      <c r="AN802" s="32">
        <v>8.8301968987445019</v>
      </c>
      <c r="AO802" s="32">
        <v>10.224532230471768</v>
      </c>
      <c r="AP802" s="19">
        <v>1.2839603598314884</v>
      </c>
      <c r="AQ802" s="19">
        <v>1.0359035225297784</v>
      </c>
      <c r="AR802" s="19">
        <v>1.5151906766365046</v>
      </c>
      <c r="AS802" s="19">
        <v>0.36060066230653554</v>
      </c>
      <c r="AT802" s="19">
        <v>5.088964583415044E-2</v>
      </c>
      <c r="AU802" s="19">
        <v>0.59949935866731063</v>
      </c>
      <c r="AV802" s="19">
        <v>0.16291110962043498</v>
      </c>
      <c r="AW802" s="19">
        <v>-1.6934571148999267E-2</v>
      </c>
      <c r="AX802" s="19">
        <v>0.29574844443151771</v>
      </c>
      <c r="AY802" s="19">
        <v>1.2839603598314884</v>
      </c>
      <c r="AZ802" s="19">
        <v>1.0359035225297784</v>
      </c>
      <c r="BA802" s="19">
        <v>1.5151906766365046</v>
      </c>
      <c r="BB802" s="19">
        <v>1.1195439068210207</v>
      </c>
      <c r="BC802" s="19">
        <v>-1.0118073126796163</v>
      </c>
      <c r="BD802" s="19">
        <v>1.227521628404401</v>
      </c>
      <c r="BE802" s="14" t="s">
        <v>4857</v>
      </c>
    </row>
    <row r="803" spans="1:105" s="30" customFormat="1" ht="17.100000000000001" customHeight="1">
      <c r="A803" s="14">
        <v>792</v>
      </c>
      <c r="B803" s="14" t="s">
        <v>183</v>
      </c>
      <c r="C803" s="32">
        <v>-1.1832594138608921</v>
      </c>
      <c r="D803" s="32">
        <v>-1.4396206127987461</v>
      </c>
      <c r="E803" s="32">
        <v>1.0209474809177492</v>
      </c>
      <c r="F803" s="24">
        <v>303815.5</v>
      </c>
      <c r="G803" s="52" t="s">
        <v>2</v>
      </c>
      <c r="H803" s="32">
        <v>21.166900110984312</v>
      </c>
      <c r="I803" s="32">
        <v>9.8377809094686341</v>
      </c>
      <c r="J803" s="12" t="s">
        <v>184</v>
      </c>
      <c r="K803" s="12" t="s">
        <v>185</v>
      </c>
      <c r="L803" s="14" t="s">
        <v>5024</v>
      </c>
      <c r="M803" s="12" t="s">
        <v>186</v>
      </c>
      <c r="N803" s="15" t="s">
        <v>187</v>
      </c>
      <c r="O803" s="12" t="s">
        <v>188</v>
      </c>
      <c r="P803" s="12" t="s">
        <v>189</v>
      </c>
      <c r="Q803" s="14">
        <v>2</v>
      </c>
      <c r="R803" s="21">
        <v>807.89649999999995</v>
      </c>
      <c r="S803" s="14">
        <v>10</v>
      </c>
      <c r="T803" s="52" t="s">
        <v>2</v>
      </c>
      <c r="U803" s="53">
        <v>42.658199999999994</v>
      </c>
      <c r="V803" s="24">
        <v>282772</v>
      </c>
      <c r="W803" s="24">
        <v>298944</v>
      </c>
      <c r="X803" s="24">
        <v>243576</v>
      </c>
      <c r="Y803" s="24">
        <v>238592</v>
      </c>
      <c r="Z803" s="24">
        <v>226494</v>
      </c>
      <c r="AA803" s="24">
        <v>197032</v>
      </c>
      <c r="AB803" s="24">
        <v>307328</v>
      </c>
      <c r="AC803" s="24">
        <v>300303</v>
      </c>
      <c r="AD803" s="24">
        <v>265971</v>
      </c>
      <c r="AE803" s="24">
        <v>257789.25</v>
      </c>
      <c r="AF803" s="24">
        <v>290858</v>
      </c>
      <c r="AG803" s="24">
        <v>241084</v>
      </c>
      <c r="AH803" s="24">
        <v>211763</v>
      </c>
      <c r="AI803" s="24">
        <v>303815.5</v>
      </c>
      <c r="AJ803" s="32">
        <v>11.112418868485237</v>
      </c>
      <c r="AK803" s="32">
        <v>21.166900110984312</v>
      </c>
      <c r="AL803" s="32">
        <v>3.9315854696617754</v>
      </c>
      <c r="AM803" s="32">
        <v>1.4618225172279176</v>
      </c>
      <c r="AN803" s="32">
        <v>9.8377809094686341</v>
      </c>
      <c r="AO803" s="32">
        <v>1.6350137296601051</v>
      </c>
      <c r="AP803" s="19">
        <v>0.96923818762195879</v>
      </c>
      <c r="AQ803" s="19">
        <v>0.72806317859574088</v>
      </c>
      <c r="AR803" s="19">
        <v>1.2602059862952333</v>
      </c>
      <c r="AS803" s="19">
        <v>-4.5076847333466744E-2</v>
      </c>
      <c r="AT803" s="19">
        <v>-0.45786444735908549</v>
      </c>
      <c r="AU803" s="19">
        <v>0.33365956794580864</v>
      </c>
      <c r="AV803" s="19">
        <v>-0.24276640001956729</v>
      </c>
      <c r="AW803" s="19">
        <v>-0.52568866434223516</v>
      </c>
      <c r="AX803" s="19">
        <v>2.990865371001572E-2</v>
      </c>
      <c r="AY803" s="19">
        <v>-1.0317381349299863</v>
      </c>
      <c r="AZ803" s="19">
        <v>-1.373507175474469</v>
      </c>
      <c r="BA803" s="19">
        <v>1.2602059862952333</v>
      </c>
      <c r="BB803" s="19">
        <v>-1.1832594138608921</v>
      </c>
      <c r="BC803" s="19">
        <v>-1.4396206127987461</v>
      </c>
      <c r="BD803" s="19">
        <v>1.0209474809177492</v>
      </c>
      <c r="BE803" s="14" t="s">
        <v>4857</v>
      </c>
    </row>
    <row r="804" spans="1:105" s="30" customFormat="1" ht="17.100000000000001" customHeight="1">
      <c r="A804" s="14">
        <v>793</v>
      </c>
      <c r="B804" s="14" t="s">
        <v>192</v>
      </c>
      <c r="C804" s="32">
        <v>-1.28881737421086</v>
      </c>
      <c r="D804" s="32">
        <v>-1.4417220387604737</v>
      </c>
      <c r="E804" s="32">
        <v>-1.1885292133886238</v>
      </c>
      <c r="F804" s="24">
        <v>214434</v>
      </c>
      <c r="G804" s="52" t="s">
        <v>2</v>
      </c>
      <c r="H804" s="32">
        <v>31.533635001884896</v>
      </c>
      <c r="I804" s="32">
        <v>23.307741080158724</v>
      </c>
      <c r="J804" s="12" t="s">
        <v>193</v>
      </c>
      <c r="K804" s="12" t="s">
        <v>194</v>
      </c>
      <c r="L804" s="14" t="s">
        <v>5023</v>
      </c>
      <c r="M804" s="12" t="s">
        <v>195</v>
      </c>
      <c r="N804" s="15" t="s">
        <v>196</v>
      </c>
      <c r="O804" s="12" t="s">
        <v>197</v>
      </c>
      <c r="P804" s="12" t="s">
        <v>198</v>
      </c>
      <c r="Q804" s="14">
        <v>2</v>
      </c>
      <c r="R804" s="21">
        <v>558.82979999999998</v>
      </c>
      <c r="S804" s="14">
        <v>4</v>
      </c>
      <c r="T804" s="52" t="s">
        <v>2</v>
      </c>
      <c r="U804" s="53">
        <v>55.946649999999998</v>
      </c>
      <c r="V804" s="24">
        <v>195127</v>
      </c>
      <c r="W804" s="24">
        <v>181927</v>
      </c>
      <c r="X804" s="24">
        <v>213670</v>
      </c>
      <c r="Y804" s="24">
        <v>199278</v>
      </c>
      <c r="Z804" s="24">
        <v>117966</v>
      </c>
      <c r="AA804" s="24">
        <v>156153</v>
      </c>
      <c r="AB804" s="24">
        <v>179093</v>
      </c>
      <c r="AC804" s="24">
        <v>249775</v>
      </c>
      <c r="AD804" s="24">
        <v>197500.5</v>
      </c>
      <c r="AE804" s="24">
        <v>175746.75</v>
      </c>
      <c r="AF804" s="24">
        <v>188527</v>
      </c>
      <c r="AG804" s="24">
        <v>206474</v>
      </c>
      <c r="AH804" s="24">
        <v>137059.5</v>
      </c>
      <c r="AI804" s="24">
        <v>214434</v>
      </c>
      <c r="AJ804" s="32">
        <v>6.6196733594622481</v>
      </c>
      <c r="AK804" s="32">
        <v>31.533635001884896</v>
      </c>
      <c r="AL804" s="32">
        <v>4.9509139336341361</v>
      </c>
      <c r="AM804" s="32">
        <v>4.9287952937594044</v>
      </c>
      <c r="AN804" s="32">
        <v>19.701141951612758</v>
      </c>
      <c r="AO804" s="32">
        <v>23.307741080158724</v>
      </c>
      <c r="AP804" s="19">
        <v>0.88985470922858423</v>
      </c>
      <c r="AQ804" s="19">
        <v>0.72700196788788873</v>
      </c>
      <c r="AR804" s="19">
        <v>1.0385520695099626</v>
      </c>
      <c r="AS804" s="19">
        <v>-0.16835829519765944</v>
      </c>
      <c r="AT804" s="19">
        <v>-0.4599688255729526</v>
      </c>
      <c r="AU804" s="19">
        <v>5.4573549875993728E-2</v>
      </c>
      <c r="AV804" s="19">
        <v>-0.36604784788375999</v>
      </c>
      <c r="AW804" s="19">
        <v>-0.52779304255610227</v>
      </c>
      <c r="AX804" s="19">
        <v>-0.2491773643597992</v>
      </c>
      <c r="AY804" s="19">
        <v>-1.1237789603506181</v>
      </c>
      <c r="AZ804" s="19">
        <v>-1.375512095111977</v>
      </c>
      <c r="BA804" s="19">
        <v>1.0385520695099626</v>
      </c>
      <c r="BB804" s="19">
        <v>-1.28881737421086</v>
      </c>
      <c r="BC804" s="19">
        <v>-1.4417220387604737</v>
      </c>
      <c r="BD804" s="19">
        <v>-1.1885292133886238</v>
      </c>
      <c r="BE804" s="14" t="s">
        <v>4857</v>
      </c>
    </row>
    <row r="805" spans="1:105" s="30" customFormat="1" ht="17.100000000000001" customHeight="1">
      <c r="A805" s="14">
        <v>794</v>
      </c>
      <c r="B805" s="14" t="s">
        <v>199</v>
      </c>
      <c r="C805" s="32">
        <v>1.0882188952877143</v>
      </c>
      <c r="D805" s="32">
        <v>-1.0063024834445531</v>
      </c>
      <c r="E805" s="32">
        <v>1.1639295922200255</v>
      </c>
      <c r="F805" s="24">
        <v>388433</v>
      </c>
      <c r="G805" s="52" t="s">
        <v>2</v>
      </c>
      <c r="H805" s="32">
        <v>25.495699880792806</v>
      </c>
      <c r="I805" s="32">
        <v>12.566644780147348</v>
      </c>
      <c r="J805" s="12" t="s">
        <v>200</v>
      </c>
      <c r="K805" s="12" t="s">
        <v>201</v>
      </c>
      <c r="L805" s="14" t="s">
        <v>5261</v>
      </c>
      <c r="M805" s="12" t="s">
        <v>202</v>
      </c>
      <c r="N805" s="15" t="s">
        <v>203</v>
      </c>
      <c r="O805" s="12" t="s">
        <v>204</v>
      </c>
      <c r="P805" s="12" t="s">
        <v>205</v>
      </c>
      <c r="Q805" s="14">
        <v>2</v>
      </c>
      <c r="R805" s="21">
        <v>426.72179999999997</v>
      </c>
      <c r="S805" s="14">
        <v>6</v>
      </c>
      <c r="T805" s="52" t="s">
        <v>2</v>
      </c>
      <c r="U805" s="53">
        <v>34.890387500000003</v>
      </c>
      <c r="V805" s="24">
        <v>262577</v>
      </c>
      <c r="W805" s="24">
        <v>231526</v>
      </c>
      <c r="X805" s="24">
        <v>248390</v>
      </c>
      <c r="Y805" s="24">
        <v>292341</v>
      </c>
      <c r="Z805" s="24">
        <v>276773</v>
      </c>
      <c r="AA805" s="24">
        <v>237870</v>
      </c>
      <c r="AB805" s="24">
        <v>353917</v>
      </c>
      <c r="AC805" s="24">
        <v>422949</v>
      </c>
      <c r="AD805" s="24">
        <v>258708.5</v>
      </c>
      <c r="AE805" s="24">
        <v>322877.25</v>
      </c>
      <c r="AF805" s="24">
        <v>247051.5</v>
      </c>
      <c r="AG805" s="24">
        <v>270365.5</v>
      </c>
      <c r="AH805" s="24">
        <v>257321.5</v>
      </c>
      <c r="AI805" s="24">
        <v>388433</v>
      </c>
      <c r="AJ805" s="32">
        <v>9.9589962659594011</v>
      </c>
      <c r="AK805" s="32">
        <v>25.495699880792806</v>
      </c>
      <c r="AL805" s="32">
        <v>8.8873666675261997</v>
      </c>
      <c r="AM805" s="32">
        <v>11.49482834900531</v>
      </c>
      <c r="AN805" s="32">
        <v>10.690352383497011</v>
      </c>
      <c r="AO805" s="32">
        <v>12.566644780147348</v>
      </c>
      <c r="AP805" s="19">
        <v>1.248034950533129</v>
      </c>
      <c r="AQ805" s="19">
        <v>1.0415702798809154</v>
      </c>
      <c r="AR805" s="19">
        <v>1.4366958802066092</v>
      </c>
      <c r="AS805" s="19">
        <v>0.31965833664790277</v>
      </c>
      <c r="AT805" s="19">
        <v>5.8760188408680095E-2</v>
      </c>
      <c r="AU805" s="19">
        <v>0.5227547044173716</v>
      </c>
      <c r="AV805" s="19">
        <v>0.12196878396180222</v>
      </c>
      <c r="AW805" s="19">
        <v>-9.0640285744696125E-3</v>
      </c>
      <c r="AX805" s="19">
        <v>0.21900379018157867</v>
      </c>
      <c r="AY805" s="19">
        <v>1.248034950533129</v>
      </c>
      <c r="AZ805" s="19">
        <v>1.0415702798809154</v>
      </c>
      <c r="BA805" s="19">
        <v>1.4366958802066092</v>
      </c>
      <c r="BB805" s="19">
        <v>1.0882188952877143</v>
      </c>
      <c r="BC805" s="19">
        <v>-1.0063024834445531</v>
      </c>
      <c r="BD805" s="19">
        <v>1.1639295922200255</v>
      </c>
      <c r="BE805" s="14" t="s">
        <v>4857</v>
      </c>
    </row>
    <row r="806" spans="1:105" s="30" customFormat="1" ht="17.100000000000001" customHeight="1">
      <c r="A806" s="14">
        <v>795</v>
      </c>
      <c r="B806" s="14" t="s">
        <v>206</v>
      </c>
      <c r="C806" s="32">
        <v>1.0023757008283205</v>
      </c>
      <c r="D806" s="32">
        <v>1.0493353150109512</v>
      </c>
      <c r="E806" s="32">
        <v>-1.0279925833364001</v>
      </c>
      <c r="F806" s="42">
        <v>4718975.5</v>
      </c>
      <c r="G806" s="52" t="s">
        <v>4894</v>
      </c>
      <c r="H806" s="32">
        <v>8.4753512577549532</v>
      </c>
      <c r="I806" s="32">
        <v>12.860554494691371</v>
      </c>
      <c r="J806" s="12" t="s">
        <v>207</v>
      </c>
      <c r="K806" s="12" t="s">
        <v>208</v>
      </c>
      <c r="L806" s="14" t="s">
        <v>209</v>
      </c>
      <c r="M806" s="12" t="s">
        <v>210</v>
      </c>
      <c r="N806" s="15" t="s">
        <v>211</v>
      </c>
      <c r="O806" s="12" t="s">
        <v>212</v>
      </c>
      <c r="P806" s="12" t="s">
        <v>213</v>
      </c>
      <c r="Q806" s="14">
        <v>2</v>
      </c>
      <c r="R806" s="21">
        <v>470.7824</v>
      </c>
      <c r="S806" s="14">
        <v>1</v>
      </c>
      <c r="T806" s="52" t="s">
        <v>4894</v>
      </c>
      <c r="U806" s="53">
        <v>45.4</v>
      </c>
      <c r="V806" s="42">
        <v>4223566</v>
      </c>
      <c r="W806" s="42">
        <v>3859838</v>
      </c>
      <c r="X806" s="42">
        <v>3799433</v>
      </c>
      <c r="Y806" s="42">
        <v>4060694</v>
      </c>
      <c r="Z806" s="42">
        <v>4513096</v>
      </c>
      <c r="AA806" s="42">
        <v>4377394</v>
      </c>
      <c r="AB806" s="42">
        <v>5148109</v>
      </c>
      <c r="AC806" s="42">
        <v>4289842</v>
      </c>
      <c r="AD806" s="42">
        <v>3985882.75</v>
      </c>
      <c r="AE806" s="42">
        <v>4582110.25</v>
      </c>
      <c r="AF806" s="42">
        <v>4041702</v>
      </c>
      <c r="AG806" s="42">
        <v>3930063.5</v>
      </c>
      <c r="AH806" s="42">
        <v>4445245</v>
      </c>
      <c r="AI806" s="42">
        <v>4718975.5</v>
      </c>
      <c r="AJ806" s="32">
        <v>4.8635735075873798</v>
      </c>
      <c r="AK806" s="32">
        <v>8.4753512577549532</v>
      </c>
      <c r="AL806" s="32">
        <v>6.3635204997157278</v>
      </c>
      <c r="AM806" s="32">
        <v>4.7006727692715042</v>
      </c>
      <c r="AN806" s="32">
        <v>2.1586167786157313</v>
      </c>
      <c r="AO806" s="32">
        <v>12.860554494691371</v>
      </c>
      <c r="AP806" s="19">
        <v>1.1495848065274876</v>
      </c>
      <c r="AQ806" s="19">
        <v>1.0998448178514892</v>
      </c>
      <c r="AR806" s="19">
        <v>1.2007377234489978</v>
      </c>
      <c r="AS806" s="19">
        <v>0.2011128996738086</v>
      </c>
      <c r="AT806" s="19">
        <v>0.13729998165037813</v>
      </c>
      <c r="AU806" s="19">
        <v>0.26392105828609713</v>
      </c>
      <c r="AV806" s="19">
        <v>3.423346987708048E-3</v>
      </c>
      <c r="AW806" s="19">
        <v>6.9475764667228421E-2</v>
      </c>
      <c r="AX806" s="19">
        <v>-3.9829855949695792E-2</v>
      </c>
      <c r="AY806" s="19">
        <v>1.1495848065274876</v>
      </c>
      <c r="AZ806" s="19">
        <v>1.0998448178514892</v>
      </c>
      <c r="BA806" s="19">
        <v>1.2007377234489978</v>
      </c>
      <c r="BB806" s="19">
        <v>1.0023757008283205</v>
      </c>
      <c r="BC806" s="19">
        <v>1.0493353150109512</v>
      </c>
      <c r="BD806" s="19">
        <v>-1.0279925833364001</v>
      </c>
      <c r="BE806" s="14" t="s">
        <v>4857</v>
      </c>
    </row>
    <row r="807" spans="1:105" s="30" customFormat="1" ht="17.100000000000001" customHeight="1">
      <c r="A807" s="14">
        <v>796</v>
      </c>
      <c r="B807" s="14" t="s">
        <v>84</v>
      </c>
      <c r="C807" s="32">
        <v>-1.4152743014271241</v>
      </c>
      <c r="D807" s="32">
        <v>-1.2133527886577435</v>
      </c>
      <c r="E807" s="32">
        <v>-1.6496756768750183</v>
      </c>
      <c r="F807" s="24">
        <v>57650</v>
      </c>
      <c r="G807" s="52" t="s">
        <v>2</v>
      </c>
      <c r="H807" s="32">
        <v>21.049092193015973</v>
      </c>
      <c r="I807" s="32">
        <v>30.619931108783028</v>
      </c>
      <c r="J807" s="12" t="s">
        <v>207</v>
      </c>
      <c r="K807" s="12" t="s">
        <v>208</v>
      </c>
      <c r="L807" s="14" t="s">
        <v>3791</v>
      </c>
      <c r="M807" s="12" t="s">
        <v>210</v>
      </c>
      <c r="N807" s="15" t="s">
        <v>211</v>
      </c>
      <c r="O807" s="12" t="s">
        <v>212</v>
      </c>
      <c r="P807" s="12" t="s">
        <v>85</v>
      </c>
      <c r="Q807" s="14">
        <v>3</v>
      </c>
      <c r="R807" s="21">
        <v>422.20319999999998</v>
      </c>
      <c r="S807" s="14">
        <v>1</v>
      </c>
      <c r="T807" s="52" t="s">
        <v>2</v>
      </c>
      <c r="U807" s="53">
        <v>38</v>
      </c>
      <c r="V807" s="24">
        <v>53900</v>
      </c>
      <c r="W807" s="24">
        <v>61400</v>
      </c>
      <c r="X807" s="24">
        <v>38900</v>
      </c>
      <c r="Y807" s="24">
        <v>60400</v>
      </c>
      <c r="Z807" s="24">
        <v>45000</v>
      </c>
      <c r="AA807" s="24">
        <v>54600</v>
      </c>
      <c r="AB807" s="24">
        <v>32400</v>
      </c>
      <c r="AC807" s="24">
        <v>41900</v>
      </c>
      <c r="AD807" s="24">
        <v>53650</v>
      </c>
      <c r="AE807" s="24">
        <v>43475</v>
      </c>
      <c r="AF807" s="24">
        <v>57650</v>
      </c>
      <c r="AG807" s="24">
        <v>49650</v>
      </c>
      <c r="AH807" s="24">
        <v>49800</v>
      </c>
      <c r="AI807" s="24">
        <v>37150</v>
      </c>
      <c r="AJ807" s="32">
        <v>19.348126274023013</v>
      </c>
      <c r="AK807" s="32">
        <v>21.049092193015973</v>
      </c>
      <c r="AL807" s="32">
        <v>9.19913418716237</v>
      </c>
      <c r="AM807" s="32">
        <v>30.619931108783028</v>
      </c>
      <c r="AN807" s="32">
        <v>13.630974095162362</v>
      </c>
      <c r="AO807" s="32">
        <v>18.082138415268375</v>
      </c>
      <c r="AP807" s="19">
        <v>0.81034482758620685</v>
      </c>
      <c r="AQ807" s="19">
        <v>0.8638334778837814</v>
      </c>
      <c r="AR807" s="19">
        <v>0.74823766364551858</v>
      </c>
      <c r="AS807" s="19">
        <v>-0.30339214344993481</v>
      </c>
      <c r="AT807" s="19">
        <v>-0.21117486558369097</v>
      </c>
      <c r="AU807" s="19">
        <v>-0.41843150698977771</v>
      </c>
      <c r="AV807" s="19">
        <v>-0.50108169613603537</v>
      </c>
      <c r="AW807" s="19">
        <v>-0.27899908256684069</v>
      </c>
      <c r="AX807" s="19">
        <v>-0.72218242122557064</v>
      </c>
      <c r="AY807" s="19">
        <v>-1.2340425531914894</v>
      </c>
      <c r="AZ807" s="19">
        <v>-1.1576305220883534</v>
      </c>
      <c r="BA807" s="19">
        <v>-1.3364737550471064</v>
      </c>
      <c r="BB807" s="19">
        <v>-1.4152743014271241</v>
      </c>
      <c r="BC807" s="19">
        <v>-1.2133527886577435</v>
      </c>
      <c r="BD807" s="19">
        <v>-1.6496756768750183</v>
      </c>
      <c r="BE807" s="14" t="s">
        <v>4857</v>
      </c>
    </row>
    <row r="808" spans="1:105" s="30" customFormat="1" ht="17.100000000000001" customHeight="1">
      <c r="A808" s="14">
        <v>797</v>
      </c>
      <c r="B808" s="14" t="s">
        <v>86</v>
      </c>
      <c r="C808" s="32">
        <v>-1.0179982547923965</v>
      </c>
      <c r="D808" s="32">
        <v>-1.20259148384333</v>
      </c>
      <c r="E808" s="32">
        <v>1.1589164867555182</v>
      </c>
      <c r="F808" s="42">
        <v>1618064</v>
      </c>
      <c r="G808" s="52" t="s">
        <v>4894</v>
      </c>
      <c r="H808" s="32">
        <v>20.197867262896622</v>
      </c>
      <c r="I808" s="32">
        <v>20.382267944325054</v>
      </c>
      <c r="J808" s="12" t="s">
        <v>87</v>
      </c>
      <c r="K808" s="12" t="s">
        <v>87</v>
      </c>
      <c r="L808" s="14" t="s">
        <v>88</v>
      </c>
      <c r="M808" s="12" t="s">
        <v>89</v>
      </c>
      <c r="N808" s="15" t="s">
        <v>90</v>
      </c>
      <c r="O808" s="12" t="s">
        <v>91</v>
      </c>
      <c r="P808" s="12" t="s">
        <v>92</v>
      </c>
      <c r="Q808" s="14">
        <v>2</v>
      </c>
      <c r="R808" s="21">
        <v>813.48289999999997</v>
      </c>
      <c r="S808" s="14">
        <v>5</v>
      </c>
      <c r="T808" s="52" t="s">
        <v>4894</v>
      </c>
      <c r="U808" s="53">
        <v>38.687937499999997</v>
      </c>
      <c r="V808" s="42">
        <v>1542302</v>
      </c>
      <c r="W808" s="42">
        <v>1153737</v>
      </c>
      <c r="X808" s="42">
        <v>1144966</v>
      </c>
      <c r="Y808" s="42">
        <v>1117257</v>
      </c>
      <c r="Z808" s="42">
        <v>1198146</v>
      </c>
      <c r="AA808" s="42">
        <v>1151623</v>
      </c>
      <c r="AB808" s="42">
        <v>1761556</v>
      </c>
      <c r="AC808" s="42">
        <v>1474572</v>
      </c>
      <c r="AD808" s="42">
        <v>1239565.5</v>
      </c>
      <c r="AE808" s="42">
        <v>1396474.25</v>
      </c>
      <c r="AF808" s="42">
        <v>1348019.5</v>
      </c>
      <c r="AG808" s="42">
        <v>1131111.5</v>
      </c>
      <c r="AH808" s="42">
        <v>1174884.5</v>
      </c>
      <c r="AI808" s="42">
        <v>1618064</v>
      </c>
      <c r="AJ808" s="32">
        <v>16.330100608048703</v>
      </c>
      <c r="AK808" s="32">
        <v>20.197867262896622</v>
      </c>
      <c r="AL808" s="32">
        <v>20.382267944325054</v>
      </c>
      <c r="AM808" s="32">
        <v>1.7322095832195188</v>
      </c>
      <c r="AN808" s="32">
        <v>2.7999968321262001</v>
      </c>
      <c r="AO808" s="32">
        <v>12.541428057977939</v>
      </c>
      <c r="AP808" s="19">
        <v>1.1265836698423761</v>
      </c>
      <c r="AQ808" s="19">
        <v>0.87156343064770203</v>
      </c>
      <c r="AR808" s="19">
        <v>1.4305079561121958</v>
      </c>
      <c r="AS808" s="19">
        <v>0.17195446455786864</v>
      </c>
      <c r="AT808" s="19">
        <v>-0.19832243024861959</v>
      </c>
      <c r="AU808" s="19">
        <v>0.51652752157699255</v>
      </c>
      <c r="AV808" s="19">
        <v>-2.5735088128231914E-2</v>
      </c>
      <c r="AW808" s="19">
        <v>-0.26614664723176928</v>
      </c>
      <c r="AX808" s="19">
        <v>0.21277660734119963</v>
      </c>
      <c r="AY808" s="19">
        <v>1.1265836698423761</v>
      </c>
      <c r="AZ808" s="19">
        <v>-1.1473634216810249</v>
      </c>
      <c r="BA808" s="19">
        <v>1.4305079561121958</v>
      </c>
      <c r="BB808" s="19">
        <v>-1.0179982547923965</v>
      </c>
      <c r="BC808" s="19">
        <v>-1.20259148384333</v>
      </c>
      <c r="BD808" s="19">
        <v>1.1589164867555182</v>
      </c>
      <c r="BE808" s="14" t="s">
        <v>4857</v>
      </c>
    </row>
    <row r="809" spans="1:105" s="30" customFormat="1" ht="17.100000000000001" customHeight="1">
      <c r="A809" s="14">
        <v>798</v>
      </c>
      <c r="B809" s="14" t="s">
        <v>93</v>
      </c>
      <c r="C809" s="32">
        <v>1.3220130979924285</v>
      </c>
      <c r="D809" s="32">
        <v>-1.2436169759298905</v>
      </c>
      <c r="E809" s="32">
        <v>1.9866996438976234</v>
      </c>
      <c r="F809" s="42">
        <v>368703</v>
      </c>
      <c r="G809" s="52" t="s">
        <v>4894</v>
      </c>
      <c r="H809" s="32">
        <v>41.31832750679073</v>
      </c>
      <c r="I809" s="32">
        <v>14.51269999612621</v>
      </c>
      <c r="J809" s="12" t="s">
        <v>87</v>
      </c>
      <c r="K809" s="12" t="s">
        <v>87</v>
      </c>
      <c r="L809" s="14" t="s">
        <v>94</v>
      </c>
      <c r="M809" s="12" t="s">
        <v>89</v>
      </c>
      <c r="N809" s="15" t="s">
        <v>90</v>
      </c>
      <c r="O809" s="12" t="s">
        <v>91</v>
      </c>
      <c r="P809" s="12" t="s">
        <v>95</v>
      </c>
      <c r="Q809" s="14">
        <v>2</v>
      </c>
      <c r="R809" s="21">
        <v>813.48289999999997</v>
      </c>
      <c r="S809" s="14">
        <v>2</v>
      </c>
      <c r="T809" s="52" t="s">
        <v>4894</v>
      </c>
      <c r="U809" s="53">
        <v>39.200000000000003</v>
      </c>
      <c r="V809" s="42">
        <v>230473</v>
      </c>
      <c r="W809" s="42">
        <v>187573</v>
      </c>
      <c r="X809" s="42">
        <v>147133</v>
      </c>
      <c r="Y809" s="42">
        <v>153569</v>
      </c>
      <c r="Z809" s="42">
        <v>192626</v>
      </c>
      <c r="AA809" s="42">
        <v>159708</v>
      </c>
      <c r="AB809" s="42">
        <v>382865</v>
      </c>
      <c r="AC809" s="42">
        <v>354541</v>
      </c>
      <c r="AD809" s="42">
        <v>179687</v>
      </c>
      <c r="AE809" s="42">
        <v>272435</v>
      </c>
      <c r="AF809" s="42">
        <v>209023</v>
      </c>
      <c r="AG809" s="42">
        <v>150351</v>
      </c>
      <c r="AH809" s="42">
        <v>176167</v>
      </c>
      <c r="AI809" s="42">
        <v>368703</v>
      </c>
      <c r="AJ809" s="32">
        <v>21.272781779742974</v>
      </c>
      <c r="AK809" s="32">
        <v>41.31832750679073</v>
      </c>
      <c r="AL809" s="32">
        <v>14.51269999612621</v>
      </c>
      <c r="AM809" s="32">
        <v>3.0268766045564179</v>
      </c>
      <c r="AN809" s="32">
        <v>13.212770282231503</v>
      </c>
      <c r="AO809" s="32">
        <v>5.4320394654580442</v>
      </c>
      <c r="AP809" s="19">
        <v>1.5161642188917395</v>
      </c>
      <c r="AQ809" s="19">
        <v>0.84281155662295537</v>
      </c>
      <c r="AR809" s="19">
        <v>2.4522816609134623</v>
      </c>
      <c r="AS809" s="19">
        <v>0.60042602326477079</v>
      </c>
      <c r="AT809" s="19">
        <v>-0.24671799837770708</v>
      </c>
      <c r="AU809" s="19">
        <v>1.2941246916984011</v>
      </c>
      <c r="AV809" s="19">
        <v>0.40273647057867024</v>
      </c>
      <c r="AW809" s="19">
        <v>-0.3145422153608568</v>
      </c>
      <c r="AX809" s="19">
        <v>0.99037377746260813</v>
      </c>
      <c r="AY809" s="19">
        <v>1.5161642188917395</v>
      </c>
      <c r="AZ809" s="19">
        <v>-1.1865048505111626</v>
      </c>
      <c r="BA809" s="19">
        <v>2.4522816609134623</v>
      </c>
      <c r="BB809" s="19">
        <v>1.3220130979924285</v>
      </c>
      <c r="BC809" s="19">
        <v>-1.2436169759298905</v>
      </c>
      <c r="BD809" s="19">
        <v>1.9866996438976234</v>
      </c>
      <c r="BE809" s="14" t="s">
        <v>4857</v>
      </c>
    </row>
    <row r="810" spans="1:105" s="30" customFormat="1" ht="17.100000000000001" customHeight="1">
      <c r="A810" s="14">
        <v>799</v>
      </c>
      <c r="B810" s="14" t="s">
        <v>96</v>
      </c>
      <c r="C810" s="32">
        <v>1.0685193750132933</v>
      </c>
      <c r="D810" s="32">
        <v>1.4807625808607865</v>
      </c>
      <c r="E810" s="32">
        <v>-1.2119768646194773</v>
      </c>
      <c r="F810" s="24">
        <v>1366895</v>
      </c>
      <c r="G810" s="52" t="s">
        <v>2</v>
      </c>
      <c r="H810" s="32">
        <v>26.845798050896668</v>
      </c>
      <c r="I810" s="32">
        <v>15.821445436902787</v>
      </c>
      <c r="J810" s="12" t="s">
        <v>97</v>
      </c>
      <c r="K810" s="12" t="s">
        <v>98</v>
      </c>
      <c r="L810" s="14" t="s">
        <v>99</v>
      </c>
      <c r="M810" s="12" t="s">
        <v>100</v>
      </c>
      <c r="N810" s="15" t="s">
        <v>101</v>
      </c>
      <c r="O810" s="12" t="s">
        <v>102</v>
      </c>
      <c r="P810" s="12" t="s">
        <v>103</v>
      </c>
      <c r="Q810" s="14">
        <v>4</v>
      </c>
      <c r="R810" s="21">
        <v>505.25290000000001</v>
      </c>
      <c r="S810" s="14">
        <v>1</v>
      </c>
      <c r="T810" s="52" t="s">
        <v>2</v>
      </c>
      <c r="U810" s="53">
        <v>63.953787500000004</v>
      </c>
      <c r="V810" s="24">
        <v>755420</v>
      </c>
      <c r="W810" s="24">
        <v>945736</v>
      </c>
      <c r="X810" s="24">
        <v>1350940</v>
      </c>
      <c r="Y810" s="24">
        <v>1333300</v>
      </c>
      <c r="Z810" s="24">
        <v>1180010</v>
      </c>
      <c r="AA810" s="24">
        <v>1460250</v>
      </c>
      <c r="AB810" s="24">
        <v>1239260</v>
      </c>
      <c r="AC810" s="24">
        <v>1494530</v>
      </c>
      <c r="AD810" s="24">
        <v>1096349</v>
      </c>
      <c r="AE810" s="24">
        <v>1343512.5</v>
      </c>
      <c r="AF810" s="24">
        <v>850578</v>
      </c>
      <c r="AG810" s="24">
        <v>1342120</v>
      </c>
      <c r="AH810" s="24">
        <v>1320130</v>
      </c>
      <c r="AI810" s="24">
        <v>1366895</v>
      </c>
      <c r="AJ810" s="32">
        <v>26.845798050896668</v>
      </c>
      <c r="AK810" s="32">
        <v>11.692783381665931</v>
      </c>
      <c r="AL810" s="32">
        <v>15.821445436902787</v>
      </c>
      <c r="AM810" s="32">
        <v>0.92937767264705817</v>
      </c>
      <c r="AN810" s="32">
        <v>15.010612921433349</v>
      </c>
      <c r="AO810" s="32">
        <v>13.205341158866629</v>
      </c>
      <c r="AP810" s="19">
        <v>1.2254423545786972</v>
      </c>
      <c r="AQ810" s="19">
        <v>1.5520387313097681</v>
      </c>
      <c r="AR810" s="19">
        <v>1.0184596012279081</v>
      </c>
      <c r="AS810" s="19">
        <v>0.29330262070457402</v>
      </c>
      <c r="AT810" s="19">
        <v>0.6341645605993379</v>
      </c>
      <c r="AU810" s="19">
        <v>2.6388754713143701E-2</v>
      </c>
      <c r="AV810" s="19">
        <v>9.5613068018473468E-2</v>
      </c>
      <c r="AW810" s="19">
        <v>0.56634034361618824</v>
      </c>
      <c r="AX810" s="19">
        <v>-0.2773621595226492</v>
      </c>
      <c r="AY810" s="19">
        <v>1.2254423545786972</v>
      </c>
      <c r="AZ810" s="19">
        <v>1.5520387313097681</v>
      </c>
      <c r="BA810" s="19">
        <v>1.0184596012279081</v>
      </c>
      <c r="BB810" s="19">
        <v>1.0685193750132933</v>
      </c>
      <c r="BC810" s="19">
        <v>1.4807625808607865</v>
      </c>
      <c r="BD810" s="19">
        <v>-1.2119768646194773</v>
      </c>
      <c r="BE810" s="14" t="s">
        <v>4857</v>
      </c>
    </row>
    <row r="811" spans="1:105" s="30" customFormat="1" ht="17.100000000000001" customHeight="1">
      <c r="A811" s="14">
        <v>800</v>
      </c>
      <c r="B811" s="14" t="s">
        <v>104</v>
      </c>
      <c r="C811" s="32">
        <v>1.3295267619443818</v>
      </c>
      <c r="D811" s="32">
        <v>1.7462212879328571</v>
      </c>
      <c r="E811" s="32">
        <v>1.0533229536691142</v>
      </c>
      <c r="F811" s="42">
        <v>399000</v>
      </c>
      <c r="G811" s="52" t="s">
        <v>2</v>
      </c>
      <c r="H811" s="32">
        <v>20.828352056110745</v>
      </c>
      <c r="I811" s="32">
        <v>21.266369358993909</v>
      </c>
      <c r="J811" s="12" t="s">
        <v>105</v>
      </c>
      <c r="K811" s="12" t="s">
        <v>106</v>
      </c>
      <c r="L811" s="14" t="s">
        <v>107</v>
      </c>
      <c r="M811" s="12" t="s">
        <v>108</v>
      </c>
      <c r="N811" s="15" t="s">
        <v>109</v>
      </c>
      <c r="O811" s="12" t="s">
        <v>110</v>
      </c>
      <c r="P811" s="12" t="s">
        <v>111</v>
      </c>
      <c r="Q811" s="14">
        <v>4</v>
      </c>
      <c r="R811" s="21">
        <v>884.4357</v>
      </c>
      <c r="S811" s="14">
        <v>1</v>
      </c>
      <c r="T811" s="52" t="s">
        <v>2</v>
      </c>
      <c r="U811" s="53">
        <v>97.208624999999984</v>
      </c>
      <c r="V811" s="42">
        <v>193000</v>
      </c>
      <c r="W811" s="42">
        <v>243000</v>
      </c>
      <c r="X811" s="42">
        <v>272000</v>
      </c>
      <c r="Y811" s="42">
        <v>321000</v>
      </c>
      <c r="Z811" s="42">
        <v>459000</v>
      </c>
      <c r="AA811" s="42">
        <v>339000</v>
      </c>
      <c r="AB811" s="42">
        <v>374000</v>
      </c>
      <c r="AC811" s="42">
        <v>397000</v>
      </c>
      <c r="AD811" s="42">
        <v>257250</v>
      </c>
      <c r="AE811" s="42">
        <v>392250</v>
      </c>
      <c r="AF811" s="42">
        <v>218000</v>
      </c>
      <c r="AG811" s="42">
        <v>296500</v>
      </c>
      <c r="AH811" s="42">
        <v>399000</v>
      </c>
      <c r="AI811" s="42">
        <v>385500</v>
      </c>
      <c r="AJ811" s="32">
        <v>20.828352056110745</v>
      </c>
      <c r="AK811" s="32">
        <v>12.871076342619039</v>
      </c>
      <c r="AL811" s="32">
        <v>16.218045440058432</v>
      </c>
      <c r="AM811" s="32">
        <v>11.68574444456689</v>
      </c>
      <c r="AN811" s="32">
        <v>21.266369358993909</v>
      </c>
      <c r="AO811" s="32">
        <v>4.218795322254369</v>
      </c>
      <c r="AP811" s="19">
        <v>1.5247813411078717</v>
      </c>
      <c r="AQ811" s="19">
        <v>1.8302752293577982</v>
      </c>
      <c r="AR811" s="19">
        <v>1.300168634064081</v>
      </c>
      <c r="AS811" s="19">
        <v>0.6086023700741291</v>
      </c>
      <c r="AT811" s="19">
        <v>0.87206061144541946</v>
      </c>
      <c r="AU811" s="19">
        <v>0.37869875536903069</v>
      </c>
      <c r="AV811" s="19">
        <v>0.41091281738802854</v>
      </c>
      <c r="AW811" s="19">
        <v>0.8042363944622698</v>
      </c>
      <c r="AX811" s="19">
        <v>7.4947841133237769E-2</v>
      </c>
      <c r="AY811" s="19">
        <v>1.5247813411078717</v>
      </c>
      <c r="AZ811" s="19">
        <v>1.8302752293577982</v>
      </c>
      <c r="BA811" s="19">
        <v>1.300168634064081</v>
      </c>
      <c r="BB811" s="19">
        <v>1.3295267619443818</v>
      </c>
      <c r="BC811" s="19">
        <v>1.7462212879328571</v>
      </c>
      <c r="BD811" s="19">
        <v>1.0533229536691142</v>
      </c>
      <c r="BE811" s="14" t="s">
        <v>4857</v>
      </c>
    </row>
    <row r="812" spans="1:105" ht="17.100000000000001" customHeight="1">
      <c r="A812" s="31">
        <v>801</v>
      </c>
      <c r="B812" s="11" t="s">
        <v>112</v>
      </c>
      <c r="C812" s="57"/>
      <c r="D812" s="57"/>
      <c r="E812" s="57"/>
      <c r="F812" s="27"/>
      <c r="G812" s="54"/>
      <c r="H812" s="57"/>
      <c r="I812" s="57"/>
      <c r="J812" s="13"/>
      <c r="K812" s="13"/>
      <c r="L812" s="13"/>
      <c r="M812" s="13"/>
      <c r="N812" s="13"/>
      <c r="O812" s="13"/>
      <c r="P812" s="13"/>
      <c r="Q812" s="13"/>
      <c r="R812" s="22"/>
      <c r="S812" s="18"/>
      <c r="T812" s="54"/>
      <c r="U812" s="5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57"/>
      <c r="AK812" s="57"/>
      <c r="AL812" s="57"/>
      <c r="AM812" s="57"/>
      <c r="AN812" s="57"/>
      <c r="AO812" s="57"/>
      <c r="AP812" s="27"/>
      <c r="AQ812" s="27"/>
      <c r="AR812" s="27"/>
      <c r="AS812" s="27"/>
      <c r="AT812" s="27"/>
      <c r="AU812" s="27"/>
      <c r="AV812" s="27"/>
      <c r="AW812" s="27"/>
      <c r="AX812" s="27"/>
      <c r="AY812" s="27"/>
      <c r="AZ812" s="27"/>
      <c r="BA812" s="27"/>
      <c r="BB812" s="27"/>
      <c r="BC812" s="27"/>
      <c r="BD812" s="27"/>
      <c r="BE812" s="13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s="30" customFormat="1" ht="17.100000000000001" customHeight="1">
      <c r="A813" s="14">
        <v>802</v>
      </c>
      <c r="B813" s="14" t="s">
        <v>113</v>
      </c>
      <c r="C813" s="32">
        <v>1.2005491288978103</v>
      </c>
      <c r="D813" s="32">
        <v>-1.0179420530117329</v>
      </c>
      <c r="E813" s="32">
        <v>1.4300367677807793</v>
      </c>
      <c r="F813" s="24">
        <v>48610</v>
      </c>
      <c r="G813" s="52" t="s">
        <v>2</v>
      </c>
      <c r="H813" s="32">
        <v>31.194919041814828</v>
      </c>
      <c r="I813" s="32">
        <v>24.13956235218707</v>
      </c>
      <c r="J813" s="12" t="s">
        <v>114</v>
      </c>
      <c r="K813" s="12" t="s">
        <v>115</v>
      </c>
      <c r="L813" s="14" t="s">
        <v>5255</v>
      </c>
      <c r="M813" s="12" t="s">
        <v>116</v>
      </c>
      <c r="N813" s="15" t="s">
        <v>117</v>
      </c>
      <c r="O813" s="12" t="s">
        <v>118</v>
      </c>
      <c r="P813" s="12" t="s">
        <v>119</v>
      </c>
      <c r="Q813" s="14">
        <v>2</v>
      </c>
      <c r="R813" s="21">
        <v>648.3877</v>
      </c>
      <c r="S813" s="14">
        <v>4</v>
      </c>
      <c r="T813" s="52" t="s">
        <v>2</v>
      </c>
      <c r="U813" s="53">
        <v>40.508949999999999</v>
      </c>
      <c r="V813" s="24">
        <v>27279</v>
      </c>
      <c r="W813" s="24">
        <v>34318</v>
      </c>
      <c r="X813" s="24">
        <v>30028</v>
      </c>
      <c r="Y813" s="24">
        <v>25049</v>
      </c>
      <c r="Z813" s="24">
        <v>26299</v>
      </c>
      <c r="AA813" s="24">
        <v>37125</v>
      </c>
      <c r="AB813" s="24">
        <v>56570</v>
      </c>
      <c r="AC813" s="24">
        <v>40650</v>
      </c>
      <c r="AD813" s="24">
        <v>29168.5</v>
      </c>
      <c r="AE813" s="24">
        <v>40161</v>
      </c>
      <c r="AF813" s="24">
        <v>30798.5</v>
      </c>
      <c r="AG813" s="24">
        <v>27538.5</v>
      </c>
      <c r="AH813" s="24">
        <v>31712</v>
      </c>
      <c r="AI813" s="24">
        <v>48610</v>
      </c>
      <c r="AJ813" s="32">
        <v>13.68433484537888</v>
      </c>
      <c r="AK813" s="32">
        <v>31.194919041814828</v>
      </c>
      <c r="AL813" s="32">
        <v>16.160931969972914</v>
      </c>
      <c r="AM813" s="32">
        <v>12.784591257794798</v>
      </c>
      <c r="AN813" s="32">
        <v>24.13956235218707</v>
      </c>
      <c r="AO813" s="32">
        <v>23.158074380764941</v>
      </c>
      <c r="AP813" s="19">
        <v>1.3768620258155202</v>
      </c>
      <c r="AQ813" s="19">
        <v>1.0296605354156858</v>
      </c>
      <c r="AR813" s="19">
        <v>1.7651651324509323</v>
      </c>
      <c r="AS813" s="19">
        <v>0.46138399546057712</v>
      </c>
      <c r="AT813" s="19">
        <v>4.2168779549942803E-2</v>
      </c>
      <c r="AU813" s="19">
        <v>0.81980315495489176</v>
      </c>
      <c r="AV813" s="19">
        <v>0.26369444277447657</v>
      </c>
      <c r="AW813" s="19">
        <v>-2.5655437433206904E-2</v>
      </c>
      <c r="AX813" s="19">
        <v>0.51605224071909883</v>
      </c>
      <c r="AY813" s="19">
        <v>1.3768620258155202</v>
      </c>
      <c r="AZ813" s="19">
        <v>1.0296605354156858</v>
      </c>
      <c r="BA813" s="19">
        <v>1.7651651324509323</v>
      </c>
      <c r="BB813" s="19">
        <v>1.2005491288978103</v>
      </c>
      <c r="BC813" s="19">
        <v>-1.0179420530117329</v>
      </c>
      <c r="BD813" s="19">
        <v>1.4300367677807793</v>
      </c>
      <c r="BE813" s="14" t="s">
        <v>4857</v>
      </c>
    </row>
    <row r="814" spans="1:105" s="30" customFormat="1" ht="17.100000000000001" customHeight="1">
      <c r="A814" s="14">
        <v>803</v>
      </c>
      <c r="B814" s="14" t="s">
        <v>120</v>
      </c>
      <c r="C814" s="32">
        <v>1.1038407790329068</v>
      </c>
      <c r="D814" s="32">
        <v>-1.1267176448244083</v>
      </c>
      <c r="E814" s="32">
        <v>1.3168193094031548</v>
      </c>
      <c r="F814" s="24">
        <v>78536</v>
      </c>
      <c r="G814" s="52" t="s">
        <v>2</v>
      </c>
      <c r="H814" s="32">
        <v>30.057421080947705</v>
      </c>
      <c r="I814" s="32">
        <v>23.26268184772033</v>
      </c>
      <c r="J814" s="12" t="s">
        <v>121</v>
      </c>
      <c r="K814" s="12" t="s">
        <v>122</v>
      </c>
      <c r="L814" s="14" t="s">
        <v>4574</v>
      </c>
      <c r="M814" s="12" t="s">
        <v>123</v>
      </c>
      <c r="N814" s="15" t="s">
        <v>124</v>
      </c>
      <c r="O814" s="12" t="s">
        <v>125</v>
      </c>
      <c r="P814" s="12" t="s">
        <v>126</v>
      </c>
      <c r="Q814" s="14">
        <v>2</v>
      </c>
      <c r="R814" s="21">
        <v>567.79870000000005</v>
      </c>
      <c r="S814" s="14">
        <v>6</v>
      </c>
      <c r="T814" s="52" t="s">
        <v>2</v>
      </c>
      <c r="U814" s="53">
        <v>36.2135125</v>
      </c>
      <c r="V814" s="24">
        <v>47298</v>
      </c>
      <c r="W814" s="24">
        <v>56179</v>
      </c>
      <c r="X814" s="24">
        <v>51297</v>
      </c>
      <c r="Y814" s="24">
        <v>45338</v>
      </c>
      <c r="Z814" s="24">
        <v>56047</v>
      </c>
      <c r="AA814" s="24">
        <v>40213</v>
      </c>
      <c r="AB814" s="24">
        <v>82852</v>
      </c>
      <c r="AC814" s="24">
        <v>74220</v>
      </c>
      <c r="AD814" s="24">
        <v>50028</v>
      </c>
      <c r="AE814" s="24">
        <v>63333</v>
      </c>
      <c r="AF814" s="24">
        <v>51738.5</v>
      </c>
      <c r="AG814" s="24">
        <v>48317.5</v>
      </c>
      <c r="AH814" s="24">
        <v>48130</v>
      </c>
      <c r="AI814" s="24">
        <v>78536</v>
      </c>
      <c r="AJ814" s="32">
        <v>9.5789397677631527</v>
      </c>
      <c r="AK814" s="32">
        <v>30.057421080947705</v>
      </c>
      <c r="AL814" s="32">
        <v>12.137606083898312</v>
      </c>
      <c r="AM814" s="32">
        <v>8.720751920299346</v>
      </c>
      <c r="AN814" s="32">
        <v>23.26268184772033</v>
      </c>
      <c r="AO814" s="32">
        <v>7.7719080869948538</v>
      </c>
      <c r="AP814" s="19">
        <v>1.2659510674022547</v>
      </c>
      <c r="AQ814" s="19">
        <v>0.93025503251930386</v>
      </c>
      <c r="AR814" s="19">
        <v>1.6254152222279712</v>
      </c>
      <c r="AS814" s="19">
        <v>0.3402216415905574</v>
      </c>
      <c r="AT814" s="19">
        <v>-0.10430180478382421</v>
      </c>
      <c r="AU814" s="19">
        <v>0.7008083104663575</v>
      </c>
      <c r="AV814" s="19">
        <v>0.14253208890445684</v>
      </c>
      <c r="AW814" s="19">
        <v>-0.17212602176697392</v>
      </c>
      <c r="AX814" s="19">
        <v>0.39705739623056457</v>
      </c>
      <c r="AY814" s="19">
        <v>1.2659510674022547</v>
      </c>
      <c r="AZ814" s="19">
        <v>-1.0749740286723457</v>
      </c>
      <c r="BA814" s="19">
        <v>1.6254152222279712</v>
      </c>
      <c r="BB814" s="19">
        <v>1.1038407790329068</v>
      </c>
      <c r="BC814" s="19">
        <v>-1.1267176448244083</v>
      </c>
      <c r="BD814" s="19">
        <v>1.3168193094031548</v>
      </c>
      <c r="BE814" s="14" t="s">
        <v>4857</v>
      </c>
    </row>
    <row r="815" spans="1:105" s="30" customFormat="1" ht="17.100000000000001" customHeight="1">
      <c r="A815" s="14">
        <v>804</v>
      </c>
      <c r="B815" s="14" t="s">
        <v>1283</v>
      </c>
      <c r="C815" s="32">
        <v>-1.0746946152745949</v>
      </c>
      <c r="D815" s="32">
        <v>1.3870668045889438</v>
      </c>
      <c r="E815" s="32">
        <v>-1.4987724839658156</v>
      </c>
      <c r="F815" s="24">
        <v>61878.5</v>
      </c>
      <c r="G815" s="52" t="s">
        <v>2</v>
      </c>
      <c r="H815" s="32">
        <v>36.239260992404674</v>
      </c>
      <c r="I815" s="32">
        <v>42.296117678854678</v>
      </c>
      <c r="J815" s="12" t="s">
        <v>127</v>
      </c>
      <c r="K815" s="12" t="s">
        <v>128</v>
      </c>
      <c r="L815" s="14" t="s">
        <v>5010</v>
      </c>
      <c r="M815" s="12" t="s">
        <v>129</v>
      </c>
      <c r="N815" s="15" t="s">
        <v>130</v>
      </c>
      <c r="O815" s="12" t="s">
        <v>131</v>
      </c>
      <c r="P815" s="12" t="s">
        <v>132</v>
      </c>
      <c r="Q815" s="14">
        <v>3</v>
      </c>
      <c r="R815" s="21">
        <v>735.37580000000003</v>
      </c>
      <c r="S815" s="14">
        <v>2</v>
      </c>
      <c r="T815" s="52" t="s">
        <v>2</v>
      </c>
      <c r="U815" s="53">
        <v>53.04267500000001</v>
      </c>
      <c r="V815" s="24">
        <v>28140</v>
      </c>
      <c r="W815" s="24">
        <v>49816</v>
      </c>
      <c r="X815" s="24">
        <v>72891</v>
      </c>
      <c r="Y815" s="24">
        <v>50866</v>
      </c>
      <c r="Z815" s="24">
        <v>48132</v>
      </c>
      <c r="AA815" s="24">
        <v>65203</v>
      </c>
      <c r="AB815" s="24">
        <v>35720</v>
      </c>
      <c r="AC815" s="24">
        <v>66203</v>
      </c>
      <c r="AD815" s="24">
        <v>50428.25</v>
      </c>
      <c r="AE815" s="24">
        <v>53814.5</v>
      </c>
      <c r="AF815" s="24">
        <v>38978</v>
      </c>
      <c r="AG815" s="24">
        <v>61878.5</v>
      </c>
      <c r="AH815" s="24">
        <v>56667.5</v>
      </c>
      <c r="AI815" s="24">
        <v>50961.5</v>
      </c>
      <c r="AJ815" s="32">
        <v>36.239260992404674</v>
      </c>
      <c r="AK815" s="32">
        <v>27.202147864569721</v>
      </c>
      <c r="AL815" s="32">
        <v>39.322814379905594</v>
      </c>
      <c r="AM815" s="32">
        <v>25.168720727932492</v>
      </c>
      <c r="AN815" s="32">
        <v>21.301486498673054</v>
      </c>
      <c r="AO815" s="32">
        <v>42.296117678854678</v>
      </c>
      <c r="AP815" s="19">
        <v>1.0671498614367938</v>
      </c>
      <c r="AQ815" s="19">
        <v>1.4538329313971985</v>
      </c>
      <c r="AR815" s="19">
        <v>0.82357361603788071</v>
      </c>
      <c r="AS815" s="19">
        <v>9.3762790192350509E-2</v>
      </c>
      <c r="AT815" s="19">
        <v>0.53986149010120665</v>
      </c>
      <c r="AU815" s="19">
        <v>-0.28003048228121946</v>
      </c>
      <c r="AV815" s="19">
        <v>-0.10392676249375005</v>
      </c>
      <c r="AW815" s="19">
        <v>0.47203727311805693</v>
      </c>
      <c r="AX815" s="19">
        <v>-0.58378139651701244</v>
      </c>
      <c r="AY815" s="19">
        <v>1.0671498614367938</v>
      </c>
      <c r="AZ815" s="19">
        <v>1.4538329313971985</v>
      </c>
      <c r="BA815" s="19">
        <v>-1.214220539034369</v>
      </c>
      <c r="BB815" s="19">
        <v>-1.0746946152745949</v>
      </c>
      <c r="BC815" s="19">
        <v>1.3870668045889438</v>
      </c>
      <c r="BD815" s="19">
        <v>-1.4987724839658156</v>
      </c>
      <c r="BE815" s="14" t="s">
        <v>4857</v>
      </c>
    </row>
    <row r="816" spans="1:105" s="30" customFormat="1" ht="17.100000000000001" customHeight="1">
      <c r="A816" s="14">
        <v>805</v>
      </c>
      <c r="B816" s="14" t="s">
        <v>133</v>
      </c>
      <c r="C816" s="32">
        <v>-1.6077587848814356</v>
      </c>
      <c r="D816" s="32">
        <v>-1.0350244272915787</v>
      </c>
      <c r="E816" s="32">
        <v>-2.608030484146171</v>
      </c>
      <c r="F816" s="42">
        <v>589566</v>
      </c>
      <c r="G816" s="52" t="s">
        <v>4894</v>
      </c>
      <c r="H816" s="32">
        <v>35.051260599288462</v>
      </c>
      <c r="I816" s="32">
        <v>40.087490551412508</v>
      </c>
      <c r="J816" s="12" t="s">
        <v>134</v>
      </c>
      <c r="K816" s="12" t="s">
        <v>135</v>
      </c>
      <c r="L816" s="14" t="s">
        <v>4950</v>
      </c>
      <c r="M816" s="12" t="s">
        <v>136</v>
      </c>
      <c r="N816" s="15" t="s">
        <v>137</v>
      </c>
      <c r="O816" s="12" t="s">
        <v>138</v>
      </c>
      <c r="P816" s="12" t="s">
        <v>140</v>
      </c>
      <c r="Q816" s="14">
        <v>2</v>
      </c>
      <c r="R816" s="21">
        <v>561.7749</v>
      </c>
      <c r="S816" s="14">
        <v>6</v>
      </c>
      <c r="T816" s="52" t="s">
        <v>4894</v>
      </c>
      <c r="U816" s="53">
        <v>32.850037499999999</v>
      </c>
      <c r="V816" s="42">
        <v>514233</v>
      </c>
      <c r="W816" s="42">
        <v>431318</v>
      </c>
      <c r="X816" s="42">
        <v>541215</v>
      </c>
      <c r="Y816" s="42">
        <v>637917</v>
      </c>
      <c r="Z816" s="42">
        <v>494742</v>
      </c>
      <c r="AA816" s="42">
        <v>462786</v>
      </c>
      <c r="AB816" s="42">
        <v>358130</v>
      </c>
      <c r="AC816" s="42">
        <v>199939</v>
      </c>
      <c r="AD816" s="42">
        <v>531170.75</v>
      </c>
      <c r="AE816" s="42">
        <v>378899.25</v>
      </c>
      <c r="AF816" s="42">
        <v>472775.5</v>
      </c>
      <c r="AG816" s="42">
        <v>589566</v>
      </c>
      <c r="AH816" s="42">
        <v>478764</v>
      </c>
      <c r="AI816" s="42">
        <v>279034.5</v>
      </c>
      <c r="AJ816" s="32">
        <v>16.031194305665586</v>
      </c>
      <c r="AK816" s="32">
        <v>35.051260599288462</v>
      </c>
      <c r="AL816" s="32">
        <v>12.401183809669195</v>
      </c>
      <c r="AM816" s="32">
        <v>11.598131499153871</v>
      </c>
      <c r="AN816" s="32">
        <v>4.7197166661648149</v>
      </c>
      <c r="AO816" s="32">
        <v>40.087490551412508</v>
      </c>
      <c r="AP816" s="19">
        <v>0.71332852947945646</v>
      </c>
      <c r="AQ816" s="19">
        <v>1.0126666885234112</v>
      </c>
      <c r="AR816" s="19">
        <v>0.4732879779363125</v>
      </c>
      <c r="AS816" s="19">
        <v>-0.48736141977627834</v>
      </c>
      <c r="AT816" s="19">
        <v>1.815940025703967E-2</v>
      </c>
      <c r="AU816" s="19">
        <v>-1.0792098184733347</v>
      </c>
      <c r="AV816" s="19">
        <v>-0.68505097246237889</v>
      </c>
      <c r="AW816" s="19">
        <v>-4.9664816726110034E-2</v>
      </c>
      <c r="AX816" s="19">
        <v>-1.3829607327091278</v>
      </c>
      <c r="AY816" s="19">
        <v>-1.4018785996541296</v>
      </c>
      <c r="AZ816" s="19">
        <v>1.0126666885234112</v>
      </c>
      <c r="BA816" s="19">
        <v>-2.1128785150223357</v>
      </c>
      <c r="BB816" s="19">
        <v>-1.6077587848814356</v>
      </c>
      <c r="BC816" s="19">
        <v>-1.0350244272915787</v>
      </c>
      <c r="BD816" s="19">
        <v>-2.608030484146171</v>
      </c>
      <c r="BE816" s="14" t="s">
        <v>4857</v>
      </c>
    </row>
    <row r="817" spans="1:105" s="30" customFormat="1" ht="17.100000000000001" customHeight="1">
      <c r="A817" s="14">
        <v>806</v>
      </c>
      <c r="B817" s="14" t="s">
        <v>141</v>
      </c>
      <c r="C817" s="32">
        <v>1.3003796695364045</v>
      </c>
      <c r="D817" s="32">
        <v>1.1943715883220354</v>
      </c>
      <c r="E817" s="32">
        <v>1.4149609411304958</v>
      </c>
      <c r="F817" s="42">
        <v>131897042.5</v>
      </c>
      <c r="G817" s="52" t="s">
        <v>4894</v>
      </c>
      <c r="H817" s="32">
        <v>16.162592218789086</v>
      </c>
      <c r="I817" s="32">
        <v>7.1232623349783388</v>
      </c>
      <c r="J817" s="12" t="s">
        <v>142</v>
      </c>
      <c r="K817" s="12" t="s">
        <v>143</v>
      </c>
      <c r="L817" s="14" t="s">
        <v>4464</v>
      </c>
      <c r="M817" s="12" t="s">
        <v>144</v>
      </c>
      <c r="N817" s="15" t="s">
        <v>14</v>
      </c>
      <c r="O817" s="12" t="s">
        <v>15</v>
      </c>
      <c r="P817" s="12" t="s">
        <v>16</v>
      </c>
      <c r="Q817" s="14">
        <v>2</v>
      </c>
      <c r="R817" s="21">
        <v>410.25799999999998</v>
      </c>
      <c r="S817" s="14">
        <v>1</v>
      </c>
      <c r="T817" s="52" t="s">
        <v>4894</v>
      </c>
      <c r="U817" s="53">
        <v>56</v>
      </c>
      <c r="V817" s="42">
        <v>77992597</v>
      </c>
      <c r="W817" s="42">
        <v>82952505</v>
      </c>
      <c r="X817" s="42">
        <v>77806967</v>
      </c>
      <c r="Y817" s="42">
        <v>73229725</v>
      </c>
      <c r="Z817" s="42">
        <v>99923379</v>
      </c>
      <c r="AA817" s="42">
        <v>101557739</v>
      </c>
      <c r="AB817" s="42">
        <v>138540574</v>
      </c>
      <c r="AC817" s="42">
        <v>125253511</v>
      </c>
      <c r="AD817" s="42">
        <v>77995448.5</v>
      </c>
      <c r="AE817" s="42">
        <v>116318800.75</v>
      </c>
      <c r="AF817" s="42">
        <v>80472551</v>
      </c>
      <c r="AG817" s="42">
        <v>75518346</v>
      </c>
      <c r="AH817" s="42">
        <v>100740559</v>
      </c>
      <c r="AI817" s="42">
        <v>131897042.5</v>
      </c>
      <c r="AJ817" s="32">
        <v>5.0920512974900758</v>
      </c>
      <c r="AK817" s="32">
        <v>16.162592218789086</v>
      </c>
      <c r="AL817" s="32">
        <v>4.3582371097710153</v>
      </c>
      <c r="AM817" s="32">
        <v>4.2858444719272253</v>
      </c>
      <c r="AN817" s="32">
        <v>1.1471715566915266</v>
      </c>
      <c r="AO817" s="32">
        <v>7.1232623349783388</v>
      </c>
      <c r="AP817" s="19">
        <v>1.4913537005944648</v>
      </c>
      <c r="AQ817" s="19">
        <v>1.2518623772719719</v>
      </c>
      <c r="AR817" s="19">
        <v>1.7465562937514547</v>
      </c>
      <c r="AS817" s="19">
        <v>0.57662245854533334</v>
      </c>
      <c r="AT817" s="19">
        <v>0.3240759691871079</v>
      </c>
      <c r="AU817" s="19">
        <v>0.80451314339536872</v>
      </c>
      <c r="AV817" s="19">
        <v>0.37893290585923278</v>
      </c>
      <c r="AW817" s="19">
        <v>0.25625175220395818</v>
      </c>
      <c r="AX817" s="19">
        <v>0.5007622291595758</v>
      </c>
      <c r="AY817" s="19">
        <v>1.4913537005944648</v>
      </c>
      <c r="AZ817" s="19">
        <v>1.2518623772719719</v>
      </c>
      <c r="BA817" s="19">
        <v>1.7465562937514547</v>
      </c>
      <c r="BB817" s="19">
        <v>1.3003796695364045</v>
      </c>
      <c r="BC817" s="19">
        <v>1.1943715883220354</v>
      </c>
      <c r="BD817" s="19">
        <v>1.4149609411304958</v>
      </c>
      <c r="BE817" s="14" t="s">
        <v>4857</v>
      </c>
    </row>
    <row r="818" spans="1:105" s="30" customFormat="1" ht="17.100000000000001" customHeight="1">
      <c r="A818" s="14">
        <v>807</v>
      </c>
      <c r="B818" s="14" t="s">
        <v>17</v>
      </c>
      <c r="C818" s="32">
        <v>1.0246712530658284</v>
      </c>
      <c r="D818" s="32">
        <v>-1.1803199073176609</v>
      </c>
      <c r="E818" s="32">
        <v>1.1210200301281152</v>
      </c>
      <c r="F818" s="24">
        <v>84200</v>
      </c>
      <c r="G818" s="52" t="s">
        <v>2</v>
      </c>
      <c r="H818" s="32">
        <v>44.472232851090808</v>
      </c>
      <c r="I818" s="32">
        <v>21.438396678012523</v>
      </c>
      <c r="J818" s="12" t="s">
        <v>18</v>
      </c>
      <c r="K818" s="15" t="s">
        <v>19</v>
      </c>
      <c r="L818" s="14" t="s">
        <v>4580</v>
      </c>
      <c r="M818" s="12" t="s">
        <v>20</v>
      </c>
      <c r="N818" s="15" t="s">
        <v>21</v>
      </c>
      <c r="O818" s="12" t="s">
        <v>22</v>
      </c>
      <c r="P818" s="12" t="s">
        <v>23</v>
      </c>
      <c r="Q818" s="14">
        <v>5</v>
      </c>
      <c r="R818" s="21">
        <v>848.00789999999995</v>
      </c>
      <c r="S818" s="14">
        <v>1</v>
      </c>
      <c r="T818" s="52" t="s">
        <v>2</v>
      </c>
      <c r="U818" s="53">
        <v>77</v>
      </c>
      <c r="V818" s="24">
        <v>48000</v>
      </c>
      <c r="W818" s="24">
        <v>40400</v>
      </c>
      <c r="X818" s="24">
        <v>53100</v>
      </c>
      <c r="Y818" s="24">
        <v>68600</v>
      </c>
      <c r="Z818" s="24">
        <v>45200</v>
      </c>
      <c r="AA818" s="24">
        <v>33300</v>
      </c>
      <c r="AB818" s="24">
        <v>93400</v>
      </c>
      <c r="AC818" s="24">
        <v>75000</v>
      </c>
      <c r="AD818" s="24">
        <v>52525</v>
      </c>
      <c r="AE818" s="24">
        <v>61725</v>
      </c>
      <c r="AF818" s="24">
        <v>44200</v>
      </c>
      <c r="AG818" s="24">
        <v>60850</v>
      </c>
      <c r="AH818" s="24">
        <v>39250</v>
      </c>
      <c r="AI818" s="24">
        <v>84200</v>
      </c>
      <c r="AJ818" s="32">
        <v>22.6931113928547</v>
      </c>
      <c r="AK818" s="32">
        <v>44.472232851090808</v>
      </c>
      <c r="AL818" s="32">
        <v>12.158397142574119</v>
      </c>
      <c r="AM818" s="32">
        <v>18.011758600479023</v>
      </c>
      <c r="AN818" s="32">
        <v>21.438396678012523</v>
      </c>
      <c r="AO818" s="32">
        <v>15.452214695763033</v>
      </c>
      <c r="AP818" s="19">
        <v>1.1751546882436934</v>
      </c>
      <c r="AQ818" s="19">
        <v>0.88800904977375561</v>
      </c>
      <c r="AR818" s="19">
        <v>1.3837304847986853</v>
      </c>
      <c r="AS818" s="19">
        <v>0.23285067446973584</v>
      </c>
      <c r="AT818" s="19">
        <v>-0.17135371561244228</v>
      </c>
      <c r="AU818" s="19">
        <v>0.46856297035266775</v>
      </c>
      <c r="AV818" s="19">
        <v>3.5161121783635285E-2</v>
      </c>
      <c r="AW818" s="19">
        <v>-0.239177932595592</v>
      </c>
      <c r="AX818" s="19">
        <v>0.16481205611687483</v>
      </c>
      <c r="AY818" s="19">
        <v>1.1751546882436934</v>
      </c>
      <c r="AZ818" s="19">
        <v>-1.1261146496815286</v>
      </c>
      <c r="BA818" s="19">
        <v>1.3837304847986853</v>
      </c>
      <c r="BB818" s="19">
        <v>1.0246712530658284</v>
      </c>
      <c r="BC818" s="19">
        <v>-1.1803199073176609</v>
      </c>
      <c r="BD818" s="19">
        <v>1.1210200301281152</v>
      </c>
      <c r="BE818" s="14" t="s">
        <v>4857</v>
      </c>
    </row>
    <row r="819" spans="1:105" s="30" customFormat="1" ht="17.100000000000001" customHeight="1">
      <c r="A819" s="14">
        <v>808</v>
      </c>
      <c r="B819" s="14" t="s">
        <v>24</v>
      </c>
      <c r="C819" s="32">
        <v>1.014854985590433</v>
      </c>
      <c r="D819" s="32">
        <v>-1.8238162831353917</v>
      </c>
      <c r="E819" s="32">
        <v>2.1558355913709142</v>
      </c>
      <c r="F819" s="42">
        <v>46703552</v>
      </c>
      <c r="G819" s="52" t="s">
        <v>4894</v>
      </c>
      <c r="H819" s="32">
        <v>65.479582502461284</v>
      </c>
      <c r="I819" s="32">
        <v>49.614018471190398</v>
      </c>
      <c r="J819" s="12" t="s">
        <v>25</v>
      </c>
      <c r="K819" s="12" t="s">
        <v>26</v>
      </c>
      <c r="L819" s="14" t="s">
        <v>27</v>
      </c>
      <c r="M819" s="12" t="s">
        <v>28</v>
      </c>
      <c r="N819" s="15" t="s">
        <v>29</v>
      </c>
      <c r="O819" s="12" t="s">
        <v>30</v>
      </c>
      <c r="P819" s="12" t="s">
        <v>31</v>
      </c>
      <c r="Q819" s="14">
        <v>4</v>
      </c>
      <c r="R819" s="21">
        <v>880.43499999999995</v>
      </c>
      <c r="S819" s="14">
        <v>1</v>
      </c>
      <c r="T819" s="52" t="s">
        <v>4894</v>
      </c>
      <c r="U819" s="53">
        <v>93.8</v>
      </c>
      <c r="V819" s="42">
        <v>60241680</v>
      </c>
      <c r="W819" s="42">
        <v>28950807</v>
      </c>
      <c r="X819" s="42">
        <v>20788049</v>
      </c>
      <c r="Y819" s="42">
        <v>14313488</v>
      </c>
      <c r="Z819" s="42">
        <v>24544606</v>
      </c>
      <c r="AA819" s="42">
        <v>26713707</v>
      </c>
      <c r="AB819" s="42">
        <v>47602504</v>
      </c>
      <c r="AC819" s="42">
        <v>45804600</v>
      </c>
      <c r="AD819" s="42">
        <v>31073506</v>
      </c>
      <c r="AE819" s="42">
        <v>36166354.25</v>
      </c>
      <c r="AF819" s="42">
        <v>44596243.5</v>
      </c>
      <c r="AG819" s="42">
        <v>17550768.5</v>
      </c>
      <c r="AH819" s="42">
        <v>25629156.5</v>
      </c>
      <c r="AI819" s="42">
        <v>46703552</v>
      </c>
      <c r="AJ819" s="32">
        <v>65.479582502461284</v>
      </c>
      <c r="AK819" s="32">
        <v>33.792596865263448</v>
      </c>
      <c r="AL819" s="32">
        <v>49.614018471190398</v>
      </c>
      <c r="AM819" s="32">
        <v>26.085501545450583</v>
      </c>
      <c r="AN819" s="32">
        <v>5.9845357227364131</v>
      </c>
      <c r="AO819" s="32">
        <v>2.7220844151691472</v>
      </c>
      <c r="AP819" s="19">
        <v>1.1638968016676328</v>
      </c>
      <c r="AQ819" s="19">
        <v>0.57469316894370259</v>
      </c>
      <c r="AR819" s="19">
        <v>2.6610545287518321</v>
      </c>
      <c r="AS819" s="19">
        <v>0.21896314559789978</v>
      </c>
      <c r="AT819" s="19">
        <v>-0.79913619412123604</v>
      </c>
      <c r="AU819" s="19">
        <v>1.4119980735145246</v>
      </c>
      <c r="AV819" s="19">
        <v>2.1273592911799227E-2</v>
      </c>
      <c r="AW819" s="19">
        <v>-0.86696041110438571</v>
      </c>
      <c r="AX819" s="19">
        <v>1.1082471592787315</v>
      </c>
      <c r="AY819" s="19">
        <v>1.1638968016676328</v>
      </c>
      <c r="AZ819" s="19">
        <v>-1.7400589637040924</v>
      </c>
      <c r="BA819" s="19">
        <v>2.6610545287518321</v>
      </c>
      <c r="BB819" s="19">
        <v>1.014854985590433</v>
      </c>
      <c r="BC819" s="19">
        <v>-1.8238162831353917</v>
      </c>
      <c r="BD819" s="19">
        <v>2.1558355913709142</v>
      </c>
      <c r="BE819" s="14" t="s">
        <v>4857</v>
      </c>
    </row>
    <row r="820" spans="1:105" ht="17.100000000000001" customHeight="1">
      <c r="A820" s="31">
        <v>809</v>
      </c>
      <c r="B820" s="11" t="s">
        <v>32</v>
      </c>
      <c r="C820" s="57"/>
      <c r="D820" s="57"/>
      <c r="E820" s="57"/>
      <c r="F820" s="27"/>
      <c r="G820" s="54"/>
      <c r="H820" s="57"/>
      <c r="I820" s="57"/>
      <c r="J820" s="13"/>
      <c r="K820" s="13"/>
      <c r="L820" s="13"/>
      <c r="M820" s="13"/>
      <c r="N820" s="13"/>
      <c r="O820" s="13"/>
      <c r="P820" s="13"/>
      <c r="Q820" s="13"/>
      <c r="R820" s="22"/>
      <c r="S820" s="18"/>
      <c r="T820" s="54"/>
      <c r="U820" s="5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57"/>
      <c r="AK820" s="57"/>
      <c r="AL820" s="57"/>
      <c r="AM820" s="57"/>
      <c r="AN820" s="57"/>
      <c r="AO820" s="5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13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s="30" customFormat="1" ht="17.100000000000001" customHeight="1">
      <c r="A821" s="14">
        <v>810</v>
      </c>
      <c r="B821" s="14" t="s">
        <v>40</v>
      </c>
      <c r="C821" s="32">
        <v>1.3352108519625989</v>
      </c>
      <c r="D821" s="32">
        <v>1.5653347895612733</v>
      </c>
      <c r="E821" s="32">
        <v>1.1647761919530344</v>
      </c>
      <c r="F821" s="42">
        <v>350474.5</v>
      </c>
      <c r="G821" s="52" t="s">
        <v>4894</v>
      </c>
      <c r="H821" s="32">
        <v>36.033465146804119</v>
      </c>
      <c r="I821" s="32">
        <v>61.618802266345959</v>
      </c>
      <c r="J821" s="12" t="s">
        <v>34</v>
      </c>
      <c r="K821" s="12" t="s">
        <v>35</v>
      </c>
      <c r="L821" s="14" t="s">
        <v>36</v>
      </c>
      <c r="M821" s="12" t="s">
        <v>35</v>
      </c>
      <c r="N821" s="15" t="s">
        <v>37</v>
      </c>
      <c r="O821" s="12" t="s">
        <v>38</v>
      </c>
      <c r="P821" s="12" t="s">
        <v>39</v>
      </c>
      <c r="Q821" s="14">
        <v>3</v>
      </c>
      <c r="R821" s="21">
        <v>394.54730000000001</v>
      </c>
      <c r="S821" s="14">
        <v>5</v>
      </c>
      <c r="T821" s="52" t="s">
        <v>4894</v>
      </c>
      <c r="U821" s="53">
        <v>21.0167875</v>
      </c>
      <c r="V821" s="42">
        <v>242853</v>
      </c>
      <c r="W821" s="42">
        <v>174159</v>
      </c>
      <c r="X821" s="42">
        <v>250983</v>
      </c>
      <c r="Y821" s="42">
        <v>236552</v>
      </c>
      <c r="Z821" s="42">
        <v>341684</v>
      </c>
      <c r="AA821" s="42">
        <v>342500</v>
      </c>
      <c r="AB821" s="42">
        <v>197769</v>
      </c>
      <c r="AC821" s="42">
        <v>503180</v>
      </c>
      <c r="AD821" s="42">
        <v>226136.75</v>
      </c>
      <c r="AE821" s="42">
        <v>346283.25</v>
      </c>
      <c r="AF821" s="42">
        <v>208506</v>
      </c>
      <c r="AG821" s="42">
        <v>243767.5</v>
      </c>
      <c r="AH821" s="42">
        <v>342092</v>
      </c>
      <c r="AI821" s="42">
        <v>350474.5</v>
      </c>
      <c r="AJ821" s="32">
        <v>15.5444585583639</v>
      </c>
      <c r="AK821" s="32">
        <v>36.033465146804119</v>
      </c>
      <c r="AL821" s="32">
        <v>23.296208850982079</v>
      </c>
      <c r="AM821" s="32">
        <v>4.1860617019508624</v>
      </c>
      <c r="AN821" s="32">
        <v>0.1686678242835912</v>
      </c>
      <c r="AO821" s="32">
        <v>61.618802266345959</v>
      </c>
      <c r="AP821" s="19">
        <v>1.5313001977785565</v>
      </c>
      <c r="AQ821" s="19">
        <v>1.6406818029217385</v>
      </c>
      <c r="AR821" s="19">
        <v>1.4377408801419385</v>
      </c>
      <c r="AS821" s="19">
        <v>0.61475713809017463</v>
      </c>
      <c r="AT821" s="19">
        <v>0.71429546684700096</v>
      </c>
      <c r="AU821" s="19">
        <v>0.52380368647301834</v>
      </c>
      <c r="AV821" s="19">
        <v>0.41706758540407407</v>
      </c>
      <c r="AW821" s="19">
        <v>0.64647124986385129</v>
      </c>
      <c r="AX821" s="19">
        <v>0.22005277223722541</v>
      </c>
      <c r="AY821" s="19">
        <v>1.5313001977785565</v>
      </c>
      <c r="AZ821" s="19">
        <v>1.6406818029217385</v>
      </c>
      <c r="BA821" s="19">
        <v>1.4377408801419385</v>
      </c>
      <c r="BB821" s="19">
        <v>1.3352108519625989</v>
      </c>
      <c r="BC821" s="19">
        <v>1.5653347895612733</v>
      </c>
      <c r="BD821" s="19">
        <v>1.1647761919530344</v>
      </c>
      <c r="BE821" s="14" t="s">
        <v>4857</v>
      </c>
    </row>
    <row r="822" spans="1:105" s="30" customFormat="1" ht="17.100000000000001" customHeight="1">
      <c r="A822" s="14">
        <v>811</v>
      </c>
      <c r="B822" s="14" t="s">
        <v>41</v>
      </c>
      <c r="C822" s="32">
        <v>1.1958769112475012</v>
      </c>
      <c r="D822" s="32">
        <v>1.2093550615659912</v>
      </c>
      <c r="E822" s="32">
        <v>1.1914705830344066</v>
      </c>
      <c r="F822" s="24">
        <v>932802</v>
      </c>
      <c r="G822" s="52" t="s">
        <v>2</v>
      </c>
      <c r="H822" s="32">
        <v>11.487416048494275</v>
      </c>
      <c r="I822" s="32">
        <v>7.7821089037392754</v>
      </c>
      <c r="J822" s="12" t="s">
        <v>34</v>
      </c>
      <c r="K822" s="12" t="s">
        <v>35</v>
      </c>
      <c r="L822" s="14" t="s">
        <v>1305</v>
      </c>
      <c r="M822" s="12" t="s">
        <v>35</v>
      </c>
      <c r="N822" s="15" t="s">
        <v>37</v>
      </c>
      <c r="O822" s="12" t="s">
        <v>38</v>
      </c>
      <c r="P822" s="12" t="s">
        <v>42</v>
      </c>
      <c r="Q822" s="14">
        <v>2</v>
      </c>
      <c r="R822" s="21">
        <v>476.27910000000003</v>
      </c>
      <c r="S822" s="14">
        <v>12</v>
      </c>
      <c r="T822" s="52" t="s">
        <v>2</v>
      </c>
      <c r="U822" s="53">
        <v>45.640024999999994</v>
      </c>
      <c r="V822" s="24">
        <v>593776</v>
      </c>
      <c r="W822" s="24">
        <v>616784</v>
      </c>
      <c r="X822" s="24">
        <v>669163</v>
      </c>
      <c r="Y822" s="24">
        <v>599359</v>
      </c>
      <c r="Z822" s="24">
        <v>755305</v>
      </c>
      <c r="AA822" s="24">
        <v>779161</v>
      </c>
      <c r="AB822" s="24">
        <v>954086</v>
      </c>
      <c r="AC822" s="24">
        <v>911518</v>
      </c>
      <c r="AD822" s="24">
        <v>619770.5</v>
      </c>
      <c r="AE822" s="24">
        <v>850017.5</v>
      </c>
      <c r="AF822" s="24">
        <v>605280</v>
      </c>
      <c r="AG822" s="24">
        <v>634261</v>
      </c>
      <c r="AH822" s="24">
        <v>767233</v>
      </c>
      <c r="AI822" s="24">
        <v>932802</v>
      </c>
      <c r="AJ822" s="32">
        <v>5.5432462835702117</v>
      </c>
      <c r="AK822" s="32">
        <v>11.487416048494275</v>
      </c>
      <c r="AL822" s="32">
        <v>2.6878655864294352</v>
      </c>
      <c r="AM822" s="32">
        <v>7.7821089037392754</v>
      </c>
      <c r="AN822" s="32">
        <v>2.1986462224625738</v>
      </c>
      <c r="AO822" s="32">
        <v>3.2268500133521316</v>
      </c>
      <c r="AP822" s="19">
        <v>1.3715036453009621</v>
      </c>
      <c r="AQ822" s="19">
        <v>1.267567076394396</v>
      </c>
      <c r="AR822" s="19">
        <v>1.4706910877383286</v>
      </c>
      <c r="AS822" s="19">
        <v>0.45575845671089432</v>
      </c>
      <c r="AT822" s="19">
        <v>0.34206209296516815</v>
      </c>
      <c r="AU822" s="19">
        <v>0.55649424659965818</v>
      </c>
      <c r="AV822" s="19">
        <v>0.25806890402479377</v>
      </c>
      <c r="AW822" s="19">
        <v>0.27423787598201843</v>
      </c>
      <c r="AX822" s="19">
        <v>0.25274333236386526</v>
      </c>
      <c r="AY822" s="19">
        <v>1.3715036453009621</v>
      </c>
      <c r="AZ822" s="19">
        <v>1.267567076394396</v>
      </c>
      <c r="BA822" s="19">
        <v>1.4706910877383286</v>
      </c>
      <c r="BB822" s="19">
        <v>1.1958769112475012</v>
      </c>
      <c r="BC822" s="19">
        <v>1.2093550615659912</v>
      </c>
      <c r="BD822" s="19">
        <v>1.1914705830344066</v>
      </c>
      <c r="BE822" s="14" t="s">
        <v>4857</v>
      </c>
    </row>
    <row r="823" spans="1:105" s="30" customFormat="1" ht="17.100000000000001" customHeight="1">
      <c r="A823" s="14">
        <v>812</v>
      </c>
      <c r="B823" s="14" t="s">
        <v>46</v>
      </c>
      <c r="C823" s="32">
        <v>1.6275659701418073</v>
      </c>
      <c r="D823" s="32">
        <v>1.6832453788753337</v>
      </c>
      <c r="E823" s="32">
        <v>1.5826850812219229</v>
      </c>
      <c r="F823" s="24">
        <v>46300</v>
      </c>
      <c r="G823" s="52" t="s">
        <v>2</v>
      </c>
      <c r="H823" s="32">
        <v>34.211326280694095</v>
      </c>
      <c r="I823" s="32">
        <v>51.914168745341463</v>
      </c>
      <c r="J823" s="12" t="s">
        <v>47</v>
      </c>
      <c r="K823" s="12" t="s">
        <v>48</v>
      </c>
      <c r="L823" s="14" t="s">
        <v>3320</v>
      </c>
      <c r="M823" s="12" t="s">
        <v>49</v>
      </c>
      <c r="N823" s="15" t="s">
        <v>50</v>
      </c>
      <c r="O823" s="12" t="s">
        <v>51</v>
      </c>
      <c r="P823" s="12" t="s">
        <v>52</v>
      </c>
      <c r="Q823" s="14">
        <v>2</v>
      </c>
      <c r="R823" s="21">
        <v>549.21230000000003</v>
      </c>
      <c r="S823" s="14">
        <v>1</v>
      </c>
      <c r="T823" s="52" t="s">
        <v>2</v>
      </c>
      <c r="U823" s="53">
        <v>23</v>
      </c>
      <c r="V823" s="24">
        <v>18600</v>
      </c>
      <c r="W823" s="24">
        <v>21700</v>
      </c>
      <c r="X823" s="24">
        <v>15000</v>
      </c>
      <c r="Y823" s="24">
        <v>32400</v>
      </c>
      <c r="Z823" s="24">
        <v>27500</v>
      </c>
      <c r="AA823" s="24">
        <v>43600</v>
      </c>
      <c r="AB823" s="24">
        <v>40500</v>
      </c>
      <c r="AC823" s="24">
        <v>52100</v>
      </c>
      <c r="AD823" s="24">
        <v>21925</v>
      </c>
      <c r="AE823" s="24">
        <v>40925</v>
      </c>
      <c r="AF823" s="24">
        <v>20150</v>
      </c>
      <c r="AG823" s="24">
        <v>23700</v>
      </c>
      <c r="AH823" s="24">
        <v>35550</v>
      </c>
      <c r="AI823" s="24">
        <v>46300</v>
      </c>
      <c r="AJ823" s="32">
        <v>34.211326280694095</v>
      </c>
      <c r="AK823" s="32">
        <v>24.936713266160236</v>
      </c>
      <c r="AL823" s="32">
        <v>10.878565864408424</v>
      </c>
      <c r="AM823" s="32">
        <v>51.914168745341463</v>
      </c>
      <c r="AN823" s="32">
        <v>32.023682636015231</v>
      </c>
      <c r="AO823" s="32">
        <v>17.715850241390825</v>
      </c>
      <c r="AP823" s="19">
        <v>1.8665906499429874</v>
      </c>
      <c r="AQ823" s="19">
        <v>1.7642679900744418</v>
      </c>
      <c r="AR823" s="19">
        <v>1.9535864978902953</v>
      </c>
      <c r="AS823" s="19">
        <v>0.90040557402942045</v>
      </c>
      <c r="AT823" s="19">
        <v>0.81906972109144804</v>
      </c>
      <c r="AU823" s="19">
        <v>0.96612513436197722</v>
      </c>
      <c r="AV823" s="19">
        <v>0.7027160213433199</v>
      </c>
      <c r="AW823" s="19">
        <v>0.75124550410829838</v>
      </c>
      <c r="AX823" s="19">
        <v>0.6623742201261843</v>
      </c>
      <c r="AY823" s="19">
        <v>1.8665906499429874</v>
      </c>
      <c r="AZ823" s="19">
        <v>1.7642679900744418</v>
      </c>
      <c r="BA823" s="19">
        <v>1.9535864978902953</v>
      </c>
      <c r="BB823" s="19">
        <v>1.6275659701418073</v>
      </c>
      <c r="BC823" s="19">
        <v>1.6832453788753337</v>
      </c>
      <c r="BD823" s="19">
        <v>1.5826850812219229</v>
      </c>
      <c r="BE823" s="14" t="s">
        <v>4857</v>
      </c>
    </row>
    <row r="824" spans="1:105" s="30" customFormat="1" ht="17.100000000000001" customHeight="1">
      <c r="A824" s="14">
        <v>813</v>
      </c>
      <c r="B824" s="14" t="s">
        <v>53</v>
      </c>
      <c r="C824" s="32">
        <v>1.3470513964671795</v>
      </c>
      <c r="D824" s="32">
        <v>1.1652738011860586</v>
      </c>
      <c r="E824" s="32">
        <v>1.5213766644921143</v>
      </c>
      <c r="F824" s="42">
        <v>367131.5</v>
      </c>
      <c r="G824" s="52" t="s">
        <v>2</v>
      </c>
      <c r="H824" s="32">
        <v>26.213150389230588</v>
      </c>
      <c r="I824" s="32">
        <v>26.926209212093454</v>
      </c>
      <c r="J824" s="12" t="s">
        <v>54</v>
      </c>
      <c r="K824" s="12" t="s">
        <v>55</v>
      </c>
      <c r="L824" s="14" t="s">
        <v>4441</v>
      </c>
      <c r="M824" s="12" t="s">
        <v>56</v>
      </c>
      <c r="N824" s="15" t="s">
        <v>57</v>
      </c>
      <c r="O824" s="12" t="s">
        <v>58</v>
      </c>
      <c r="P824" s="12" t="s">
        <v>59</v>
      </c>
      <c r="Q824" s="14">
        <v>3</v>
      </c>
      <c r="R824" s="21">
        <v>604.94749999999999</v>
      </c>
      <c r="S824" s="14">
        <v>1</v>
      </c>
      <c r="T824" s="52" t="s">
        <v>2</v>
      </c>
      <c r="U824" s="53">
        <v>63.760237500000002</v>
      </c>
      <c r="V824" s="42">
        <v>207000</v>
      </c>
      <c r="W824" s="42">
        <v>195500</v>
      </c>
      <c r="X824" s="42">
        <v>180000</v>
      </c>
      <c r="Y824" s="42">
        <v>211000</v>
      </c>
      <c r="Z824" s="42">
        <v>292599</v>
      </c>
      <c r="AA824" s="42">
        <v>199000</v>
      </c>
      <c r="AB824" s="42">
        <v>378510</v>
      </c>
      <c r="AC824" s="42">
        <v>355753</v>
      </c>
      <c r="AD824" s="42">
        <v>198375</v>
      </c>
      <c r="AE824" s="42">
        <v>306465.5</v>
      </c>
      <c r="AF824" s="42">
        <v>201250</v>
      </c>
      <c r="AG824" s="42">
        <v>195500</v>
      </c>
      <c r="AH824" s="42">
        <v>245799.5</v>
      </c>
      <c r="AI824" s="42">
        <v>367131.5</v>
      </c>
      <c r="AJ824" s="32">
        <v>7.0072788563798687</v>
      </c>
      <c r="AK824" s="32">
        <v>26.213150389230588</v>
      </c>
      <c r="AL824" s="32">
        <v>4.0406101782088433</v>
      </c>
      <c r="AM824" s="32">
        <v>11.212434893495129</v>
      </c>
      <c r="AN824" s="32">
        <v>26.926209212093454</v>
      </c>
      <c r="AO824" s="32">
        <v>4.3830695593982707</v>
      </c>
      <c r="AP824" s="19">
        <v>1.5448796471329553</v>
      </c>
      <c r="AQ824" s="19">
        <v>1.2213639751552796</v>
      </c>
      <c r="AR824" s="19">
        <v>1.8779104859335038</v>
      </c>
      <c r="AS824" s="19">
        <v>0.62749445026710582</v>
      </c>
      <c r="AT824" s="19">
        <v>0.28849319778741239</v>
      </c>
      <c r="AU824" s="19">
        <v>0.90912829591093214</v>
      </c>
      <c r="AV824" s="19">
        <v>0.42980489758100526</v>
      </c>
      <c r="AW824" s="19">
        <v>0.22066898080426267</v>
      </c>
      <c r="AX824" s="19">
        <v>0.60537738167513921</v>
      </c>
      <c r="AY824" s="19">
        <v>1.5448796471329553</v>
      </c>
      <c r="AZ824" s="19">
        <v>1.2213639751552796</v>
      </c>
      <c r="BA824" s="19">
        <v>1.8779104859335038</v>
      </c>
      <c r="BB824" s="19">
        <v>1.3470513964671795</v>
      </c>
      <c r="BC824" s="19">
        <v>1.1652738011860586</v>
      </c>
      <c r="BD824" s="19">
        <v>1.5213766644921143</v>
      </c>
      <c r="BE824" s="14" t="s">
        <v>4857</v>
      </c>
    </row>
    <row r="825" spans="1:105" s="30" customFormat="1" ht="17.100000000000001" customHeight="1">
      <c r="A825" s="14">
        <v>814</v>
      </c>
      <c r="B825" s="14" t="s">
        <v>60</v>
      </c>
      <c r="C825" s="32">
        <v>1.4686158151479898</v>
      </c>
      <c r="D825" s="32">
        <v>1.1709209258201059</v>
      </c>
      <c r="E825" s="32">
        <v>1.7507977442303062</v>
      </c>
      <c r="F825" s="24">
        <v>78497.5</v>
      </c>
      <c r="G825" s="52" t="s">
        <v>2</v>
      </c>
      <c r="H825" s="32">
        <v>33.62316458333077</v>
      </c>
      <c r="I825" s="32">
        <v>21.688601510402883</v>
      </c>
      <c r="J825" s="12" t="s">
        <v>61</v>
      </c>
      <c r="K825" s="12" t="s">
        <v>62</v>
      </c>
      <c r="L825" s="14" t="s">
        <v>3645</v>
      </c>
      <c r="M825" s="12" t="s">
        <v>63</v>
      </c>
      <c r="N825" s="15" t="s">
        <v>64</v>
      </c>
      <c r="O825" s="12" t="s">
        <v>65</v>
      </c>
      <c r="P825" s="12" t="s">
        <v>66</v>
      </c>
      <c r="Q825" s="14">
        <v>2</v>
      </c>
      <c r="R825" s="21">
        <v>588.78750000000002</v>
      </c>
      <c r="S825" s="14">
        <v>3</v>
      </c>
      <c r="T825" s="52" t="s">
        <v>2</v>
      </c>
      <c r="U825" s="53">
        <v>37.158437499999991</v>
      </c>
      <c r="V825" s="24">
        <v>42180</v>
      </c>
      <c r="W825" s="24">
        <v>33611</v>
      </c>
      <c r="X825" s="24">
        <v>38224</v>
      </c>
      <c r="Y825" s="24">
        <v>34422</v>
      </c>
      <c r="Z825" s="24">
        <v>48938</v>
      </c>
      <c r="AA825" s="24">
        <v>44079</v>
      </c>
      <c r="AB825" s="24">
        <v>90536</v>
      </c>
      <c r="AC825" s="24">
        <v>66459</v>
      </c>
      <c r="AD825" s="24">
        <v>37109.25</v>
      </c>
      <c r="AE825" s="24">
        <v>62503</v>
      </c>
      <c r="AF825" s="24">
        <v>37895.5</v>
      </c>
      <c r="AG825" s="24">
        <v>36323</v>
      </c>
      <c r="AH825" s="24">
        <v>46508.5</v>
      </c>
      <c r="AI825" s="24">
        <v>78497.5</v>
      </c>
      <c r="AJ825" s="32">
        <v>10.599437332361139</v>
      </c>
      <c r="AK825" s="32">
        <v>33.62316458333077</v>
      </c>
      <c r="AL825" s="32">
        <v>15.989228293563947</v>
      </c>
      <c r="AM825" s="32">
        <v>7.4014260443004538</v>
      </c>
      <c r="AN825" s="32">
        <v>7.3875352887868546</v>
      </c>
      <c r="AO825" s="32">
        <v>21.688601510402883</v>
      </c>
      <c r="AP825" s="19">
        <v>1.6842970418426673</v>
      </c>
      <c r="AQ825" s="19">
        <v>1.2272829227744719</v>
      </c>
      <c r="AR825" s="19">
        <v>2.1610962750874103</v>
      </c>
      <c r="AS825" s="19">
        <v>0.75214659386897853</v>
      </c>
      <c r="AT825" s="19">
        <v>0.29546786858734209</v>
      </c>
      <c r="AU825" s="19">
        <v>1.1117633445237873</v>
      </c>
      <c r="AV825" s="19">
        <v>0.55445704118287797</v>
      </c>
      <c r="AW825" s="19">
        <v>0.22764365160419237</v>
      </c>
      <c r="AX825" s="19">
        <v>0.80801243028799441</v>
      </c>
      <c r="AY825" s="19">
        <v>1.6842970418426673</v>
      </c>
      <c r="AZ825" s="19">
        <v>1.2272829227744719</v>
      </c>
      <c r="BA825" s="19">
        <v>2.1610962750874103</v>
      </c>
      <c r="BB825" s="19">
        <v>1.4686158151479898</v>
      </c>
      <c r="BC825" s="19">
        <v>1.1709209258201059</v>
      </c>
      <c r="BD825" s="19">
        <v>1.7507977442303062</v>
      </c>
      <c r="BE825" s="14" t="s">
        <v>4857</v>
      </c>
    </row>
    <row r="826" spans="1:105" s="30" customFormat="1" ht="17.100000000000001" customHeight="1">
      <c r="A826" s="14">
        <v>815</v>
      </c>
      <c r="B826" s="14" t="s">
        <v>67</v>
      </c>
      <c r="C826" s="32">
        <v>1.1812063042937144</v>
      </c>
      <c r="D826" s="32">
        <v>1.4502600836794657</v>
      </c>
      <c r="E826" s="32">
        <v>-1.0155239617434733</v>
      </c>
      <c r="F826" s="24">
        <v>33082</v>
      </c>
      <c r="G826" s="52" t="s">
        <v>2</v>
      </c>
      <c r="H826" s="32">
        <v>18.270435162572269</v>
      </c>
      <c r="I826" s="32">
        <v>30.219078871940656</v>
      </c>
      <c r="J826" s="12" t="s">
        <v>61</v>
      </c>
      <c r="K826" s="12" t="s">
        <v>62</v>
      </c>
      <c r="L826" s="14" t="s">
        <v>2900</v>
      </c>
      <c r="M826" s="12" t="s">
        <v>63</v>
      </c>
      <c r="N826" s="15" t="s">
        <v>64</v>
      </c>
      <c r="O826" s="12" t="s">
        <v>65</v>
      </c>
      <c r="P826" s="12" t="s">
        <v>68</v>
      </c>
      <c r="Q826" s="14">
        <v>3</v>
      </c>
      <c r="R826" s="21">
        <v>871.7645</v>
      </c>
      <c r="S826" s="14">
        <v>2</v>
      </c>
      <c r="T826" s="52" t="s">
        <v>2</v>
      </c>
      <c r="U826" s="53">
        <v>48.248025000000005</v>
      </c>
      <c r="V826" s="24">
        <v>24353</v>
      </c>
      <c r="W826" s="24">
        <v>19174</v>
      </c>
      <c r="X826" s="24">
        <v>23287</v>
      </c>
      <c r="Y826" s="24">
        <v>28430</v>
      </c>
      <c r="Z826" s="24">
        <v>26013</v>
      </c>
      <c r="AA826" s="24">
        <v>40151</v>
      </c>
      <c r="AB826" s="24">
        <v>32304</v>
      </c>
      <c r="AC826" s="24">
        <v>30557</v>
      </c>
      <c r="AD826" s="24">
        <v>23811</v>
      </c>
      <c r="AE826" s="24">
        <v>32256.25</v>
      </c>
      <c r="AF826" s="24">
        <v>21763.5</v>
      </c>
      <c r="AG826" s="24">
        <v>25858.5</v>
      </c>
      <c r="AH826" s="24">
        <v>33082</v>
      </c>
      <c r="AI826" s="24">
        <v>31430.5</v>
      </c>
      <c r="AJ826" s="32">
        <v>15.97470947756252</v>
      </c>
      <c r="AK826" s="32">
        <v>18.270435162572269</v>
      </c>
      <c r="AL826" s="32">
        <v>16.826824820296043</v>
      </c>
      <c r="AM826" s="32">
        <v>14.063654796845965</v>
      </c>
      <c r="AN826" s="32">
        <v>30.219078871940656</v>
      </c>
      <c r="AO826" s="32">
        <v>3.9303082888687695</v>
      </c>
      <c r="AP826" s="19">
        <v>1.3546785099323841</v>
      </c>
      <c r="AQ826" s="19">
        <v>1.5200680037677763</v>
      </c>
      <c r="AR826" s="19">
        <v>1.2154804029622754</v>
      </c>
      <c r="AS826" s="19">
        <v>0.43795051419357089</v>
      </c>
      <c r="AT826" s="19">
        <v>0.60413586742145275</v>
      </c>
      <c r="AU826" s="19">
        <v>0.28152663316338594</v>
      </c>
      <c r="AV826" s="19">
        <v>0.24026096150747034</v>
      </c>
      <c r="AW826" s="19">
        <v>0.53631165043830309</v>
      </c>
      <c r="AX826" s="19">
        <v>-2.2224281072406982E-2</v>
      </c>
      <c r="AY826" s="19">
        <v>1.3546785099323841</v>
      </c>
      <c r="AZ826" s="19">
        <v>1.5200680037677763</v>
      </c>
      <c r="BA826" s="19">
        <v>1.2154804029622754</v>
      </c>
      <c r="BB826" s="19">
        <v>1.1812063042937144</v>
      </c>
      <c r="BC826" s="19">
        <v>1.4502600836794657</v>
      </c>
      <c r="BD826" s="19">
        <v>-1.0155239617434733</v>
      </c>
      <c r="BE826" s="14" t="s">
        <v>4857</v>
      </c>
    </row>
    <row r="827" spans="1:105" s="30" customFormat="1" ht="17.100000000000001" customHeight="1">
      <c r="A827" s="14">
        <v>816</v>
      </c>
      <c r="B827" s="14" t="s">
        <v>69</v>
      </c>
      <c r="C827" s="32">
        <v>1.2209703080104557</v>
      </c>
      <c r="D827" s="32">
        <v>1.1595928175461745</v>
      </c>
      <c r="E827" s="32">
        <v>1.2427183093992917</v>
      </c>
      <c r="F827" s="39">
        <v>120484</v>
      </c>
      <c r="G827" s="52" t="s">
        <v>2</v>
      </c>
      <c r="H827" s="32">
        <v>32.038514367060458</v>
      </c>
      <c r="I827" s="32">
        <v>47.311450822326741</v>
      </c>
      <c r="J827" s="12" t="s">
        <v>61</v>
      </c>
      <c r="K827" s="12" t="s">
        <v>62</v>
      </c>
      <c r="L827" s="14" t="s">
        <v>4422</v>
      </c>
      <c r="M827" s="12" t="s">
        <v>63</v>
      </c>
      <c r="N827" s="15" t="s">
        <v>64</v>
      </c>
      <c r="O827" s="12" t="s">
        <v>65</v>
      </c>
      <c r="P827" s="12" t="s">
        <v>70</v>
      </c>
      <c r="Q827" s="14">
        <v>4</v>
      </c>
      <c r="R827" s="21">
        <v>518.27610000000004</v>
      </c>
      <c r="S827" s="14">
        <v>9</v>
      </c>
      <c r="T827" s="52" t="s">
        <v>2</v>
      </c>
      <c r="U827" s="53">
        <v>27.458299999999998</v>
      </c>
      <c r="V827" s="39">
        <v>75788</v>
      </c>
      <c r="W827" s="39">
        <v>37791</v>
      </c>
      <c r="X827" s="39">
        <v>68181</v>
      </c>
      <c r="Y827" s="39">
        <v>88909</v>
      </c>
      <c r="Z827" s="39">
        <v>67285</v>
      </c>
      <c r="AA827" s="39">
        <v>70760</v>
      </c>
      <c r="AB827" s="39">
        <v>121885</v>
      </c>
      <c r="AC827" s="39">
        <v>119083</v>
      </c>
      <c r="AD827" s="39">
        <v>67667.25</v>
      </c>
      <c r="AE827" s="39">
        <v>94753.25</v>
      </c>
      <c r="AF827" s="39">
        <v>56789.5</v>
      </c>
      <c r="AG827" s="39">
        <v>78545</v>
      </c>
      <c r="AH827" s="39">
        <v>69022.5</v>
      </c>
      <c r="AI827" s="39">
        <v>120484</v>
      </c>
      <c r="AJ827" s="32">
        <v>32.038514367060458</v>
      </c>
      <c r="AK827" s="32">
        <v>31.415438035950359</v>
      </c>
      <c r="AL827" s="32">
        <v>47.311450822326741</v>
      </c>
      <c r="AM827" s="32">
        <v>18.660524998962067</v>
      </c>
      <c r="AN827" s="32">
        <v>3.5599928496117248</v>
      </c>
      <c r="AO827" s="32">
        <v>1.6444616719935479</v>
      </c>
      <c r="AP827" s="19">
        <v>1.4002822635765455</v>
      </c>
      <c r="AQ827" s="19">
        <v>1.2154095387351536</v>
      </c>
      <c r="AR827" s="19">
        <v>1.5339486918327074</v>
      </c>
      <c r="AS827" s="19">
        <v>0.4857176694676642</v>
      </c>
      <c r="AT827" s="19">
        <v>0.28144251954942057</v>
      </c>
      <c r="AU827" s="19">
        <v>0.61725022777144833</v>
      </c>
      <c r="AV827" s="19">
        <v>0.28802811678156365</v>
      </c>
      <c r="AW827" s="19">
        <v>0.21361830256627085</v>
      </c>
      <c r="AX827" s="19">
        <v>0.31349931353565541</v>
      </c>
      <c r="AY827" s="19">
        <v>1.4002822635765455</v>
      </c>
      <c r="AZ827" s="19">
        <v>1.2154095387351536</v>
      </c>
      <c r="BA827" s="19">
        <v>1.5339486918327074</v>
      </c>
      <c r="BB827" s="19">
        <v>1.2209703080104557</v>
      </c>
      <c r="BC827" s="19">
        <v>1.1595928175461745</v>
      </c>
      <c r="BD827" s="19">
        <v>1.2427183093992917</v>
      </c>
      <c r="BE827" s="14" t="s">
        <v>4857</v>
      </c>
    </row>
    <row r="828" spans="1:105" s="30" customFormat="1" ht="17.100000000000001" customHeight="1">
      <c r="A828" s="14">
        <v>817</v>
      </c>
      <c r="B828" s="14" t="s">
        <v>74</v>
      </c>
      <c r="C828" s="32">
        <v>1.2209703080104557</v>
      </c>
      <c r="D828" s="32">
        <v>1.1595928175461745</v>
      </c>
      <c r="E828" s="32">
        <v>1.2427183093992917</v>
      </c>
      <c r="F828" s="39">
        <v>120484</v>
      </c>
      <c r="G828" s="52" t="s">
        <v>2</v>
      </c>
      <c r="H828" s="32">
        <v>32.038514367060458</v>
      </c>
      <c r="I828" s="32">
        <v>47.311450822326741</v>
      </c>
      <c r="J828" s="12" t="s">
        <v>61</v>
      </c>
      <c r="K828" s="12" t="s">
        <v>62</v>
      </c>
      <c r="L828" s="14" t="s">
        <v>4430</v>
      </c>
      <c r="M828" s="12" t="s">
        <v>63</v>
      </c>
      <c r="N828" s="15" t="s">
        <v>64</v>
      </c>
      <c r="O828" s="12" t="s">
        <v>65</v>
      </c>
      <c r="P828" s="12" t="s">
        <v>75</v>
      </c>
      <c r="Q828" s="14">
        <v>4</v>
      </c>
      <c r="R828" s="21">
        <v>518.27610000000004</v>
      </c>
      <c r="S828" s="14">
        <v>4</v>
      </c>
      <c r="T828" s="52" t="s">
        <v>2</v>
      </c>
      <c r="U828" s="53">
        <v>27.458299999999998</v>
      </c>
      <c r="V828" s="39">
        <v>75788</v>
      </c>
      <c r="W828" s="39">
        <v>37791</v>
      </c>
      <c r="X828" s="39">
        <v>68181</v>
      </c>
      <c r="Y828" s="39">
        <v>88909</v>
      </c>
      <c r="Z828" s="39">
        <v>67285</v>
      </c>
      <c r="AA828" s="39">
        <v>70760</v>
      </c>
      <c r="AB828" s="39">
        <v>121885</v>
      </c>
      <c r="AC828" s="39">
        <v>119083</v>
      </c>
      <c r="AD828" s="39">
        <v>67667.25</v>
      </c>
      <c r="AE828" s="39">
        <v>94753.25</v>
      </c>
      <c r="AF828" s="39">
        <v>56789.5</v>
      </c>
      <c r="AG828" s="39">
        <v>78545</v>
      </c>
      <c r="AH828" s="39">
        <v>69022.5</v>
      </c>
      <c r="AI828" s="39">
        <v>120484</v>
      </c>
      <c r="AJ828" s="32">
        <v>32.038514367060458</v>
      </c>
      <c r="AK828" s="32">
        <v>31.415438035950359</v>
      </c>
      <c r="AL828" s="32">
        <v>47.311450822326741</v>
      </c>
      <c r="AM828" s="32">
        <v>18.660524998962067</v>
      </c>
      <c r="AN828" s="32">
        <v>3.5599928496117248</v>
      </c>
      <c r="AO828" s="32">
        <v>1.6444616719935479</v>
      </c>
      <c r="AP828" s="19">
        <v>1.4002822635765455</v>
      </c>
      <c r="AQ828" s="19">
        <v>1.2154095387351536</v>
      </c>
      <c r="AR828" s="19">
        <v>1.5339486918327074</v>
      </c>
      <c r="AS828" s="19">
        <v>0.4857176694676642</v>
      </c>
      <c r="AT828" s="19">
        <v>0.28144251954942057</v>
      </c>
      <c r="AU828" s="19">
        <v>0.61725022777144833</v>
      </c>
      <c r="AV828" s="19">
        <v>0.28802811678156365</v>
      </c>
      <c r="AW828" s="19">
        <v>0.21361830256627085</v>
      </c>
      <c r="AX828" s="19">
        <v>0.31349931353565541</v>
      </c>
      <c r="AY828" s="19">
        <v>1.4002822635765455</v>
      </c>
      <c r="AZ828" s="19">
        <v>1.2154095387351536</v>
      </c>
      <c r="BA828" s="19">
        <v>1.5339486918327074</v>
      </c>
      <c r="BB828" s="19">
        <v>1.2209703080104557</v>
      </c>
      <c r="BC828" s="19">
        <v>1.1595928175461745</v>
      </c>
      <c r="BD828" s="19">
        <v>1.2427183093992917</v>
      </c>
      <c r="BE828" s="14" t="s">
        <v>4857</v>
      </c>
    </row>
    <row r="829" spans="1:105" ht="17.100000000000001" customHeight="1">
      <c r="A829" s="31">
        <v>818</v>
      </c>
      <c r="B829" s="11" t="s">
        <v>78</v>
      </c>
      <c r="C829" s="57"/>
      <c r="D829" s="57"/>
      <c r="E829" s="57"/>
      <c r="F829" s="27"/>
      <c r="G829" s="54"/>
      <c r="H829" s="57"/>
      <c r="I829" s="57"/>
      <c r="J829" s="13"/>
      <c r="K829" s="13"/>
      <c r="L829" s="13"/>
      <c r="M829" s="13"/>
      <c r="N829" s="13"/>
      <c r="O829" s="13"/>
      <c r="P829" s="13"/>
      <c r="Q829" s="13"/>
      <c r="R829" s="22"/>
      <c r="S829" s="18"/>
      <c r="T829" s="54"/>
      <c r="U829" s="5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57"/>
      <c r="AK829" s="57"/>
      <c r="AL829" s="57"/>
      <c r="AM829" s="57"/>
      <c r="AN829" s="57"/>
      <c r="AO829" s="5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13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s="30" customFormat="1" ht="17.100000000000001" customHeight="1">
      <c r="A830" s="14">
        <v>819</v>
      </c>
      <c r="B830" s="14" t="s">
        <v>79</v>
      </c>
      <c r="C830" s="32">
        <v>1.1804992967676486</v>
      </c>
      <c r="D830" s="32">
        <v>1.3002307671829578</v>
      </c>
      <c r="E830" s="32">
        <v>1.0921965193228977</v>
      </c>
      <c r="F830" s="24">
        <v>51765</v>
      </c>
      <c r="G830" s="52" t="s">
        <v>2</v>
      </c>
      <c r="H830" s="32">
        <v>34.792559146007953</v>
      </c>
      <c r="I830" s="32">
        <v>31.155643732880208</v>
      </c>
      <c r="J830" s="12" t="s">
        <v>80</v>
      </c>
      <c r="K830" s="12" t="s">
        <v>81</v>
      </c>
      <c r="L830" s="14" t="s">
        <v>5294</v>
      </c>
      <c r="M830" s="12" t="s">
        <v>82</v>
      </c>
      <c r="N830" s="15" t="s">
        <v>83</v>
      </c>
      <c r="O830" s="12" t="s">
        <v>3</v>
      </c>
      <c r="P830" s="12" t="s">
        <v>4</v>
      </c>
      <c r="Q830" s="14">
        <v>3</v>
      </c>
      <c r="R830" s="21">
        <v>591.95159999999998</v>
      </c>
      <c r="S830" s="14">
        <v>5</v>
      </c>
      <c r="T830" s="52" t="s">
        <v>2</v>
      </c>
      <c r="U830" s="53">
        <v>25.426537499999998</v>
      </c>
      <c r="V830" s="24">
        <v>27971</v>
      </c>
      <c r="W830" s="24">
        <v>21073</v>
      </c>
      <c r="X830" s="24">
        <v>29938</v>
      </c>
      <c r="Y830" s="24">
        <v>46856</v>
      </c>
      <c r="Z830" s="24">
        <v>38662</v>
      </c>
      <c r="AA830" s="24">
        <v>28176</v>
      </c>
      <c r="AB830" s="24">
        <v>55236</v>
      </c>
      <c r="AC830" s="24">
        <v>48294</v>
      </c>
      <c r="AD830" s="24">
        <v>31459.5</v>
      </c>
      <c r="AE830" s="24">
        <v>42592</v>
      </c>
      <c r="AF830" s="24">
        <v>24522</v>
      </c>
      <c r="AG830" s="24">
        <v>38397</v>
      </c>
      <c r="AH830" s="24">
        <v>33419</v>
      </c>
      <c r="AI830" s="24">
        <v>51765</v>
      </c>
      <c r="AJ830" s="32">
        <v>34.792559146007953</v>
      </c>
      <c r="AK830" s="32">
        <v>27.635986251746914</v>
      </c>
      <c r="AL830" s="32">
        <v>19.890802449330415</v>
      </c>
      <c r="AM830" s="32">
        <v>31.155643732880208</v>
      </c>
      <c r="AN830" s="32">
        <v>22.187144162069892</v>
      </c>
      <c r="AO830" s="32">
        <v>9.4827301748227821</v>
      </c>
      <c r="AP830" s="19">
        <v>1.3538676711327262</v>
      </c>
      <c r="AQ830" s="19">
        <v>1.3628170622298343</v>
      </c>
      <c r="AR830" s="19">
        <v>1.3481521993905774</v>
      </c>
      <c r="AS830" s="19">
        <v>0.43708673482857463</v>
      </c>
      <c r="AT830" s="19">
        <v>0.44659191494803913</v>
      </c>
      <c r="AU830" s="19">
        <v>0.43098337850120799</v>
      </c>
      <c r="AV830" s="19">
        <v>0.23939718214247407</v>
      </c>
      <c r="AW830" s="19">
        <v>0.3787676979648894</v>
      </c>
      <c r="AX830" s="19">
        <v>0.12723246426541507</v>
      </c>
      <c r="AY830" s="19">
        <v>1.3538676711327262</v>
      </c>
      <c r="AZ830" s="19">
        <v>1.3628170622298343</v>
      </c>
      <c r="BA830" s="19">
        <v>1.3481521993905774</v>
      </c>
      <c r="BB830" s="19">
        <v>1.1804992967676486</v>
      </c>
      <c r="BC830" s="19">
        <v>1.3002307671829578</v>
      </c>
      <c r="BD830" s="19">
        <v>1.0921965193228977</v>
      </c>
      <c r="BE830" s="14" t="s">
        <v>4857</v>
      </c>
    </row>
    <row r="831" spans="1:105" s="30" customFormat="1" ht="17.100000000000001" customHeight="1">
      <c r="A831" s="14">
        <v>820</v>
      </c>
      <c r="B831" s="14" t="s">
        <v>7</v>
      </c>
      <c r="C831" s="32">
        <v>-1.2213579403411221</v>
      </c>
      <c r="D831" s="32">
        <v>1.1560811813580276</v>
      </c>
      <c r="E831" s="32">
        <v>-1.6912199656789606</v>
      </c>
      <c r="F831" s="24">
        <v>355323.5</v>
      </c>
      <c r="G831" s="52" t="s">
        <v>2</v>
      </c>
      <c r="H831" s="32">
        <v>24.323988287874364</v>
      </c>
      <c r="I831" s="32">
        <v>29.008962987346521</v>
      </c>
      <c r="J831" s="12" t="s">
        <v>80</v>
      </c>
      <c r="K831" s="12" t="s">
        <v>81</v>
      </c>
      <c r="L831" s="14" t="s">
        <v>4978</v>
      </c>
      <c r="M831" s="12" t="s">
        <v>82</v>
      </c>
      <c r="N831" s="15" t="s">
        <v>83</v>
      </c>
      <c r="O831" s="12" t="s">
        <v>3</v>
      </c>
      <c r="P831" s="12" t="s">
        <v>6</v>
      </c>
      <c r="Q831" s="14">
        <v>4</v>
      </c>
      <c r="R831" s="21">
        <v>828.17690000000005</v>
      </c>
      <c r="S831" s="14">
        <v>6</v>
      </c>
      <c r="T831" s="52" t="s">
        <v>2</v>
      </c>
      <c r="U831" s="53">
        <v>69.555374999999998</v>
      </c>
      <c r="V831" s="24">
        <v>273924</v>
      </c>
      <c r="W831" s="24">
        <v>271056</v>
      </c>
      <c r="X831" s="24">
        <v>428209</v>
      </c>
      <c r="Y831" s="24">
        <v>282438</v>
      </c>
      <c r="Z831" s="24">
        <v>323500</v>
      </c>
      <c r="AA831" s="24">
        <v>336868</v>
      </c>
      <c r="AB831" s="24">
        <v>225463</v>
      </c>
      <c r="AC831" s="24">
        <v>293208</v>
      </c>
      <c r="AD831" s="24">
        <v>313906.75</v>
      </c>
      <c r="AE831" s="24">
        <v>294759.75</v>
      </c>
      <c r="AF831" s="24">
        <v>272490</v>
      </c>
      <c r="AG831" s="24">
        <v>355323.5</v>
      </c>
      <c r="AH831" s="24">
        <v>330184</v>
      </c>
      <c r="AI831" s="24">
        <v>259335.5</v>
      </c>
      <c r="AJ831" s="32">
        <v>24.323988287874364</v>
      </c>
      <c r="AK831" s="32">
        <v>16.853547233058613</v>
      </c>
      <c r="AL831" s="32">
        <v>0.74424098074902501</v>
      </c>
      <c r="AM831" s="32">
        <v>29.008962987346521</v>
      </c>
      <c r="AN831" s="32">
        <v>2.862829044078989</v>
      </c>
      <c r="AO831" s="32">
        <v>18.471419798478291</v>
      </c>
      <c r="AP831" s="19">
        <v>0.93900417878876452</v>
      </c>
      <c r="AQ831" s="19">
        <v>1.2117288707842491</v>
      </c>
      <c r="AR831" s="19">
        <v>0.72985743976967465</v>
      </c>
      <c r="AS831" s="19">
        <v>-9.0796516662824914E-2</v>
      </c>
      <c r="AT831" s="19">
        <v>0.27706692609370842</v>
      </c>
      <c r="AU831" s="19">
        <v>-0.45431339941863208</v>
      </c>
      <c r="AV831" s="19">
        <v>-0.28848606934892546</v>
      </c>
      <c r="AW831" s="19">
        <v>0.2092427091105587</v>
      </c>
      <c r="AX831" s="19">
        <v>-0.75806431365442495</v>
      </c>
      <c r="AY831" s="19">
        <v>-1.0649579869707448</v>
      </c>
      <c r="AZ831" s="19">
        <v>1.2117288707842491</v>
      </c>
      <c r="BA831" s="19">
        <v>-1.3701305837419095</v>
      </c>
      <c r="BB831" s="19">
        <v>-1.2213579403411221</v>
      </c>
      <c r="BC831" s="19">
        <v>1.1560811813580276</v>
      </c>
      <c r="BD831" s="19">
        <v>-1.6912199656789606</v>
      </c>
      <c r="BE831" s="14" t="s">
        <v>4857</v>
      </c>
    </row>
  </sheetData>
  <sortState ref="A12:DA831">
    <sortCondition ref="A12:A831"/>
  </sortState>
  <mergeCells count="11">
    <mergeCell ref="AV10:AX10"/>
    <mergeCell ref="AY10:BA10"/>
    <mergeCell ref="BB10:BD10"/>
    <mergeCell ref="C10:E10"/>
    <mergeCell ref="H10:I10"/>
    <mergeCell ref="AJ10:AK10"/>
    <mergeCell ref="AL10:AO10"/>
    <mergeCell ref="V10:AC10"/>
    <mergeCell ref="AD10:AI10"/>
    <mergeCell ref="AP10:AR10"/>
    <mergeCell ref="AS10:AU10"/>
  </mergeCells>
  <phoneticPr fontId="8" type="noConversion"/>
  <conditionalFormatting sqref="C12:E831">
    <cfRule type="containsText" dxfId="5" priority="1" stopIfTrue="1" operator="containsText" text="–">
      <formula>NOT(ISERROR(SEARCH("–",C12)))</formula>
    </cfRule>
    <cfRule type="cellIs" dxfId="4" priority="2" operator="lessThanOrEqual">
      <formula>-2.449</formula>
    </cfRule>
    <cfRule type="cellIs" dxfId="3" priority="3" operator="greaterThanOrEqual">
      <formula>2.449</formula>
    </cfRule>
  </conditionalFormatting>
  <hyperlinks>
    <hyperlink ref="N20" r:id="rId1"/>
    <hyperlink ref="N22" r:id="rId2"/>
    <hyperlink ref="N23" r:id="rId3"/>
    <hyperlink ref="N24" r:id="rId4"/>
    <hyperlink ref="N25" r:id="rId5"/>
    <hyperlink ref="N26" r:id="rId6"/>
    <hyperlink ref="K27" r:id="rId7"/>
    <hyperlink ref="N27" r:id="rId8"/>
    <hyperlink ref="K28" r:id="rId9"/>
    <hyperlink ref="N28" r:id="rId10"/>
    <hyperlink ref="K29" r:id="rId11"/>
    <hyperlink ref="N29" r:id="rId12"/>
    <hyperlink ref="N30" r:id="rId13"/>
    <hyperlink ref="N31" r:id="rId14"/>
    <hyperlink ref="K32" r:id="rId15"/>
    <hyperlink ref="N32" r:id="rId16"/>
    <hyperlink ref="N33" r:id="rId17"/>
    <hyperlink ref="N34" r:id="rId18"/>
    <hyperlink ref="N35" r:id="rId19"/>
    <hyperlink ref="K36" r:id="rId20"/>
    <hyperlink ref="N36" r:id="rId21"/>
    <hyperlink ref="K37" r:id="rId22"/>
    <hyperlink ref="N37" r:id="rId23"/>
    <hyperlink ref="K38" r:id="rId24"/>
    <hyperlink ref="N38" r:id="rId25"/>
    <hyperlink ref="K39" r:id="rId26"/>
    <hyperlink ref="N39" r:id="rId27"/>
    <hyperlink ref="K40" r:id="rId28"/>
    <hyperlink ref="N40" r:id="rId29"/>
    <hyperlink ref="K41" r:id="rId30"/>
    <hyperlink ref="N41" r:id="rId31"/>
    <hyperlink ref="K42" r:id="rId32"/>
    <hyperlink ref="N42" r:id="rId33"/>
    <hyperlink ref="K43" r:id="rId34"/>
    <hyperlink ref="N43" r:id="rId35"/>
    <hyperlink ref="K44" r:id="rId36"/>
    <hyperlink ref="N44" r:id="rId37"/>
    <hyperlink ref="K45" r:id="rId38"/>
    <hyperlink ref="N45" r:id="rId39"/>
    <hyperlink ref="K46" r:id="rId40"/>
    <hyperlink ref="N46" r:id="rId41"/>
    <hyperlink ref="K47" r:id="rId42"/>
    <hyperlink ref="N47" r:id="rId43"/>
    <hyperlink ref="K49" r:id="rId44"/>
    <hyperlink ref="N49" r:id="rId45"/>
    <hyperlink ref="K50" r:id="rId46"/>
    <hyperlink ref="N50" r:id="rId47"/>
    <hyperlink ref="K51" r:id="rId48"/>
    <hyperlink ref="N51" r:id="rId49"/>
    <hyperlink ref="N52" r:id="rId50"/>
    <hyperlink ref="K53" r:id="rId51"/>
    <hyperlink ref="N53" r:id="rId52"/>
    <hyperlink ref="K54" r:id="rId53"/>
    <hyperlink ref="N54" r:id="rId54"/>
    <hyperlink ref="K55" r:id="rId55"/>
    <hyperlink ref="N55" r:id="rId56"/>
    <hyperlink ref="N56" r:id="rId57"/>
    <hyperlink ref="N57" r:id="rId58"/>
    <hyperlink ref="N58" r:id="rId59"/>
    <hyperlink ref="J59" r:id="rId60"/>
    <hyperlink ref="K59" r:id="rId61"/>
    <hyperlink ref="N59" r:id="rId62"/>
    <hyperlink ref="J60" r:id="rId63"/>
    <hyperlink ref="K60" r:id="rId64"/>
    <hyperlink ref="N60" r:id="rId65"/>
    <hyperlink ref="J61" r:id="rId66"/>
    <hyperlink ref="K61" r:id="rId67"/>
    <hyperlink ref="N61" r:id="rId68"/>
    <hyperlink ref="J62" r:id="rId69"/>
    <hyperlink ref="K62" r:id="rId70"/>
    <hyperlink ref="N62" r:id="rId71"/>
    <hyperlink ref="J63" r:id="rId72"/>
    <hyperlink ref="K63" r:id="rId73"/>
    <hyperlink ref="N63" r:id="rId74"/>
    <hyperlink ref="N64" r:id="rId75"/>
    <hyperlink ref="K65" r:id="rId76"/>
    <hyperlink ref="N65" r:id="rId77"/>
    <hyperlink ref="K66" r:id="rId78"/>
    <hyperlink ref="N66" r:id="rId79"/>
    <hyperlink ref="K67" r:id="rId80"/>
    <hyperlink ref="N67" r:id="rId81"/>
    <hyperlink ref="N68" r:id="rId82"/>
    <hyperlink ref="N69" r:id="rId83"/>
    <hyperlink ref="N70" r:id="rId84"/>
    <hyperlink ref="K71" r:id="rId85"/>
    <hyperlink ref="N71" r:id="rId86"/>
    <hyperlink ref="K72" r:id="rId87"/>
    <hyperlink ref="N72" r:id="rId88"/>
    <hyperlink ref="K73" r:id="rId89"/>
    <hyperlink ref="N73" r:id="rId90"/>
    <hyperlink ref="K74" r:id="rId91"/>
    <hyperlink ref="N74" r:id="rId92"/>
    <hyperlink ref="K75" r:id="rId93"/>
    <hyperlink ref="N75" r:id="rId94"/>
    <hyperlink ref="K76" r:id="rId95"/>
    <hyperlink ref="N76" r:id="rId96"/>
    <hyperlink ref="K77" r:id="rId97"/>
    <hyperlink ref="N77" r:id="rId98"/>
    <hyperlink ref="K78" r:id="rId99"/>
    <hyperlink ref="N78" r:id="rId100"/>
    <hyperlink ref="K79" r:id="rId101"/>
    <hyperlink ref="N79" r:id="rId102"/>
    <hyperlink ref="K80" r:id="rId103"/>
    <hyperlink ref="N80" r:id="rId104"/>
    <hyperlink ref="N81" r:id="rId105"/>
    <hyperlink ref="N82" r:id="rId106"/>
    <hyperlink ref="N83" r:id="rId107"/>
    <hyperlink ref="K84" r:id="rId108"/>
    <hyperlink ref="N84" r:id="rId109"/>
    <hyperlink ref="N760" r:id="rId110"/>
    <hyperlink ref="N86" r:id="rId111"/>
    <hyperlink ref="N87" r:id="rId112"/>
    <hyperlink ref="N88" r:id="rId113"/>
    <hyperlink ref="N89" r:id="rId114"/>
    <hyperlink ref="N90" r:id="rId115"/>
    <hyperlink ref="N91" r:id="rId116"/>
    <hyperlink ref="N92" r:id="rId117"/>
    <hyperlink ref="N93" r:id="rId118"/>
    <hyperlink ref="N94" r:id="rId119"/>
    <hyperlink ref="K95" r:id="rId120"/>
    <hyperlink ref="N95" r:id="rId121"/>
    <hyperlink ref="K96" r:id="rId122"/>
    <hyperlink ref="N96" r:id="rId123"/>
    <hyperlink ref="K97" r:id="rId124"/>
    <hyperlink ref="N97" r:id="rId125"/>
    <hyperlink ref="K98" r:id="rId126"/>
    <hyperlink ref="N98" r:id="rId127"/>
    <hyperlink ref="K99" r:id="rId128"/>
    <hyperlink ref="N99" r:id="rId129"/>
    <hyperlink ref="K100" r:id="rId130"/>
    <hyperlink ref="N100" r:id="rId131"/>
    <hyperlink ref="K101" r:id="rId132"/>
    <hyperlink ref="N101" r:id="rId133"/>
    <hyperlink ref="K102" r:id="rId134"/>
    <hyperlink ref="N102" r:id="rId135"/>
    <hyperlink ref="N103" r:id="rId136"/>
    <hyperlink ref="N104" r:id="rId137"/>
    <hyperlink ref="N105" r:id="rId138"/>
    <hyperlink ref="N106" r:id="rId139"/>
    <hyperlink ref="K107" r:id="rId140"/>
    <hyperlink ref="N107" r:id="rId141"/>
    <hyperlink ref="K108" r:id="rId142"/>
    <hyperlink ref="N108" r:id="rId143"/>
    <hyperlink ref="N109" r:id="rId144"/>
    <hyperlink ref="N110" r:id="rId145"/>
    <hyperlink ref="K111" r:id="rId146"/>
    <hyperlink ref="N111" r:id="rId147"/>
    <hyperlink ref="N112" r:id="rId148"/>
    <hyperlink ref="K113" r:id="rId149"/>
    <hyperlink ref="N113" r:id="rId150"/>
    <hyperlink ref="K114" r:id="rId151"/>
    <hyperlink ref="N114" r:id="rId152"/>
    <hyperlink ref="K115" r:id="rId153"/>
    <hyperlink ref="N115" r:id="rId154"/>
    <hyperlink ref="N116" r:id="rId155"/>
    <hyperlink ref="N117" r:id="rId156"/>
    <hyperlink ref="N118" r:id="rId157"/>
    <hyperlink ref="N119" r:id="rId158"/>
    <hyperlink ref="N120" r:id="rId159"/>
    <hyperlink ref="N121" r:id="rId160"/>
    <hyperlink ref="N122" r:id="rId161"/>
    <hyperlink ref="N123" r:id="rId162"/>
    <hyperlink ref="K124" r:id="rId163"/>
    <hyperlink ref="N124" r:id="rId164"/>
    <hyperlink ref="N125" r:id="rId165"/>
    <hyperlink ref="N126" r:id="rId166"/>
    <hyperlink ref="N127" r:id="rId167"/>
    <hyperlink ref="N128" r:id="rId168"/>
    <hyperlink ref="N129" r:id="rId169"/>
    <hyperlink ref="K130" r:id="rId170"/>
    <hyperlink ref="N130" r:id="rId171"/>
    <hyperlink ref="K131" r:id="rId172"/>
    <hyperlink ref="N131" r:id="rId173"/>
    <hyperlink ref="K132" r:id="rId174"/>
    <hyperlink ref="L132" r:id="rId175" display="%40; %40; %40; %40; %40"/>
    <hyperlink ref="N132" r:id="rId176"/>
    <hyperlink ref="N133" r:id="rId177"/>
    <hyperlink ref="N134" r:id="rId178"/>
    <hyperlink ref="K135" r:id="rId179"/>
    <hyperlink ref="N135" r:id="rId180"/>
    <hyperlink ref="K136" r:id="rId181"/>
    <hyperlink ref="N136" r:id="rId182"/>
    <hyperlink ref="N137" r:id="rId183"/>
    <hyperlink ref="N138" r:id="rId184"/>
    <hyperlink ref="N139" r:id="rId185"/>
    <hyperlink ref="N141" r:id="rId186"/>
    <hyperlink ref="N142" r:id="rId187"/>
    <hyperlink ref="K143" r:id="rId188"/>
    <hyperlink ref="N143" r:id="rId189"/>
    <hyperlink ref="K144" r:id="rId190"/>
    <hyperlink ref="N144" r:id="rId191"/>
    <hyperlink ref="K145" r:id="rId192"/>
    <hyperlink ref="N145" r:id="rId193"/>
    <hyperlink ref="N147" r:id="rId194"/>
    <hyperlink ref="N148" r:id="rId195"/>
    <hyperlink ref="K150" r:id="rId196"/>
    <hyperlink ref="N150" r:id="rId197"/>
    <hyperlink ref="K151" r:id="rId198"/>
    <hyperlink ref="N151" r:id="rId199"/>
    <hyperlink ref="K153" r:id="rId200"/>
    <hyperlink ref="N153" r:id="rId201"/>
    <hyperlink ref="K154" r:id="rId202"/>
    <hyperlink ref="N154" r:id="rId203"/>
    <hyperlink ref="N155" r:id="rId204"/>
    <hyperlink ref="N156" r:id="rId205"/>
    <hyperlink ref="N157" r:id="rId206"/>
    <hyperlink ref="N158" r:id="rId207"/>
    <hyperlink ref="N159" r:id="rId208"/>
    <hyperlink ref="N160" r:id="rId209"/>
    <hyperlink ref="N161" r:id="rId210"/>
    <hyperlink ref="K162" r:id="rId211"/>
    <hyperlink ref="N162" r:id="rId212"/>
    <hyperlink ref="N164" r:id="rId213"/>
    <hyperlink ref="N165" r:id="rId214"/>
    <hyperlink ref="N166" r:id="rId215"/>
    <hyperlink ref="N167" r:id="rId216"/>
    <hyperlink ref="K169" r:id="rId217"/>
    <hyperlink ref="N169" r:id="rId218"/>
    <hyperlink ref="K170" r:id="rId219"/>
    <hyperlink ref="N170" r:id="rId220"/>
    <hyperlink ref="K171" r:id="rId221"/>
    <hyperlink ref="N171" r:id="rId222"/>
    <hyperlink ref="K172" r:id="rId223"/>
    <hyperlink ref="N172" r:id="rId224"/>
    <hyperlink ref="K173" r:id="rId225"/>
    <hyperlink ref="N173" r:id="rId226"/>
    <hyperlink ref="K174" r:id="rId227"/>
    <hyperlink ref="N174" r:id="rId228"/>
    <hyperlink ref="K175" r:id="rId229"/>
    <hyperlink ref="N175" r:id="rId230"/>
    <hyperlink ref="K176" r:id="rId231"/>
    <hyperlink ref="N176" r:id="rId232"/>
    <hyperlink ref="K177" r:id="rId233"/>
    <hyperlink ref="N177" r:id="rId234"/>
    <hyperlink ref="K178" r:id="rId235"/>
    <hyperlink ref="N178" r:id="rId236"/>
    <hyperlink ref="K179" r:id="rId237"/>
    <hyperlink ref="N179" r:id="rId238"/>
    <hyperlink ref="K180" r:id="rId239"/>
    <hyperlink ref="N180" r:id="rId240"/>
    <hyperlink ref="K181" r:id="rId241"/>
    <hyperlink ref="N181" r:id="rId242"/>
    <hyperlink ref="N182" r:id="rId243"/>
    <hyperlink ref="K183" r:id="rId244"/>
    <hyperlink ref="N183" r:id="rId245"/>
    <hyperlink ref="N185" r:id="rId246"/>
    <hyperlink ref="N186" r:id="rId247"/>
    <hyperlink ref="K187" r:id="rId248"/>
    <hyperlink ref="N187" r:id="rId249"/>
    <hyperlink ref="K188" r:id="rId250"/>
    <hyperlink ref="N188" r:id="rId251"/>
    <hyperlink ref="K189" r:id="rId252"/>
    <hyperlink ref="N189" r:id="rId253"/>
    <hyperlink ref="N190" r:id="rId254"/>
    <hyperlink ref="K191" r:id="rId255"/>
    <hyperlink ref="N191" r:id="rId256"/>
    <hyperlink ref="N192" r:id="rId257"/>
    <hyperlink ref="N193" r:id="rId258"/>
    <hyperlink ref="N194" r:id="rId259"/>
    <hyperlink ref="K195" r:id="rId260"/>
    <hyperlink ref="N195" r:id="rId261"/>
    <hyperlink ref="K196" r:id="rId262"/>
    <hyperlink ref="N196" r:id="rId263"/>
    <hyperlink ref="N197" r:id="rId264"/>
    <hyperlink ref="N198" r:id="rId265"/>
    <hyperlink ref="N199" r:id="rId266"/>
    <hyperlink ref="K200" r:id="rId267"/>
    <hyperlink ref="N200" r:id="rId268"/>
    <hyperlink ref="K201" r:id="rId269"/>
    <hyperlink ref="N201" r:id="rId270"/>
    <hyperlink ref="K202" r:id="rId271"/>
    <hyperlink ref="N202" r:id="rId272"/>
    <hyperlink ref="K203" r:id="rId273"/>
    <hyperlink ref="L203" r:id="rId274" display="%12, %13; %12, %13; %12, %13; %12, %13; %12, %13; %12, %13; %12, %13; %12, %13; %12, %13"/>
    <hyperlink ref="N203" r:id="rId275"/>
    <hyperlink ref="K204" r:id="rId276"/>
    <hyperlink ref="L204" r:id="rId277" display="%12, %13, %16; %12, %13, %16; %12, %13, %16; %12, %13, %16; %12, %13, %16; %12, %13, %16; %12, %13, %16; %12, %13, %16; %12, %13, %16"/>
    <hyperlink ref="N204" r:id="rId278"/>
    <hyperlink ref="K205" r:id="rId279"/>
    <hyperlink ref="L205" r:id="rId280" display="%12, %13, %16, %17"/>
    <hyperlink ref="N205" r:id="rId281"/>
    <hyperlink ref="K206" r:id="rId282"/>
    <hyperlink ref="L206" r:id="rId283" display="%13, %16, %17"/>
    <hyperlink ref="N206" r:id="rId284"/>
    <hyperlink ref="K207" r:id="rId285"/>
    <hyperlink ref="L207" r:id="rId286" display="%13, %16, %17, %21"/>
    <hyperlink ref="N207" r:id="rId287"/>
    <hyperlink ref="K208" r:id="rId288"/>
    <hyperlink ref="N208" r:id="rId289"/>
    <hyperlink ref="K209" r:id="rId290"/>
    <hyperlink ref="N209" r:id="rId291"/>
    <hyperlink ref="K210" r:id="rId292"/>
    <hyperlink ref="L210" r:id="rId293" display="%12, %13, %16, %17; %12, %13, %16, %17; %12, %13, %16, %17; %12, %13, %16, %17; %12, %13, %16, %17; %12, %13, %16, %17; %12, %13, %16, %17"/>
    <hyperlink ref="N210" r:id="rId294"/>
    <hyperlink ref="K211" r:id="rId295"/>
    <hyperlink ref="L211" r:id="rId296" display="%13, %16, %17; %13, %16, %17; %13, %16, %17; %13, %16, %17; %13, %16, %17; %13, %16, %17; %13, %16, %17; %13, %16, %17; %13, %16, %17"/>
    <hyperlink ref="N211" r:id="rId297"/>
    <hyperlink ref="K212" r:id="rId298"/>
    <hyperlink ref="L212" r:id="rId299" display="%13, %16, %17, %21; %13, %16, %17, %21; %13, %16, %17, %21; %13, %16, %17, %21; %13, %16, %17, %21; %13, %16, %17, %21; %13, %16, %17, %21"/>
    <hyperlink ref="N212" r:id="rId300"/>
    <hyperlink ref="K213" r:id="rId301"/>
    <hyperlink ref="L213" r:id="rId302" display="%13, %16, %21; %13, %16, %21; %13, %16, %21; %13, %16, %21; %13, %16, %21; %13, %16, %21; %13, %16, %21"/>
    <hyperlink ref="N213" r:id="rId303"/>
    <hyperlink ref="K214" r:id="rId304"/>
    <hyperlink ref="L214" r:id="rId305" display="%16, %17, %21; %16, %17, %21; %16, %17, %21; %16, %17, %21; %16, %17, %21; %16, %17, %21; %16, %17, %21"/>
    <hyperlink ref="N214" r:id="rId306"/>
    <hyperlink ref="K215" r:id="rId307"/>
    <hyperlink ref="L215" r:id="rId308" display="%17, %21; %17, %21; %17, %21; %17, %21; %17, %21; %17, %21; %17, %21"/>
    <hyperlink ref="N215" r:id="rId309"/>
    <hyperlink ref="K216" r:id="rId310"/>
    <hyperlink ref="L216" r:id="rId311" display="%17, %21, %24; %17, %21, %24; %17, %21, %24; %17, %21, %24; %17, %21, %24; %17, %21, %24; %17, %21, %24"/>
    <hyperlink ref="N216" r:id="rId312"/>
    <hyperlink ref="K217" r:id="rId313"/>
    <hyperlink ref="L217" r:id="rId314" display="%6; %6; %6; %6"/>
    <hyperlink ref="N217" r:id="rId315"/>
    <hyperlink ref="K218" r:id="rId316"/>
    <hyperlink ref="L218" r:id="rId317" display="%6, %12, %13; %6, %12, %13; %6, %12, %13; %6, %12, %13"/>
    <hyperlink ref="N218" r:id="rId318"/>
    <hyperlink ref="K219" r:id="rId319"/>
    <hyperlink ref="L219" r:id="rId320" display="%6, %12, %13, %16; %6, %12, %13, %16; %6, %12, %13, %16; %6, %12, %13, %16"/>
    <hyperlink ref="N219" r:id="rId321"/>
    <hyperlink ref="K220" r:id="rId322"/>
    <hyperlink ref="L220" r:id="rId323" display="%6, %12, %13, %17; %6, %12, %13, %17; %6, %12, %13, %17; %6, %12, %13, %17"/>
    <hyperlink ref="N220" r:id="rId324"/>
    <hyperlink ref="K221" r:id="rId325"/>
    <hyperlink ref="L221" r:id="rId326" display="%6, %13, %16; %6, %13, %16; %6, %13, %16; %6, %13, %16"/>
    <hyperlink ref="N221" r:id="rId327"/>
    <hyperlink ref="K222" r:id="rId328"/>
    <hyperlink ref="L222" r:id="rId329" display="%12, %13, %16, %17"/>
    <hyperlink ref="N222" r:id="rId330"/>
    <hyperlink ref="K223" r:id="rId331"/>
    <hyperlink ref="N223" r:id="rId332"/>
    <hyperlink ref="K224" r:id="rId333"/>
    <hyperlink ref="L224" r:id="rId334" display="%13, %17; %13, %17"/>
    <hyperlink ref="N224" r:id="rId335"/>
    <hyperlink ref="K225" r:id="rId336"/>
    <hyperlink ref="N225" r:id="rId337"/>
    <hyperlink ref="K226" r:id="rId338"/>
    <hyperlink ref="L226" r:id="rId339" display="%6, %13, %17; %6, %13, %17"/>
    <hyperlink ref="N226" r:id="rId340"/>
    <hyperlink ref="K227" r:id="rId341"/>
    <hyperlink ref="L227" r:id="rId342" display="%6, %9; %6, %9"/>
    <hyperlink ref="N227" r:id="rId343"/>
    <hyperlink ref="K228" r:id="rId344"/>
    <hyperlink ref="L228" r:id="rId345" display="%6, %9, %13; %6, %9, %13"/>
    <hyperlink ref="N228" r:id="rId346"/>
    <hyperlink ref="K229" r:id="rId347"/>
    <hyperlink ref="L229" r:id="rId348" display="%6, %9, %13, %17; %6, %9, %13, %17"/>
    <hyperlink ref="N229" r:id="rId349"/>
    <hyperlink ref="K230" r:id="rId350"/>
    <hyperlink ref="N230" r:id="rId351"/>
    <hyperlink ref="K231" r:id="rId352"/>
    <hyperlink ref="L231" r:id="rId353" display="%9, %13; %9, %13"/>
    <hyperlink ref="N231" r:id="rId354"/>
    <hyperlink ref="K232" r:id="rId355"/>
    <hyperlink ref="L232" r:id="rId356" display="%9, %13, %17; %9, %13, %17"/>
    <hyperlink ref="N232" r:id="rId357"/>
    <hyperlink ref="K233" r:id="rId358"/>
    <hyperlink ref="L233" r:id="rId359" display="%13, %16, %17, %21"/>
    <hyperlink ref="N233" r:id="rId360"/>
    <hyperlink ref="K234" r:id="rId361"/>
    <hyperlink ref="L234" r:id="rId362" display="%13, %16, %21"/>
    <hyperlink ref="N234" r:id="rId363"/>
    <hyperlink ref="K235" r:id="rId364"/>
    <hyperlink ref="L235" r:id="rId365" display="%13, %17, %21"/>
    <hyperlink ref="N235" r:id="rId366"/>
    <hyperlink ref="K236" r:id="rId367"/>
    <hyperlink ref="L236" r:id="rId368" display="%16, %17, %21"/>
    <hyperlink ref="N236" r:id="rId369"/>
    <hyperlink ref="K237" r:id="rId370"/>
    <hyperlink ref="N237" r:id="rId371"/>
    <hyperlink ref="K238" r:id="rId372"/>
    <hyperlink ref="N238" r:id="rId373"/>
    <hyperlink ref="K239" r:id="rId374"/>
    <hyperlink ref="N239" r:id="rId375"/>
    <hyperlink ref="K240" r:id="rId376"/>
    <hyperlink ref="N240" r:id="rId377"/>
    <hyperlink ref="K241" r:id="rId378"/>
    <hyperlink ref="N241" r:id="rId379"/>
    <hyperlink ref="K242" r:id="rId380"/>
    <hyperlink ref="N242" r:id="rId381"/>
    <hyperlink ref="K243" r:id="rId382"/>
    <hyperlink ref="N243" r:id="rId383"/>
    <hyperlink ref="K244" r:id="rId384"/>
    <hyperlink ref="N244" r:id="rId385"/>
    <hyperlink ref="K245" r:id="rId386"/>
    <hyperlink ref="N245" r:id="rId387"/>
    <hyperlink ref="K246" r:id="rId388"/>
    <hyperlink ref="N246" r:id="rId389"/>
    <hyperlink ref="K247" r:id="rId390"/>
    <hyperlink ref="N247" r:id="rId391"/>
    <hyperlink ref="K248" r:id="rId392"/>
    <hyperlink ref="N248" r:id="rId393"/>
    <hyperlink ref="K249" r:id="rId394"/>
    <hyperlink ref="N249" r:id="rId395"/>
    <hyperlink ref="K250" r:id="rId396"/>
    <hyperlink ref="N250" r:id="rId397"/>
    <hyperlink ref="K251" r:id="rId398"/>
    <hyperlink ref="N251" r:id="rId399"/>
    <hyperlink ref="N252" r:id="rId400"/>
    <hyperlink ref="N253" r:id="rId401"/>
    <hyperlink ref="N254" r:id="rId402"/>
    <hyperlink ref="K255" r:id="rId403"/>
    <hyperlink ref="N255" r:id="rId404"/>
    <hyperlink ref="K256" r:id="rId405"/>
    <hyperlink ref="N256" r:id="rId406"/>
    <hyperlink ref="K257" r:id="rId407"/>
    <hyperlink ref="N257" r:id="rId408"/>
    <hyperlink ref="K258" r:id="rId409"/>
    <hyperlink ref="N258" r:id="rId410"/>
    <hyperlink ref="N259" r:id="rId411"/>
    <hyperlink ref="N260" r:id="rId412"/>
    <hyperlink ref="N261" r:id="rId413"/>
    <hyperlink ref="N262" r:id="rId414"/>
    <hyperlink ref="N263" r:id="rId415"/>
    <hyperlink ref="N264" r:id="rId416"/>
    <hyperlink ref="N265" r:id="rId417"/>
    <hyperlink ref="K266" r:id="rId418"/>
    <hyperlink ref="N266" r:id="rId419"/>
    <hyperlink ref="J267" r:id="rId420"/>
    <hyperlink ref="K267" r:id="rId421"/>
    <hyperlink ref="N267" r:id="rId422"/>
    <hyperlink ref="N268" r:id="rId423"/>
    <hyperlink ref="N270" r:id="rId424"/>
    <hyperlink ref="N271" r:id="rId425"/>
    <hyperlink ref="N272" r:id="rId426"/>
    <hyperlink ref="N273" r:id="rId427"/>
    <hyperlink ref="K274" r:id="rId428"/>
    <hyperlink ref="N274" r:id="rId429"/>
    <hyperlink ref="K275" r:id="rId430"/>
    <hyperlink ref="N275" r:id="rId431"/>
    <hyperlink ref="K276" r:id="rId432"/>
    <hyperlink ref="N276" r:id="rId433"/>
    <hyperlink ref="K277" r:id="rId434"/>
    <hyperlink ref="N277" r:id="rId435"/>
    <hyperlink ref="N278" r:id="rId436"/>
    <hyperlink ref="K279" r:id="rId437"/>
    <hyperlink ref="N279" r:id="rId438"/>
    <hyperlink ref="K280" r:id="rId439"/>
    <hyperlink ref="N280" r:id="rId440"/>
    <hyperlink ref="K281" r:id="rId441"/>
    <hyperlink ref="N281" r:id="rId442"/>
    <hyperlink ref="K282" r:id="rId443"/>
    <hyperlink ref="N282" r:id="rId444"/>
    <hyperlink ref="N283" r:id="rId445"/>
    <hyperlink ref="K284" r:id="rId446"/>
    <hyperlink ref="N284" r:id="rId447"/>
    <hyperlink ref="K285" r:id="rId448"/>
    <hyperlink ref="N285" r:id="rId449"/>
    <hyperlink ref="K286" r:id="rId450"/>
    <hyperlink ref="N286" r:id="rId451"/>
    <hyperlink ref="N287" r:id="rId452"/>
    <hyperlink ref="N289" r:id="rId453"/>
    <hyperlink ref="N290" r:id="rId454"/>
    <hyperlink ref="N291" r:id="rId455"/>
    <hyperlink ref="N292" r:id="rId456"/>
    <hyperlink ref="N293" r:id="rId457"/>
    <hyperlink ref="N294" r:id="rId458"/>
    <hyperlink ref="K295" r:id="rId459"/>
    <hyperlink ref="N295" r:id="rId460"/>
    <hyperlink ref="N296" r:id="rId461"/>
    <hyperlink ref="N297" r:id="rId462"/>
    <hyperlink ref="N298" r:id="rId463"/>
    <hyperlink ref="K299" r:id="rId464"/>
    <hyperlink ref="N299" r:id="rId465"/>
    <hyperlink ref="K300" r:id="rId466"/>
    <hyperlink ref="N300" r:id="rId467"/>
    <hyperlink ref="N301" r:id="rId468"/>
    <hyperlink ref="N302" r:id="rId469"/>
    <hyperlink ref="N303" r:id="rId470"/>
    <hyperlink ref="N304" r:id="rId471"/>
    <hyperlink ref="N305" r:id="rId472"/>
    <hyperlink ref="N306" r:id="rId473"/>
    <hyperlink ref="N307" r:id="rId474"/>
    <hyperlink ref="N308" r:id="rId475"/>
    <hyperlink ref="K310" r:id="rId476"/>
    <hyperlink ref="N310" r:id="rId477"/>
    <hyperlink ref="K311" r:id="rId478"/>
    <hyperlink ref="N311" r:id="rId479"/>
    <hyperlink ref="N312" r:id="rId480"/>
    <hyperlink ref="J314" r:id="rId481"/>
    <hyperlink ref="K314" r:id="rId482"/>
    <hyperlink ref="N314" r:id="rId483"/>
    <hyperlink ref="N315" r:id="rId484"/>
    <hyperlink ref="N316" r:id="rId485"/>
    <hyperlink ref="N317" r:id="rId486"/>
    <hyperlink ref="N318" r:id="rId487"/>
    <hyperlink ref="N319" r:id="rId488"/>
    <hyperlink ref="N320" r:id="rId489"/>
    <hyperlink ref="N321" r:id="rId490"/>
    <hyperlink ref="N322" r:id="rId491"/>
    <hyperlink ref="N323" r:id="rId492"/>
    <hyperlink ref="N324" r:id="rId493"/>
    <hyperlink ref="N325" r:id="rId494"/>
    <hyperlink ref="N326" r:id="rId495"/>
    <hyperlink ref="N327" r:id="rId496"/>
    <hyperlink ref="N328" r:id="rId497"/>
    <hyperlink ref="N329" r:id="rId498"/>
    <hyperlink ref="J330" r:id="rId499"/>
    <hyperlink ref="K330" r:id="rId500"/>
    <hyperlink ref="N330" r:id="rId501"/>
    <hyperlink ref="J331" r:id="rId502"/>
    <hyperlink ref="K331" r:id="rId503"/>
    <hyperlink ref="N331" r:id="rId504"/>
    <hyperlink ref="J332" r:id="rId505"/>
    <hyperlink ref="K332" r:id="rId506"/>
    <hyperlink ref="N332" r:id="rId507"/>
    <hyperlink ref="J333" r:id="rId508"/>
    <hyperlink ref="K333" r:id="rId509"/>
    <hyperlink ref="N333" r:id="rId510"/>
    <hyperlink ref="J334" r:id="rId511"/>
    <hyperlink ref="K334" r:id="rId512"/>
    <hyperlink ref="N334" r:id="rId513"/>
    <hyperlink ref="J335" r:id="rId514"/>
    <hyperlink ref="K335" r:id="rId515"/>
    <hyperlink ref="N335" r:id="rId516"/>
    <hyperlink ref="N336" r:id="rId517"/>
    <hyperlink ref="N337" r:id="rId518"/>
    <hyperlink ref="N338" r:id="rId519"/>
    <hyperlink ref="K339" r:id="rId520"/>
    <hyperlink ref="N339" r:id="rId521"/>
    <hyperlink ref="K340" r:id="rId522"/>
    <hyperlink ref="N340" r:id="rId523"/>
    <hyperlink ref="K341" r:id="rId524"/>
    <hyperlink ref="N341" r:id="rId525"/>
    <hyperlink ref="K342" r:id="rId526"/>
    <hyperlink ref="N342" r:id="rId527"/>
    <hyperlink ref="K343" r:id="rId528"/>
    <hyperlink ref="N343" r:id="rId529"/>
    <hyperlink ref="N344" r:id="rId530"/>
    <hyperlink ref="N345" r:id="rId531"/>
    <hyperlink ref="N346" r:id="rId532"/>
    <hyperlink ref="K347" r:id="rId533"/>
    <hyperlink ref="N347" r:id="rId534"/>
    <hyperlink ref="K348" r:id="rId535"/>
    <hyperlink ref="N348" r:id="rId536"/>
    <hyperlink ref="K349" r:id="rId537"/>
    <hyperlink ref="N349" r:id="rId538"/>
    <hyperlink ref="K350" r:id="rId539"/>
    <hyperlink ref="N350" r:id="rId540"/>
    <hyperlink ref="N351" r:id="rId541"/>
    <hyperlink ref="N352" r:id="rId542"/>
    <hyperlink ref="N353" r:id="rId543"/>
    <hyperlink ref="N354" r:id="rId544"/>
    <hyperlink ref="N355" r:id="rId545"/>
    <hyperlink ref="K356" r:id="rId546"/>
    <hyperlink ref="N356" r:id="rId547"/>
    <hyperlink ref="K357" r:id="rId548"/>
    <hyperlink ref="N357" r:id="rId549"/>
    <hyperlink ref="N358" r:id="rId550"/>
    <hyperlink ref="N359" r:id="rId551"/>
    <hyperlink ref="N360" r:id="rId552"/>
    <hyperlink ref="N361" r:id="rId553"/>
    <hyperlink ref="N362" r:id="rId554"/>
    <hyperlink ref="J363" r:id="rId555"/>
    <hyperlink ref="N363" r:id="rId556"/>
    <hyperlink ref="K364" r:id="rId557"/>
    <hyperlink ref="N364" r:id="rId558"/>
    <hyperlink ref="K365" r:id="rId559"/>
    <hyperlink ref="N365" r:id="rId560"/>
    <hyperlink ref="N366" r:id="rId561"/>
    <hyperlink ref="N367" r:id="rId562"/>
    <hyperlink ref="N368" r:id="rId563"/>
    <hyperlink ref="N369" r:id="rId564"/>
    <hyperlink ref="N370" r:id="rId565"/>
    <hyperlink ref="N372" r:id="rId566"/>
    <hyperlink ref="N373" r:id="rId567"/>
    <hyperlink ref="K374" r:id="rId568"/>
    <hyperlink ref="N374" r:id="rId569"/>
    <hyperlink ref="K375" r:id="rId570"/>
    <hyperlink ref="N375" r:id="rId571"/>
    <hyperlink ref="N376" r:id="rId572"/>
    <hyperlink ref="J378" r:id="rId573"/>
    <hyperlink ref="K378" r:id="rId574"/>
    <hyperlink ref="N378" r:id="rId575"/>
    <hyperlink ref="N380" r:id="rId576"/>
    <hyperlink ref="N382" r:id="rId577"/>
    <hyperlink ref="N383" r:id="rId578"/>
    <hyperlink ref="N385" r:id="rId579"/>
    <hyperlink ref="N386" r:id="rId580"/>
    <hyperlink ref="K387" r:id="rId581"/>
    <hyperlink ref="N387" r:id="rId582"/>
    <hyperlink ref="K388" r:id="rId583"/>
    <hyperlink ref="N388" r:id="rId584"/>
    <hyperlink ref="K389" r:id="rId585"/>
    <hyperlink ref="N389" r:id="rId586"/>
    <hyperlink ref="K390" r:id="rId587"/>
    <hyperlink ref="N390" r:id="rId588"/>
    <hyperlink ref="N391" r:id="rId589"/>
    <hyperlink ref="N392" r:id="rId590"/>
    <hyperlink ref="N393" r:id="rId591"/>
    <hyperlink ref="N394" r:id="rId592"/>
    <hyperlink ref="N395" r:id="rId593"/>
    <hyperlink ref="N396" r:id="rId594"/>
    <hyperlink ref="J397" r:id="rId595"/>
    <hyperlink ref="K397" r:id="rId596"/>
    <hyperlink ref="N397" r:id="rId597"/>
    <hyperlink ref="J398" r:id="rId598"/>
    <hyperlink ref="K398" r:id="rId599"/>
    <hyperlink ref="N398" r:id="rId600"/>
    <hyperlink ref="J399" r:id="rId601"/>
    <hyperlink ref="K399" r:id="rId602"/>
    <hyperlink ref="N399" r:id="rId603"/>
    <hyperlink ref="J400" r:id="rId604"/>
    <hyperlink ref="K400" r:id="rId605"/>
    <hyperlink ref="N400" r:id="rId606"/>
    <hyperlink ref="N401" r:id="rId607"/>
    <hyperlink ref="N402" r:id="rId608"/>
    <hyperlink ref="N403" r:id="rId609"/>
    <hyperlink ref="K404" r:id="rId610"/>
    <hyperlink ref="N404" r:id="rId611"/>
    <hyperlink ref="N405" r:id="rId612"/>
    <hyperlink ref="N406" r:id="rId613"/>
    <hyperlink ref="N407" r:id="rId614"/>
    <hyperlink ref="N408" r:id="rId615"/>
    <hyperlink ref="N409" r:id="rId616"/>
    <hyperlink ref="N410" r:id="rId617"/>
    <hyperlink ref="N411" r:id="rId618"/>
    <hyperlink ref="K412" r:id="rId619"/>
    <hyperlink ref="N412" r:id="rId620"/>
    <hyperlink ref="K413" r:id="rId621"/>
    <hyperlink ref="N413" r:id="rId622"/>
    <hyperlink ref="N414" r:id="rId623"/>
    <hyperlink ref="N415" r:id="rId624"/>
    <hyperlink ref="K416" r:id="rId625"/>
    <hyperlink ref="N416" r:id="rId626"/>
    <hyperlink ref="K417" r:id="rId627"/>
    <hyperlink ref="N417" r:id="rId628"/>
    <hyperlink ref="K418" r:id="rId629"/>
    <hyperlink ref="N418" r:id="rId630"/>
    <hyperlink ref="K419" r:id="rId631"/>
    <hyperlink ref="N419" r:id="rId632"/>
    <hyperlink ref="K420" r:id="rId633"/>
    <hyperlink ref="N420" r:id="rId634"/>
    <hyperlink ref="K421" r:id="rId635"/>
    <hyperlink ref="N421" r:id="rId636"/>
    <hyperlink ref="K422" r:id="rId637"/>
    <hyperlink ref="N422" r:id="rId638"/>
    <hyperlink ref="K423" r:id="rId639"/>
    <hyperlink ref="N423" r:id="rId640"/>
    <hyperlink ref="N424" r:id="rId641"/>
    <hyperlink ref="N425" r:id="rId642"/>
    <hyperlink ref="N426" r:id="rId643"/>
    <hyperlink ref="N427" r:id="rId644"/>
    <hyperlink ref="N428" r:id="rId645"/>
    <hyperlink ref="N429" r:id="rId646"/>
    <hyperlink ref="N430" r:id="rId647"/>
    <hyperlink ref="N431" r:id="rId648"/>
    <hyperlink ref="K432" r:id="rId649"/>
    <hyperlink ref="N432" r:id="rId650"/>
    <hyperlink ref="N433" r:id="rId651"/>
    <hyperlink ref="N434" r:id="rId652"/>
    <hyperlink ref="N435" r:id="rId653"/>
    <hyperlink ref="N436" r:id="rId654"/>
    <hyperlink ref="N437" r:id="rId655"/>
    <hyperlink ref="N438" r:id="rId656"/>
    <hyperlink ref="N439" r:id="rId657"/>
    <hyperlink ref="K440" r:id="rId658"/>
    <hyperlink ref="N440" r:id="rId659"/>
    <hyperlink ref="K441" r:id="rId660"/>
    <hyperlink ref="N441" r:id="rId661"/>
    <hyperlink ref="K442" r:id="rId662"/>
    <hyperlink ref="N442" r:id="rId663"/>
    <hyperlink ref="N443" r:id="rId664"/>
    <hyperlink ref="N444" r:id="rId665"/>
    <hyperlink ref="N445" r:id="rId666"/>
    <hyperlink ref="N446" r:id="rId667"/>
    <hyperlink ref="N447" r:id="rId668"/>
    <hyperlink ref="N448" r:id="rId669"/>
    <hyperlink ref="N449" r:id="rId670"/>
    <hyperlink ref="N450" r:id="rId671"/>
    <hyperlink ref="N451" r:id="rId672"/>
    <hyperlink ref="K452" r:id="rId673"/>
    <hyperlink ref="N452" r:id="rId674"/>
    <hyperlink ref="K453" r:id="rId675"/>
    <hyperlink ref="N453" r:id="rId676"/>
    <hyperlink ref="K454" r:id="rId677"/>
    <hyperlink ref="N454" r:id="rId678"/>
    <hyperlink ref="K455" r:id="rId679"/>
    <hyperlink ref="N455" r:id="rId680"/>
    <hyperlink ref="K456" r:id="rId681"/>
    <hyperlink ref="N456" r:id="rId682"/>
    <hyperlink ref="K457" r:id="rId683"/>
    <hyperlink ref="N457" r:id="rId684"/>
    <hyperlink ref="N458" r:id="rId685"/>
    <hyperlink ref="N459" r:id="rId686"/>
    <hyperlink ref="K460" r:id="rId687"/>
    <hyperlink ref="N460" r:id="rId688"/>
    <hyperlink ref="K461" r:id="rId689"/>
    <hyperlink ref="N461" r:id="rId690"/>
    <hyperlink ref="N462" r:id="rId691"/>
    <hyperlink ref="N463" r:id="rId692"/>
    <hyperlink ref="N464" r:id="rId693"/>
    <hyperlink ref="N465" r:id="rId694"/>
    <hyperlink ref="N466" r:id="rId695"/>
    <hyperlink ref="N467" r:id="rId696"/>
    <hyperlink ref="N469" r:id="rId697"/>
    <hyperlink ref="K470" r:id="rId698"/>
    <hyperlink ref="N470" r:id="rId699"/>
    <hyperlink ref="K471" r:id="rId700"/>
    <hyperlink ref="N471" r:id="rId701"/>
    <hyperlink ref="K472" r:id="rId702"/>
    <hyperlink ref="N472" r:id="rId703"/>
    <hyperlink ref="N473" r:id="rId704"/>
    <hyperlink ref="N474" r:id="rId705"/>
    <hyperlink ref="N476" r:id="rId706"/>
    <hyperlink ref="N477" r:id="rId707"/>
    <hyperlink ref="N478" r:id="rId708"/>
    <hyperlink ref="N479" r:id="rId709"/>
    <hyperlink ref="N480" r:id="rId710"/>
    <hyperlink ref="K481" r:id="rId711"/>
    <hyperlink ref="N481" r:id="rId712"/>
    <hyperlink ref="K482" r:id="rId713"/>
    <hyperlink ref="N482" r:id="rId714"/>
    <hyperlink ref="K483" r:id="rId715"/>
    <hyperlink ref="N483" r:id="rId716"/>
    <hyperlink ref="N484" r:id="rId717"/>
    <hyperlink ref="N485" r:id="rId718"/>
    <hyperlink ref="J486" r:id="rId719"/>
    <hyperlink ref="K486" r:id="rId720"/>
    <hyperlink ref="N486" r:id="rId721"/>
    <hyperlink ref="J487" r:id="rId722"/>
    <hyperlink ref="K487" r:id="rId723"/>
    <hyperlink ref="N487" r:id="rId724"/>
    <hyperlink ref="N488" r:id="rId725"/>
    <hyperlink ref="N489" r:id="rId726"/>
    <hyperlink ref="N491" r:id="rId727"/>
    <hyperlink ref="K493" r:id="rId728"/>
    <hyperlink ref="N493" r:id="rId729"/>
    <hyperlink ref="K494" r:id="rId730"/>
    <hyperlink ref="N494" r:id="rId731"/>
    <hyperlink ref="K495" r:id="rId732"/>
    <hyperlink ref="N495" r:id="rId733"/>
    <hyperlink ref="J496" r:id="rId734"/>
    <hyperlink ref="K496" r:id="rId735"/>
    <hyperlink ref="N496" r:id="rId736"/>
    <hyperlink ref="K497" r:id="rId737"/>
    <hyperlink ref="N497" r:id="rId738"/>
    <hyperlink ref="K498" r:id="rId739"/>
    <hyperlink ref="N498" r:id="rId740"/>
    <hyperlink ref="K499" r:id="rId741"/>
    <hyperlink ref="N499" r:id="rId742"/>
    <hyperlink ref="K500" r:id="rId743"/>
    <hyperlink ref="N500" r:id="rId744"/>
    <hyperlink ref="J502" r:id="rId745"/>
    <hyperlink ref="K502" r:id="rId746"/>
    <hyperlink ref="N502" r:id="rId747"/>
    <hyperlink ref="N504" r:id="rId748"/>
    <hyperlink ref="K506" r:id="rId749"/>
    <hyperlink ref="N506" r:id="rId750"/>
    <hyperlink ref="N508" r:id="rId751"/>
    <hyperlink ref="N509" r:id="rId752"/>
    <hyperlink ref="N510" r:id="rId753"/>
    <hyperlink ref="K511" r:id="rId754"/>
    <hyperlink ref="N511" r:id="rId755"/>
    <hyperlink ref="K512" r:id="rId756"/>
    <hyperlink ref="N512" r:id="rId757"/>
    <hyperlink ref="N513" r:id="rId758"/>
    <hyperlink ref="J514" r:id="rId759"/>
    <hyperlink ref="K514" r:id="rId760"/>
    <hyperlink ref="N514" r:id="rId761"/>
    <hyperlink ref="J515" r:id="rId762"/>
    <hyperlink ref="N515" r:id="rId763"/>
    <hyperlink ref="N516" r:id="rId764"/>
    <hyperlink ref="N517" r:id="rId765"/>
    <hyperlink ref="N518" r:id="rId766"/>
    <hyperlink ref="N519" r:id="rId767"/>
    <hyperlink ref="N520" r:id="rId768"/>
    <hyperlink ref="N521" r:id="rId769"/>
    <hyperlink ref="N522" r:id="rId770"/>
    <hyperlink ref="N523" r:id="rId771"/>
    <hyperlink ref="K524" r:id="rId772"/>
    <hyperlink ref="N524" r:id="rId773"/>
    <hyperlink ref="K525" r:id="rId774"/>
    <hyperlink ref="N525" r:id="rId775"/>
    <hyperlink ref="K526" r:id="rId776"/>
    <hyperlink ref="N526" r:id="rId777"/>
    <hyperlink ref="K527" r:id="rId778"/>
    <hyperlink ref="N527" r:id="rId779"/>
    <hyperlink ref="K528" r:id="rId780"/>
    <hyperlink ref="N528" r:id="rId781"/>
    <hyperlink ref="N529" r:id="rId782"/>
    <hyperlink ref="N530" r:id="rId783"/>
    <hyperlink ref="N531" r:id="rId784"/>
    <hyperlink ref="N532" r:id="rId785"/>
    <hyperlink ref="N533" r:id="rId786"/>
    <hyperlink ref="N534" r:id="rId787"/>
    <hyperlink ref="N535" r:id="rId788"/>
    <hyperlink ref="N536" r:id="rId789"/>
    <hyperlink ref="K537" r:id="rId790"/>
    <hyperlink ref="N537" r:id="rId791"/>
    <hyperlink ref="N538" r:id="rId792"/>
    <hyperlink ref="N539" r:id="rId793"/>
    <hyperlink ref="N540" r:id="rId794"/>
    <hyperlink ref="N541" r:id="rId795"/>
    <hyperlink ref="N542" r:id="rId796"/>
    <hyperlink ref="N544" r:id="rId797"/>
    <hyperlink ref="N545" r:id="rId798"/>
    <hyperlink ref="K546" r:id="rId799"/>
    <hyperlink ref="N546" r:id="rId800"/>
    <hyperlink ref="K547" r:id="rId801"/>
    <hyperlink ref="N547" r:id="rId802"/>
    <hyperlink ref="N548" r:id="rId803"/>
    <hyperlink ref="N549" r:id="rId804"/>
    <hyperlink ref="N550" r:id="rId805"/>
    <hyperlink ref="N551" r:id="rId806"/>
    <hyperlink ref="N552" r:id="rId807"/>
    <hyperlink ref="N553" r:id="rId808"/>
    <hyperlink ref="N554" r:id="rId809"/>
    <hyperlink ref="N555" r:id="rId810"/>
    <hyperlink ref="N556" r:id="rId811"/>
    <hyperlink ref="N557" r:id="rId812"/>
    <hyperlink ref="N558" r:id="rId813"/>
    <hyperlink ref="N559" r:id="rId814"/>
    <hyperlink ref="N560" r:id="rId815"/>
    <hyperlink ref="N561" r:id="rId816"/>
    <hyperlink ref="N562" r:id="rId817"/>
    <hyperlink ref="N563" r:id="rId818"/>
    <hyperlink ref="N564" r:id="rId819"/>
    <hyperlink ref="N565" r:id="rId820"/>
    <hyperlink ref="N566" r:id="rId821"/>
    <hyperlink ref="N567" r:id="rId822"/>
    <hyperlink ref="N568" r:id="rId823"/>
    <hyperlink ref="N569" r:id="rId824"/>
    <hyperlink ref="N570" r:id="rId825"/>
    <hyperlink ref="N571" r:id="rId826"/>
    <hyperlink ref="N572" r:id="rId827"/>
    <hyperlink ref="N573" r:id="rId828"/>
    <hyperlink ref="N574" r:id="rId829"/>
    <hyperlink ref="K575" r:id="rId830"/>
    <hyperlink ref="N575" r:id="rId831"/>
    <hyperlink ref="N576" r:id="rId832"/>
    <hyperlink ref="K577" r:id="rId833"/>
    <hyperlink ref="N577" r:id="rId834"/>
    <hyperlink ref="K578" r:id="rId835"/>
    <hyperlink ref="N578" r:id="rId836"/>
    <hyperlink ref="K579" r:id="rId837"/>
    <hyperlink ref="N579" r:id="rId838"/>
    <hyperlink ref="K580" r:id="rId839"/>
    <hyperlink ref="N580" r:id="rId840"/>
    <hyperlink ref="K581" r:id="rId841"/>
    <hyperlink ref="N581" r:id="rId842"/>
    <hyperlink ref="K582" r:id="rId843"/>
    <hyperlink ref="N582" r:id="rId844"/>
    <hyperlink ref="K583" r:id="rId845"/>
    <hyperlink ref="N583" r:id="rId846"/>
    <hyperlink ref="N584" r:id="rId847"/>
    <hyperlink ref="N585" r:id="rId848"/>
    <hyperlink ref="N586" r:id="rId849"/>
    <hyperlink ref="N587" r:id="rId850"/>
    <hyperlink ref="N588" r:id="rId851"/>
    <hyperlink ref="N589" r:id="rId852"/>
    <hyperlink ref="N590" r:id="rId853"/>
    <hyperlink ref="N591" r:id="rId854"/>
    <hyperlink ref="N592" r:id="rId855"/>
    <hyperlink ref="N593" r:id="rId856"/>
    <hyperlink ref="N594" r:id="rId857"/>
    <hyperlink ref="N595" r:id="rId858"/>
    <hyperlink ref="N596" r:id="rId859"/>
    <hyperlink ref="N597" r:id="rId860"/>
    <hyperlink ref="N598" r:id="rId861"/>
    <hyperlink ref="N599" r:id="rId862"/>
    <hyperlink ref="N600" r:id="rId863"/>
    <hyperlink ref="N601" r:id="rId864"/>
    <hyperlink ref="N602" r:id="rId865"/>
    <hyperlink ref="N603" r:id="rId866"/>
    <hyperlink ref="N604" r:id="rId867"/>
    <hyperlink ref="N605" r:id="rId868"/>
    <hyperlink ref="N606" r:id="rId869"/>
    <hyperlink ref="N607" r:id="rId870"/>
    <hyperlink ref="N608" r:id="rId871"/>
    <hyperlink ref="N609" r:id="rId872"/>
    <hyperlink ref="N610" r:id="rId873"/>
    <hyperlink ref="N611" r:id="rId874"/>
    <hyperlink ref="N612" r:id="rId875"/>
    <hyperlink ref="N613" r:id="rId876"/>
    <hyperlink ref="N614" r:id="rId877"/>
    <hyperlink ref="N615" r:id="rId878"/>
    <hyperlink ref="K616" r:id="rId879"/>
    <hyperlink ref="N616" r:id="rId880"/>
    <hyperlink ref="K617" r:id="rId881"/>
    <hyperlink ref="N617" r:id="rId882"/>
    <hyperlink ref="N618" r:id="rId883"/>
    <hyperlink ref="K619" r:id="rId884"/>
    <hyperlink ref="N619" r:id="rId885"/>
    <hyperlink ref="N620" r:id="rId886"/>
    <hyperlink ref="N621" r:id="rId887"/>
    <hyperlink ref="N622" r:id="rId888"/>
    <hyperlink ref="N623" r:id="rId889"/>
    <hyperlink ref="K624" r:id="rId890"/>
    <hyperlink ref="N624" r:id="rId891"/>
    <hyperlink ref="K625" r:id="rId892"/>
    <hyperlink ref="N625" r:id="rId893"/>
    <hyperlink ref="K626" r:id="rId894"/>
    <hyperlink ref="N626" r:id="rId895"/>
    <hyperlink ref="K627" r:id="rId896"/>
    <hyperlink ref="N627" r:id="rId897"/>
    <hyperlink ref="K628" r:id="rId898"/>
    <hyperlink ref="N628" r:id="rId899"/>
    <hyperlink ref="K629" r:id="rId900"/>
    <hyperlink ref="N629" r:id="rId901"/>
    <hyperlink ref="N630" r:id="rId902"/>
    <hyperlink ref="N631" r:id="rId903"/>
    <hyperlink ref="N632" r:id="rId904"/>
    <hyperlink ref="N633" r:id="rId905"/>
    <hyperlink ref="N634" r:id="rId906"/>
    <hyperlink ref="N635" r:id="rId907"/>
    <hyperlink ref="N636" r:id="rId908"/>
    <hyperlink ref="N637" r:id="rId909"/>
    <hyperlink ref="N639" r:id="rId910"/>
    <hyperlink ref="K640" r:id="rId911"/>
    <hyperlink ref="N640" r:id="rId912"/>
    <hyperlink ref="N642" r:id="rId913"/>
    <hyperlink ref="N643" r:id="rId914"/>
    <hyperlink ref="N644" r:id="rId915"/>
    <hyperlink ref="N645" r:id="rId916"/>
    <hyperlink ref="N646" r:id="rId917"/>
    <hyperlink ref="K647" r:id="rId918"/>
    <hyperlink ref="N647" r:id="rId919"/>
    <hyperlink ref="N648" r:id="rId920"/>
    <hyperlink ref="K649" r:id="rId921"/>
    <hyperlink ref="N649" r:id="rId922"/>
    <hyperlink ref="N650" r:id="rId923"/>
    <hyperlink ref="K651" r:id="rId924"/>
    <hyperlink ref="N651" r:id="rId925"/>
    <hyperlink ref="K652" r:id="rId926"/>
    <hyperlink ref="N652" r:id="rId927"/>
    <hyperlink ref="K653" r:id="rId928"/>
    <hyperlink ref="N653" r:id="rId929"/>
    <hyperlink ref="K654" r:id="rId930"/>
    <hyperlink ref="N654" r:id="rId931"/>
    <hyperlink ref="N655" r:id="rId932"/>
    <hyperlink ref="N656" r:id="rId933"/>
    <hyperlink ref="N657" r:id="rId934"/>
    <hyperlink ref="N658" r:id="rId935"/>
    <hyperlink ref="N659" r:id="rId936"/>
    <hyperlink ref="N660" r:id="rId937"/>
    <hyperlink ref="N661" r:id="rId938"/>
    <hyperlink ref="N662" r:id="rId939"/>
    <hyperlink ref="N663" r:id="rId940"/>
    <hyperlink ref="N664" r:id="rId941"/>
    <hyperlink ref="N665" r:id="rId942"/>
    <hyperlink ref="N666" r:id="rId943"/>
    <hyperlink ref="N667" r:id="rId944"/>
    <hyperlink ref="N668" r:id="rId945"/>
    <hyperlink ref="N669" r:id="rId946"/>
    <hyperlink ref="N670" r:id="rId947"/>
    <hyperlink ref="N671" r:id="rId948"/>
    <hyperlink ref="N672" r:id="rId949"/>
    <hyperlink ref="N673" r:id="rId950"/>
    <hyperlink ref="N674" r:id="rId951"/>
    <hyperlink ref="N675" r:id="rId952"/>
    <hyperlink ref="N676" r:id="rId953"/>
    <hyperlink ref="K677" r:id="rId954"/>
    <hyperlink ref="N677" r:id="rId955"/>
    <hyperlink ref="N678" r:id="rId956"/>
    <hyperlink ref="N679" r:id="rId957"/>
    <hyperlink ref="N680" r:id="rId958"/>
    <hyperlink ref="K681" r:id="rId959"/>
    <hyperlink ref="N681" r:id="rId960"/>
    <hyperlink ref="K682" r:id="rId961"/>
    <hyperlink ref="N682" r:id="rId962"/>
    <hyperlink ref="N683" r:id="rId963"/>
    <hyperlink ref="N684" r:id="rId964"/>
    <hyperlink ref="N685" r:id="rId965"/>
    <hyperlink ref="N686" r:id="rId966"/>
    <hyperlink ref="N687" r:id="rId967"/>
    <hyperlink ref="N688" r:id="rId968"/>
    <hyperlink ref="N689" r:id="rId969"/>
    <hyperlink ref="N690" r:id="rId970"/>
    <hyperlink ref="N691" r:id="rId971"/>
    <hyperlink ref="N692" r:id="rId972"/>
    <hyperlink ref="N693" r:id="rId973"/>
    <hyperlink ref="N694" r:id="rId974"/>
    <hyperlink ref="N695" r:id="rId975"/>
    <hyperlink ref="K696" r:id="rId976"/>
    <hyperlink ref="N696" r:id="rId977"/>
    <hyperlink ref="N697" r:id="rId978"/>
    <hyperlink ref="N698" r:id="rId979"/>
    <hyperlink ref="N699" r:id="rId980"/>
    <hyperlink ref="N700" r:id="rId981"/>
    <hyperlink ref="N701" r:id="rId982"/>
    <hyperlink ref="N702" r:id="rId983"/>
    <hyperlink ref="N703" r:id="rId984"/>
    <hyperlink ref="N704" r:id="rId985"/>
    <hyperlink ref="N705" r:id="rId986"/>
    <hyperlink ref="N706" r:id="rId987"/>
    <hyperlink ref="N707" r:id="rId988"/>
    <hyperlink ref="N708" r:id="rId989"/>
    <hyperlink ref="N709" r:id="rId990"/>
    <hyperlink ref="N710" r:id="rId991"/>
    <hyperlink ref="K712" r:id="rId992"/>
    <hyperlink ref="N712" r:id="rId993"/>
    <hyperlink ref="K713" r:id="rId994"/>
    <hyperlink ref="N713" r:id="rId995"/>
    <hyperlink ref="K714" r:id="rId996"/>
    <hyperlink ref="N714" r:id="rId997"/>
    <hyperlink ref="N715" r:id="rId998"/>
    <hyperlink ref="N716" r:id="rId999"/>
    <hyperlink ref="K717" r:id="rId1000"/>
    <hyperlink ref="N717" r:id="rId1001"/>
    <hyperlink ref="K718" r:id="rId1002"/>
    <hyperlink ref="N718" r:id="rId1003"/>
    <hyperlink ref="N719" r:id="rId1004"/>
    <hyperlink ref="N720" r:id="rId1005"/>
    <hyperlink ref="N721" r:id="rId1006"/>
    <hyperlink ref="K722" r:id="rId1007"/>
    <hyperlink ref="N722" r:id="rId1008"/>
    <hyperlink ref="N723" r:id="rId1009"/>
    <hyperlink ref="N724" r:id="rId1010"/>
    <hyperlink ref="N725" r:id="rId1011"/>
    <hyperlink ref="K726" r:id="rId1012"/>
    <hyperlink ref="N726" r:id="rId1013"/>
    <hyperlink ref="K727" r:id="rId1014"/>
    <hyperlink ref="N727" r:id="rId1015"/>
    <hyperlink ref="N728" r:id="rId1016"/>
    <hyperlink ref="N729" r:id="rId1017"/>
    <hyperlink ref="N730" r:id="rId1018"/>
    <hyperlink ref="N731" r:id="rId1019"/>
    <hyperlink ref="N732" r:id="rId1020"/>
    <hyperlink ref="N733" r:id="rId1021"/>
    <hyperlink ref="N734" r:id="rId1022"/>
    <hyperlink ref="N735" r:id="rId1023"/>
    <hyperlink ref="N736" r:id="rId1024"/>
    <hyperlink ref="N737" r:id="rId1025"/>
    <hyperlink ref="N738" r:id="rId1026"/>
    <hyperlink ref="N739" r:id="rId1027"/>
    <hyperlink ref="N740" r:id="rId1028"/>
    <hyperlink ref="K741" r:id="rId1029"/>
    <hyperlink ref="N741" r:id="rId1030"/>
    <hyperlink ref="N742" r:id="rId1031"/>
    <hyperlink ref="N743" r:id="rId1032"/>
    <hyperlink ref="K745" r:id="rId1033"/>
    <hyperlink ref="N745" r:id="rId1034"/>
    <hyperlink ref="N746" r:id="rId1035"/>
    <hyperlink ref="N748" r:id="rId1036"/>
    <hyperlink ref="K749" r:id="rId1037"/>
    <hyperlink ref="N749" r:id="rId1038"/>
    <hyperlink ref="N750" r:id="rId1039"/>
    <hyperlink ref="N751" r:id="rId1040"/>
    <hyperlink ref="K752" r:id="rId1041"/>
    <hyperlink ref="N752" r:id="rId1042"/>
    <hyperlink ref="N753" r:id="rId1043"/>
    <hyperlink ref="N754" r:id="rId1044"/>
    <hyperlink ref="N756" r:id="rId1045"/>
    <hyperlink ref="N757" r:id="rId1046"/>
    <hyperlink ref="N758" r:id="rId1047"/>
    <hyperlink ref="N759" r:id="rId1048"/>
    <hyperlink ref="N761" r:id="rId1049"/>
    <hyperlink ref="N762" r:id="rId1050"/>
    <hyperlink ref="N763" r:id="rId1051"/>
    <hyperlink ref="N764" r:id="rId1052"/>
    <hyperlink ref="N765" r:id="rId1053"/>
    <hyperlink ref="N766" r:id="rId1054"/>
    <hyperlink ref="N767" r:id="rId1055"/>
    <hyperlink ref="N768" r:id="rId1056"/>
    <hyperlink ref="N769" r:id="rId1057"/>
    <hyperlink ref="N770" r:id="rId1058"/>
    <hyperlink ref="N771" r:id="rId1059"/>
    <hyperlink ref="N772" r:id="rId1060"/>
    <hyperlink ref="N773" r:id="rId1061"/>
    <hyperlink ref="N774" r:id="rId1062"/>
    <hyperlink ref="N775" r:id="rId1063"/>
    <hyperlink ref="N776" r:id="rId1064"/>
    <hyperlink ref="K777" r:id="rId1065"/>
    <hyperlink ref="L777" r:id="rId1066" display="%10, %15; %16, %21; %10, %15; %10, %15; %10, %15; %10, %15; %10, %15; %10, %15, %55, %60"/>
    <hyperlink ref="N777" r:id="rId1067"/>
    <hyperlink ref="K778" r:id="rId1068"/>
    <hyperlink ref="L778" r:id="rId1069" display="%15; %21; %15; %15; %15; %15; %15; %15, %60"/>
    <hyperlink ref="N778" r:id="rId1070"/>
    <hyperlink ref="K779" r:id="rId1071"/>
    <hyperlink ref="L779" r:id="rId1072" display="%19, %24; %19, %24; %25, %30; %19, %24; %19, %24; %19, %24; %19, %24; %19, %24, %64, %69"/>
    <hyperlink ref="N779" r:id="rId1073"/>
    <hyperlink ref="K780" r:id="rId1074"/>
    <hyperlink ref="L780" r:id="rId1075" display="%24; %24; %30; %24; %24; %24; %24; %24, %69"/>
    <hyperlink ref="N780" r:id="rId1076"/>
    <hyperlink ref="K781" r:id="rId1077"/>
    <hyperlink ref="N781" r:id="rId1078"/>
    <hyperlink ref="N782" r:id="rId1079"/>
    <hyperlink ref="N783" r:id="rId1080"/>
    <hyperlink ref="N784" r:id="rId1081"/>
    <hyperlink ref="N785" r:id="rId1082"/>
    <hyperlink ref="N786" r:id="rId1083"/>
    <hyperlink ref="N787" r:id="rId1084"/>
    <hyperlink ref="N788" r:id="rId1085"/>
    <hyperlink ref="K789" r:id="rId1086"/>
    <hyperlink ref="N789" r:id="rId1087"/>
    <hyperlink ref="K790" r:id="rId1088"/>
    <hyperlink ref="N790" r:id="rId1089"/>
    <hyperlink ref="K791" r:id="rId1090"/>
    <hyperlink ref="N791" r:id="rId1091"/>
    <hyperlink ref="N792" r:id="rId1092"/>
    <hyperlink ref="N793" r:id="rId1093"/>
    <hyperlink ref="N794" r:id="rId1094"/>
    <hyperlink ref="N795" r:id="rId1095"/>
    <hyperlink ref="N796" r:id="rId1096"/>
    <hyperlink ref="N797" r:id="rId1097"/>
    <hyperlink ref="N798" r:id="rId1098"/>
    <hyperlink ref="N799" r:id="rId1099"/>
    <hyperlink ref="N800" r:id="rId1100"/>
    <hyperlink ref="N801" r:id="rId1101"/>
    <hyperlink ref="N802" r:id="rId1102"/>
    <hyperlink ref="N803" r:id="rId1103"/>
    <hyperlink ref="N804" r:id="rId1104"/>
    <hyperlink ref="N805" r:id="rId1105"/>
    <hyperlink ref="N806" r:id="rId1106"/>
    <hyperlink ref="N807" r:id="rId1107"/>
    <hyperlink ref="N808" r:id="rId1108"/>
    <hyperlink ref="N809" r:id="rId1109"/>
    <hyperlink ref="N810" r:id="rId1110"/>
    <hyperlink ref="N811" r:id="rId1111"/>
    <hyperlink ref="N813" r:id="rId1112"/>
    <hyperlink ref="N814" r:id="rId1113"/>
    <hyperlink ref="N815" r:id="rId1114"/>
    <hyperlink ref="N816" r:id="rId1115"/>
    <hyperlink ref="N817" r:id="rId1116"/>
    <hyperlink ref="K818" r:id="rId1117"/>
    <hyperlink ref="N818" r:id="rId1118"/>
    <hyperlink ref="N819" r:id="rId1119"/>
    <hyperlink ref="N821" r:id="rId1120"/>
    <hyperlink ref="N822" r:id="rId1121"/>
    <hyperlink ref="N823" r:id="rId1122"/>
    <hyperlink ref="N824" r:id="rId1123"/>
    <hyperlink ref="N825" r:id="rId1124"/>
    <hyperlink ref="N826" r:id="rId1125"/>
    <hyperlink ref="N827" r:id="rId1126"/>
    <hyperlink ref="N828" r:id="rId1127"/>
    <hyperlink ref="N830" r:id="rId1128"/>
    <hyperlink ref="N831" r:id="rId1129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CY22"/>
  <sheetViews>
    <sheetView workbookViewId="0">
      <pane ySplit="11" topLeftCell="A12" activePane="bottomLeft" state="frozen"/>
      <selection pane="bottomLeft" activeCell="A12" sqref="A12"/>
    </sheetView>
  </sheetViews>
  <sheetFormatPr defaultColWidth="8.85546875" defaultRowHeight="15.75"/>
  <cols>
    <col min="1" max="1" width="10.7109375" customWidth="1"/>
    <col min="2" max="2" width="18" customWidth="1"/>
    <col min="3" max="5" width="23.28515625" style="56" customWidth="1"/>
    <col min="6" max="6" width="18.42578125" style="26" customWidth="1"/>
    <col min="7" max="7" width="9.42578125" style="50" customWidth="1"/>
    <col min="8" max="9" width="13.28515625" style="56" customWidth="1"/>
    <col min="10" max="12" width="25.7109375" customWidth="1"/>
    <col min="13" max="13" width="80.7109375" customWidth="1"/>
    <col min="14" max="15" width="25.7109375" customWidth="1"/>
    <col min="16" max="16" width="55.28515625" bestFit="1" customWidth="1"/>
    <col min="17" max="17" width="9.42578125" bestFit="1" customWidth="1"/>
    <col min="18" max="18" width="12.28515625" style="20" bestFit="1" customWidth="1"/>
    <col min="19" max="19" width="19.42578125" style="17" customWidth="1"/>
    <col min="20" max="20" width="9.42578125" style="50" customWidth="1"/>
    <col min="21" max="21" width="13" style="51" customWidth="1"/>
    <col min="22" max="29" width="16.85546875" style="23" customWidth="1"/>
    <col min="30" max="35" width="17.42578125" style="23" customWidth="1"/>
    <col min="36" max="41" width="13.7109375" style="56" customWidth="1"/>
    <col min="42" max="56" width="23.28515625" style="26" customWidth="1"/>
    <col min="57" max="57" width="10.140625" bestFit="1" customWidth="1"/>
    <col min="58" max="198" width="25.7109375" style="28" customWidth="1"/>
    <col min="199" max="16384" width="8.85546875" style="28"/>
  </cols>
  <sheetData>
    <row r="1" spans="1:103" ht="24.75">
      <c r="A1" s="58" t="s">
        <v>6110</v>
      </c>
      <c r="B1" s="28"/>
      <c r="C1" s="61"/>
      <c r="D1" s="61"/>
      <c r="E1" s="61"/>
      <c r="F1" s="59"/>
      <c r="G1" s="28"/>
      <c r="H1" s="61"/>
      <c r="I1" s="61"/>
      <c r="J1" s="60"/>
      <c r="K1" s="61"/>
      <c r="L1" s="58"/>
      <c r="M1" s="62"/>
      <c r="N1" s="61"/>
      <c r="O1" s="62"/>
      <c r="P1" s="63"/>
      <c r="Q1" s="64"/>
      <c r="R1" s="65"/>
      <c r="S1" s="65"/>
      <c r="T1" s="28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66"/>
    </row>
    <row r="2" spans="1:103" ht="6.75" customHeight="1">
      <c r="A2" s="58"/>
      <c r="B2" s="28"/>
      <c r="C2" s="61"/>
      <c r="D2" s="61"/>
      <c r="E2" s="61"/>
      <c r="F2" s="59"/>
      <c r="G2" s="28"/>
      <c r="H2" s="61"/>
      <c r="I2" s="61"/>
      <c r="J2" s="60"/>
      <c r="K2" s="61"/>
      <c r="L2" s="67"/>
      <c r="M2" s="62"/>
      <c r="N2" s="61"/>
      <c r="O2" s="62"/>
      <c r="P2" s="63"/>
      <c r="Q2" s="64"/>
      <c r="R2" s="65"/>
      <c r="S2" s="65"/>
      <c r="T2" s="28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66"/>
    </row>
    <row r="3" spans="1:103" ht="22.5">
      <c r="A3" s="58" t="s">
        <v>4937</v>
      </c>
      <c r="B3" s="28"/>
      <c r="C3" s="61"/>
      <c r="D3" s="61"/>
      <c r="E3" s="61"/>
      <c r="F3" s="59"/>
      <c r="G3" s="28"/>
      <c r="H3" s="61"/>
      <c r="I3" s="61"/>
      <c r="J3" s="60"/>
      <c r="K3" s="61"/>
      <c r="L3" s="58"/>
      <c r="M3" s="62"/>
      <c r="N3" s="61"/>
      <c r="O3" s="62"/>
      <c r="P3" s="63"/>
      <c r="Q3" s="64"/>
      <c r="R3" s="65"/>
      <c r="S3" s="65"/>
      <c r="T3" s="28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  <c r="BF3" s="59"/>
      <c r="BG3" s="59"/>
      <c r="BH3" s="59"/>
      <c r="BI3" s="59"/>
      <c r="BJ3" s="59"/>
      <c r="BK3" s="59"/>
      <c r="BL3" s="59"/>
      <c r="BM3" s="59"/>
      <c r="BN3" s="59"/>
      <c r="BO3" s="59"/>
      <c r="BP3" s="59"/>
      <c r="BQ3" s="59"/>
      <c r="BR3" s="59"/>
      <c r="BS3" s="59"/>
      <c r="BT3" s="59"/>
      <c r="BU3" s="59"/>
      <c r="BV3" s="59"/>
      <c r="BW3" s="59"/>
      <c r="BX3" s="59"/>
      <c r="BY3" s="59"/>
      <c r="BZ3" s="59"/>
      <c r="CA3" s="59"/>
      <c r="CB3" s="59"/>
      <c r="CC3" s="59"/>
      <c r="CD3" s="59"/>
      <c r="CE3" s="59"/>
      <c r="CF3" s="59"/>
      <c r="CG3" s="59"/>
      <c r="CH3" s="59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59"/>
      <c r="CX3" s="59"/>
      <c r="CY3" s="66"/>
    </row>
    <row r="4" spans="1:103" ht="6.75" customHeight="1">
      <c r="A4" s="58"/>
      <c r="B4" s="28"/>
      <c r="C4" s="61"/>
      <c r="D4" s="61"/>
      <c r="E4" s="61"/>
      <c r="F4" s="59"/>
      <c r="G4" s="28"/>
      <c r="H4" s="61"/>
      <c r="I4" s="61"/>
      <c r="J4" s="60"/>
      <c r="K4" s="61"/>
      <c r="L4" s="67"/>
      <c r="M4" s="62"/>
      <c r="N4" s="61"/>
      <c r="O4" s="62"/>
      <c r="P4" s="63"/>
      <c r="Q4" s="64"/>
      <c r="R4" s="65"/>
      <c r="S4" s="65"/>
      <c r="T4" s="28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/>
      <c r="BT4" s="59"/>
      <c r="BU4" s="59"/>
      <c r="BV4" s="59"/>
      <c r="BW4" s="59"/>
      <c r="BX4" s="59"/>
      <c r="BY4" s="59"/>
      <c r="BZ4" s="59"/>
      <c r="CA4" s="59"/>
      <c r="CB4" s="59"/>
      <c r="CC4" s="59"/>
      <c r="CD4" s="59"/>
      <c r="CE4" s="59"/>
      <c r="CF4" s="59"/>
      <c r="CG4" s="59"/>
      <c r="CH4" s="59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59"/>
      <c r="CX4" s="59"/>
      <c r="CY4" s="66"/>
    </row>
    <row r="5" spans="1:103" ht="22.5">
      <c r="A5" s="58" t="s">
        <v>4938</v>
      </c>
      <c r="B5" s="28"/>
      <c r="C5" s="61"/>
      <c r="D5" s="61"/>
      <c r="E5" s="61"/>
      <c r="F5" s="59"/>
      <c r="G5" s="28"/>
      <c r="H5" s="61"/>
      <c r="I5" s="61"/>
      <c r="J5" s="60"/>
      <c r="K5" s="61"/>
      <c r="L5" s="58"/>
      <c r="M5" s="62"/>
      <c r="N5" s="61"/>
      <c r="O5" s="62"/>
      <c r="P5" s="63"/>
      <c r="Q5" s="64"/>
      <c r="R5" s="65"/>
      <c r="S5" s="65"/>
      <c r="T5" s="28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72" t="s">
        <v>4939</v>
      </c>
      <c r="AJ5" s="74">
        <v>17.244517526999573</v>
      </c>
      <c r="AK5" s="74">
        <v>22.450234952922813</v>
      </c>
      <c r="AL5" s="74">
        <v>12.519267601335596</v>
      </c>
      <c r="AM5" s="74">
        <v>11.017780207365083</v>
      </c>
      <c r="AN5" s="74">
        <v>10.934274519104473</v>
      </c>
      <c r="AO5" s="74">
        <v>10.947225436000362</v>
      </c>
      <c r="AP5" s="59"/>
      <c r="AQ5" s="59"/>
      <c r="AR5" s="72" t="s">
        <v>4939</v>
      </c>
      <c r="AS5" s="73">
        <v>0.19768955268610056</v>
      </c>
      <c r="AT5" s="73">
        <v>6.7824216983149707E-2</v>
      </c>
      <c r="AU5" s="73">
        <v>0.30375091423579292</v>
      </c>
      <c r="AV5" s="59"/>
      <c r="AW5" s="59"/>
      <c r="AX5" s="59"/>
      <c r="AY5" s="59"/>
      <c r="AZ5" s="59"/>
      <c r="BA5" s="59"/>
      <c r="BB5" s="59"/>
      <c r="BC5" s="59"/>
      <c r="BD5" s="59"/>
      <c r="BE5" s="62"/>
      <c r="BF5" s="62"/>
      <c r="BG5" s="62"/>
      <c r="BH5" s="62"/>
      <c r="BI5" s="62"/>
      <c r="BJ5" s="62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66"/>
    </row>
    <row r="6" spans="1:103" ht="6.75" customHeight="1">
      <c r="A6" s="58"/>
      <c r="B6" s="28"/>
      <c r="C6" s="61"/>
      <c r="D6" s="61"/>
      <c r="E6" s="61"/>
      <c r="F6" s="59"/>
      <c r="G6" s="28"/>
      <c r="H6" s="61"/>
      <c r="I6" s="61"/>
      <c r="J6" s="60"/>
      <c r="K6" s="61"/>
      <c r="L6" s="67"/>
      <c r="M6" s="62"/>
      <c r="N6" s="61"/>
      <c r="O6" s="62"/>
      <c r="P6" s="63"/>
      <c r="Q6" s="64"/>
      <c r="R6" s="65"/>
      <c r="S6" s="65"/>
      <c r="T6" s="28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66"/>
    </row>
    <row r="7" spans="1:103" s="68" customFormat="1" ht="22.5">
      <c r="A7" s="58" t="s">
        <v>6111</v>
      </c>
      <c r="C7" s="61"/>
      <c r="D7" s="61"/>
      <c r="E7" s="61"/>
      <c r="F7" s="59"/>
      <c r="H7" s="61"/>
      <c r="I7" s="61"/>
      <c r="J7" s="60"/>
      <c r="K7" s="61"/>
      <c r="L7" s="58"/>
      <c r="M7" s="62"/>
      <c r="N7" s="61"/>
      <c r="O7" s="62"/>
      <c r="P7" s="69"/>
      <c r="Q7" s="64"/>
      <c r="R7" s="65"/>
      <c r="S7" s="65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70"/>
      <c r="BF7" s="70"/>
      <c r="BG7" s="70"/>
      <c r="BH7" s="70"/>
      <c r="BI7" s="70"/>
      <c r="BJ7" s="70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62">
        <v>0.33517907322044571</v>
      </c>
      <c r="CE7" s="62">
        <v>0.4027367362268216</v>
      </c>
      <c r="CF7" s="62">
        <v>5.3931660701846823E-2</v>
      </c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71"/>
    </row>
    <row r="8" spans="1:103" ht="6.75" customHeight="1">
      <c r="A8" s="28"/>
      <c r="B8" s="17"/>
      <c r="C8" s="61"/>
      <c r="D8" s="61"/>
      <c r="E8" s="61"/>
      <c r="F8" s="59"/>
      <c r="G8" s="28"/>
      <c r="H8" s="61"/>
      <c r="I8" s="61"/>
      <c r="J8" s="60"/>
      <c r="K8" s="61"/>
      <c r="L8" s="67"/>
      <c r="M8" s="62"/>
      <c r="N8" s="61"/>
      <c r="O8" s="62"/>
      <c r="P8" s="63"/>
      <c r="Q8" s="64"/>
      <c r="R8" s="65"/>
      <c r="S8" s="65"/>
      <c r="T8" s="28"/>
      <c r="U8" s="59"/>
      <c r="V8" s="59"/>
      <c r="W8" s="59"/>
      <c r="X8" s="59"/>
      <c r="Y8" s="59"/>
      <c r="Z8" s="59"/>
      <c r="AA8" s="59"/>
      <c r="AB8" s="59"/>
      <c r="AC8" s="59"/>
      <c r="AD8" s="59"/>
      <c r="AE8" s="59"/>
      <c r="AF8" s="59"/>
      <c r="AG8" s="59"/>
      <c r="AH8" s="59"/>
      <c r="AI8" s="59"/>
      <c r="AJ8" s="59"/>
      <c r="AK8" s="59"/>
      <c r="AL8" s="59"/>
      <c r="AM8" s="59"/>
      <c r="AN8" s="59"/>
      <c r="AO8" s="59"/>
      <c r="AP8" s="59"/>
      <c r="AQ8" s="59"/>
      <c r="AR8" s="59"/>
      <c r="AS8" s="59"/>
      <c r="AT8" s="59"/>
      <c r="AU8" s="59"/>
      <c r="AV8" s="59"/>
      <c r="AW8" s="59"/>
      <c r="AX8" s="59"/>
      <c r="AY8" s="59"/>
      <c r="AZ8" s="59"/>
      <c r="BA8" s="59"/>
      <c r="BB8" s="59"/>
      <c r="BC8" s="59"/>
      <c r="BD8" s="59"/>
      <c r="BE8" s="59"/>
      <c r="BF8" s="59"/>
      <c r="BG8" s="59"/>
      <c r="BH8" s="59"/>
      <c r="BI8" s="59"/>
      <c r="BJ8" s="59"/>
      <c r="BK8" s="59"/>
      <c r="BL8" s="59"/>
      <c r="BM8" s="59"/>
      <c r="BN8" s="59"/>
      <c r="BO8" s="59"/>
      <c r="BP8" s="59"/>
      <c r="BQ8" s="59"/>
      <c r="BR8" s="59"/>
      <c r="BS8" s="59"/>
      <c r="BT8" s="59"/>
      <c r="BU8" s="59"/>
      <c r="BV8" s="59"/>
      <c r="BW8" s="59"/>
      <c r="BX8" s="59"/>
      <c r="BY8" s="59"/>
      <c r="BZ8" s="59"/>
      <c r="CA8" s="59"/>
      <c r="CB8" s="59"/>
      <c r="CC8" s="59"/>
      <c r="CD8" s="59"/>
      <c r="CE8" s="59"/>
      <c r="CF8" s="59"/>
      <c r="CG8" s="59"/>
      <c r="CH8" s="59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59"/>
      <c r="CX8" s="59"/>
      <c r="CY8" s="66"/>
    </row>
    <row r="9" spans="1:103" ht="6.75" customHeight="1">
      <c r="A9" s="28"/>
      <c r="B9" s="17"/>
      <c r="C9" s="61"/>
      <c r="D9" s="61"/>
      <c r="E9" s="61"/>
      <c r="F9" s="59"/>
      <c r="G9" s="28"/>
      <c r="H9" s="61"/>
      <c r="I9" s="61"/>
      <c r="J9" s="60"/>
      <c r="K9" s="61"/>
      <c r="L9" s="67"/>
      <c r="M9" s="62"/>
      <c r="N9" s="61"/>
      <c r="O9" s="62"/>
      <c r="P9" s="63"/>
      <c r="Q9" s="64"/>
      <c r="R9" s="65"/>
      <c r="S9" s="65"/>
      <c r="T9" s="28"/>
      <c r="U9" s="59"/>
      <c r="V9" s="59"/>
      <c r="W9" s="59"/>
      <c r="X9" s="59"/>
      <c r="Y9" s="59"/>
      <c r="Z9" s="59"/>
      <c r="AA9" s="59"/>
      <c r="AB9" s="59"/>
      <c r="AC9" s="59"/>
      <c r="AD9" s="59"/>
      <c r="AE9" s="59"/>
      <c r="AF9" s="59"/>
      <c r="AG9" s="59"/>
      <c r="AH9" s="59"/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/>
      <c r="BD9" s="59"/>
      <c r="BE9" s="59"/>
      <c r="BF9" s="59"/>
      <c r="BG9" s="59"/>
      <c r="BH9" s="59"/>
      <c r="BI9" s="59"/>
      <c r="BJ9" s="59"/>
      <c r="BK9" s="59"/>
      <c r="BL9" s="59"/>
      <c r="BM9" s="59"/>
      <c r="BN9" s="59"/>
      <c r="BO9" s="59"/>
      <c r="BP9" s="59"/>
      <c r="BQ9" s="59"/>
      <c r="BR9" s="59"/>
      <c r="BS9" s="59"/>
      <c r="BT9" s="59"/>
      <c r="BU9" s="59"/>
      <c r="BV9" s="59"/>
      <c r="BW9" s="59"/>
      <c r="BX9" s="59"/>
      <c r="BY9" s="59"/>
      <c r="BZ9" s="59"/>
      <c r="CA9" s="59"/>
      <c r="CB9" s="59"/>
      <c r="CC9" s="59"/>
      <c r="CD9" s="59"/>
      <c r="CE9" s="59"/>
      <c r="CF9" s="59"/>
      <c r="CG9" s="59"/>
      <c r="CH9" s="59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59"/>
      <c r="CX9" s="59"/>
      <c r="CY9" s="66"/>
    </row>
    <row r="10" spans="1:103" s="29" customFormat="1" ht="33.950000000000003" customHeight="1">
      <c r="A10" s="75"/>
      <c r="B10" s="75"/>
      <c r="C10" s="125" t="s">
        <v>4877</v>
      </c>
      <c r="D10" s="125"/>
      <c r="E10" s="125"/>
      <c r="F10" s="76"/>
      <c r="G10" s="77"/>
      <c r="H10" s="125" t="s">
        <v>4945</v>
      </c>
      <c r="I10" s="125"/>
      <c r="J10" s="75"/>
      <c r="K10" s="75"/>
      <c r="L10" s="75"/>
      <c r="M10" s="75"/>
      <c r="N10" s="75"/>
      <c r="O10" s="75"/>
      <c r="P10" s="75"/>
      <c r="Q10" s="75"/>
      <c r="R10" s="78"/>
      <c r="S10" s="79"/>
      <c r="T10" s="77"/>
      <c r="U10" s="80"/>
      <c r="V10" s="126" t="s">
        <v>4866</v>
      </c>
      <c r="W10" s="126"/>
      <c r="X10" s="126"/>
      <c r="Y10" s="126"/>
      <c r="Z10" s="126"/>
      <c r="AA10" s="126"/>
      <c r="AB10" s="126"/>
      <c r="AC10" s="126"/>
      <c r="AD10" s="127" t="s">
        <v>4926</v>
      </c>
      <c r="AE10" s="127"/>
      <c r="AF10" s="127"/>
      <c r="AG10" s="127"/>
      <c r="AH10" s="127"/>
      <c r="AI10" s="127"/>
      <c r="AJ10" s="125" t="s">
        <v>5331</v>
      </c>
      <c r="AK10" s="125"/>
      <c r="AL10" s="125" t="s">
        <v>5332</v>
      </c>
      <c r="AM10" s="125"/>
      <c r="AN10" s="125"/>
      <c r="AO10" s="125"/>
      <c r="AP10" s="124" t="s">
        <v>4940</v>
      </c>
      <c r="AQ10" s="124"/>
      <c r="AR10" s="124"/>
      <c r="AS10" s="123" t="s">
        <v>4875</v>
      </c>
      <c r="AT10" s="123"/>
      <c r="AU10" s="123"/>
      <c r="AV10" s="122" t="s">
        <v>4876</v>
      </c>
      <c r="AW10" s="122"/>
      <c r="AX10" s="122"/>
      <c r="AY10" s="123" t="s">
        <v>0</v>
      </c>
      <c r="AZ10" s="123"/>
      <c r="BA10" s="123"/>
      <c r="BB10" s="124" t="s">
        <v>4877</v>
      </c>
      <c r="BC10" s="124"/>
      <c r="BD10" s="124"/>
      <c r="BE10" s="75"/>
    </row>
    <row r="11" spans="1:103" s="29" customFormat="1" ht="33.950000000000003" customHeight="1">
      <c r="A11" s="81" t="s">
        <v>9</v>
      </c>
      <c r="B11" s="81" t="s">
        <v>10</v>
      </c>
      <c r="C11" s="82" t="s">
        <v>4941</v>
      </c>
      <c r="D11" s="82" t="s">
        <v>4942</v>
      </c>
      <c r="E11" s="82" t="s">
        <v>4943</v>
      </c>
      <c r="F11" s="83" t="s">
        <v>4944</v>
      </c>
      <c r="G11" s="84" t="s">
        <v>1</v>
      </c>
      <c r="H11" s="82" t="s">
        <v>4946</v>
      </c>
      <c r="I11" s="82" t="s">
        <v>4947</v>
      </c>
      <c r="J11" s="81" t="s">
        <v>4879</v>
      </c>
      <c r="K11" s="81" t="s">
        <v>4880</v>
      </c>
      <c r="L11" s="81" t="s">
        <v>4881</v>
      </c>
      <c r="M11" s="81" t="s">
        <v>4882</v>
      </c>
      <c r="N11" s="81" t="s">
        <v>4883</v>
      </c>
      <c r="O11" s="81" t="s">
        <v>4884</v>
      </c>
      <c r="P11" s="81" t="s">
        <v>4887</v>
      </c>
      <c r="Q11" s="81" t="s">
        <v>4888</v>
      </c>
      <c r="R11" s="85" t="s">
        <v>4889</v>
      </c>
      <c r="S11" s="81" t="s">
        <v>11</v>
      </c>
      <c r="T11" s="84" t="s">
        <v>1</v>
      </c>
      <c r="U11" s="86" t="s">
        <v>13</v>
      </c>
      <c r="V11" s="87" t="s">
        <v>4890</v>
      </c>
      <c r="W11" s="87" t="s">
        <v>4891</v>
      </c>
      <c r="X11" s="87" t="s">
        <v>4892</v>
      </c>
      <c r="Y11" s="87" t="s">
        <v>4893</v>
      </c>
      <c r="Z11" s="87" t="s">
        <v>4928</v>
      </c>
      <c r="AA11" s="87" t="s">
        <v>4929</v>
      </c>
      <c r="AB11" s="87" t="s">
        <v>4930</v>
      </c>
      <c r="AC11" s="87" t="s">
        <v>4931</v>
      </c>
      <c r="AD11" s="87" t="s">
        <v>4927</v>
      </c>
      <c r="AE11" s="87" t="s">
        <v>4932</v>
      </c>
      <c r="AF11" s="87" t="s">
        <v>4933</v>
      </c>
      <c r="AG11" s="87" t="s">
        <v>4934</v>
      </c>
      <c r="AH11" s="87" t="s">
        <v>4935</v>
      </c>
      <c r="AI11" s="87" t="s">
        <v>4936</v>
      </c>
      <c r="AJ11" s="82" t="s">
        <v>4927</v>
      </c>
      <c r="AK11" s="82" t="s">
        <v>4932</v>
      </c>
      <c r="AL11" s="82" t="s">
        <v>4933</v>
      </c>
      <c r="AM11" s="82" t="s">
        <v>4934</v>
      </c>
      <c r="AN11" s="82" t="s">
        <v>4935</v>
      </c>
      <c r="AO11" s="82" t="s">
        <v>4936</v>
      </c>
      <c r="AP11" s="83" t="s">
        <v>4941</v>
      </c>
      <c r="AQ11" s="83" t="s">
        <v>4942</v>
      </c>
      <c r="AR11" s="83" t="s">
        <v>4943</v>
      </c>
      <c r="AS11" s="83" t="s">
        <v>4941</v>
      </c>
      <c r="AT11" s="83" t="s">
        <v>4942</v>
      </c>
      <c r="AU11" s="83" t="s">
        <v>4943</v>
      </c>
      <c r="AV11" s="83" t="s">
        <v>4941</v>
      </c>
      <c r="AW11" s="83" t="s">
        <v>4942</v>
      </c>
      <c r="AX11" s="83" t="s">
        <v>4943</v>
      </c>
      <c r="AY11" s="83" t="s">
        <v>4941</v>
      </c>
      <c r="AZ11" s="83" t="s">
        <v>4942</v>
      </c>
      <c r="BA11" s="83" t="s">
        <v>4943</v>
      </c>
      <c r="BB11" s="83" t="s">
        <v>4941</v>
      </c>
      <c r="BC11" s="83" t="s">
        <v>4942</v>
      </c>
      <c r="BD11" s="83" t="s">
        <v>4943</v>
      </c>
      <c r="BE11" s="81" t="s">
        <v>4856</v>
      </c>
    </row>
    <row r="12" spans="1:103" s="30" customFormat="1" ht="17.100000000000001" customHeight="1">
      <c r="A12" s="31">
        <v>1</v>
      </c>
      <c r="B12" s="11" t="s">
        <v>4715</v>
      </c>
      <c r="C12" s="57"/>
      <c r="D12" s="57"/>
      <c r="E12" s="57"/>
      <c r="F12" s="27"/>
      <c r="G12" s="54"/>
      <c r="H12" s="57"/>
      <c r="I12" s="57"/>
      <c r="J12" s="13"/>
      <c r="K12" s="13"/>
      <c r="L12" s="13"/>
      <c r="M12" s="13"/>
      <c r="N12" s="13"/>
      <c r="O12" s="13"/>
      <c r="P12" s="13"/>
      <c r="Q12" s="13"/>
      <c r="R12" s="22"/>
      <c r="S12" s="18"/>
      <c r="T12" s="54"/>
      <c r="U12" s="5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57"/>
      <c r="AK12" s="57"/>
      <c r="AL12" s="57"/>
      <c r="AM12" s="57"/>
      <c r="AN12" s="57"/>
      <c r="AO12" s="5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13"/>
    </row>
    <row r="13" spans="1:103" s="30" customFormat="1" ht="17.100000000000001" customHeight="1">
      <c r="A13" s="14">
        <v>2</v>
      </c>
      <c r="B13" s="14" t="s">
        <v>4512</v>
      </c>
      <c r="C13" s="32">
        <v>-1.357200415064381</v>
      </c>
      <c r="D13" s="32">
        <v>1.4041418314718916</v>
      </c>
      <c r="E13" s="32">
        <v>-2.7328355465620437</v>
      </c>
      <c r="F13" s="42">
        <v>947384.5</v>
      </c>
      <c r="G13" s="52" t="s">
        <v>4894</v>
      </c>
      <c r="H13" s="32">
        <v>39.80181198845726</v>
      </c>
      <c r="I13" s="32">
        <v>20.461343226247482</v>
      </c>
      <c r="J13" s="12" t="s">
        <v>4513</v>
      </c>
      <c r="K13" s="15" t="s">
        <v>4514</v>
      </c>
      <c r="L13" s="14" t="s">
        <v>4949</v>
      </c>
      <c r="M13" s="12" t="s">
        <v>4515</v>
      </c>
      <c r="N13" s="15" t="s">
        <v>4516</v>
      </c>
      <c r="O13" s="12" t="s">
        <v>4402</v>
      </c>
      <c r="P13" s="12" t="s">
        <v>4404</v>
      </c>
      <c r="Q13" s="14">
        <v>2</v>
      </c>
      <c r="R13" s="21">
        <v>500.2484</v>
      </c>
      <c r="S13" s="14">
        <v>4</v>
      </c>
      <c r="T13" s="52" t="s">
        <v>4894</v>
      </c>
      <c r="U13" s="53">
        <v>33.036125000000006</v>
      </c>
      <c r="V13" s="42">
        <v>508581</v>
      </c>
      <c r="W13" s="42">
        <v>680642</v>
      </c>
      <c r="X13" s="42">
        <v>1039581</v>
      </c>
      <c r="Y13" s="42">
        <v>855188</v>
      </c>
      <c r="Z13" s="42">
        <v>862081</v>
      </c>
      <c r="AA13" s="42">
        <v>888134</v>
      </c>
      <c r="AB13" s="42">
        <v>454383</v>
      </c>
      <c r="AC13" s="42">
        <v>401434</v>
      </c>
      <c r="AD13" s="42">
        <v>770998</v>
      </c>
      <c r="AE13" s="42">
        <v>651508</v>
      </c>
      <c r="AF13" s="42">
        <v>594611.5</v>
      </c>
      <c r="AG13" s="42">
        <v>947384.5</v>
      </c>
      <c r="AH13" s="42">
        <v>875107.5</v>
      </c>
      <c r="AI13" s="42">
        <v>427908.5</v>
      </c>
      <c r="AJ13" s="32">
        <v>29.600459896797055</v>
      </c>
      <c r="AK13" s="32">
        <v>39.80181198845726</v>
      </c>
      <c r="AL13" s="32">
        <v>20.461343226247482</v>
      </c>
      <c r="AM13" s="32">
        <v>13.762684602010172</v>
      </c>
      <c r="AN13" s="32">
        <v>2.1051417077619745</v>
      </c>
      <c r="AO13" s="32">
        <v>8.7496735767217775</v>
      </c>
      <c r="AP13" s="19">
        <v>0.84501905322711601</v>
      </c>
      <c r="AQ13" s="19">
        <v>1.4717298605896456</v>
      </c>
      <c r="AR13" s="19">
        <v>0.45167352854094617</v>
      </c>
      <c r="AS13" s="19">
        <v>-0.24294422368617888</v>
      </c>
      <c r="AT13" s="19">
        <v>0.55751288569296409</v>
      </c>
      <c r="AU13" s="19">
        <v>-1.1466477313926455</v>
      </c>
      <c r="AV13" s="19">
        <v>-0.44063377637227941</v>
      </c>
      <c r="AW13" s="19">
        <v>0.48968866870981437</v>
      </c>
      <c r="AX13" s="19">
        <v>-1.4503986456284386</v>
      </c>
      <c r="AY13" s="19">
        <v>-1.1834052690066739</v>
      </c>
      <c r="AZ13" s="19">
        <v>1.4717298605896456</v>
      </c>
      <c r="BA13" s="19">
        <v>-2.2139885045517906</v>
      </c>
      <c r="BB13" s="19">
        <v>-1.357200415064381</v>
      </c>
      <c r="BC13" s="19">
        <v>1.4041418314718916</v>
      </c>
      <c r="BD13" s="19">
        <v>-2.7328355465620437</v>
      </c>
      <c r="BE13" s="14" t="s">
        <v>4857</v>
      </c>
    </row>
    <row r="14" spans="1:103" s="30" customFormat="1" ht="17.100000000000001" customHeight="1">
      <c r="A14" s="14">
        <v>3</v>
      </c>
      <c r="B14" s="14" t="s">
        <v>4554</v>
      </c>
      <c r="C14" s="32">
        <v>3.2749291793156048</v>
      </c>
      <c r="D14" s="32">
        <v>2.8431066909989031</v>
      </c>
      <c r="E14" s="32">
        <v>3.3477181831673559</v>
      </c>
      <c r="F14" s="42">
        <v>2483976.5</v>
      </c>
      <c r="G14" s="52" t="s">
        <v>4894</v>
      </c>
      <c r="H14" s="32">
        <v>55.706975961458141</v>
      </c>
      <c r="I14" s="32">
        <v>22.620584946104362</v>
      </c>
      <c r="J14" s="12" t="s">
        <v>4054</v>
      </c>
      <c r="K14" s="12" t="s">
        <v>4055</v>
      </c>
      <c r="L14" s="14" t="s">
        <v>4948</v>
      </c>
      <c r="M14" s="12" t="s">
        <v>4056</v>
      </c>
      <c r="N14" s="15" t="s">
        <v>4057</v>
      </c>
      <c r="O14" s="12" t="s">
        <v>4058</v>
      </c>
      <c r="P14" s="12" t="s">
        <v>4059</v>
      </c>
      <c r="Q14" s="14">
        <v>2</v>
      </c>
      <c r="R14" s="21">
        <v>492.78289999999998</v>
      </c>
      <c r="S14" s="14">
        <v>4</v>
      </c>
      <c r="T14" s="52" t="s">
        <v>4894</v>
      </c>
      <c r="U14" s="53">
        <v>25.708962499999998</v>
      </c>
      <c r="V14" s="42">
        <v>290352</v>
      </c>
      <c r="W14" s="42">
        <v>292801</v>
      </c>
      <c r="X14" s="42">
        <v>504969</v>
      </c>
      <c r="Y14" s="42">
        <v>697269</v>
      </c>
      <c r="Z14" s="42">
        <v>900988</v>
      </c>
      <c r="AA14" s="42">
        <v>836784</v>
      </c>
      <c r="AB14" s="42">
        <v>2429808</v>
      </c>
      <c r="AC14" s="42">
        <v>2538145</v>
      </c>
      <c r="AD14" s="42">
        <v>446347.75</v>
      </c>
      <c r="AE14" s="42">
        <v>1676431.25</v>
      </c>
      <c r="AF14" s="42">
        <v>291576.5</v>
      </c>
      <c r="AG14" s="42">
        <v>601119</v>
      </c>
      <c r="AH14" s="42">
        <v>868886</v>
      </c>
      <c r="AI14" s="42">
        <v>2483976.5</v>
      </c>
      <c r="AJ14" s="32">
        <v>43.732733268761692</v>
      </c>
      <c r="AK14" s="32">
        <v>55.706975961458141</v>
      </c>
      <c r="AL14" s="32">
        <v>0.59391086288704842</v>
      </c>
      <c r="AM14" s="32">
        <v>22.620584946104362</v>
      </c>
      <c r="AN14" s="32">
        <v>5.2249758632664234</v>
      </c>
      <c r="AO14" s="32">
        <v>3.0839996816961435</v>
      </c>
      <c r="AP14" s="19">
        <v>3.7558859655952115</v>
      </c>
      <c r="AQ14" s="19">
        <v>2.9799589473088539</v>
      </c>
      <c r="AR14" s="19">
        <v>4.1322541792889593</v>
      </c>
      <c r="AS14" s="19">
        <v>1.9091532612430866</v>
      </c>
      <c r="AT14" s="19">
        <v>1.5752924558814336</v>
      </c>
      <c r="AU14" s="19">
        <v>2.0469289986176138</v>
      </c>
      <c r="AV14" s="19">
        <v>1.7114637085569862</v>
      </c>
      <c r="AW14" s="19">
        <v>1.5074682388982839</v>
      </c>
      <c r="AX14" s="19">
        <v>1.743178084381821</v>
      </c>
      <c r="AY14" s="19">
        <v>3.7558859655952115</v>
      </c>
      <c r="AZ14" s="19">
        <v>2.9799589473088539</v>
      </c>
      <c r="BA14" s="19">
        <v>4.1322541792889593</v>
      </c>
      <c r="BB14" s="19">
        <v>3.2749291793156048</v>
      </c>
      <c r="BC14" s="19">
        <v>2.8431066909989031</v>
      </c>
      <c r="BD14" s="19">
        <v>3.3477181831673559</v>
      </c>
      <c r="BE14" s="14" t="s">
        <v>4857</v>
      </c>
    </row>
    <row r="15" spans="1:103" s="30" customFormat="1" ht="17.100000000000001" customHeight="1">
      <c r="A15" s="31">
        <v>4</v>
      </c>
      <c r="B15" s="11" t="s">
        <v>3178</v>
      </c>
      <c r="C15" s="57"/>
      <c r="D15" s="57"/>
      <c r="E15" s="57"/>
      <c r="F15" s="27"/>
      <c r="G15" s="54"/>
      <c r="H15" s="57"/>
      <c r="I15" s="57"/>
      <c r="J15" s="13"/>
      <c r="K15" s="13"/>
      <c r="L15" s="13"/>
      <c r="M15" s="13"/>
      <c r="N15" s="13"/>
      <c r="O15" s="13"/>
      <c r="P15" s="13"/>
      <c r="Q15" s="13"/>
      <c r="R15" s="22"/>
      <c r="S15" s="18"/>
      <c r="T15" s="54"/>
      <c r="U15" s="5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57"/>
      <c r="AK15" s="57"/>
      <c r="AL15" s="57"/>
      <c r="AM15" s="57"/>
      <c r="AN15" s="57"/>
      <c r="AO15" s="5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13"/>
    </row>
    <row r="16" spans="1:103" s="30" customFormat="1" ht="17.100000000000001" customHeight="1">
      <c r="A16" s="14">
        <v>5</v>
      </c>
      <c r="B16" s="14" t="s">
        <v>3103</v>
      </c>
      <c r="C16" s="32">
        <v>1.4006715806431653</v>
      </c>
      <c r="D16" s="32">
        <v>2.6408866863082969</v>
      </c>
      <c r="E16" s="32">
        <v>-1.0600625866254201</v>
      </c>
      <c r="F16" s="42">
        <v>2066019.5</v>
      </c>
      <c r="G16" s="52" t="s">
        <v>4894</v>
      </c>
      <c r="H16" s="32">
        <v>51.83818988835425</v>
      </c>
      <c r="I16" s="32">
        <v>10.484020477248022</v>
      </c>
      <c r="J16" s="12" t="s">
        <v>3104</v>
      </c>
      <c r="K16" s="12" t="s">
        <v>3105</v>
      </c>
      <c r="L16" s="14" t="s">
        <v>3106</v>
      </c>
      <c r="M16" s="12" t="s">
        <v>3107</v>
      </c>
      <c r="N16" s="15" t="s">
        <v>3108</v>
      </c>
      <c r="O16" s="12" t="s">
        <v>3109</v>
      </c>
      <c r="P16" s="12" t="s">
        <v>3111</v>
      </c>
      <c r="Q16" s="14">
        <v>3</v>
      </c>
      <c r="R16" s="21">
        <v>427.26260000000002</v>
      </c>
      <c r="S16" s="14">
        <v>6</v>
      </c>
      <c r="T16" s="52" t="s">
        <v>4894</v>
      </c>
      <c r="U16" s="53">
        <v>40.44104999999999</v>
      </c>
      <c r="V16" s="42">
        <v>685105</v>
      </c>
      <c r="W16" s="42">
        <v>665024</v>
      </c>
      <c r="X16" s="42">
        <v>1757106</v>
      </c>
      <c r="Y16" s="42">
        <v>1791500</v>
      </c>
      <c r="Z16" s="42">
        <v>1730058</v>
      </c>
      <c r="AA16" s="42">
        <v>2007106</v>
      </c>
      <c r="AB16" s="42">
        <v>2099682</v>
      </c>
      <c r="AC16" s="42">
        <v>2032357</v>
      </c>
      <c r="AD16" s="42">
        <v>1224683.75</v>
      </c>
      <c r="AE16" s="42">
        <v>1967300.75</v>
      </c>
      <c r="AF16" s="42">
        <v>675064.5</v>
      </c>
      <c r="AG16" s="42">
        <v>1774303</v>
      </c>
      <c r="AH16" s="42">
        <v>1868582</v>
      </c>
      <c r="AI16" s="42">
        <v>2066019.5</v>
      </c>
      <c r="AJ16" s="32">
        <v>51.83818988835425</v>
      </c>
      <c r="AK16" s="32">
        <v>8.2812371788809394</v>
      </c>
      <c r="AL16" s="32">
        <v>2.1034154918540464</v>
      </c>
      <c r="AM16" s="32">
        <v>1.3706920763888759</v>
      </c>
      <c r="AN16" s="32">
        <v>10.484020477248022</v>
      </c>
      <c r="AO16" s="32">
        <v>2.3042359495340827</v>
      </c>
      <c r="AP16" s="19">
        <v>1.606374502805316</v>
      </c>
      <c r="AQ16" s="19">
        <v>2.7680051313615217</v>
      </c>
      <c r="AR16" s="19">
        <v>1.1644118845541038</v>
      </c>
      <c r="AS16" s="19">
        <v>0.6838082753921978</v>
      </c>
      <c r="AT16" s="19">
        <v>1.4688466174627006</v>
      </c>
      <c r="AU16" s="19">
        <v>0.21960146949582526</v>
      </c>
      <c r="AV16" s="19">
        <v>0.48611872270609724</v>
      </c>
      <c r="AW16" s="19">
        <v>1.4010224004795508</v>
      </c>
      <c r="AX16" s="19">
        <v>-8.414944473996766E-2</v>
      </c>
      <c r="AY16" s="19">
        <v>1.606374502805316</v>
      </c>
      <c r="AZ16" s="19">
        <v>2.7680051313615217</v>
      </c>
      <c r="BA16" s="19">
        <v>1.1644118845541038</v>
      </c>
      <c r="BB16" s="19">
        <v>1.4006715806431653</v>
      </c>
      <c r="BC16" s="19">
        <v>2.6408866863082969</v>
      </c>
      <c r="BD16" s="19">
        <v>-1.0600625866254201</v>
      </c>
      <c r="BE16" s="14" t="s">
        <v>4857</v>
      </c>
    </row>
    <row r="17" spans="1:103" s="30" customFormat="1" ht="17.100000000000001" customHeight="1">
      <c r="A17" s="31">
        <v>6</v>
      </c>
      <c r="B17" s="11" t="s">
        <v>1279</v>
      </c>
      <c r="C17" s="57"/>
      <c r="D17" s="57"/>
      <c r="E17" s="57"/>
      <c r="F17" s="27"/>
      <c r="G17" s="54"/>
      <c r="H17" s="57"/>
      <c r="I17" s="57"/>
      <c r="J17" s="13"/>
      <c r="K17" s="13"/>
      <c r="L17" s="13"/>
      <c r="M17" s="13"/>
      <c r="N17" s="13"/>
      <c r="O17" s="13"/>
      <c r="P17" s="13"/>
      <c r="Q17" s="13"/>
      <c r="R17" s="22"/>
      <c r="S17" s="18"/>
      <c r="T17" s="54"/>
      <c r="U17" s="5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57"/>
      <c r="AK17" s="57"/>
      <c r="AL17" s="57"/>
      <c r="AM17" s="57"/>
      <c r="AN17" s="57"/>
      <c r="AO17" s="5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13"/>
    </row>
    <row r="18" spans="1:103" s="30" customFormat="1" ht="17.100000000000001" customHeight="1">
      <c r="A18" s="14">
        <v>7</v>
      </c>
      <c r="B18" s="14" t="s">
        <v>962</v>
      </c>
      <c r="C18" s="32">
        <v>1.1181875304928739</v>
      </c>
      <c r="D18" s="32">
        <v>2.4596969740263983</v>
      </c>
      <c r="E18" s="32">
        <v>-1.9831530981345038</v>
      </c>
      <c r="F18" s="42">
        <v>292691</v>
      </c>
      <c r="G18" s="52" t="s">
        <v>4894</v>
      </c>
      <c r="H18" s="32">
        <v>41.246790561758175</v>
      </c>
      <c r="I18" s="32">
        <v>15.305595032923646</v>
      </c>
      <c r="J18" s="12" t="s">
        <v>963</v>
      </c>
      <c r="K18" s="12" t="s">
        <v>964</v>
      </c>
      <c r="L18" s="14" t="s">
        <v>965</v>
      </c>
      <c r="M18" s="12" t="s">
        <v>966</v>
      </c>
      <c r="N18" s="15" t="s">
        <v>967</v>
      </c>
      <c r="O18" s="12" t="s">
        <v>968</v>
      </c>
      <c r="P18" s="12" t="s">
        <v>969</v>
      </c>
      <c r="Q18" s="14">
        <v>2</v>
      </c>
      <c r="R18" s="21">
        <v>375.71089999999998</v>
      </c>
      <c r="S18" s="14">
        <v>1</v>
      </c>
      <c r="T18" s="52" t="s">
        <v>4894</v>
      </c>
      <c r="U18" s="53">
        <v>24</v>
      </c>
      <c r="V18" s="42">
        <v>125817</v>
      </c>
      <c r="W18" s="42">
        <v>101243</v>
      </c>
      <c r="X18" s="42">
        <v>204918</v>
      </c>
      <c r="Y18" s="42">
        <v>240847</v>
      </c>
      <c r="Z18" s="42">
        <v>295949</v>
      </c>
      <c r="AA18" s="42">
        <v>289433</v>
      </c>
      <c r="AB18" s="42">
        <v>135406</v>
      </c>
      <c r="AC18" s="42">
        <v>142046</v>
      </c>
      <c r="AD18" s="42">
        <v>168206.25</v>
      </c>
      <c r="AE18" s="42">
        <v>215708.5</v>
      </c>
      <c r="AF18" s="42">
        <v>113530</v>
      </c>
      <c r="AG18" s="42">
        <v>222882.5</v>
      </c>
      <c r="AH18" s="42">
        <v>292691</v>
      </c>
      <c r="AI18" s="42">
        <v>138726</v>
      </c>
      <c r="AJ18" s="32">
        <v>38.992604720327023</v>
      </c>
      <c r="AK18" s="32">
        <v>41.246790561758175</v>
      </c>
      <c r="AL18" s="32">
        <v>15.305595032923646</v>
      </c>
      <c r="AM18" s="32">
        <v>11.39866949682073</v>
      </c>
      <c r="AN18" s="32">
        <v>1.5741884055920901</v>
      </c>
      <c r="AO18" s="32">
        <v>3.384505447485457</v>
      </c>
      <c r="AP18" s="19">
        <v>1.2824047857912533</v>
      </c>
      <c r="AQ18" s="19">
        <v>2.5780938958865498</v>
      </c>
      <c r="AR18" s="19">
        <v>0.62241764158244817</v>
      </c>
      <c r="AS18" s="19">
        <v>0.35885171459170545</v>
      </c>
      <c r="AT18" s="19">
        <v>1.3663048085649738</v>
      </c>
      <c r="AU18" s="19">
        <v>-0.68404514275282213</v>
      </c>
      <c r="AV18" s="19">
        <v>0.16116216190560489</v>
      </c>
      <c r="AW18" s="19">
        <v>1.2984805915818241</v>
      </c>
      <c r="AX18" s="19">
        <v>-0.98779605698861506</v>
      </c>
      <c r="AY18" s="19">
        <v>1.2824047857912533</v>
      </c>
      <c r="AZ18" s="19">
        <v>2.5780938958865498</v>
      </c>
      <c r="BA18" s="19">
        <v>-1.6066382653576115</v>
      </c>
      <c r="BB18" s="19">
        <v>1.1181875304928739</v>
      </c>
      <c r="BC18" s="19">
        <v>2.4596969740263983</v>
      </c>
      <c r="BD18" s="19">
        <v>-1.9831530981345038</v>
      </c>
      <c r="BE18" s="14" t="s">
        <v>4857</v>
      </c>
    </row>
    <row r="19" spans="1:103" s="30" customFormat="1" ht="17.100000000000001" customHeight="1">
      <c r="A19" s="31">
        <v>8</v>
      </c>
      <c r="B19" s="11" t="s">
        <v>470</v>
      </c>
      <c r="C19" s="57"/>
      <c r="D19" s="57"/>
      <c r="E19" s="57"/>
      <c r="F19" s="27"/>
      <c r="G19" s="54"/>
      <c r="H19" s="57"/>
      <c r="I19" s="57"/>
      <c r="J19" s="13"/>
      <c r="K19" s="13"/>
      <c r="L19" s="13"/>
      <c r="M19" s="13"/>
      <c r="N19" s="13"/>
      <c r="O19" s="13"/>
      <c r="P19" s="13"/>
      <c r="Q19" s="13"/>
      <c r="R19" s="22"/>
      <c r="S19" s="18"/>
      <c r="T19" s="54"/>
      <c r="U19" s="5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57"/>
      <c r="AK19" s="57"/>
      <c r="AL19" s="57"/>
      <c r="AM19" s="57"/>
      <c r="AN19" s="57"/>
      <c r="AO19" s="5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13"/>
    </row>
    <row r="20" spans="1:103" s="30" customFormat="1" ht="17.100000000000001" customHeight="1">
      <c r="A20" s="14">
        <v>9</v>
      </c>
      <c r="B20" s="14" t="s">
        <v>438</v>
      </c>
      <c r="C20" s="32">
        <v>1.9571895407403539</v>
      </c>
      <c r="D20" s="32">
        <v>18.798150724430648</v>
      </c>
      <c r="E20" s="32">
        <v>1.3746165847183676</v>
      </c>
      <c r="F20" s="42">
        <v>31511604</v>
      </c>
      <c r="G20" s="52" t="s">
        <v>4894</v>
      </c>
      <c r="H20" s="32">
        <v>108.50798924494465</v>
      </c>
      <c r="I20" s="32">
        <v>19.159761712872442</v>
      </c>
      <c r="J20" s="12" t="s">
        <v>439</v>
      </c>
      <c r="K20" s="12" t="s">
        <v>439</v>
      </c>
      <c r="L20" s="14" t="s">
        <v>4270</v>
      </c>
      <c r="M20" s="12" t="s">
        <v>433</v>
      </c>
      <c r="N20" s="15" t="s">
        <v>440</v>
      </c>
      <c r="O20" s="12" t="s">
        <v>435</v>
      </c>
      <c r="P20" s="12" t="s">
        <v>441</v>
      </c>
      <c r="Q20" s="14">
        <v>2</v>
      </c>
      <c r="R20" s="21">
        <v>724.90409999999997</v>
      </c>
      <c r="S20" s="14">
        <v>15</v>
      </c>
      <c r="T20" s="52" t="s">
        <v>4894</v>
      </c>
      <c r="U20" s="53">
        <v>58.242800000000003</v>
      </c>
      <c r="V20" s="42">
        <v>661760</v>
      </c>
      <c r="W20" s="42">
        <v>503844</v>
      </c>
      <c r="X20" s="42">
        <v>18139636</v>
      </c>
      <c r="Y20" s="42">
        <v>19003690</v>
      </c>
      <c r="Z20" s="42">
        <v>11535323</v>
      </c>
      <c r="AA20" s="42">
        <v>11430567</v>
      </c>
      <c r="AB20" s="42">
        <v>31370844</v>
      </c>
      <c r="AC20" s="42">
        <v>31652364</v>
      </c>
      <c r="AD20" s="42">
        <v>9577232.5</v>
      </c>
      <c r="AE20" s="42">
        <v>21497274.5</v>
      </c>
      <c r="AF20" s="42">
        <v>582802</v>
      </c>
      <c r="AG20" s="42">
        <v>18571663</v>
      </c>
      <c r="AH20" s="42">
        <v>11482945</v>
      </c>
      <c r="AI20" s="42">
        <v>31511604</v>
      </c>
      <c r="AJ20" s="32">
        <v>108.50798924494465</v>
      </c>
      <c r="AK20" s="32">
        <v>53.793804767195311</v>
      </c>
      <c r="AL20" s="32">
        <v>19.159761712872442</v>
      </c>
      <c r="AM20" s="32">
        <v>3.2898423943583355</v>
      </c>
      <c r="AN20" s="32">
        <v>0.64507561405177827</v>
      </c>
      <c r="AO20" s="32">
        <v>0.63171871872862095</v>
      </c>
      <c r="AP20" s="19">
        <v>2.2446228072671306</v>
      </c>
      <c r="AQ20" s="19">
        <v>19.70299518532881</v>
      </c>
      <c r="AR20" s="19">
        <v>1.6967572586256816</v>
      </c>
      <c r="AS20" s="19">
        <v>1.1664730307994373</v>
      </c>
      <c r="AT20" s="19">
        <v>4.3003430550543449</v>
      </c>
      <c r="AU20" s="19">
        <v>0.76278018490059707</v>
      </c>
      <c r="AV20" s="19">
        <v>0.96878347811333676</v>
      </c>
      <c r="AW20" s="19">
        <v>4.2325188380711953</v>
      </c>
      <c r="AX20" s="19">
        <v>0.45902927066480415</v>
      </c>
      <c r="AY20" s="19">
        <v>2.2446228072671306</v>
      </c>
      <c r="AZ20" s="19">
        <v>19.70299518532881</v>
      </c>
      <c r="BA20" s="19">
        <v>1.6967572586256816</v>
      </c>
      <c r="BB20" s="19">
        <v>1.9571895407403539</v>
      </c>
      <c r="BC20" s="19">
        <v>18.798150724430648</v>
      </c>
      <c r="BD20" s="19">
        <v>1.3746165847183676</v>
      </c>
      <c r="BE20" s="14" t="s">
        <v>4857</v>
      </c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</row>
    <row r="21" spans="1:103" s="30" customFormat="1" ht="17.100000000000001" customHeight="1">
      <c r="A21" s="31">
        <v>10</v>
      </c>
      <c r="B21" s="11" t="s">
        <v>112</v>
      </c>
      <c r="C21" s="57"/>
      <c r="D21" s="57"/>
      <c r="E21" s="57"/>
      <c r="F21" s="27"/>
      <c r="G21" s="54"/>
      <c r="H21" s="57"/>
      <c r="I21" s="57"/>
      <c r="J21" s="13"/>
      <c r="K21" s="13"/>
      <c r="L21" s="13"/>
      <c r="M21" s="13"/>
      <c r="N21" s="13"/>
      <c r="O21" s="13"/>
      <c r="P21" s="13"/>
      <c r="Q21" s="13"/>
      <c r="R21" s="22"/>
      <c r="S21" s="18"/>
      <c r="T21" s="54"/>
      <c r="U21" s="5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57"/>
      <c r="AK21" s="57"/>
      <c r="AL21" s="57"/>
      <c r="AM21" s="57"/>
      <c r="AN21" s="57"/>
      <c r="AO21" s="5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13"/>
    </row>
    <row r="22" spans="1:103" ht="17.100000000000001" customHeight="1">
      <c r="A22" s="14">
        <v>11</v>
      </c>
      <c r="B22" s="14" t="s">
        <v>133</v>
      </c>
      <c r="C22" s="32">
        <v>-1.6077587848814356</v>
      </c>
      <c r="D22" s="32">
        <v>-1.0350244272915787</v>
      </c>
      <c r="E22" s="32">
        <v>-2.608030484146171</v>
      </c>
      <c r="F22" s="42">
        <v>589566</v>
      </c>
      <c r="G22" s="52" t="s">
        <v>4894</v>
      </c>
      <c r="H22" s="32">
        <v>35.051260599288462</v>
      </c>
      <c r="I22" s="32">
        <v>40.087490551412508</v>
      </c>
      <c r="J22" s="12" t="s">
        <v>134</v>
      </c>
      <c r="K22" s="12" t="s">
        <v>135</v>
      </c>
      <c r="L22" s="14" t="s">
        <v>4950</v>
      </c>
      <c r="M22" s="12" t="s">
        <v>136</v>
      </c>
      <c r="N22" s="15" t="s">
        <v>137</v>
      </c>
      <c r="O22" s="12" t="s">
        <v>138</v>
      </c>
      <c r="P22" s="12" t="s">
        <v>140</v>
      </c>
      <c r="Q22" s="14">
        <v>2</v>
      </c>
      <c r="R22" s="21">
        <v>561.7749</v>
      </c>
      <c r="S22" s="14">
        <v>6</v>
      </c>
      <c r="T22" s="52" t="s">
        <v>4894</v>
      </c>
      <c r="U22" s="53">
        <v>32.850037499999999</v>
      </c>
      <c r="V22" s="42">
        <v>514233</v>
      </c>
      <c r="W22" s="42">
        <v>431318</v>
      </c>
      <c r="X22" s="42">
        <v>541215</v>
      </c>
      <c r="Y22" s="42">
        <v>637917</v>
      </c>
      <c r="Z22" s="42">
        <v>494742</v>
      </c>
      <c r="AA22" s="42">
        <v>462786</v>
      </c>
      <c r="AB22" s="42">
        <v>358130</v>
      </c>
      <c r="AC22" s="42">
        <v>199939</v>
      </c>
      <c r="AD22" s="42">
        <v>531170.75</v>
      </c>
      <c r="AE22" s="42">
        <v>378899.25</v>
      </c>
      <c r="AF22" s="42">
        <v>472775.5</v>
      </c>
      <c r="AG22" s="42">
        <v>589566</v>
      </c>
      <c r="AH22" s="42">
        <v>478764</v>
      </c>
      <c r="AI22" s="42">
        <v>279034.5</v>
      </c>
      <c r="AJ22" s="32">
        <v>16.031194305665586</v>
      </c>
      <c r="AK22" s="32">
        <v>35.051260599288462</v>
      </c>
      <c r="AL22" s="32">
        <v>12.401183809669195</v>
      </c>
      <c r="AM22" s="32">
        <v>11.598131499153871</v>
      </c>
      <c r="AN22" s="32">
        <v>4.7197166661648149</v>
      </c>
      <c r="AO22" s="32">
        <v>40.087490551412508</v>
      </c>
      <c r="AP22" s="19">
        <v>0.71332852947945646</v>
      </c>
      <c r="AQ22" s="19">
        <v>1.0126666885234112</v>
      </c>
      <c r="AR22" s="19">
        <v>0.4732879779363125</v>
      </c>
      <c r="AS22" s="19">
        <v>-0.48736141977627834</v>
      </c>
      <c r="AT22" s="19">
        <v>1.815940025703967E-2</v>
      </c>
      <c r="AU22" s="19">
        <v>-1.0792098184733347</v>
      </c>
      <c r="AV22" s="19">
        <v>-0.68505097246237889</v>
      </c>
      <c r="AW22" s="19">
        <v>-4.9664816726110034E-2</v>
      </c>
      <c r="AX22" s="19">
        <v>-1.3829607327091278</v>
      </c>
      <c r="AY22" s="19">
        <v>-1.4018785996541296</v>
      </c>
      <c r="AZ22" s="19">
        <v>1.0126666885234112</v>
      </c>
      <c r="BA22" s="19">
        <v>-2.1128785150223357</v>
      </c>
      <c r="BB22" s="19">
        <v>-1.6077587848814356</v>
      </c>
      <c r="BC22" s="19">
        <v>-1.0350244272915787</v>
      </c>
      <c r="BD22" s="19">
        <v>-2.608030484146171</v>
      </c>
      <c r="BE22" s="14" t="s">
        <v>4857</v>
      </c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</row>
  </sheetData>
  <sortState ref="A12:DA55">
    <sortCondition ref="A12:A55"/>
  </sortState>
  <mergeCells count="11">
    <mergeCell ref="AL10:AO10"/>
    <mergeCell ref="C10:E10"/>
    <mergeCell ref="H10:I10"/>
    <mergeCell ref="V10:AC10"/>
    <mergeCell ref="AD10:AI10"/>
    <mergeCell ref="AJ10:AK10"/>
    <mergeCell ref="AP10:AR10"/>
    <mergeCell ref="AS10:AU10"/>
    <mergeCell ref="AV10:AX10"/>
    <mergeCell ref="AY10:BA10"/>
    <mergeCell ref="BB10:BD10"/>
  </mergeCells>
  <conditionalFormatting sqref="C12:E22">
    <cfRule type="containsText" dxfId="2" priority="1" stopIfTrue="1" operator="containsText" text="–">
      <formula>NOT(ISERROR(SEARCH("–",C12)))</formula>
    </cfRule>
    <cfRule type="cellIs" dxfId="1" priority="2" operator="lessThanOrEqual">
      <formula>-2.449</formula>
    </cfRule>
    <cfRule type="cellIs" dxfId="0" priority="3" operator="greaterThanOrEqual">
      <formula>2.449</formula>
    </cfRule>
  </conditionalFormatting>
  <hyperlinks>
    <hyperlink ref="K13" r:id="rId1"/>
    <hyperlink ref="N13" r:id="rId2"/>
    <hyperlink ref="N14" r:id="rId3"/>
    <hyperlink ref="N16" r:id="rId4"/>
    <hyperlink ref="N18" r:id="rId5"/>
    <hyperlink ref="N20" r:id="rId6"/>
    <hyperlink ref="N22" r:id="rId7"/>
  </hyperlinks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Column Definitions</vt:lpstr>
      <vt:lpstr>Details</vt:lpstr>
      <vt:lpstr>Summary</vt:lpstr>
      <vt:lpstr>Fold Change by Protein Type</vt:lpstr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gbates</cp:lastModifiedBy>
  <dcterms:created xsi:type="dcterms:W3CDTF">2013-07-30T09:10:07Z</dcterms:created>
  <dcterms:modified xsi:type="dcterms:W3CDTF">2013-08-07T16:33:05Z</dcterms:modified>
</cp:coreProperties>
</file>